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satwi\Downloads\"/>
    </mc:Choice>
  </mc:AlternateContent>
  <xr:revisionPtr revIDLastSave="0" documentId="13_ncr:1_{386D829D-9668-4098-8AAF-2FFF0D7A8BFF}" xr6:coauthVersionLast="47" xr6:coauthVersionMax="47" xr10:uidLastSave="{00000000-0000-0000-0000-000000000000}"/>
  <bookViews>
    <workbookView xWindow="-108" yWindow="-108" windowWidth="23256" windowHeight="12456" firstSheet="2" activeTab="2" xr2:uid="{00000000-000D-0000-FFFF-FFFF00000000}"/>
  </bookViews>
  <sheets>
    <sheet name="Sheet1" sheetId="1" state="hidden" r:id="rId1"/>
    <sheet name="Sheet2" sheetId="2" state="hidden" r:id="rId2"/>
    <sheet name="Dashbord" sheetId="3" r:id="rId3"/>
  </sheets>
  <definedNames>
    <definedName name="_xlnm._FilterDatabase" localSheetId="0" hidden="1">Sheet1!$A$1:$Q$1754</definedName>
    <definedName name="_xlnm._FilterDatabase" localSheetId="1" hidden="1">Sheet2!$Q$1:$Q$569</definedName>
    <definedName name="_xlnm.Extract" localSheetId="0">Sheet1!$R$2</definedName>
    <definedName name="_xlnm.Extract" localSheetId="1">Sheet2!$Q$572</definedName>
    <definedName name="Slicer_Which_of_the_below_factors_influence_the_most_about_your_career_aspirations_?">#N/A</definedName>
    <definedName name="Slicer_Your_Gender">#N/A</definedName>
  </definedNames>
  <calcPr calcId="191029"/>
  <pivotCaches>
    <pivotCache cacheId="0" r:id="rId4"/>
    <pivotCache cacheId="1" r:id="rId5"/>
    <pivotCache cacheId="2" r:id="rId6"/>
    <pivotCache cacheId="3"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98" i="2" l="1"/>
  <c r="C197" i="2"/>
  <c r="C207" i="2"/>
  <c r="B208" i="2"/>
  <c r="E1" i="1"/>
  <c r="C179" i="2"/>
  <c r="C183" i="2"/>
  <c r="B184" i="2"/>
  <c r="C87" i="2"/>
  <c r="C86" i="2"/>
  <c r="B88" i="2"/>
  <c r="Q1754" i="2"/>
  <c r="Q1753" i="2"/>
  <c r="Q1752" i="2"/>
  <c r="Q1751" i="2"/>
  <c r="Q1750" i="2"/>
  <c r="Q1749" i="2"/>
  <c r="Q1748" i="2"/>
  <c r="Q1747" i="2"/>
  <c r="Q1746" i="2"/>
  <c r="Q1745" i="2"/>
  <c r="Q1744" i="2"/>
  <c r="Q1743" i="2"/>
  <c r="Q1742" i="2"/>
  <c r="Q1741" i="2"/>
  <c r="Q1740" i="2"/>
  <c r="Q1739" i="2"/>
  <c r="Q1738" i="2"/>
  <c r="Q1737" i="2"/>
  <c r="Q1736" i="2"/>
  <c r="Q1735" i="2"/>
  <c r="Q1734" i="2"/>
  <c r="Q1733" i="2"/>
  <c r="Q1732" i="2"/>
  <c r="Q1731" i="2"/>
  <c r="Q1730" i="2"/>
  <c r="Q1729" i="2"/>
  <c r="Q1728" i="2"/>
  <c r="Q1727" i="2"/>
  <c r="Q1726" i="2"/>
  <c r="Q1725" i="2"/>
  <c r="Q1724" i="2"/>
  <c r="Q1723" i="2"/>
  <c r="Q1722" i="2"/>
  <c r="Q1721" i="2"/>
  <c r="Q1720" i="2"/>
  <c r="Q1719" i="2"/>
  <c r="Q1718" i="2"/>
  <c r="Q1717" i="2"/>
  <c r="Q1716" i="2"/>
  <c r="Q1715" i="2"/>
  <c r="Q1714" i="2"/>
  <c r="Q1713" i="2"/>
  <c r="Q1712" i="2"/>
  <c r="Q1711" i="2"/>
  <c r="Q1710" i="2"/>
  <c r="Q1709" i="2"/>
  <c r="Q1708" i="2"/>
  <c r="Q1707" i="2"/>
  <c r="Q1706" i="2"/>
  <c r="Q1705" i="2"/>
  <c r="Q1704" i="2"/>
  <c r="Q1703" i="2"/>
  <c r="Q1702" i="2"/>
  <c r="Q1701" i="2"/>
  <c r="Q1700" i="2"/>
  <c r="Q1699" i="2"/>
  <c r="Q1698" i="2"/>
  <c r="Q1697" i="2"/>
  <c r="Q1696" i="2"/>
  <c r="Q1695" i="2"/>
  <c r="Q1694" i="2"/>
  <c r="Q1693" i="2"/>
  <c r="Q1692" i="2"/>
  <c r="Q1691" i="2"/>
  <c r="Q1690" i="2"/>
  <c r="Q1689" i="2"/>
  <c r="Q1688" i="2"/>
  <c r="Q1687" i="2"/>
  <c r="Q1686" i="2"/>
  <c r="Q1685" i="2"/>
  <c r="Q1684" i="2"/>
  <c r="Q1683" i="2"/>
  <c r="Q1682" i="2"/>
  <c r="Q1681" i="2"/>
  <c r="Q1680" i="2"/>
  <c r="Q1679" i="2"/>
  <c r="Q1678" i="2"/>
  <c r="Q1677" i="2"/>
  <c r="Q1676" i="2"/>
  <c r="Q1675" i="2"/>
  <c r="Q1674" i="2"/>
  <c r="Q1673" i="2"/>
  <c r="Q1672" i="2"/>
  <c r="Q1671" i="2"/>
  <c r="Q1670" i="2"/>
  <c r="Q1669" i="2"/>
  <c r="Q1668" i="2"/>
  <c r="Q1667" i="2"/>
  <c r="Q1666" i="2"/>
  <c r="Q1665" i="2"/>
  <c r="Q1664" i="2"/>
  <c r="Q1663" i="2"/>
  <c r="Q1662" i="2"/>
  <c r="Q1661" i="2"/>
  <c r="Q1660" i="2"/>
  <c r="Q1659" i="2"/>
  <c r="Q1658" i="2"/>
  <c r="Q1657" i="2"/>
  <c r="Q1656" i="2"/>
  <c r="Q1655" i="2"/>
  <c r="Q1654" i="2"/>
  <c r="Q1653" i="2"/>
  <c r="Q1652" i="2"/>
  <c r="Q1651" i="2"/>
  <c r="Q1650" i="2"/>
  <c r="Q1649" i="2"/>
  <c r="Q1648" i="2"/>
  <c r="Q1647" i="2"/>
  <c r="Q1646" i="2"/>
  <c r="Q1645" i="2"/>
  <c r="Q1644" i="2"/>
  <c r="Q1643" i="2"/>
  <c r="Q1642" i="2"/>
  <c r="Q1641" i="2"/>
  <c r="Q1640" i="2"/>
  <c r="Q1639" i="2"/>
  <c r="Q1638" i="2"/>
  <c r="Q1637" i="2"/>
  <c r="Q1636" i="2"/>
  <c r="Q1635" i="2"/>
  <c r="Q1634" i="2"/>
  <c r="Q1633" i="2"/>
  <c r="Q1632" i="2"/>
  <c r="Q1631" i="2"/>
  <c r="Q1630" i="2"/>
  <c r="Q1629" i="2"/>
  <c r="Q1628" i="2"/>
  <c r="Q1627" i="2"/>
  <c r="Q1626" i="2"/>
  <c r="Q1625" i="2"/>
  <c r="Q1624" i="2"/>
  <c r="Q1623" i="2"/>
  <c r="Q1622" i="2"/>
  <c r="Q1621" i="2"/>
  <c r="Q1620" i="2"/>
  <c r="Q1619" i="2"/>
  <c r="Q1618" i="2"/>
  <c r="Q1617" i="2"/>
  <c r="Q1616" i="2"/>
  <c r="Q1615" i="2"/>
  <c r="Q1614" i="2"/>
  <c r="Q1613" i="2"/>
  <c r="Q1612" i="2"/>
  <c r="Q1611" i="2"/>
  <c r="Q1610" i="2"/>
  <c r="Q1609" i="2"/>
  <c r="Q1608" i="2"/>
  <c r="Q1607" i="2"/>
  <c r="Q1606" i="2"/>
  <c r="Q1605" i="2"/>
  <c r="Q1604" i="2"/>
  <c r="Q1603" i="2"/>
  <c r="Q1602" i="2"/>
  <c r="Q1601" i="2"/>
  <c r="Q1600" i="2"/>
  <c r="Q1599" i="2"/>
  <c r="Q1598" i="2"/>
  <c r="Q1597" i="2"/>
  <c r="Q1596" i="2"/>
  <c r="Q1595" i="2"/>
  <c r="Q1594" i="2"/>
  <c r="Q1593" i="2"/>
  <c r="Q1592" i="2"/>
  <c r="Q1591" i="2"/>
  <c r="Q1590" i="2"/>
  <c r="Q1589" i="2"/>
  <c r="Q1588" i="2"/>
  <c r="Q1587" i="2"/>
  <c r="Q1586" i="2"/>
  <c r="Q1585" i="2"/>
  <c r="Q1584" i="2"/>
  <c r="Q1583" i="2"/>
  <c r="Q1582" i="2"/>
  <c r="Q1581" i="2"/>
  <c r="Q1580" i="2"/>
  <c r="Q1579" i="2"/>
  <c r="Q1578" i="2"/>
  <c r="Q1577" i="2"/>
  <c r="Q1576" i="2"/>
  <c r="Q1575" i="2"/>
  <c r="Q1574" i="2"/>
  <c r="Q1573" i="2"/>
  <c r="Q1572" i="2"/>
  <c r="Q1571" i="2"/>
  <c r="Q1570" i="2"/>
  <c r="Q1569" i="2"/>
  <c r="Q1568" i="2"/>
  <c r="Q1567" i="2"/>
  <c r="Q1566" i="2"/>
  <c r="Q1565" i="2"/>
  <c r="Q1564" i="2"/>
  <c r="Q1563" i="2"/>
  <c r="Q1562" i="2"/>
  <c r="Q1561" i="2"/>
  <c r="Q1560" i="2"/>
  <c r="Q1559" i="2"/>
  <c r="Q1558" i="2"/>
  <c r="Q1557" i="2"/>
  <c r="Q1556" i="2"/>
  <c r="Q1555" i="2"/>
  <c r="Q1554" i="2"/>
  <c r="Q1553" i="2"/>
  <c r="Q1552" i="2"/>
  <c r="Q1551" i="2"/>
  <c r="Q1550" i="2"/>
  <c r="Q1549" i="2"/>
  <c r="Q1548" i="2"/>
  <c r="Q1547" i="2"/>
  <c r="Q1546" i="2"/>
  <c r="Q1545" i="2"/>
  <c r="Q1544" i="2"/>
  <c r="Q1543" i="2"/>
  <c r="Q1542" i="2"/>
  <c r="Q1541" i="2"/>
  <c r="Q1540" i="2"/>
  <c r="Q1539" i="2"/>
  <c r="Q1538" i="2"/>
  <c r="Q1537" i="2"/>
  <c r="Q1536" i="2"/>
  <c r="Q1535" i="2"/>
  <c r="Q1534" i="2"/>
  <c r="Q1533" i="2"/>
  <c r="Q1532" i="2"/>
  <c r="Q1531" i="2"/>
  <c r="Q1530" i="2"/>
  <c r="Q1529" i="2"/>
  <c r="Q1528" i="2"/>
  <c r="Q1527" i="2"/>
  <c r="Q1526" i="2"/>
  <c r="Q1525" i="2"/>
  <c r="Q1524" i="2"/>
  <c r="Q1523" i="2"/>
  <c r="Q1522" i="2"/>
  <c r="Q1521" i="2"/>
  <c r="Q1520" i="2"/>
  <c r="Q1519" i="2"/>
  <c r="Q1518" i="2"/>
  <c r="Q1517" i="2"/>
  <c r="Q1516" i="2"/>
  <c r="Q1515" i="2"/>
  <c r="Q1514" i="2"/>
  <c r="Q1513" i="2"/>
  <c r="Q1512" i="2"/>
  <c r="Q1511" i="2"/>
  <c r="Q1510" i="2"/>
  <c r="Q1509" i="2"/>
  <c r="Q1508" i="2"/>
  <c r="Q1507" i="2"/>
  <c r="Q1506" i="2"/>
  <c r="Q1505" i="2"/>
  <c r="Q1504" i="2"/>
  <c r="Q1503" i="2"/>
  <c r="Q1502" i="2"/>
  <c r="Q1501" i="2"/>
  <c r="Q1500" i="2"/>
  <c r="Q1499" i="2"/>
  <c r="Q1498" i="2"/>
  <c r="Q1497" i="2"/>
  <c r="Q1496" i="2"/>
  <c r="Q1495" i="2"/>
  <c r="Q1494" i="2"/>
  <c r="Q1493" i="2"/>
  <c r="Q1492" i="2"/>
  <c r="Q1491" i="2"/>
  <c r="Q1490" i="2"/>
  <c r="Q1489" i="2"/>
  <c r="Q1488" i="2"/>
  <c r="Q1487" i="2"/>
  <c r="Q1486" i="2"/>
  <c r="Q1485" i="2"/>
  <c r="Q1484" i="2"/>
  <c r="Q1483" i="2"/>
  <c r="Q1482" i="2"/>
  <c r="Q1481" i="2"/>
  <c r="Q1480" i="2"/>
  <c r="Q1479" i="2"/>
  <c r="Q1478" i="2"/>
  <c r="Q1477" i="2"/>
  <c r="Q1476" i="2"/>
  <c r="Q1475" i="2"/>
  <c r="Q1474" i="2"/>
  <c r="Q1473" i="2"/>
  <c r="Q1472" i="2"/>
  <c r="Q1471" i="2"/>
  <c r="Q1470" i="2"/>
  <c r="Q1469" i="2"/>
  <c r="Q1468" i="2"/>
  <c r="Q1467" i="2"/>
  <c r="Q1466" i="2"/>
  <c r="Q1465" i="2"/>
  <c r="Q1464" i="2"/>
  <c r="Q1463" i="2"/>
  <c r="Q1462" i="2"/>
  <c r="Q1461" i="2"/>
  <c r="Q1460" i="2"/>
  <c r="Q1459" i="2"/>
  <c r="Q1458" i="2"/>
  <c r="Q1457" i="2"/>
  <c r="Q1456" i="2"/>
  <c r="Q1455" i="2"/>
  <c r="Q1454" i="2"/>
  <c r="Q1453" i="2"/>
  <c r="Q1452" i="2"/>
  <c r="Q1451" i="2"/>
  <c r="Q1450" i="2"/>
  <c r="Q1449" i="2"/>
  <c r="Q1448" i="2"/>
  <c r="Q1447" i="2"/>
  <c r="Q1446" i="2"/>
  <c r="Q1445" i="2"/>
  <c r="Q1444" i="2"/>
  <c r="Q1443" i="2"/>
  <c r="Q1442" i="2"/>
  <c r="Q1441" i="2"/>
  <c r="Q1440" i="2"/>
  <c r="Q1439" i="2"/>
  <c r="Q1438" i="2"/>
  <c r="Q1437" i="2"/>
  <c r="Q1436" i="2"/>
  <c r="Q1435" i="2"/>
  <c r="Q1434" i="2"/>
  <c r="Q1433" i="2"/>
  <c r="Q1432" i="2"/>
  <c r="Q1431" i="2"/>
  <c r="Q1430" i="2"/>
  <c r="Q1429" i="2"/>
  <c r="Q1428" i="2"/>
  <c r="Q1427" i="2"/>
  <c r="Q1426" i="2"/>
  <c r="Q1425" i="2"/>
  <c r="Q1424" i="2"/>
  <c r="Q1423" i="2"/>
  <c r="Q1422" i="2"/>
  <c r="Q1421" i="2"/>
  <c r="Q1420" i="2"/>
  <c r="Q1419" i="2"/>
  <c r="Q1418" i="2"/>
  <c r="Q1417" i="2"/>
  <c r="Q1416" i="2"/>
  <c r="Q1415" i="2"/>
  <c r="Q1414" i="2"/>
  <c r="Q1413" i="2"/>
  <c r="Q1412" i="2"/>
  <c r="Q1411" i="2"/>
  <c r="Q1410" i="2"/>
  <c r="Q1409" i="2"/>
  <c r="Q1408" i="2"/>
  <c r="Q1407" i="2"/>
  <c r="Q1406" i="2"/>
  <c r="Q1405" i="2"/>
  <c r="Q1404" i="2"/>
  <c r="Q1403" i="2"/>
  <c r="Q1402" i="2"/>
  <c r="Q1401" i="2"/>
  <c r="Q1400" i="2"/>
  <c r="Q1399" i="2"/>
  <c r="Q1398" i="2"/>
  <c r="Q1397" i="2"/>
  <c r="Q1396" i="2"/>
  <c r="Q1395" i="2"/>
  <c r="Q1394" i="2"/>
  <c r="Q1393" i="2"/>
  <c r="Q1392" i="2"/>
  <c r="Q1391" i="2"/>
  <c r="Q1390" i="2"/>
  <c r="Q1389" i="2"/>
  <c r="Q1388" i="2"/>
  <c r="Q1387" i="2"/>
  <c r="Q1386" i="2"/>
  <c r="Q1385" i="2"/>
  <c r="Q1384" i="2"/>
  <c r="Q1383" i="2"/>
  <c r="Q1382" i="2"/>
  <c r="Q1381" i="2"/>
  <c r="Q1380" i="2"/>
  <c r="Q1379" i="2"/>
  <c r="Q1378" i="2"/>
  <c r="Q1377" i="2"/>
  <c r="Q1376" i="2"/>
  <c r="Q1375" i="2"/>
  <c r="Q1374" i="2"/>
  <c r="Q1373" i="2"/>
  <c r="Q1372" i="2"/>
  <c r="Q1371" i="2"/>
  <c r="Q1370" i="2"/>
  <c r="Q1369" i="2"/>
  <c r="Q1368" i="2"/>
  <c r="Q1367" i="2"/>
  <c r="Q1366" i="2"/>
  <c r="Q1365" i="2"/>
  <c r="Q1364" i="2"/>
  <c r="Q1363" i="2"/>
  <c r="Q1362" i="2"/>
  <c r="Q1361" i="2"/>
  <c r="Q1360" i="2"/>
  <c r="Q1359" i="2"/>
  <c r="Q1358" i="2"/>
  <c r="Q1357" i="2"/>
  <c r="Q1356" i="2"/>
  <c r="Q1355" i="2"/>
  <c r="Q1354" i="2"/>
  <c r="Q1353" i="2"/>
  <c r="Q1352" i="2"/>
  <c r="Q1351" i="2"/>
  <c r="Q1350" i="2"/>
  <c r="Q1349" i="2"/>
  <c r="Q1348" i="2"/>
  <c r="Q1347" i="2"/>
  <c r="Q1346" i="2"/>
  <c r="Q1345" i="2"/>
  <c r="Q1344" i="2"/>
  <c r="Q1343" i="2"/>
  <c r="Q1342" i="2"/>
  <c r="Q1341" i="2"/>
  <c r="Q1340" i="2"/>
  <c r="Q1339" i="2"/>
  <c r="Q1338" i="2"/>
  <c r="Q1337" i="2"/>
  <c r="Q1336" i="2"/>
  <c r="Q1335" i="2"/>
  <c r="Q1334" i="2"/>
  <c r="Q1333" i="2"/>
  <c r="Q1332" i="2"/>
  <c r="Q1331" i="2"/>
  <c r="Q1330" i="2"/>
  <c r="Q1329" i="2"/>
  <c r="Q1328" i="2"/>
  <c r="Q1327" i="2"/>
  <c r="Q1326" i="2"/>
  <c r="Q1325" i="2"/>
  <c r="Q1324" i="2"/>
  <c r="Q1323" i="2"/>
  <c r="Q1322" i="2"/>
  <c r="Q1321" i="2"/>
  <c r="Q1320" i="2"/>
  <c r="Q1319" i="2"/>
  <c r="Q1318" i="2"/>
  <c r="Q1317" i="2"/>
  <c r="Q1316" i="2"/>
  <c r="Q1315" i="2"/>
  <c r="Q1314" i="2"/>
  <c r="Q1313" i="2"/>
  <c r="Q1312" i="2"/>
  <c r="Q1311" i="2"/>
  <c r="Q1310" i="2"/>
  <c r="Q1309" i="2"/>
  <c r="Q1308" i="2"/>
  <c r="Q1307" i="2"/>
  <c r="Q1306" i="2"/>
  <c r="Q1305" i="2"/>
  <c r="Q1304" i="2"/>
  <c r="Q1303" i="2"/>
  <c r="Q1302" i="2"/>
  <c r="Q1301" i="2"/>
  <c r="Q1300" i="2"/>
  <c r="Q1299" i="2"/>
  <c r="Q1298" i="2"/>
  <c r="Q1297" i="2"/>
  <c r="Q1296" i="2"/>
  <c r="Q1295" i="2"/>
  <c r="Q1294" i="2"/>
  <c r="Q1293" i="2"/>
  <c r="Q1292" i="2"/>
  <c r="Q1291" i="2"/>
  <c r="Q1290" i="2"/>
  <c r="Q1289" i="2"/>
  <c r="Q1288" i="2"/>
  <c r="Q1287" i="2"/>
  <c r="Q1286" i="2"/>
  <c r="Q1285" i="2"/>
  <c r="Q1284" i="2"/>
  <c r="Q1283" i="2"/>
  <c r="Q1282" i="2"/>
  <c r="Q1281" i="2"/>
  <c r="Q1280" i="2"/>
  <c r="Q1279" i="2"/>
  <c r="Q1278" i="2"/>
  <c r="Q1277" i="2"/>
  <c r="Q1276" i="2"/>
  <c r="Q1275" i="2"/>
  <c r="Q1274" i="2"/>
  <c r="Q1273" i="2"/>
  <c r="Q1272" i="2"/>
  <c r="Q1271" i="2"/>
  <c r="Q1270" i="2"/>
  <c r="Q1269" i="2"/>
  <c r="Q1268" i="2"/>
  <c r="Q1267" i="2"/>
  <c r="Q1266" i="2"/>
  <c r="Q1265" i="2"/>
  <c r="Q1264" i="2"/>
  <c r="Q1263" i="2"/>
  <c r="Q1262" i="2"/>
  <c r="Q1261" i="2"/>
  <c r="Q1260" i="2"/>
  <c r="Q1259" i="2"/>
  <c r="Q1258" i="2"/>
  <c r="Q1257" i="2"/>
  <c r="Q1256" i="2"/>
  <c r="Q1255" i="2"/>
  <c r="Q1254" i="2"/>
  <c r="Q1253" i="2"/>
  <c r="Q1252" i="2"/>
  <c r="Q1251" i="2"/>
  <c r="Q1250" i="2"/>
  <c r="Q1249" i="2"/>
  <c r="Q1248" i="2"/>
  <c r="Q1247" i="2"/>
  <c r="Q1246" i="2"/>
  <c r="Q1245" i="2"/>
  <c r="Q1244" i="2"/>
  <c r="Q1243" i="2"/>
  <c r="Q1242" i="2"/>
  <c r="Q1241" i="2"/>
  <c r="Q1240" i="2"/>
  <c r="Q1239" i="2"/>
  <c r="Q1238" i="2"/>
  <c r="Q1237" i="2"/>
  <c r="Q1236" i="2"/>
  <c r="Q1235" i="2"/>
  <c r="Q1234" i="2"/>
  <c r="Q1233" i="2"/>
  <c r="Q1232" i="2"/>
  <c r="Q1231" i="2"/>
  <c r="Q1230" i="2"/>
  <c r="Q1229" i="2"/>
  <c r="Q1228" i="2"/>
  <c r="Q1227" i="2"/>
  <c r="Q1226" i="2"/>
  <c r="Q1225" i="2"/>
  <c r="Q1224" i="2"/>
  <c r="Q1223" i="2"/>
  <c r="Q1222" i="2"/>
  <c r="Q1221" i="2"/>
  <c r="Q1220" i="2"/>
  <c r="Q1219" i="2"/>
  <c r="Q1218" i="2"/>
  <c r="Q1217" i="2"/>
  <c r="Q1216" i="2"/>
  <c r="Q1215" i="2"/>
  <c r="Q1214" i="2"/>
  <c r="Q1213" i="2"/>
  <c r="Q1212" i="2"/>
  <c r="Q1211" i="2"/>
  <c r="Q1210" i="2"/>
  <c r="Q1209" i="2"/>
  <c r="Q1208" i="2"/>
  <c r="Q1207" i="2"/>
  <c r="Q1206" i="2"/>
  <c r="Q1205" i="2"/>
  <c r="Q1204" i="2"/>
  <c r="Q1203" i="2"/>
  <c r="Q1202" i="2"/>
  <c r="Q1201" i="2"/>
  <c r="Q1200" i="2"/>
  <c r="Q1199" i="2"/>
  <c r="Q1198" i="2"/>
  <c r="Q1197" i="2"/>
  <c r="Q1196" i="2"/>
  <c r="Q1195" i="2"/>
  <c r="Q1194" i="2"/>
  <c r="Q1193" i="2"/>
  <c r="Q1192" i="2"/>
  <c r="Q1191" i="2"/>
  <c r="Q1190" i="2"/>
  <c r="Q1189" i="2"/>
  <c r="Q1188" i="2"/>
  <c r="Q1187" i="2"/>
  <c r="Q1186" i="2"/>
  <c r="Q1185" i="2"/>
  <c r="Q1184" i="2"/>
  <c r="Q1183" i="2"/>
  <c r="Q1182" i="2"/>
  <c r="Q1181" i="2"/>
  <c r="Q1180" i="2"/>
  <c r="Q1179" i="2"/>
  <c r="Q1178" i="2"/>
  <c r="Q1177" i="2"/>
  <c r="Q1176" i="2"/>
  <c r="Q1175" i="2"/>
  <c r="Q1174" i="2"/>
  <c r="Q1173" i="2"/>
  <c r="Q1172" i="2"/>
  <c r="Q1171" i="2"/>
  <c r="Q1170" i="2"/>
  <c r="Q1169" i="2"/>
  <c r="Q1168" i="2"/>
  <c r="Q1167" i="2"/>
  <c r="Q1166" i="2"/>
  <c r="Q1165" i="2"/>
  <c r="Q1164" i="2"/>
  <c r="Q1163" i="2"/>
  <c r="Q1162" i="2"/>
  <c r="Q1161" i="2"/>
  <c r="Q1160" i="2"/>
  <c r="Q1159" i="2"/>
  <c r="Q1158" i="2"/>
  <c r="Q1157" i="2"/>
  <c r="Q1156" i="2"/>
  <c r="Q1155" i="2"/>
  <c r="Q1154" i="2"/>
  <c r="Q1153" i="2"/>
  <c r="Q1152" i="2"/>
  <c r="Q1151" i="2"/>
  <c r="Q1150" i="2"/>
  <c r="Q1149" i="2"/>
  <c r="Q1148" i="2"/>
  <c r="Q1147" i="2"/>
  <c r="Q1146" i="2"/>
  <c r="Q1145" i="2"/>
  <c r="Q1144" i="2"/>
  <c r="Q1143" i="2"/>
  <c r="Q1142" i="2"/>
  <c r="Q1141" i="2"/>
  <c r="Q1140" i="2"/>
  <c r="Q1139" i="2"/>
  <c r="Q1138" i="2"/>
  <c r="Q1137" i="2"/>
  <c r="Q1136" i="2"/>
  <c r="Q1135" i="2"/>
  <c r="Q1134" i="2"/>
  <c r="Q1133" i="2"/>
  <c r="Q1132" i="2"/>
  <c r="Q1131" i="2"/>
  <c r="Q1130" i="2"/>
  <c r="Q1129" i="2"/>
  <c r="Q1128" i="2"/>
  <c r="Q1127" i="2"/>
  <c r="Q1126" i="2"/>
  <c r="Q1125" i="2"/>
  <c r="Q1124" i="2"/>
  <c r="Q1123" i="2"/>
  <c r="Q1122" i="2"/>
  <c r="Q1121" i="2"/>
  <c r="Q1120" i="2"/>
  <c r="Q1119" i="2"/>
  <c r="Q1118" i="2"/>
  <c r="Q1117" i="2"/>
  <c r="Q1116" i="2"/>
  <c r="Q1115" i="2"/>
  <c r="Q1114" i="2"/>
  <c r="Q1113" i="2"/>
  <c r="Q1112" i="2"/>
  <c r="Q1111" i="2"/>
  <c r="Q1110" i="2"/>
  <c r="Q1109" i="2"/>
  <c r="Q1108" i="2"/>
  <c r="Q1107" i="2"/>
  <c r="Q1106" i="2"/>
  <c r="Q1105" i="2"/>
  <c r="Q1104" i="2"/>
  <c r="Q1103" i="2"/>
  <c r="Q1102" i="2"/>
  <c r="Q1101" i="2"/>
  <c r="Q1100" i="2"/>
  <c r="Q1099" i="2"/>
  <c r="Q1098" i="2"/>
  <c r="Q1097" i="2"/>
  <c r="Q1096" i="2"/>
  <c r="Q1095" i="2"/>
  <c r="Q1094" i="2"/>
  <c r="Q1093" i="2"/>
  <c r="Q1092" i="2"/>
  <c r="Q1091" i="2"/>
  <c r="Q1090" i="2"/>
  <c r="Q1089" i="2"/>
  <c r="Q1088" i="2"/>
  <c r="Q1087" i="2"/>
  <c r="Q1086" i="2"/>
  <c r="Q1085" i="2"/>
  <c r="Q1084" i="2"/>
  <c r="Q1083" i="2"/>
  <c r="Q1082" i="2"/>
  <c r="Q1081" i="2"/>
  <c r="Q1080" i="2"/>
  <c r="Q1079" i="2"/>
  <c r="Q1078" i="2"/>
  <c r="Q1077" i="2"/>
  <c r="Q1076" i="2"/>
  <c r="Q1075" i="2"/>
  <c r="Q1074" i="2"/>
  <c r="Q1073" i="2"/>
  <c r="Q1072" i="2"/>
  <c r="Q1071" i="2"/>
  <c r="Q1070" i="2"/>
  <c r="Q1069" i="2"/>
  <c r="Q1068" i="2"/>
  <c r="Q1067" i="2"/>
  <c r="Q1066" i="2"/>
  <c r="Q1065" i="2"/>
  <c r="Q1064" i="2"/>
  <c r="Q1063" i="2"/>
  <c r="Q1062" i="2"/>
  <c r="Q1061" i="2"/>
  <c r="Q1060" i="2"/>
  <c r="Q1059" i="2"/>
  <c r="Q1058" i="2"/>
  <c r="Q1057" i="2"/>
  <c r="Q1056" i="2"/>
  <c r="Q1055" i="2"/>
  <c r="Q1054" i="2"/>
  <c r="Q1053" i="2"/>
  <c r="Q1052" i="2"/>
  <c r="Q1051" i="2"/>
  <c r="Q1050" i="2"/>
  <c r="Q1049" i="2"/>
  <c r="Q1048" i="2"/>
  <c r="Q1047" i="2"/>
  <c r="Q1046" i="2"/>
  <c r="Q1045" i="2"/>
  <c r="Q1044" i="2"/>
  <c r="Q1043" i="2"/>
  <c r="Q1042" i="2"/>
  <c r="Q1041" i="2"/>
  <c r="Q1040" i="2"/>
  <c r="Q1039" i="2"/>
  <c r="Q1038" i="2"/>
  <c r="Q1037" i="2"/>
  <c r="Q1036" i="2"/>
  <c r="Q1035" i="2"/>
  <c r="Q1034" i="2"/>
  <c r="Q1033" i="2"/>
  <c r="Q1032" i="2"/>
  <c r="Q1031" i="2"/>
  <c r="Q1030" i="2"/>
  <c r="Q1029" i="2"/>
  <c r="Q1028" i="2"/>
  <c r="Q1027" i="2"/>
  <c r="Q1026" i="2"/>
  <c r="Q1025" i="2"/>
  <c r="Q1024" i="2"/>
  <c r="Q1023" i="2"/>
  <c r="Q1022" i="2"/>
  <c r="Q1021" i="2"/>
  <c r="Q1020" i="2"/>
  <c r="Q1019" i="2"/>
  <c r="Q1018" i="2"/>
  <c r="Q1017" i="2"/>
  <c r="Q1016" i="2"/>
  <c r="Q1015" i="2"/>
  <c r="Q1014" i="2"/>
  <c r="Q1013" i="2"/>
  <c r="Q1012" i="2"/>
  <c r="Q1011" i="2"/>
  <c r="Q1010" i="2"/>
  <c r="Q1009" i="2"/>
  <c r="Q1008" i="2"/>
  <c r="Q1007" i="2"/>
  <c r="Q1006" i="2"/>
  <c r="Q1005" i="2"/>
  <c r="Q1004" i="2"/>
  <c r="Q1003" i="2"/>
  <c r="Q1002" i="2"/>
  <c r="Q1001" i="2"/>
  <c r="Q1000" i="2"/>
  <c r="Q999" i="2"/>
  <c r="Q998" i="2"/>
  <c r="Q997" i="2"/>
  <c r="Q996" i="2"/>
  <c r="Q995" i="2"/>
  <c r="Q994" i="2"/>
  <c r="Q993" i="2"/>
  <c r="Q992" i="2"/>
  <c r="Q991" i="2"/>
  <c r="Q990" i="2"/>
  <c r="Q989" i="2"/>
  <c r="Q988" i="2"/>
  <c r="Q987" i="2"/>
  <c r="Q986" i="2"/>
  <c r="Q985" i="2"/>
  <c r="Q984" i="2"/>
  <c r="Q983" i="2"/>
  <c r="Q982" i="2"/>
  <c r="Q981" i="2"/>
  <c r="Q980" i="2"/>
  <c r="Q979" i="2"/>
  <c r="Q978" i="2"/>
  <c r="Q977" i="2"/>
  <c r="Q976" i="2"/>
  <c r="Q975" i="2"/>
  <c r="Q974" i="2"/>
  <c r="Q973" i="2"/>
  <c r="Q972" i="2"/>
  <c r="Q971" i="2"/>
  <c r="Q970" i="2"/>
  <c r="Q969" i="2"/>
  <c r="Q968" i="2"/>
  <c r="Q967" i="2"/>
  <c r="Q966" i="2"/>
  <c r="Q965" i="2"/>
  <c r="Q964" i="2"/>
  <c r="Q963" i="2"/>
  <c r="Q962" i="2"/>
  <c r="Q961" i="2"/>
  <c r="Q960" i="2"/>
  <c r="Q959" i="2"/>
  <c r="Q958" i="2"/>
  <c r="Q957" i="2"/>
  <c r="Q956" i="2"/>
  <c r="Q955" i="2"/>
  <c r="Q954" i="2"/>
  <c r="Q953" i="2"/>
  <c r="Q952" i="2"/>
  <c r="Q951" i="2"/>
  <c r="Q950" i="2"/>
  <c r="Q949" i="2"/>
  <c r="Q948" i="2"/>
  <c r="Q947" i="2"/>
  <c r="Q946" i="2"/>
  <c r="Q945" i="2"/>
  <c r="Q944" i="2"/>
  <c r="Q943" i="2"/>
  <c r="Q942" i="2"/>
  <c r="Q941" i="2"/>
  <c r="Q940" i="2"/>
  <c r="Q939" i="2"/>
  <c r="Q938" i="2"/>
  <c r="Q937" i="2"/>
  <c r="Q936" i="2"/>
  <c r="Q935" i="2"/>
  <c r="Q934" i="2"/>
  <c r="Q933" i="2"/>
  <c r="Q932" i="2"/>
  <c r="Q931" i="2"/>
  <c r="Q930" i="2"/>
  <c r="Q929" i="2"/>
  <c r="Q928" i="2"/>
  <c r="Q927" i="2"/>
  <c r="Q926" i="2"/>
  <c r="Q925" i="2"/>
  <c r="Q924" i="2"/>
  <c r="Q923" i="2"/>
  <c r="Q922" i="2"/>
  <c r="Q921" i="2"/>
  <c r="Q920" i="2"/>
  <c r="Q919" i="2"/>
  <c r="Q918" i="2"/>
  <c r="Q917" i="2"/>
  <c r="Q916" i="2"/>
  <c r="Q915" i="2"/>
  <c r="Q914" i="2"/>
  <c r="Q913" i="2"/>
  <c r="Q912" i="2"/>
  <c r="Q911" i="2"/>
  <c r="Q910" i="2"/>
  <c r="Q909" i="2"/>
  <c r="Q908" i="2"/>
  <c r="Q907" i="2"/>
  <c r="Q906" i="2"/>
  <c r="Q905" i="2"/>
  <c r="Q904" i="2"/>
  <c r="Q903" i="2"/>
  <c r="Q902" i="2"/>
  <c r="Q901" i="2"/>
  <c r="Q900" i="2"/>
  <c r="Q899" i="2"/>
  <c r="Q898" i="2"/>
  <c r="Q897" i="2"/>
  <c r="Q896" i="2"/>
  <c r="Q895" i="2"/>
  <c r="Q894" i="2"/>
  <c r="Q893" i="2"/>
  <c r="Q892" i="2"/>
  <c r="Q891" i="2"/>
  <c r="Q890" i="2"/>
  <c r="Q889" i="2"/>
  <c r="Q888" i="2"/>
  <c r="Q887" i="2"/>
  <c r="Q886" i="2"/>
  <c r="Q885" i="2"/>
  <c r="Q884" i="2"/>
  <c r="Q883" i="2"/>
  <c r="Q882" i="2"/>
  <c r="Q881" i="2"/>
  <c r="Q880" i="2"/>
  <c r="Q879" i="2"/>
  <c r="Q878" i="2"/>
  <c r="Q877" i="2"/>
  <c r="Q876" i="2"/>
  <c r="Q875" i="2"/>
  <c r="Q874" i="2"/>
  <c r="Q873" i="2"/>
  <c r="Q872" i="2"/>
  <c r="Q871" i="2"/>
  <c r="Q870" i="2"/>
  <c r="Q869" i="2"/>
  <c r="Q868" i="2"/>
  <c r="Q867" i="2"/>
  <c r="Q866" i="2"/>
  <c r="Q865" i="2"/>
  <c r="Q864" i="2"/>
  <c r="Q863" i="2"/>
  <c r="Q862" i="2"/>
  <c r="Q861" i="2"/>
  <c r="Q860" i="2"/>
  <c r="Q859" i="2"/>
  <c r="Q858" i="2"/>
  <c r="Q857" i="2"/>
  <c r="Q856" i="2"/>
  <c r="Q855" i="2"/>
  <c r="Q854" i="2"/>
  <c r="Q853" i="2"/>
  <c r="Q852" i="2"/>
  <c r="Q851" i="2"/>
  <c r="Q850" i="2"/>
  <c r="Q849" i="2"/>
  <c r="Q848" i="2"/>
  <c r="Q847" i="2"/>
  <c r="Q846" i="2"/>
  <c r="Q845" i="2"/>
  <c r="Q844" i="2"/>
  <c r="Q843" i="2"/>
  <c r="Q842" i="2"/>
  <c r="Q841" i="2"/>
  <c r="Q840" i="2"/>
  <c r="Q839" i="2"/>
  <c r="Q838" i="2"/>
  <c r="Q837" i="2"/>
  <c r="Q836" i="2"/>
  <c r="Q835" i="2"/>
  <c r="Q834" i="2"/>
  <c r="Q833" i="2"/>
  <c r="Q832" i="2"/>
  <c r="Q831" i="2"/>
  <c r="Q830" i="2"/>
  <c r="Q829" i="2"/>
  <c r="Q828" i="2"/>
  <c r="Q827" i="2"/>
  <c r="Q826" i="2"/>
  <c r="Q825" i="2"/>
  <c r="Q824" i="2"/>
  <c r="Q823" i="2"/>
  <c r="Q822" i="2"/>
  <c r="Q821" i="2"/>
  <c r="Q820" i="2"/>
  <c r="Q819" i="2"/>
  <c r="Q818" i="2"/>
  <c r="Q817" i="2"/>
  <c r="Q816" i="2"/>
  <c r="Q815" i="2"/>
  <c r="Q814" i="2"/>
  <c r="Q813" i="2"/>
  <c r="Q812" i="2"/>
  <c r="Q811" i="2"/>
  <c r="Q810" i="2"/>
  <c r="Q809" i="2"/>
  <c r="Q808" i="2"/>
  <c r="Q807" i="2"/>
  <c r="Q806" i="2"/>
  <c r="Q805" i="2"/>
  <c r="Q804" i="2"/>
  <c r="Q803" i="2"/>
  <c r="Q802" i="2"/>
  <c r="Q801" i="2"/>
  <c r="Q800" i="2"/>
  <c r="Q799" i="2"/>
  <c r="Q798" i="2"/>
  <c r="Q797" i="2"/>
  <c r="Q796" i="2"/>
  <c r="Q795" i="2"/>
  <c r="Q794" i="2"/>
  <c r="Q793" i="2"/>
  <c r="Q792" i="2"/>
  <c r="Q791" i="2"/>
  <c r="Q790" i="2"/>
  <c r="Q789" i="2"/>
  <c r="Q788" i="2"/>
  <c r="Q787" i="2"/>
  <c r="Q786" i="2"/>
  <c r="Q785" i="2"/>
  <c r="Q784" i="2"/>
  <c r="Q783" i="2"/>
  <c r="Q782" i="2"/>
  <c r="Q781" i="2"/>
  <c r="Q780" i="2"/>
  <c r="Q779" i="2"/>
  <c r="Q778" i="2"/>
  <c r="Q777" i="2"/>
  <c r="Q776" i="2"/>
  <c r="Q775" i="2"/>
  <c r="Q774" i="2"/>
  <c r="Q773" i="2"/>
  <c r="Q772" i="2"/>
  <c r="Q771" i="2"/>
  <c r="Q770" i="2"/>
  <c r="Q769" i="2"/>
  <c r="Q768" i="2"/>
  <c r="Q767" i="2"/>
  <c r="Q766" i="2"/>
  <c r="Q765" i="2"/>
  <c r="Q764" i="2"/>
  <c r="Q763" i="2"/>
  <c r="Q762" i="2"/>
  <c r="Q761" i="2"/>
  <c r="Q760" i="2"/>
  <c r="Q759" i="2"/>
  <c r="Q758" i="2"/>
  <c r="Q757" i="2"/>
  <c r="Q756" i="2"/>
  <c r="Q755" i="2"/>
  <c r="Q754" i="2"/>
  <c r="Q753" i="2"/>
  <c r="Q752" i="2"/>
  <c r="Q751" i="2"/>
  <c r="Q750" i="2"/>
  <c r="Q749" i="2"/>
  <c r="Q748" i="2"/>
  <c r="Q747" i="2"/>
  <c r="Q746" i="2"/>
  <c r="Q745" i="2"/>
  <c r="Q744" i="2"/>
  <c r="Q743" i="2"/>
  <c r="Q742" i="2"/>
  <c r="Q741" i="2"/>
  <c r="Q740" i="2"/>
  <c r="Q739" i="2"/>
  <c r="Q738" i="2"/>
  <c r="Q737" i="2"/>
  <c r="Q736" i="2"/>
  <c r="Q735" i="2"/>
  <c r="Q734" i="2"/>
  <c r="Q733" i="2"/>
  <c r="Q732" i="2"/>
  <c r="Q731" i="2"/>
  <c r="Q730" i="2"/>
  <c r="Q729" i="2"/>
  <c r="Q728" i="2"/>
  <c r="Q727" i="2"/>
  <c r="Q726" i="2"/>
  <c r="Q725" i="2"/>
  <c r="Q724" i="2"/>
  <c r="Q723" i="2"/>
  <c r="Q722" i="2"/>
  <c r="Q721" i="2"/>
  <c r="Q720" i="2"/>
  <c r="Q719" i="2"/>
  <c r="Q718" i="2"/>
  <c r="Q717" i="2"/>
  <c r="Q716" i="2"/>
  <c r="Q715" i="2"/>
  <c r="Q714" i="2"/>
  <c r="Q713" i="2"/>
  <c r="Q712" i="2"/>
  <c r="Q711" i="2"/>
  <c r="Q710" i="2"/>
  <c r="Q709" i="2"/>
  <c r="Q708" i="2"/>
  <c r="Q707" i="2"/>
  <c r="Q706" i="2"/>
  <c r="Q705" i="2"/>
  <c r="Q704" i="2"/>
  <c r="Q703" i="2"/>
  <c r="Q702" i="2"/>
  <c r="Q701" i="2"/>
  <c r="Q700" i="2"/>
  <c r="Q699" i="2"/>
  <c r="Q698" i="2"/>
  <c r="Q697" i="2"/>
  <c r="Q696" i="2"/>
  <c r="Q695" i="2"/>
  <c r="Q694" i="2"/>
  <c r="Q693" i="2"/>
  <c r="Q692" i="2"/>
  <c r="Q691" i="2"/>
  <c r="Q690" i="2"/>
  <c r="Q689" i="2"/>
  <c r="Q688" i="2"/>
  <c r="Q687" i="2"/>
  <c r="Q686" i="2"/>
  <c r="Q685" i="2"/>
  <c r="Q684" i="2"/>
  <c r="Q683" i="2"/>
  <c r="Q682" i="2"/>
  <c r="Q681" i="2"/>
  <c r="Q680" i="2"/>
  <c r="Q679" i="2"/>
  <c r="Q678" i="2"/>
  <c r="Q677" i="2"/>
  <c r="Q676" i="2"/>
  <c r="Q675" i="2"/>
  <c r="Q674" i="2"/>
  <c r="Q673" i="2"/>
  <c r="Q672" i="2"/>
  <c r="Q671" i="2"/>
  <c r="Q670" i="2"/>
  <c r="Q669" i="2"/>
  <c r="Q668" i="2"/>
  <c r="Q667" i="2"/>
  <c r="Q666" i="2"/>
  <c r="Q665" i="2"/>
  <c r="Q664" i="2"/>
  <c r="Q663" i="2"/>
  <c r="Q662" i="2"/>
  <c r="Q661" i="2"/>
  <c r="Q660" i="2"/>
  <c r="Q659" i="2"/>
  <c r="Q658" i="2"/>
  <c r="Q657" i="2"/>
  <c r="Q656" i="2"/>
  <c r="Q655" i="2"/>
  <c r="Q654" i="2"/>
  <c r="Q653" i="2"/>
  <c r="Q652" i="2"/>
  <c r="Q651" i="2"/>
  <c r="Q650" i="2"/>
  <c r="Q649" i="2"/>
  <c r="Q648" i="2"/>
  <c r="Q647" i="2"/>
  <c r="Q646" i="2"/>
  <c r="Q645" i="2"/>
  <c r="Q644" i="2"/>
  <c r="Q643" i="2"/>
  <c r="Q642" i="2"/>
  <c r="Q641" i="2"/>
  <c r="Q640" i="2"/>
  <c r="Q639" i="2"/>
  <c r="Q638" i="2"/>
  <c r="Q637" i="2"/>
  <c r="Q636" i="2"/>
  <c r="Q635" i="2"/>
  <c r="Q634" i="2"/>
  <c r="Q633" i="2"/>
  <c r="Q632" i="2"/>
  <c r="Q631" i="2"/>
  <c r="Q630" i="2"/>
  <c r="Q629" i="2"/>
  <c r="Q628" i="2"/>
  <c r="Q627" i="2"/>
  <c r="Q626" i="2"/>
  <c r="Q625" i="2"/>
  <c r="Q624" i="2"/>
  <c r="Q623" i="2"/>
  <c r="Q622" i="2"/>
  <c r="Q621" i="2"/>
  <c r="Q620" i="2"/>
  <c r="Q619" i="2"/>
  <c r="Q618" i="2"/>
  <c r="Q617" i="2"/>
  <c r="Q616" i="2"/>
  <c r="Q615" i="2"/>
  <c r="Q614" i="2"/>
  <c r="Q613" i="2"/>
  <c r="Q612" i="2"/>
  <c r="Q611" i="2"/>
  <c r="Q610" i="2"/>
  <c r="Q609" i="2"/>
  <c r="Q608" i="2"/>
  <c r="Q607" i="2"/>
  <c r="Q606" i="2"/>
  <c r="Q605" i="2"/>
  <c r="Q604" i="2"/>
  <c r="Q603" i="2"/>
  <c r="Q602" i="2"/>
  <c r="Q601" i="2"/>
  <c r="Q600" i="2"/>
  <c r="Q599" i="2"/>
  <c r="Q598" i="2"/>
  <c r="Q597" i="2"/>
  <c r="Q596" i="2"/>
  <c r="Q595" i="2"/>
  <c r="Q594" i="2"/>
  <c r="Q593" i="2"/>
  <c r="Q592" i="2"/>
  <c r="Q591" i="2"/>
  <c r="Q590" i="2"/>
  <c r="Q589" i="2"/>
  <c r="Q588" i="2"/>
  <c r="Q587" i="2"/>
  <c r="Q586" i="2"/>
  <c r="Q585" i="2"/>
  <c r="Q584" i="2"/>
  <c r="Q583" i="2"/>
  <c r="Q582" i="2"/>
  <c r="Q581" i="2"/>
  <c r="Q580" i="2"/>
  <c r="Q579" i="2"/>
  <c r="Q578" i="2"/>
  <c r="Q577" i="2"/>
  <c r="Q576" i="2"/>
  <c r="Q575" i="2"/>
  <c r="Q574" i="2"/>
  <c r="Q573" i="2"/>
  <c r="Q572" i="2"/>
  <c r="Q571" i="2"/>
  <c r="Q570" i="2"/>
  <c r="Q569" i="2"/>
  <c r="Q568" i="2"/>
  <c r="Q567" i="2"/>
  <c r="Q566" i="2"/>
  <c r="Q565" i="2"/>
  <c r="Q564" i="2"/>
  <c r="Q563" i="2"/>
  <c r="Q562" i="2"/>
  <c r="Q561" i="2"/>
  <c r="Q560" i="2"/>
  <c r="Q559" i="2"/>
  <c r="Q558" i="2"/>
  <c r="Q557" i="2"/>
  <c r="Q556" i="2"/>
  <c r="Q555" i="2"/>
  <c r="Q554" i="2"/>
  <c r="Q553" i="2"/>
  <c r="Q552" i="2"/>
  <c r="Q551" i="2"/>
  <c r="Q550" i="2"/>
  <c r="Q549" i="2"/>
  <c r="Q548" i="2"/>
  <c r="Q547" i="2"/>
  <c r="Q546" i="2"/>
  <c r="Q545" i="2"/>
  <c r="Q544" i="2"/>
  <c r="Q543" i="2"/>
  <c r="Q542" i="2"/>
  <c r="Q541" i="2"/>
  <c r="Q540" i="2"/>
  <c r="Q539" i="2"/>
  <c r="Q538" i="2"/>
  <c r="Q537" i="2"/>
  <c r="Q536" i="2"/>
  <c r="Q535" i="2"/>
  <c r="Q534" i="2"/>
  <c r="Q533" i="2"/>
  <c r="Q532" i="2"/>
  <c r="Q531" i="2"/>
  <c r="Q530" i="2"/>
  <c r="Q529" i="2"/>
  <c r="Q528" i="2"/>
  <c r="Q527" i="2"/>
  <c r="Q526" i="2"/>
  <c r="Q525" i="2"/>
  <c r="Q524" i="2"/>
  <c r="Q523" i="2"/>
  <c r="Q522" i="2"/>
  <c r="Q521" i="2"/>
  <c r="Q520" i="2"/>
  <c r="Q519" i="2"/>
  <c r="Q518" i="2"/>
  <c r="Q517" i="2"/>
  <c r="Q516" i="2"/>
  <c r="Q515" i="2"/>
  <c r="Q514" i="2"/>
  <c r="Q513" i="2"/>
  <c r="Q512" i="2"/>
  <c r="Q511" i="2"/>
  <c r="Q510" i="2"/>
  <c r="Q509" i="2"/>
  <c r="Q508" i="2"/>
  <c r="Q507" i="2"/>
  <c r="Q506"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Q442" i="2"/>
  <c r="Q441" i="2"/>
  <c r="Q440" i="2"/>
  <c r="Q439" i="2"/>
  <c r="Q438" i="2"/>
  <c r="Q437" i="2"/>
  <c r="Q436" i="2"/>
  <c r="Q435" i="2"/>
  <c r="Q434" i="2"/>
  <c r="Q433" i="2"/>
  <c r="Q432" i="2"/>
  <c r="Q431" i="2"/>
  <c r="Q430" i="2"/>
  <c r="Q429" i="2"/>
  <c r="Q428" i="2"/>
  <c r="Q427" i="2"/>
  <c r="Q426" i="2"/>
  <c r="Q425" i="2"/>
  <c r="Q424" i="2"/>
  <c r="Q423" i="2"/>
  <c r="Q422" i="2"/>
  <c r="Q421" i="2"/>
  <c r="Q420" i="2"/>
  <c r="Q419" i="2"/>
  <c r="Q418" i="2"/>
  <c r="Q417" i="2"/>
  <c r="Q416" i="2"/>
  <c r="Q415" i="2"/>
  <c r="Q414" i="2"/>
  <c r="Q413" i="2"/>
  <c r="Q412" i="2"/>
  <c r="Q411" i="2"/>
  <c r="Q410" i="2"/>
  <c r="Q409" i="2"/>
  <c r="Q408" i="2"/>
  <c r="Q407" i="2"/>
  <c r="Q406" i="2"/>
  <c r="Q405" i="2"/>
  <c r="Q404" i="2"/>
  <c r="Q403" i="2"/>
  <c r="Q402" i="2"/>
  <c r="Q401" i="2"/>
  <c r="Q400" i="2"/>
  <c r="Q399" i="2"/>
  <c r="Q398"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71" i="2"/>
  <c r="Q370" i="2"/>
  <c r="Q369" i="2"/>
  <c r="Q368" i="2"/>
  <c r="Q367" i="2"/>
  <c r="Q366" i="2"/>
  <c r="Q365" i="2"/>
  <c r="Q364" i="2"/>
  <c r="Q363" i="2"/>
  <c r="Q362" i="2"/>
  <c r="Q361" i="2"/>
  <c r="Q360" i="2"/>
  <c r="Q359" i="2"/>
  <c r="Q358" i="2"/>
  <c r="Q357" i="2"/>
  <c r="Q356" i="2"/>
  <c r="Q355" i="2"/>
  <c r="Q354" i="2"/>
  <c r="Q353" i="2"/>
  <c r="Q352" i="2"/>
  <c r="Q351" i="2"/>
  <c r="Q350"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5" i="2"/>
  <c r="Q294" i="2"/>
  <c r="Q293" i="2"/>
  <c r="Q292" i="2"/>
  <c r="Q291" i="2"/>
  <c r="Q290" i="2"/>
  <c r="Q289" i="2"/>
  <c r="Q288" i="2"/>
  <c r="Q287" i="2"/>
  <c r="Q286" i="2"/>
  <c r="Q285" i="2"/>
  <c r="Q284" i="2"/>
  <c r="Q283" i="2"/>
  <c r="Q282" i="2"/>
  <c r="Q281" i="2"/>
  <c r="Q280" i="2"/>
  <c r="Q279" i="2"/>
  <c r="Q278" i="2"/>
  <c r="Q277" i="2"/>
  <c r="Q276" i="2"/>
  <c r="Q275" i="2"/>
  <c r="Q274" i="2"/>
  <c r="Q273" i="2"/>
  <c r="Q272" i="2"/>
  <c r="Q271" i="2"/>
  <c r="Q270" i="2"/>
  <c r="Q269" i="2"/>
  <c r="Q268" i="2"/>
  <c r="Q267" i="2"/>
  <c r="Q266" i="2"/>
  <c r="Q265" i="2"/>
  <c r="Q264" i="2"/>
  <c r="Q263" i="2"/>
  <c r="Q262" i="2"/>
  <c r="Q261" i="2"/>
  <c r="Q260" i="2"/>
  <c r="Q259" i="2"/>
  <c r="Q258" i="2"/>
  <c r="Q257" i="2"/>
  <c r="Q256" i="2"/>
  <c r="Q255" i="2"/>
  <c r="Q254" i="2"/>
  <c r="Q253" i="2"/>
  <c r="Q252" i="2"/>
  <c r="Q251" i="2"/>
  <c r="Q250" i="2"/>
  <c r="Q249" i="2"/>
  <c r="Q248" i="2"/>
  <c r="Q247" i="2"/>
  <c r="Q246" i="2"/>
  <c r="Q245" i="2"/>
  <c r="Q244" i="2"/>
  <c r="Q243" i="2"/>
  <c r="Q242" i="2"/>
  <c r="Q241" i="2"/>
  <c r="Q240" i="2"/>
  <c r="Q239" i="2"/>
  <c r="Q238" i="2"/>
  <c r="Q237" i="2"/>
  <c r="Q236" i="2"/>
  <c r="Q235" i="2"/>
  <c r="Q234" i="2"/>
  <c r="Q233" i="2"/>
  <c r="Q232" i="2"/>
  <c r="Q231" i="2"/>
  <c r="Q230" i="2"/>
  <c r="Q229" i="2"/>
  <c r="Q228" i="2"/>
  <c r="Q227" i="2"/>
  <c r="Q226" i="2"/>
  <c r="Q225" i="2"/>
  <c r="Q224" i="2"/>
  <c r="Q223" i="2"/>
  <c r="Q222" i="2"/>
  <c r="Q221" i="2"/>
  <c r="Q220" i="2"/>
  <c r="Q219" i="2"/>
  <c r="Q218" i="2"/>
  <c r="Q217" i="2"/>
  <c r="Q216" i="2"/>
  <c r="Q215" i="2"/>
  <c r="Q214" i="2"/>
  <c r="Q213" i="2"/>
  <c r="Q212" i="2"/>
  <c r="Q211" i="2"/>
  <c r="Q210" i="2"/>
  <c r="Q209" i="2"/>
  <c r="Q208" i="2"/>
  <c r="Q207" i="2"/>
  <c r="Q206" i="2"/>
  <c r="Q205" i="2"/>
  <c r="Q204" i="2"/>
  <c r="Q203" i="2"/>
  <c r="Q202" i="2"/>
  <c r="Q201" i="2"/>
  <c r="Q200" i="2"/>
  <c r="Q199" i="2"/>
  <c r="Q198" i="2"/>
  <c r="Q197" i="2"/>
  <c r="Q196" i="2"/>
  <c r="Q195" i="2"/>
  <c r="Q194" i="2"/>
  <c r="Q193" i="2"/>
  <c r="Q192" i="2"/>
  <c r="Q191" i="2"/>
  <c r="Q190" i="2"/>
  <c r="Q189" i="2"/>
  <c r="Q188" i="2"/>
  <c r="Q187" i="2"/>
  <c r="Q186" i="2"/>
  <c r="Q185" i="2"/>
  <c r="Q184" i="2"/>
  <c r="Q183" i="2"/>
  <c r="Q182" i="2"/>
  <c r="Q181" i="2"/>
  <c r="Q180" i="2"/>
  <c r="Q179" i="2"/>
  <c r="Q178" i="2"/>
  <c r="Q177" i="2"/>
  <c r="Q176" i="2"/>
  <c r="Q175" i="2"/>
  <c r="Q174" i="2"/>
  <c r="Q173" i="2"/>
  <c r="Q172" i="2"/>
  <c r="Q171" i="2"/>
  <c r="Q170" i="2"/>
  <c r="Q169" i="2"/>
  <c r="Q168" i="2"/>
  <c r="Q167" i="2"/>
  <c r="Q166" i="2"/>
  <c r="Q165" i="2"/>
  <c r="Q164" i="2"/>
  <c r="Q163" i="2"/>
  <c r="Q162" i="2"/>
  <c r="Q161" i="2"/>
  <c r="Q160" i="2"/>
  <c r="Q159" i="2"/>
  <c r="Q158" i="2"/>
  <c r="Q157" i="2"/>
  <c r="Q156" i="2"/>
  <c r="Q155" i="2"/>
  <c r="Q154" i="2"/>
  <c r="Q153" i="2"/>
  <c r="Q152" i="2"/>
  <c r="Q151" i="2"/>
  <c r="Q150" i="2"/>
  <c r="Q149" i="2"/>
  <c r="Q148" i="2"/>
  <c r="Q147" i="2"/>
  <c r="Q146" i="2"/>
  <c r="Q145" i="2"/>
  <c r="Q144" i="2"/>
  <c r="Q143" i="2"/>
  <c r="Q142" i="2"/>
  <c r="Q141" i="2"/>
  <c r="Q140" i="2"/>
  <c r="Q139" i="2"/>
  <c r="Q138" i="2"/>
  <c r="Q137" i="2"/>
  <c r="Q136" i="2"/>
  <c r="Q135" i="2"/>
  <c r="Q134" i="2"/>
  <c r="Q133" i="2"/>
  <c r="Q132" i="2"/>
  <c r="Q131" i="2"/>
  <c r="Q130" i="2"/>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Q1" i="2"/>
  <c r="P1754" i="2"/>
  <c r="P1753" i="2"/>
  <c r="P1752" i="2"/>
  <c r="P1751" i="2"/>
  <c r="P1750" i="2"/>
  <c r="P1749" i="2"/>
  <c r="P1748" i="2"/>
  <c r="P1747" i="2"/>
  <c r="P1746" i="2"/>
  <c r="P1745" i="2"/>
  <c r="P1744" i="2"/>
  <c r="P1743" i="2"/>
  <c r="P1742" i="2"/>
  <c r="P1741" i="2"/>
  <c r="P1740" i="2"/>
  <c r="P1739" i="2"/>
  <c r="P1738" i="2"/>
  <c r="P1737" i="2"/>
  <c r="P1736" i="2"/>
  <c r="P1735" i="2"/>
  <c r="P1734" i="2"/>
  <c r="P1733" i="2"/>
  <c r="P1732" i="2"/>
  <c r="P1731" i="2"/>
  <c r="P1730" i="2"/>
  <c r="P1729" i="2"/>
  <c r="P1728" i="2"/>
  <c r="P1727" i="2"/>
  <c r="P1726" i="2"/>
  <c r="P1725" i="2"/>
  <c r="P1724" i="2"/>
  <c r="P1723" i="2"/>
  <c r="P1722" i="2"/>
  <c r="P1721" i="2"/>
  <c r="P1720" i="2"/>
  <c r="P1719" i="2"/>
  <c r="P1718" i="2"/>
  <c r="P1717" i="2"/>
  <c r="P1716" i="2"/>
  <c r="P1715" i="2"/>
  <c r="P1714" i="2"/>
  <c r="P1713" i="2"/>
  <c r="P1712" i="2"/>
  <c r="P1711" i="2"/>
  <c r="P1710" i="2"/>
  <c r="P1709" i="2"/>
  <c r="P1708" i="2"/>
  <c r="P1707" i="2"/>
  <c r="P1706" i="2"/>
  <c r="P1705" i="2"/>
  <c r="P1704" i="2"/>
  <c r="P1703" i="2"/>
  <c r="P1702" i="2"/>
  <c r="P1701" i="2"/>
  <c r="P1700" i="2"/>
  <c r="P1699" i="2"/>
  <c r="P1698" i="2"/>
  <c r="P1697" i="2"/>
  <c r="P1696" i="2"/>
  <c r="P1695" i="2"/>
  <c r="P1694" i="2"/>
  <c r="P1693" i="2"/>
  <c r="P1692" i="2"/>
  <c r="P1691" i="2"/>
  <c r="P1690" i="2"/>
  <c r="P1689" i="2"/>
  <c r="P1688" i="2"/>
  <c r="P1687" i="2"/>
  <c r="P1686" i="2"/>
  <c r="P1685" i="2"/>
  <c r="P1684" i="2"/>
  <c r="P1683" i="2"/>
  <c r="P1682" i="2"/>
  <c r="P1681" i="2"/>
  <c r="P1680" i="2"/>
  <c r="P1679" i="2"/>
  <c r="P1678" i="2"/>
  <c r="P1677" i="2"/>
  <c r="P1676" i="2"/>
  <c r="P1675" i="2"/>
  <c r="P1674" i="2"/>
  <c r="P1673" i="2"/>
  <c r="P1672" i="2"/>
  <c r="P1671" i="2"/>
  <c r="P1670" i="2"/>
  <c r="P1669" i="2"/>
  <c r="P1668" i="2"/>
  <c r="P1667" i="2"/>
  <c r="P1666" i="2"/>
  <c r="P1665" i="2"/>
  <c r="P1664" i="2"/>
  <c r="P1663" i="2"/>
  <c r="P1662" i="2"/>
  <c r="P1661" i="2"/>
  <c r="P1660" i="2"/>
  <c r="P1659" i="2"/>
  <c r="P1658" i="2"/>
  <c r="P1657" i="2"/>
  <c r="P1656" i="2"/>
  <c r="P1655" i="2"/>
  <c r="P1654" i="2"/>
  <c r="P1653" i="2"/>
  <c r="P1652" i="2"/>
  <c r="P1651" i="2"/>
  <c r="P1650" i="2"/>
  <c r="P1649" i="2"/>
  <c r="P1648" i="2"/>
  <c r="P1647" i="2"/>
  <c r="P1646" i="2"/>
  <c r="P1645" i="2"/>
  <c r="P1644" i="2"/>
  <c r="P1643" i="2"/>
  <c r="P1642" i="2"/>
  <c r="P1641" i="2"/>
  <c r="P1640" i="2"/>
  <c r="P1639" i="2"/>
  <c r="P1638" i="2"/>
  <c r="P1637" i="2"/>
  <c r="P1636" i="2"/>
  <c r="P1635" i="2"/>
  <c r="P1634" i="2"/>
  <c r="P1633" i="2"/>
  <c r="P1632" i="2"/>
  <c r="P1631" i="2"/>
  <c r="P1630" i="2"/>
  <c r="P1629" i="2"/>
  <c r="P1628" i="2"/>
  <c r="P1627" i="2"/>
  <c r="P1626" i="2"/>
  <c r="P1625" i="2"/>
  <c r="P1624" i="2"/>
  <c r="P1623" i="2"/>
  <c r="P1622" i="2"/>
  <c r="P1621" i="2"/>
  <c r="P1620" i="2"/>
  <c r="P1619" i="2"/>
  <c r="P1618" i="2"/>
  <c r="P1617" i="2"/>
  <c r="P1616" i="2"/>
  <c r="P1615" i="2"/>
  <c r="P1614" i="2"/>
  <c r="P1613" i="2"/>
  <c r="P1612" i="2"/>
  <c r="P1611" i="2"/>
  <c r="P1610" i="2"/>
  <c r="P1609" i="2"/>
  <c r="P1608" i="2"/>
  <c r="P1607" i="2"/>
  <c r="P1606" i="2"/>
  <c r="P1605" i="2"/>
  <c r="P1604" i="2"/>
  <c r="P1603" i="2"/>
  <c r="P1602" i="2"/>
  <c r="P1601" i="2"/>
  <c r="P1600" i="2"/>
  <c r="P1599" i="2"/>
  <c r="P1598" i="2"/>
  <c r="P1597" i="2"/>
  <c r="P1596" i="2"/>
  <c r="P1595" i="2"/>
  <c r="P1594" i="2"/>
  <c r="P1593" i="2"/>
  <c r="P1592" i="2"/>
  <c r="P1591" i="2"/>
  <c r="P1590" i="2"/>
  <c r="P1589" i="2"/>
  <c r="P1588" i="2"/>
  <c r="P1587" i="2"/>
  <c r="P1586" i="2"/>
  <c r="P1585" i="2"/>
  <c r="P1584" i="2"/>
  <c r="P1583" i="2"/>
  <c r="P1582" i="2"/>
  <c r="P1581" i="2"/>
  <c r="P1580" i="2"/>
  <c r="P1579" i="2"/>
  <c r="P1578" i="2"/>
  <c r="P1577" i="2"/>
  <c r="P1576" i="2"/>
  <c r="P1575" i="2"/>
  <c r="P1574" i="2"/>
  <c r="P1573" i="2"/>
  <c r="P1572" i="2"/>
  <c r="P1571" i="2"/>
  <c r="P1570" i="2"/>
  <c r="P1569" i="2"/>
  <c r="P1568" i="2"/>
  <c r="P1567" i="2"/>
  <c r="P1566" i="2"/>
  <c r="P1565" i="2"/>
  <c r="P1564" i="2"/>
  <c r="P1563" i="2"/>
  <c r="P1562" i="2"/>
  <c r="P1561" i="2"/>
  <c r="P1560" i="2"/>
  <c r="P1559" i="2"/>
  <c r="P1558" i="2"/>
  <c r="P1557" i="2"/>
  <c r="P1556" i="2"/>
  <c r="P1555" i="2"/>
  <c r="P1554" i="2"/>
  <c r="P1553" i="2"/>
  <c r="P1552" i="2"/>
  <c r="P1551" i="2"/>
  <c r="P1550" i="2"/>
  <c r="P1549" i="2"/>
  <c r="P1548" i="2"/>
  <c r="P1547" i="2"/>
  <c r="P1546" i="2"/>
  <c r="P1545" i="2"/>
  <c r="P1544" i="2"/>
  <c r="P1543" i="2"/>
  <c r="P1542" i="2"/>
  <c r="P1541" i="2"/>
  <c r="P1540" i="2"/>
  <c r="P1539" i="2"/>
  <c r="P1538" i="2"/>
  <c r="P1537" i="2"/>
  <c r="P1536" i="2"/>
  <c r="P1535" i="2"/>
  <c r="P1534" i="2"/>
  <c r="P1533" i="2"/>
  <c r="P1532" i="2"/>
  <c r="P1531" i="2"/>
  <c r="P1530" i="2"/>
  <c r="P1529" i="2"/>
  <c r="P1528" i="2"/>
  <c r="P1527" i="2"/>
  <c r="P1526" i="2"/>
  <c r="P1525" i="2"/>
  <c r="P1524" i="2"/>
  <c r="P1523" i="2"/>
  <c r="P1522" i="2"/>
  <c r="P1521" i="2"/>
  <c r="P1520" i="2"/>
  <c r="P1519" i="2"/>
  <c r="P1518" i="2"/>
  <c r="P1517" i="2"/>
  <c r="P1516" i="2"/>
  <c r="P1515" i="2"/>
  <c r="P1514" i="2"/>
  <c r="P1513" i="2"/>
  <c r="P1512" i="2"/>
  <c r="P1511" i="2"/>
  <c r="P1510" i="2"/>
  <c r="P1509" i="2"/>
  <c r="P1508" i="2"/>
  <c r="P1507" i="2"/>
  <c r="P1506" i="2"/>
  <c r="P1505" i="2"/>
  <c r="P1504" i="2"/>
  <c r="P1503" i="2"/>
  <c r="P1502" i="2"/>
  <c r="P1501" i="2"/>
  <c r="P1500" i="2"/>
  <c r="P1499" i="2"/>
  <c r="P1498" i="2"/>
  <c r="P1497" i="2"/>
  <c r="P1496" i="2"/>
  <c r="P1495" i="2"/>
  <c r="P1494" i="2"/>
  <c r="P1493" i="2"/>
  <c r="P1492" i="2"/>
  <c r="P1491" i="2"/>
  <c r="P1490" i="2"/>
  <c r="P1489" i="2"/>
  <c r="P1488" i="2"/>
  <c r="P1487" i="2"/>
  <c r="P1486" i="2"/>
  <c r="P1485" i="2"/>
  <c r="P1484" i="2"/>
  <c r="P1483" i="2"/>
  <c r="P1482" i="2"/>
  <c r="P1481" i="2"/>
  <c r="P1480" i="2"/>
  <c r="P1479" i="2"/>
  <c r="P1478" i="2"/>
  <c r="P1477" i="2"/>
  <c r="P1476" i="2"/>
  <c r="P1475" i="2"/>
  <c r="P1474" i="2"/>
  <c r="P1473" i="2"/>
  <c r="P1472" i="2"/>
  <c r="P1471" i="2"/>
  <c r="P1470" i="2"/>
  <c r="P1469" i="2"/>
  <c r="P1468" i="2"/>
  <c r="P1467" i="2"/>
  <c r="P1466" i="2"/>
  <c r="P1465" i="2"/>
  <c r="P1464" i="2"/>
  <c r="P1463" i="2"/>
  <c r="P1462" i="2"/>
  <c r="P1461" i="2"/>
  <c r="P1460" i="2"/>
  <c r="P1459" i="2"/>
  <c r="P1458" i="2"/>
  <c r="P1457" i="2"/>
  <c r="P1456" i="2"/>
  <c r="P1455" i="2"/>
  <c r="P1454" i="2"/>
  <c r="P1453" i="2"/>
  <c r="P1452" i="2"/>
  <c r="P1451" i="2"/>
  <c r="P1450" i="2"/>
  <c r="P1449" i="2"/>
  <c r="P1448" i="2"/>
  <c r="P1447" i="2"/>
  <c r="P1446" i="2"/>
  <c r="P1445" i="2"/>
  <c r="P1444" i="2"/>
  <c r="P1443" i="2"/>
  <c r="P1442" i="2"/>
  <c r="P1441" i="2"/>
  <c r="P1440" i="2"/>
  <c r="P1439" i="2"/>
  <c r="P1438" i="2"/>
  <c r="P1437" i="2"/>
  <c r="P1436" i="2"/>
  <c r="P1435" i="2"/>
  <c r="P1434" i="2"/>
  <c r="P1433" i="2"/>
  <c r="P1432" i="2"/>
  <c r="P1431" i="2"/>
  <c r="P1430" i="2"/>
  <c r="P1429" i="2"/>
  <c r="P1428" i="2"/>
  <c r="P1427" i="2"/>
  <c r="P1426" i="2"/>
  <c r="P1425" i="2"/>
  <c r="P1424" i="2"/>
  <c r="P1423" i="2"/>
  <c r="P1422" i="2"/>
  <c r="P1421" i="2"/>
  <c r="P1420" i="2"/>
  <c r="P1419" i="2"/>
  <c r="P1418" i="2"/>
  <c r="P1417" i="2"/>
  <c r="P1416" i="2"/>
  <c r="P1415" i="2"/>
  <c r="P1414" i="2"/>
  <c r="P1413" i="2"/>
  <c r="P1412" i="2"/>
  <c r="P1411" i="2"/>
  <c r="P1410" i="2"/>
  <c r="P1409" i="2"/>
  <c r="P1408" i="2"/>
  <c r="P1407" i="2"/>
  <c r="P1406" i="2"/>
  <c r="P1405" i="2"/>
  <c r="P1404" i="2"/>
  <c r="P1403" i="2"/>
  <c r="P1402" i="2"/>
  <c r="P1401" i="2"/>
  <c r="P1400" i="2"/>
  <c r="P1399" i="2"/>
  <c r="P1398" i="2"/>
  <c r="P1397" i="2"/>
  <c r="P1396" i="2"/>
  <c r="P1395" i="2"/>
  <c r="P1394" i="2"/>
  <c r="P1393" i="2"/>
  <c r="P1392" i="2"/>
  <c r="P1391" i="2"/>
  <c r="P1390" i="2"/>
  <c r="P1389" i="2"/>
  <c r="P1388" i="2"/>
  <c r="P1387" i="2"/>
  <c r="P1386" i="2"/>
  <c r="P1385" i="2"/>
  <c r="P1384" i="2"/>
  <c r="P1383" i="2"/>
  <c r="P1382" i="2"/>
  <c r="P1381" i="2"/>
  <c r="P1380" i="2"/>
  <c r="P1379" i="2"/>
  <c r="P1378" i="2"/>
  <c r="P1377" i="2"/>
  <c r="P1376" i="2"/>
  <c r="P1375" i="2"/>
  <c r="P1374" i="2"/>
  <c r="P1373" i="2"/>
  <c r="P1372" i="2"/>
  <c r="P1371" i="2"/>
  <c r="P1370" i="2"/>
  <c r="P1369" i="2"/>
  <c r="P1368" i="2"/>
  <c r="P1367" i="2"/>
  <c r="P1366" i="2"/>
  <c r="P1365" i="2"/>
  <c r="P1364" i="2"/>
  <c r="P1363" i="2"/>
  <c r="P1362" i="2"/>
  <c r="P1361" i="2"/>
  <c r="P1360" i="2"/>
  <c r="P1359" i="2"/>
  <c r="P1358" i="2"/>
  <c r="P1357" i="2"/>
  <c r="P1356" i="2"/>
  <c r="P1355" i="2"/>
  <c r="P1354" i="2"/>
  <c r="P1353" i="2"/>
  <c r="P1352" i="2"/>
  <c r="P1351" i="2"/>
  <c r="P1350" i="2"/>
  <c r="P1349" i="2"/>
  <c r="P1348" i="2"/>
  <c r="P1347" i="2"/>
  <c r="P1346" i="2"/>
  <c r="P1345" i="2"/>
  <c r="P1344" i="2"/>
  <c r="P1343" i="2"/>
  <c r="P1342" i="2"/>
  <c r="P1341" i="2"/>
  <c r="P1340" i="2"/>
  <c r="P1339" i="2"/>
  <c r="P1338" i="2"/>
  <c r="P1337" i="2"/>
  <c r="P1336" i="2"/>
  <c r="P1335" i="2"/>
  <c r="P1334" i="2"/>
  <c r="P1333" i="2"/>
  <c r="P1332" i="2"/>
  <c r="P1331" i="2"/>
  <c r="P1330" i="2"/>
  <c r="P1329" i="2"/>
  <c r="P1328" i="2"/>
  <c r="P1327" i="2"/>
  <c r="P1326" i="2"/>
  <c r="P1325" i="2"/>
  <c r="P1324" i="2"/>
  <c r="P1323" i="2"/>
  <c r="P1322" i="2"/>
  <c r="P1321" i="2"/>
  <c r="P1320" i="2"/>
  <c r="P1319" i="2"/>
  <c r="P1318" i="2"/>
  <c r="P1317" i="2"/>
  <c r="P1316" i="2"/>
  <c r="P1315" i="2"/>
  <c r="P1314" i="2"/>
  <c r="P1313" i="2"/>
  <c r="P1312" i="2"/>
  <c r="P1311" i="2"/>
  <c r="P1310" i="2"/>
  <c r="P1309" i="2"/>
  <c r="P1308" i="2"/>
  <c r="P1307" i="2"/>
  <c r="P1306" i="2"/>
  <c r="P1305" i="2"/>
  <c r="P1304" i="2"/>
  <c r="P1303" i="2"/>
  <c r="P1302" i="2"/>
  <c r="P1301" i="2"/>
  <c r="P1300" i="2"/>
  <c r="P1299" i="2"/>
  <c r="P1298" i="2"/>
  <c r="P1297" i="2"/>
  <c r="P1296" i="2"/>
  <c r="P1295" i="2"/>
  <c r="P1294" i="2"/>
  <c r="P1293" i="2"/>
  <c r="P1292" i="2"/>
  <c r="P1291" i="2"/>
  <c r="P1290" i="2"/>
  <c r="P1289" i="2"/>
  <c r="P1288" i="2"/>
  <c r="P1287" i="2"/>
  <c r="P1286" i="2"/>
  <c r="P1285" i="2"/>
  <c r="P1284" i="2"/>
  <c r="P1283" i="2"/>
  <c r="P1282" i="2"/>
  <c r="P1281" i="2"/>
  <c r="P1280" i="2"/>
  <c r="P1279" i="2"/>
  <c r="P1278" i="2"/>
  <c r="P1277" i="2"/>
  <c r="P1276" i="2"/>
  <c r="P1275" i="2"/>
  <c r="P1274" i="2"/>
  <c r="P1273" i="2"/>
  <c r="P1272" i="2"/>
  <c r="P1271" i="2"/>
  <c r="P1270" i="2"/>
  <c r="P1269" i="2"/>
  <c r="P1268" i="2"/>
  <c r="P1267" i="2"/>
  <c r="P1266" i="2"/>
  <c r="P1265" i="2"/>
  <c r="P1264" i="2"/>
  <c r="P1263" i="2"/>
  <c r="P1262" i="2"/>
  <c r="P1261" i="2"/>
  <c r="P1260" i="2"/>
  <c r="P1259" i="2"/>
  <c r="P1258" i="2"/>
  <c r="P1257" i="2"/>
  <c r="P1256" i="2"/>
  <c r="P1255" i="2"/>
  <c r="P1254" i="2"/>
  <c r="P1253" i="2"/>
  <c r="P1252" i="2"/>
  <c r="P1251" i="2"/>
  <c r="P1250" i="2"/>
  <c r="P1249" i="2"/>
  <c r="P1248" i="2"/>
  <c r="P1247" i="2"/>
  <c r="P1246" i="2"/>
  <c r="P1245" i="2"/>
  <c r="P1244" i="2"/>
  <c r="P1243" i="2"/>
  <c r="P1242" i="2"/>
  <c r="P1241" i="2"/>
  <c r="P1240" i="2"/>
  <c r="P1239" i="2"/>
  <c r="P1238" i="2"/>
  <c r="P1237" i="2"/>
  <c r="P1236" i="2"/>
  <c r="P1235" i="2"/>
  <c r="P1234" i="2"/>
  <c r="P1233" i="2"/>
  <c r="P1232" i="2"/>
  <c r="P1231" i="2"/>
  <c r="P1230" i="2"/>
  <c r="P1229" i="2"/>
  <c r="P1228" i="2"/>
  <c r="P1227" i="2"/>
  <c r="P1226" i="2"/>
  <c r="P1225" i="2"/>
  <c r="P1224" i="2"/>
  <c r="P1223" i="2"/>
  <c r="P1222" i="2"/>
  <c r="P1221" i="2"/>
  <c r="P1220" i="2"/>
  <c r="P1219" i="2"/>
  <c r="P1218" i="2"/>
  <c r="P1217" i="2"/>
  <c r="P1216" i="2"/>
  <c r="P1215" i="2"/>
  <c r="P1214" i="2"/>
  <c r="P1213" i="2"/>
  <c r="P1212" i="2"/>
  <c r="P1211" i="2"/>
  <c r="P1210" i="2"/>
  <c r="P1209" i="2"/>
  <c r="P1208" i="2"/>
  <c r="P1207" i="2"/>
  <c r="P1206" i="2"/>
  <c r="P1205" i="2"/>
  <c r="P1204" i="2"/>
  <c r="P1203" i="2"/>
  <c r="P1202" i="2"/>
  <c r="P1201" i="2"/>
  <c r="P1200" i="2"/>
  <c r="P1199" i="2"/>
  <c r="P1198" i="2"/>
  <c r="P1197" i="2"/>
  <c r="P1196" i="2"/>
  <c r="P1195" i="2"/>
  <c r="P1194" i="2"/>
  <c r="P1193" i="2"/>
  <c r="P1192" i="2"/>
  <c r="P1191" i="2"/>
  <c r="P1190" i="2"/>
  <c r="P1189" i="2"/>
  <c r="P1188" i="2"/>
  <c r="P1187" i="2"/>
  <c r="P1186" i="2"/>
  <c r="P1185" i="2"/>
  <c r="P1184" i="2"/>
  <c r="P1183" i="2"/>
  <c r="P1182" i="2"/>
  <c r="P1181" i="2"/>
  <c r="P1180" i="2"/>
  <c r="P1179" i="2"/>
  <c r="P1178" i="2"/>
  <c r="P1177" i="2"/>
  <c r="P1176" i="2"/>
  <c r="P1175" i="2"/>
  <c r="P1174" i="2"/>
  <c r="P1173" i="2"/>
  <c r="P1172" i="2"/>
  <c r="P1171" i="2"/>
  <c r="P1170" i="2"/>
  <c r="P1169" i="2"/>
  <c r="P1168" i="2"/>
  <c r="P1167" i="2"/>
  <c r="P1166" i="2"/>
  <c r="P1165" i="2"/>
  <c r="P1164" i="2"/>
  <c r="P1163" i="2"/>
  <c r="P1162" i="2"/>
  <c r="P1161" i="2"/>
  <c r="P1160" i="2"/>
  <c r="P1159" i="2"/>
  <c r="P1158" i="2"/>
  <c r="P1157" i="2"/>
  <c r="P1156" i="2"/>
  <c r="P1155" i="2"/>
  <c r="P1154" i="2"/>
  <c r="P1153" i="2"/>
  <c r="P1152" i="2"/>
  <c r="P1151" i="2"/>
  <c r="P1150" i="2"/>
  <c r="P1149" i="2"/>
  <c r="P1148" i="2"/>
  <c r="P1147" i="2"/>
  <c r="P1146" i="2"/>
  <c r="P1145" i="2"/>
  <c r="P1144" i="2"/>
  <c r="P1143" i="2"/>
  <c r="P1142" i="2"/>
  <c r="P1141" i="2"/>
  <c r="P1140" i="2"/>
  <c r="P1139" i="2"/>
  <c r="P1138" i="2"/>
  <c r="P1137" i="2"/>
  <c r="P1136" i="2"/>
  <c r="P1135" i="2"/>
  <c r="P1134" i="2"/>
  <c r="P1133" i="2"/>
  <c r="P1132" i="2"/>
  <c r="P1131" i="2"/>
  <c r="P1130" i="2"/>
  <c r="P1129" i="2"/>
  <c r="P1128" i="2"/>
  <c r="P1127" i="2"/>
  <c r="P1126" i="2"/>
  <c r="P1125" i="2"/>
  <c r="P1124" i="2"/>
  <c r="P1123" i="2"/>
  <c r="P1122" i="2"/>
  <c r="P1121" i="2"/>
  <c r="P1120" i="2"/>
  <c r="P1119" i="2"/>
  <c r="P1118" i="2"/>
  <c r="P1117" i="2"/>
  <c r="P1116" i="2"/>
  <c r="P1115" i="2"/>
  <c r="P1114" i="2"/>
  <c r="P1113" i="2"/>
  <c r="P1112" i="2"/>
  <c r="P1111" i="2"/>
  <c r="P1110" i="2"/>
  <c r="P1109" i="2"/>
  <c r="P1108" i="2"/>
  <c r="P1107" i="2"/>
  <c r="P1106" i="2"/>
  <c r="P1105" i="2"/>
  <c r="P1104" i="2"/>
  <c r="P1103" i="2"/>
  <c r="P1102" i="2"/>
  <c r="P1101" i="2"/>
  <c r="P1100" i="2"/>
  <c r="P1099" i="2"/>
  <c r="P1098" i="2"/>
  <c r="P1097" i="2"/>
  <c r="P1096" i="2"/>
  <c r="P1095" i="2"/>
  <c r="P1094" i="2"/>
  <c r="P1093" i="2"/>
  <c r="P1092" i="2"/>
  <c r="P1091" i="2"/>
  <c r="P1090" i="2"/>
  <c r="P1089" i="2"/>
  <c r="P1088" i="2"/>
  <c r="P1087" i="2"/>
  <c r="P1086" i="2"/>
  <c r="P1085" i="2"/>
  <c r="P1084" i="2"/>
  <c r="P1083" i="2"/>
  <c r="P1082" i="2"/>
  <c r="P1081" i="2"/>
  <c r="P1080" i="2"/>
  <c r="P1079" i="2"/>
  <c r="P1078" i="2"/>
  <c r="P1077" i="2"/>
  <c r="P1076" i="2"/>
  <c r="P1075" i="2"/>
  <c r="P1074" i="2"/>
  <c r="P1073" i="2"/>
  <c r="P1072" i="2"/>
  <c r="P1071" i="2"/>
  <c r="P1070" i="2"/>
  <c r="P1069" i="2"/>
  <c r="P1068" i="2"/>
  <c r="P1067" i="2"/>
  <c r="P1066" i="2"/>
  <c r="P1065" i="2"/>
  <c r="P1064" i="2"/>
  <c r="P1063" i="2"/>
  <c r="P1062" i="2"/>
  <c r="P1061" i="2"/>
  <c r="P1060" i="2"/>
  <c r="P1059" i="2"/>
  <c r="P1058" i="2"/>
  <c r="P1057" i="2"/>
  <c r="P1056" i="2"/>
  <c r="P1055" i="2"/>
  <c r="P1054" i="2"/>
  <c r="P1053" i="2"/>
  <c r="P1052" i="2"/>
  <c r="P1051" i="2"/>
  <c r="P1050" i="2"/>
  <c r="P1049" i="2"/>
  <c r="P1048" i="2"/>
  <c r="P1047" i="2"/>
  <c r="P1046" i="2"/>
  <c r="P1045" i="2"/>
  <c r="P1044" i="2"/>
  <c r="P1043" i="2"/>
  <c r="P1042" i="2"/>
  <c r="P1041" i="2"/>
  <c r="P1040" i="2"/>
  <c r="P1039" i="2"/>
  <c r="P1038" i="2"/>
  <c r="P1037" i="2"/>
  <c r="P1036" i="2"/>
  <c r="P1035" i="2"/>
  <c r="P1034" i="2"/>
  <c r="P1033" i="2"/>
  <c r="P1032" i="2"/>
  <c r="P1031" i="2"/>
  <c r="P1030" i="2"/>
  <c r="P1029" i="2"/>
  <c r="P1028" i="2"/>
  <c r="P1027" i="2"/>
  <c r="P1026" i="2"/>
  <c r="P1025" i="2"/>
  <c r="P1024" i="2"/>
  <c r="P1023" i="2"/>
  <c r="P1022" i="2"/>
  <c r="P1021" i="2"/>
  <c r="P1020" i="2"/>
  <c r="P1019" i="2"/>
  <c r="P1018" i="2"/>
  <c r="P1017" i="2"/>
  <c r="P1016" i="2"/>
  <c r="P1015" i="2"/>
  <c r="P1014" i="2"/>
  <c r="P1013" i="2"/>
  <c r="P1012" i="2"/>
  <c r="P1011" i="2"/>
  <c r="P1010" i="2"/>
  <c r="P1009" i="2"/>
  <c r="P1008" i="2"/>
  <c r="P1007" i="2"/>
  <c r="P1006" i="2"/>
  <c r="P1005" i="2"/>
  <c r="P1004" i="2"/>
  <c r="P1003" i="2"/>
  <c r="P1002" i="2"/>
  <c r="P1001" i="2"/>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1" i="2"/>
  <c r="P1" i="1"/>
  <c r="P1448" i="1"/>
  <c r="P803" i="1"/>
  <c r="P700" i="1"/>
  <c r="P513" i="1"/>
  <c r="P1461" i="1"/>
  <c r="P1348" i="1"/>
  <c r="P1315" i="1"/>
  <c r="P1304" i="1"/>
  <c r="P1260" i="1"/>
  <c r="P1048" i="1"/>
  <c r="P940" i="1"/>
  <c r="P913" i="1"/>
  <c r="P887" i="1"/>
  <c r="P761" i="1"/>
  <c r="P670" i="1"/>
  <c r="P599" i="1"/>
  <c r="P548" i="1"/>
  <c r="P485" i="1"/>
  <c r="P364" i="1"/>
  <c r="P220" i="1"/>
  <c r="P194" i="1"/>
  <c r="P1675" i="1"/>
  <c r="P1580" i="1"/>
  <c r="P1556" i="1"/>
  <c r="P1530" i="1"/>
  <c r="P1499" i="1"/>
  <c r="P1488" i="1"/>
  <c r="P1442" i="1"/>
  <c r="P1338" i="1"/>
  <c r="P1258" i="1"/>
  <c r="P1221" i="1"/>
  <c r="P1201" i="1"/>
  <c r="P1196" i="1"/>
  <c r="P1180" i="1"/>
  <c r="P1176" i="1"/>
  <c r="P1152" i="1"/>
  <c r="P1095" i="1"/>
  <c r="P1093" i="1"/>
  <c r="P1087" i="1"/>
  <c r="P1065" i="1"/>
  <c r="P1014" i="1"/>
  <c r="P876" i="1"/>
  <c r="P860" i="1"/>
  <c r="P821" i="1"/>
  <c r="P770" i="1"/>
  <c r="P661" i="1"/>
  <c r="P642" i="1"/>
  <c r="P625" i="1"/>
  <c r="P600" i="1"/>
  <c r="P552" i="1"/>
  <c r="P550" i="1"/>
  <c r="P492" i="1"/>
  <c r="P482" i="1"/>
  <c r="P408" i="1"/>
  <c r="P368" i="1"/>
  <c r="P355" i="1"/>
  <c r="P353" i="1"/>
  <c r="P350" i="1"/>
  <c r="P84" i="1"/>
  <c r="P16" i="1"/>
  <c r="P1679" i="1"/>
  <c r="P1653" i="1"/>
  <c r="P1534" i="1"/>
  <c r="P1520" i="1"/>
  <c r="P1516" i="1"/>
  <c r="P1502" i="1"/>
  <c r="P1464" i="1"/>
  <c r="P1460" i="1"/>
  <c r="P1413" i="1"/>
  <c r="P1404" i="1"/>
  <c r="P1359" i="1"/>
  <c r="P1336" i="1"/>
  <c r="P1332" i="1"/>
  <c r="P1325" i="1"/>
  <c r="P1282" i="1"/>
  <c r="P1031" i="1"/>
  <c r="P995" i="1"/>
  <c r="P989" i="1"/>
  <c r="P962" i="1"/>
  <c r="P914" i="1"/>
  <c r="P778" i="1"/>
  <c r="P749" i="1"/>
  <c r="P695" i="1"/>
  <c r="P678" i="1"/>
  <c r="P669" i="1"/>
  <c r="P660" i="1"/>
  <c r="P617" i="1"/>
  <c r="P607" i="1"/>
  <c r="P549" i="1"/>
  <c r="P541" i="1"/>
  <c r="P504" i="1"/>
  <c r="P497" i="1"/>
  <c r="P452" i="1"/>
  <c r="P435" i="1"/>
  <c r="P382" i="1"/>
  <c r="P348" i="1"/>
  <c r="P173" i="1"/>
  <c r="P145" i="1"/>
  <c r="P143" i="1"/>
  <c r="P66" i="1"/>
  <c r="P48" i="1"/>
  <c r="P1727" i="1"/>
  <c r="P1678" i="1"/>
  <c r="P1647" i="1"/>
  <c r="P1643" i="1"/>
  <c r="P1340" i="1"/>
  <c r="P1317" i="1"/>
  <c r="P1294" i="1"/>
  <c r="P1291" i="1"/>
  <c r="P1289" i="1"/>
  <c r="P1265" i="1"/>
  <c r="P1262" i="1"/>
  <c r="P1220" i="1"/>
  <c r="P1212" i="1"/>
  <c r="P1164" i="1"/>
  <c r="P1138" i="1"/>
  <c r="P1086" i="1"/>
  <c r="P1074" i="1"/>
  <c r="P1012" i="1"/>
  <c r="P980" i="1"/>
  <c r="P927" i="1"/>
  <c r="P884" i="1"/>
  <c r="P878" i="1"/>
  <c r="P871" i="1"/>
  <c r="P857" i="1"/>
  <c r="P855" i="1"/>
  <c r="P789" i="1"/>
  <c r="P772" i="1"/>
  <c r="P768" i="1"/>
  <c r="P747" i="1"/>
  <c r="P709" i="1"/>
  <c r="P688" i="1"/>
  <c r="P656" i="1"/>
  <c r="P588" i="1"/>
  <c r="P574" i="1"/>
  <c r="P551" i="1"/>
  <c r="P545" i="1"/>
  <c r="P531" i="1"/>
  <c r="P507" i="1"/>
  <c r="P484" i="1"/>
  <c r="P468" i="1"/>
  <c r="P264" i="1"/>
  <c r="P196" i="1"/>
  <c r="P168" i="1"/>
  <c r="P115" i="1"/>
  <c r="P110" i="1"/>
  <c r="P88" i="1"/>
  <c r="P55" i="1"/>
  <c r="P44" i="1"/>
  <c r="P2" i="1"/>
  <c r="P1472" i="1"/>
  <c r="P1431" i="1"/>
  <c r="P1366" i="1"/>
  <c r="P1011" i="1"/>
  <c r="P965" i="1"/>
  <c r="P664" i="1"/>
  <c r="P402" i="1"/>
  <c r="P383" i="1"/>
  <c r="P294" i="1"/>
  <c r="P200" i="1"/>
  <c r="P24" i="1"/>
  <c r="P1746" i="1"/>
  <c r="P1738" i="1"/>
  <c r="P1661" i="1"/>
  <c r="P1648" i="1"/>
  <c r="P1628" i="1"/>
  <c r="P1606" i="1"/>
  <c r="P1600" i="1"/>
  <c r="P1586" i="1"/>
  <c r="P1572" i="1"/>
  <c r="P1542" i="1"/>
  <c r="P1523" i="1"/>
  <c r="P1522" i="1"/>
  <c r="P1503" i="1"/>
  <c r="P1449" i="1"/>
  <c r="P1437" i="1"/>
  <c r="P1429" i="1"/>
  <c r="P1428" i="1"/>
  <c r="P1422" i="1"/>
  <c r="P1418" i="1"/>
  <c r="P1411" i="1"/>
  <c r="P1391" i="1"/>
  <c r="P1387" i="1"/>
  <c r="P1309" i="1"/>
  <c r="P1272" i="1"/>
  <c r="P1239" i="1"/>
  <c r="P1222" i="1"/>
  <c r="P1216" i="1"/>
  <c r="P1208" i="1"/>
  <c r="P1186" i="1"/>
  <c r="P1184" i="1"/>
  <c r="P1183" i="1"/>
  <c r="P1174" i="1"/>
  <c r="P1173" i="1"/>
  <c r="P1147" i="1"/>
  <c r="P1126" i="1"/>
  <c r="P1112" i="1"/>
  <c r="P1101" i="1"/>
  <c r="P1066" i="1"/>
  <c r="P1063" i="1"/>
  <c r="P1046" i="1"/>
  <c r="P1044" i="1"/>
  <c r="P1025" i="1"/>
  <c r="P1024" i="1"/>
  <c r="P1013" i="1"/>
  <c r="P1009" i="1"/>
  <c r="P1005" i="1"/>
  <c r="P1002" i="1"/>
  <c r="P986" i="1"/>
  <c r="P919" i="1"/>
  <c r="P908" i="1"/>
  <c r="P900" i="1"/>
  <c r="P885" i="1"/>
  <c r="P836" i="1"/>
  <c r="P816" i="1"/>
  <c r="P801" i="1"/>
  <c r="P796" i="1"/>
  <c r="P792" i="1"/>
  <c r="P745" i="1"/>
  <c r="P735" i="1"/>
  <c r="P722" i="1"/>
  <c r="P721" i="1"/>
  <c r="P706" i="1"/>
  <c r="P692" i="1"/>
  <c r="P685" i="1"/>
  <c r="P668" i="1"/>
  <c r="P667" i="1"/>
  <c r="P655" i="1"/>
  <c r="P647" i="1"/>
  <c r="P629" i="1"/>
  <c r="P627" i="1"/>
  <c r="P624" i="1"/>
  <c r="P609" i="1"/>
  <c r="P594" i="1"/>
  <c r="P581" i="1"/>
  <c r="P575" i="1"/>
  <c r="P572" i="1"/>
  <c r="P568" i="1"/>
  <c r="P567" i="1"/>
  <c r="P522" i="1"/>
  <c r="P514" i="1"/>
  <c r="P508" i="1"/>
  <c r="P479" i="1"/>
  <c r="P472" i="1"/>
  <c r="P461" i="1"/>
  <c r="P431" i="1"/>
  <c r="P421" i="1"/>
  <c r="P412" i="1"/>
  <c r="P407" i="1"/>
  <c r="P403" i="1"/>
  <c r="P401" i="1"/>
  <c r="P388" i="1"/>
  <c r="P384" i="1"/>
  <c r="P335" i="1"/>
  <c r="P332" i="1"/>
  <c r="P302" i="1"/>
  <c r="P295" i="1"/>
  <c r="P288" i="1"/>
  <c r="P245" i="1"/>
  <c r="P243" i="1"/>
  <c r="P241" i="1"/>
  <c r="P198" i="1"/>
  <c r="P195" i="1"/>
  <c r="P184" i="1"/>
  <c r="P171" i="1"/>
  <c r="P144" i="1"/>
  <c r="P133" i="1"/>
  <c r="P130" i="1"/>
  <c r="P112" i="1"/>
  <c r="P102" i="1"/>
  <c r="P96" i="1"/>
  <c r="P90" i="1"/>
  <c r="P89" i="1"/>
  <c r="P68" i="1"/>
  <c r="P63" i="1"/>
  <c r="P57" i="1"/>
  <c r="P54" i="1"/>
  <c r="P45" i="1"/>
  <c r="P40" i="1"/>
  <c r="P35" i="1"/>
  <c r="P32" i="1"/>
  <c r="P30" i="1"/>
  <c r="P21" i="1"/>
  <c r="P12" i="1"/>
  <c r="P11" i="1"/>
  <c r="P1752" i="1"/>
  <c r="P1733" i="1"/>
  <c r="P1732" i="1"/>
  <c r="P1725" i="1"/>
  <c r="P1722" i="1"/>
  <c r="P1719" i="1"/>
  <c r="P1714" i="1"/>
  <c r="P1707" i="1"/>
  <c r="P1701" i="1"/>
  <c r="P1695" i="1"/>
  <c r="P1693" i="1"/>
  <c r="P1691" i="1"/>
  <c r="P1669" i="1"/>
  <c r="P1660" i="1"/>
  <c r="P1658" i="1"/>
  <c r="P1657" i="1"/>
  <c r="P1656" i="1"/>
  <c r="P1652" i="1"/>
  <c r="P1645" i="1"/>
  <c r="P1640" i="1"/>
  <c r="P1639" i="1"/>
  <c r="P1632" i="1"/>
  <c r="P1629" i="1"/>
  <c r="P1624" i="1"/>
  <c r="P1601" i="1"/>
  <c r="P1597" i="1"/>
  <c r="P1590" i="1"/>
  <c r="P1555" i="1"/>
  <c r="P1545" i="1"/>
  <c r="P1544" i="1"/>
  <c r="P1543" i="1"/>
  <c r="P1536" i="1"/>
  <c r="P1529" i="1"/>
  <c r="P1521" i="1"/>
  <c r="P1518" i="1"/>
  <c r="P1517" i="1"/>
  <c r="P1515" i="1"/>
  <c r="P1507" i="1"/>
  <c r="P1489" i="1"/>
  <c r="P1486" i="1"/>
  <c r="P1484" i="1"/>
  <c r="P1470" i="1"/>
  <c r="P1469" i="1"/>
  <c r="P1467" i="1"/>
  <c r="P1466" i="1"/>
  <c r="P1463" i="1"/>
  <c r="P1462" i="1"/>
  <c r="P1450" i="1"/>
  <c r="P1441" i="1"/>
  <c r="P1439" i="1"/>
  <c r="P1434" i="1"/>
  <c r="P1433" i="1"/>
  <c r="P1432" i="1"/>
  <c r="P1426" i="1"/>
  <c r="P1417" i="1"/>
  <c r="P1415" i="1"/>
  <c r="P1409" i="1"/>
  <c r="P1408" i="1"/>
  <c r="P1405" i="1"/>
  <c r="P1399" i="1"/>
  <c r="P1385" i="1"/>
  <c r="P1382" i="1"/>
  <c r="P1379" i="1"/>
  <c r="P1376" i="1"/>
  <c r="P1365" i="1"/>
  <c r="P1362" i="1"/>
  <c r="P1346" i="1"/>
  <c r="P1345" i="1"/>
  <c r="P1342" i="1"/>
  <c r="P1334" i="1"/>
  <c r="P1330" i="1"/>
  <c r="P1312" i="1"/>
  <c r="P1300" i="1"/>
  <c r="P1297" i="1"/>
  <c r="P1278" i="1"/>
  <c r="P1276" i="1"/>
  <c r="P1268" i="1"/>
  <c r="P1264" i="1"/>
  <c r="P1259" i="1"/>
  <c r="P1257" i="1"/>
  <c r="P1246" i="1"/>
  <c r="P1243" i="1"/>
  <c r="P1236" i="1"/>
  <c r="P1233" i="1"/>
  <c r="P1230" i="1"/>
  <c r="P1209" i="1"/>
  <c r="P1206" i="1"/>
  <c r="P1199" i="1"/>
  <c r="P1192" i="1"/>
  <c r="P1177" i="1"/>
  <c r="P1156" i="1"/>
  <c r="P1146" i="1"/>
  <c r="P1140" i="1"/>
  <c r="P1115" i="1"/>
  <c r="P1107" i="1"/>
  <c r="P1089" i="1"/>
  <c r="P1062" i="1"/>
  <c r="P1047" i="1"/>
  <c r="P1042" i="1"/>
  <c r="P1034" i="1"/>
  <c r="P1023" i="1"/>
  <c r="P994" i="1"/>
  <c r="P985" i="1"/>
  <c r="P981" i="1"/>
  <c r="P970" i="1"/>
  <c r="P960" i="1"/>
  <c r="P955" i="1"/>
  <c r="P936" i="1"/>
  <c r="P931" i="1"/>
  <c r="P897" i="1"/>
  <c r="P889" i="1"/>
  <c r="P862" i="1"/>
  <c r="P861" i="1"/>
  <c r="P852" i="1"/>
  <c r="P848" i="1"/>
  <c r="P845" i="1"/>
  <c r="P844" i="1"/>
  <c r="P843" i="1"/>
  <c r="P841" i="1"/>
  <c r="P820" i="1"/>
  <c r="P805" i="1"/>
  <c r="P797" i="1"/>
  <c r="P790" i="1"/>
  <c r="P786" i="1"/>
  <c r="P785" i="1"/>
  <c r="P780" i="1"/>
  <c r="P779" i="1"/>
  <c r="P744" i="1"/>
  <c r="P742" i="1"/>
  <c r="P732" i="1"/>
  <c r="P727" i="1"/>
  <c r="P723" i="1"/>
  <c r="P718" i="1"/>
  <c r="P703" i="1"/>
  <c r="P697" i="1"/>
  <c r="P694" i="1"/>
  <c r="P681" i="1"/>
  <c r="P675" i="1"/>
  <c r="P673" i="1"/>
  <c r="P671" i="1"/>
  <c r="P635" i="1"/>
  <c r="P632" i="1"/>
  <c r="P595" i="1"/>
  <c r="P591" i="1"/>
  <c r="P583" i="1"/>
  <c r="P582" i="1"/>
  <c r="P573" i="1"/>
  <c r="P566" i="1"/>
  <c r="P563" i="1"/>
  <c r="P562" i="1"/>
  <c r="P560" i="1"/>
  <c r="P553" i="1"/>
  <c r="P533" i="1"/>
  <c r="P506" i="1"/>
  <c r="P501" i="1"/>
  <c r="P463" i="1"/>
  <c r="P457" i="1"/>
  <c r="P455" i="1"/>
  <c r="P447" i="1"/>
  <c r="P438" i="1"/>
  <c r="P436" i="1"/>
  <c r="P419" i="1"/>
  <c r="P417" i="1"/>
  <c r="P413" i="1"/>
  <c r="P397" i="1"/>
  <c r="P395" i="1"/>
  <c r="P394" i="1"/>
  <c r="P385" i="1"/>
  <c r="P381" i="1"/>
  <c r="P377" i="1"/>
  <c r="P374" i="1"/>
  <c r="P369" i="1"/>
  <c r="P361" i="1"/>
  <c r="P352" i="1"/>
  <c r="P343" i="1"/>
  <c r="P341" i="1"/>
  <c r="P337" i="1"/>
  <c r="P336" i="1"/>
  <c r="P326" i="1"/>
  <c r="P315" i="1"/>
  <c r="P311" i="1"/>
  <c r="P310" i="1"/>
  <c r="P303" i="1"/>
  <c r="P283" i="1"/>
  <c r="P273" i="1"/>
  <c r="P272" i="1"/>
  <c r="P269" i="1"/>
  <c r="P262" i="1"/>
  <c r="P251" i="1"/>
  <c r="P234" i="1"/>
  <c r="P232" i="1"/>
  <c r="P225" i="1"/>
  <c r="P215" i="1"/>
  <c r="P212" i="1"/>
  <c r="P209" i="1"/>
  <c r="P208" i="1"/>
  <c r="P186" i="1"/>
  <c r="P183" i="1"/>
  <c r="P166" i="1"/>
  <c r="P156" i="1"/>
  <c r="P123" i="1"/>
  <c r="P121" i="1"/>
  <c r="P108" i="1"/>
  <c r="P97" i="1"/>
  <c r="P95" i="1"/>
  <c r="P87" i="1"/>
  <c r="P73" i="1"/>
  <c r="P69" i="1"/>
  <c r="P65" i="1"/>
  <c r="P64" i="1"/>
  <c r="P52" i="1"/>
  <c r="P49" i="1"/>
  <c r="P46" i="1"/>
  <c r="P31" i="1"/>
  <c r="P27" i="1"/>
  <c r="P20" i="1"/>
  <c r="P1728" i="1"/>
  <c r="P1677" i="1"/>
  <c r="P1672" i="1"/>
  <c r="P1605" i="1"/>
  <c r="P1587" i="1"/>
  <c r="P1571" i="1"/>
  <c r="P1452" i="1"/>
  <c r="P1447" i="1"/>
  <c r="P1374" i="1"/>
  <c r="P1363" i="1"/>
  <c r="P1347" i="1"/>
  <c r="P1288" i="1"/>
  <c r="P1283" i="1"/>
  <c r="P1274" i="1"/>
  <c r="P1269" i="1"/>
  <c r="P1254" i="1"/>
  <c r="P1241" i="1"/>
  <c r="P1203" i="1"/>
  <c r="P1122" i="1"/>
  <c r="P1097" i="1"/>
  <c r="P1082" i="1"/>
  <c r="P1079" i="1"/>
  <c r="P1060" i="1"/>
  <c r="P1043" i="1"/>
  <c r="P933" i="1"/>
  <c r="P912" i="1"/>
  <c r="P903" i="1"/>
  <c r="P819" i="1"/>
  <c r="P815" i="1"/>
  <c r="P756" i="1"/>
  <c r="P680" i="1"/>
  <c r="P612" i="1"/>
  <c r="P571" i="1"/>
  <c r="P558" i="1"/>
  <c r="P517" i="1"/>
  <c r="P510" i="1"/>
  <c r="P458" i="1"/>
  <c r="P442" i="1"/>
  <c r="P411" i="1"/>
  <c r="P379" i="1"/>
  <c r="P287" i="1"/>
  <c r="P267" i="1"/>
  <c r="P157" i="1"/>
  <c r="P154" i="1"/>
  <c r="P43" i="1"/>
  <c r="P17" i="1"/>
  <c r="P1723" i="1"/>
  <c r="P1721" i="1"/>
  <c r="P1710" i="1"/>
  <c r="P1706" i="1"/>
  <c r="P1649" i="1"/>
  <c r="P1644" i="1"/>
  <c r="P1636" i="1"/>
  <c r="P1635" i="1"/>
  <c r="P1617" i="1"/>
  <c r="P1615" i="1"/>
  <c r="P1608" i="1"/>
  <c r="P1594" i="1"/>
  <c r="P1579" i="1"/>
  <c r="P1568" i="1"/>
  <c r="P1565" i="1"/>
  <c r="P1562" i="1"/>
  <c r="P1560" i="1"/>
  <c r="P1547" i="1"/>
  <c r="P1539" i="1"/>
  <c r="P1533" i="1"/>
  <c r="P1498" i="1"/>
  <c r="P1497" i="1"/>
  <c r="P1495" i="1"/>
  <c r="P1474" i="1"/>
  <c r="P1471" i="1"/>
  <c r="P1456" i="1"/>
  <c r="P1455" i="1"/>
  <c r="P1425" i="1"/>
  <c r="P1410" i="1"/>
  <c r="P1406" i="1"/>
  <c r="P1403" i="1"/>
  <c r="P1401" i="1"/>
  <c r="P1398" i="1"/>
  <c r="P1388" i="1"/>
  <c r="P1378" i="1"/>
  <c r="P1375" i="1"/>
  <c r="P1329" i="1"/>
  <c r="P1324" i="1"/>
  <c r="P1311" i="1"/>
  <c r="P1310" i="1"/>
  <c r="P1307" i="1"/>
  <c r="P1306" i="1"/>
  <c r="P1298" i="1"/>
  <c r="P1295" i="1"/>
  <c r="P1285" i="1"/>
  <c r="P1266" i="1"/>
  <c r="P1224" i="1"/>
  <c r="P1215" i="1"/>
  <c r="P1213" i="1"/>
  <c r="P1189" i="1"/>
  <c r="P1175" i="1"/>
  <c r="P1167" i="1"/>
  <c r="P1151" i="1"/>
  <c r="P1128" i="1"/>
  <c r="P1125" i="1"/>
  <c r="P1113" i="1"/>
  <c r="P1108" i="1"/>
  <c r="P1094" i="1"/>
  <c r="P1081" i="1"/>
  <c r="P1069" i="1"/>
  <c r="P1056" i="1"/>
  <c r="P1051" i="1"/>
  <c r="P1030" i="1"/>
  <c r="P1029" i="1"/>
  <c r="P1020" i="1"/>
  <c r="P990" i="1"/>
  <c r="P958" i="1"/>
  <c r="P957" i="1"/>
  <c r="P939" i="1"/>
  <c r="P926" i="1"/>
  <c r="P910" i="1"/>
  <c r="P901" i="1"/>
  <c r="P849" i="1"/>
  <c r="P842" i="1"/>
  <c r="P837" i="1"/>
  <c r="P835" i="1"/>
  <c r="P831" i="1"/>
  <c r="P827" i="1"/>
  <c r="P824" i="1"/>
  <c r="P811" i="1"/>
  <c r="P806" i="1"/>
  <c r="P793" i="1"/>
  <c r="P791" i="1"/>
  <c r="P773" i="1"/>
  <c r="P764" i="1"/>
  <c r="P763" i="1"/>
  <c r="P762" i="1"/>
  <c r="P757" i="1"/>
  <c r="P752" i="1"/>
  <c r="P741" i="1"/>
  <c r="P737" i="1"/>
  <c r="P734" i="1"/>
  <c r="P731" i="1"/>
  <c r="P714" i="1"/>
  <c r="P701" i="1"/>
  <c r="P699" i="1"/>
  <c r="P687" i="1"/>
  <c r="P657" i="1"/>
  <c r="P645" i="1"/>
  <c r="P641" i="1"/>
  <c r="P640" i="1"/>
  <c r="P621" i="1"/>
  <c r="P605" i="1"/>
  <c r="P603" i="1"/>
  <c r="P598" i="1"/>
  <c r="P597" i="1"/>
  <c r="P579" i="1"/>
  <c r="P556" i="1"/>
  <c r="P555" i="1"/>
  <c r="P537" i="1"/>
  <c r="P530" i="1"/>
  <c r="P520" i="1"/>
  <c r="P500" i="1"/>
  <c r="P493" i="1"/>
  <c r="P474" i="1"/>
  <c r="P467" i="1"/>
  <c r="P460" i="1"/>
  <c r="P428" i="1"/>
  <c r="P422" i="1"/>
  <c r="P409" i="1"/>
  <c r="P405" i="1"/>
  <c r="P393" i="1"/>
  <c r="P392" i="1"/>
  <c r="P375" i="1"/>
  <c r="P334" i="1"/>
  <c r="P331" i="1"/>
  <c r="P327" i="1"/>
  <c r="P304" i="1"/>
  <c r="P298" i="1"/>
  <c r="P274" i="1"/>
  <c r="P271" i="1"/>
  <c r="P265" i="1"/>
  <c r="P259" i="1"/>
  <c r="P242" i="1"/>
  <c r="P240" i="1"/>
  <c r="P238" i="1"/>
  <c r="P236" i="1"/>
  <c r="P227" i="1"/>
  <c r="P216" i="1"/>
  <c r="P213" i="1"/>
  <c r="P205" i="1"/>
  <c r="P181" i="1"/>
  <c r="P161" i="1"/>
  <c r="P129" i="1"/>
  <c r="P92" i="1"/>
  <c r="P86" i="1"/>
  <c r="P80" i="1"/>
  <c r="P71" i="1"/>
  <c r="P56" i="1"/>
  <c r="P25" i="1"/>
  <c r="P9" i="1"/>
  <c r="P1754" i="1"/>
  <c r="P1753" i="1"/>
  <c r="P1750" i="1"/>
  <c r="P1749" i="1"/>
  <c r="P1743" i="1"/>
  <c r="P1742" i="1"/>
  <c r="P1736" i="1"/>
  <c r="P1735" i="1"/>
  <c r="P1734" i="1"/>
  <c r="P1726" i="1"/>
  <c r="P1717" i="1"/>
  <c r="P1716" i="1"/>
  <c r="P1712" i="1"/>
  <c r="P1711" i="1"/>
  <c r="P1704" i="1"/>
  <c r="P1690" i="1"/>
  <c r="P1689" i="1"/>
  <c r="P1688" i="1"/>
  <c r="P1674" i="1"/>
  <c r="P1671" i="1"/>
  <c r="P1670" i="1"/>
  <c r="P1666" i="1"/>
  <c r="P1663" i="1"/>
  <c r="P1662" i="1"/>
  <c r="P1655" i="1"/>
  <c r="P1651" i="1"/>
  <c r="P1646" i="1"/>
  <c r="P1638" i="1"/>
  <c r="P1637" i="1"/>
  <c r="P1633" i="1"/>
  <c r="P1604" i="1"/>
  <c r="P1603" i="1"/>
  <c r="P1599" i="1"/>
  <c r="P1595" i="1"/>
  <c r="P1592" i="1"/>
  <c r="P1591" i="1"/>
  <c r="P1583" i="1"/>
  <c r="P1582" i="1"/>
  <c r="P1581" i="1"/>
  <c r="P1575" i="1"/>
  <c r="P1561" i="1"/>
  <c r="P1558" i="1"/>
  <c r="P1549" i="1"/>
  <c r="P1548" i="1"/>
  <c r="P1540" i="1"/>
  <c r="P1538" i="1"/>
  <c r="P1537" i="1"/>
  <c r="P1532" i="1"/>
  <c r="P1528" i="1"/>
  <c r="P1525" i="1"/>
  <c r="P1519" i="1"/>
  <c r="P1513" i="1"/>
  <c r="P1510" i="1"/>
  <c r="P1509" i="1"/>
  <c r="P1508" i="1"/>
  <c r="P1500" i="1"/>
  <c r="P1496" i="1"/>
  <c r="P1491" i="1"/>
  <c r="P1487" i="1"/>
  <c r="P1485" i="1"/>
  <c r="P1482" i="1"/>
  <c r="P1479" i="1"/>
  <c r="P1478" i="1"/>
  <c r="P1477" i="1"/>
  <c r="P1475" i="1"/>
  <c r="P1473" i="1"/>
  <c r="P1468" i="1"/>
  <c r="P1465" i="1"/>
  <c r="P1454" i="1"/>
  <c r="P1453" i="1"/>
  <c r="P1451" i="1"/>
  <c r="P1446" i="1"/>
  <c r="P1435" i="1"/>
  <c r="P1423" i="1"/>
  <c r="P1420" i="1"/>
  <c r="P1414" i="1"/>
  <c r="P1407" i="1"/>
  <c r="P1400" i="1"/>
  <c r="P1397" i="1"/>
  <c r="P1396" i="1"/>
  <c r="P1392" i="1"/>
  <c r="P1384" i="1"/>
  <c r="P1368" i="1"/>
  <c r="P1364" i="1"/>
  <c r="P1355" i="1"/>
  <c r="P1352" i="1"/>
  <c r="P1339" i="1"/>
  <c r="P1335" i="1"/>
  <c r="P1322" i="1"/>
  <c r="P1319" i="1"/>
  <c r="P1318" i="1"/>
  <c r="P1314" i="1"/>
  <c r="P1308" i="1"/>
  <c r="P1299" i="1"/>
  <c r="P1296" i="1"/>
  <c r="P1293" i="1"/>
  <c r="P1281" i="1"/>
  <c r="P1280" i="1"/>
  <c r="P1270" i="1"/>
  <c r="P1255" i="1"/>
  <c r="P1252" i="1"/>
  <c r="P1251" i="1"/>
  <c r="P1250" i="1"/>
  <c r="P1240" i="1"/>
  <c r="P1235" i="1"/>
  <c r="P1232" i="1"/>
  <c r="P1231" i="1"/>
  <c r="P1219" i="1"/>
  <c r="P1214" i="1"/>
  <c r="P1210" i="1"/>
  <c r="P1204" i="1"/>
  <c r="P1202" i="1"/>
  <c r="P1200" i="1"/>
  <c r="P1195" i="1"/>
  <c r="P1191" i="1"/>
  <c r="P1190" i="1"/>
  <c r="P1187" i="1"/>
  <c r="P1185" i="1"/>
  <c r="P1182" i="1"/>
  <c r="P1172" i="1"/>
  <c r="P1168" i="1"/>
  <c r="P1162" i="1"/>
  <c r="P1161" i="1"/>
  <c r="P1149" i="1"/>
  <c r="P1142" i="1"/>
  <c r="P1141" i="1"/>
  <c r="P1134" i="1"/>
  <c r="P1132" i="1"/>
  <c r="P1130" i="1"/>
  <c r="P1129" i="1"/>
  <c r="P1123" i="1"/>
  <c r="P1120" i="1"/>
  <c r="P1117" i="1"/>
  <c r="P1114" i="1"/>
  <c r="P1110" i="1"/>
  <c r="P1106" i="1"/>
  <c r="P1104" i="1"/>
  <c r="P1099" i="1"/>
  <c r="P1098" i="1"/>
  <c r="P1096" i="1"/>
  <c r="P1092" i="1"/>
  <c r="P1088" i="1"/>
  <c r="P1077" i="1"/>
  <c r="P1076" i="1"/>
  <c r="P1072" i="1"/>
  <c r="P1071" i="1"/>
  <c r="P1058" i="1"/>
  <c r="P1052" i="1"/>
  <c r="P1050" i="1"/>
  <c r="P1041" i="1"/>
  <c r="P1039" i="1"/>
  <c r="P1038" i="1"/>
  <c r="P1036" i="1"/>
  <c r="P1033" i="1"/>
  <c r="P1027" i="1"/>
  <c r="P1021" i="1"/>
  <c r="P1016" i="1"/>
  <c r="P1015" i="1"/>
  <c r="P1008" i="1"/>
  <c r="P1007" i="1"/>
  <c r="P1004" i="1"/>
  <c r="P1001" i="1"/>
  <c r="P999" i="1"/>
  <c r="P997" i="1"/>
  <c r="P988" i="1"/>
  <c r="P983" i="1"/>
  <c r="P978" i="1"/>
  <c r="P974" i="1"/>
  <c r="P967" i="1"/>
  <c r="P966" i="1"/>
  <c r="P963" i="1"/>
  <c r="P954" i="1"/>
  <c r="P946" i="1"/>
  <c r="P942" i="1"/>
  <c r="P941" i="1"/>
  <c r="P938" i="1"/>
  <c r="P930" i="1"/>
  <c r="P924" i="1"/>
  <c r="P923" i="1"/>
  <c r="P922" i="1"/>
  <c r="P921" i="1"/>
  <c r="P920" i="1"/>
  <c r="P915" i="1"/>
  <c r="P909" i="1"/>
  <c r="P906" i="1"/>
  <c r="P899" i="1"/>
  <c r="P895" i="1"/>
  <c r="P879" i="1"/>
  <c r="P877" i="1"/>
  <c r="P872" i="1"/>
  <c r="P870" i="1"/>
  <c r="P866" i="1"/>
  <c r="P863" i="1"/>
  <c r="P851" i="1"/>
  <c r="P850" i="1"/>
  <c r="P840" i="1"/>
  <c r="P839" i="1"/>
  <c r="P832" i="1"/>
  <c r="P826" i="1"/>
  <c r="P814" i="1"/>
  <c r="P813" i="1"/>
  <c r="P812" i="1"/>
  <c r="P809" i="1"/>
  <c r="P799" i="1"/>
  <c r="P788" i="1"/>
  <c r="P784" i="1"/>
  <c r="P781" i="1"/>
  <c r="P775" i="1"/>
  <c r="P774" i="1"/>
  <c r="P771" i="1"/>
  <c r="P769" i="1"/>
  <c r="P767" i="1"/>
  <c r="P766" i="1"/>
  <c r="P760" i="1"/>
  <c r="P754" i="1"/>
  <c r="P748" i="1"/>
  <c r="P746" i="1"/>
  <c r="P743" i="1"/>
  <c r="P733" i="1"/>
  <c r="P730" i="1"/>
  <c r="P717" i="1"/>
  <c r="P713" i="1"/>
  <c r="P712" i="1"/>
  <c r="P710" i="1"/>
  <c r="P705" i="1"/>
  <c r="P698" i="1"/>
  <c r="P696" i="1"/>
  <c r="P693" i="1"/>
  <c r="P686" i="1"/>
  <c r="P650" i="1"/>
  <c r="P648" i="1"/>
  <c r="P639" i="1"/>
  <c r="P630" i="1"/>
  <c r="P623" i="1"/>
  <c r="P619" i="1"/>
  <c r="P618" i="1"/>
  <c r="P616" i="1"/>
  <c r="P611" i="1"/>
  <c r="P610" i="1"/>
  <c r="P604" i="1"/>
  <c r="P601" i="1"/>
  <c r="P593" i="1"/>
  <c r="P587" i="1"/>
  <c r="P580" i="1"/>
  <c r="P578" i="1"/>
  <c r="P569" i="1"/>
  <c r="P559" i="1"/>
  <c r="P554" i="1"/>
  <c r="P543" i="1"/>
  <c r="P538" i="1"/>
  <c r="P535" i="1"/>
  <c r="P532" i="1"/>
  <c r="P527" i="1"/>
  <c r="P526" i="1"/>
  <c r="P525" i="1"/>
  <c r="P524" i="1"/>
  <c r="P519" i="1"/>
  <c r="P512" i="1"/>
  <c r="P503" i="1"/>
  <c r="P495" i="1"/>
  <c r="P494" i="1"/>
  <c r="P491" i="1"/>
  <c r="P488" i="1"/>
  <c r="P480" i="1"/>
  <c r="P478" i="1"/>
  <c r="P477" i="1"/>
  <c r="P473" i="1"/>
  <c r="P466" i="1"/>
  <c r="P462" i="1"/>
  <c r="P459" i="1"/>
  <c r="P456" i="1"/>
  <c r="P453" i="1"/>
  <c r="P451" i="1"/>
  <c r="P449" i="1"/>
  <c r="P448" i="1"/>
  <c r="P446" i="1"/>
  <c r="P444" i="1"/>
  <c r="P439" i="1"/>
  <c r="P437" i="1"/>
  <c r="P434" i="1"/>
  <c r="P429" i="1"/>
  <c r="P427" i="1"/>
  <c r="P425" i="1"/>
  <c r="P414" i="1"/>
  <c r="P400" i="1"/>
  <c r="P390" i="1"/>
  <c r="P387" i="1"/>
  <c r="P367" i="1"/>
  <c r="P360" i="1"/>
  <c r="P354" i="1"/>
  <c r="P347" i="1"/>
  <c r="P339" i="1"/>
  <c r="P333" i="1"/>
  <c r="P329" i="1"/>
  <c r="P321" i="1"/>
  <c r="P320" i="1"/>
  <c r="P314" i="1"/>
  <c r="P313" i="1"/>
  <c r="P312" i="1"/>
  <c r="P305" i="1"/>
  <c r="P301" i="1"/>
  <c r="P297" i="1"/>
  <c r="P290" i="1"/>
  <c r="P289" i="1"/>
  <c r="P284" i="1"/>
  <c r="P280" i="1"/>
  <c r="P266" i="1"/>
  <c r="P263" i="1"/>
  <c r="P261" i="1"/>
  <c r="P260" i="1"/>
  <c r="P257" i="1"/>
  <c r="P253" i="1"/>
  <c r="P248" i="1"/>
  <c r="P247" i="1"/>
  <c r="P244" i="1"/>
  <c r="P237" i="1"/>
  <c r="P233" i="1"/>
  <c r="P219" i="1"/>
  <c r="P211" i="1"/>
  <c r="P210" i="1"/>
  <c r="P207" i="1"/>
  <c r="P201" i="1"/>
  <c r="P191" i="1"/>
  <c r="P189" i="1"/>
  <c r="P188" i="1"/>
  <c r="P185" i="1"/>
  <c r="P175" i="1"/>
  <c r="P170" i="1"/>
  <c r="P169" i="1"/>
  <c r="P164" i="1"/>
  <c r="P163" i="1"/>
  <c r="P158" i="1"/>
  <c r="P155" i="1"/>
  <c r="P153" i="1"/>
  <c r="P150" i="1"/>
  <c r="P149" i="1"/>
  <c r="P146" i="1"/>
  <c r="P140" i="1"/>
  <c r="P136" i="1"/>
  <c r="P134" i="1"/>
  <c r="P132" i="1"/>
  <c r="P131" i="1"/>
  <c r="P125" i="1"/>
  <c r="P124" i="1"/>
  <c r="P117" i="1"/>
  <c r="P114" i="1"/>
  <c r="P109" i="1"/>
  <c r="P107" i="1"/>
  <c r="P105" i="1"/>
  <c r="P104" i="1"/>
  <c r="P103" i="1"/>
  <c r="P100" i="1"/>
  <c r="P98" i="1"/>
  <c r="P93" i="1"/>
  <c r="P85" i="1"/>
  <c r="P83" i="1"/>
  <c r="P78" i="1"/>
  <c r="P74" i="1"/>
  <c r="P72" i="1"/>
  <c r="P61" i="1"/>
  <c r="P60" i="1"/>
  <c r="P42" i="1"/>
  <c r="P41" i="1"/>
  <c r="P39" i="1"/>
  <c r="P37" i="1"/>
  <c r="P36" i="1"/>
  <c r="P29" i="1"/>
  <c r="P23" i="1"/>
  <c r="P14" i="1"/>
  <c r="P7" i="1"/>
  <c r="P5" i="1"/>
  <c r="P1703" i="1"/>
  <c r="P1694" i="1"/>
  <c r="P1686" i="1"/>
  <c r="P1668" i="1"/>
  <c r="P1610" i="1"/>
  <c r="P1607" i="1"/>
  <c r="P1593" i="1"/>
  <c r="P1570" i="1"/>
  <c r="P1551" i="1"/>
  <c r="P1550" i="1"/>
  <c r="P1541" i="1"/>
  <c r="P1531" i="1"/>
  <c r="P1524" i="1"/>
  <c r="P1504" i="1"/>
  <c r="P1457" i="1"/>
  <c r="P1421" i="1"/>
  <c r="P1394" i="1"/>
  <c r="P1372" i="1"/>
  <c r="P1357" i="1"/>
  <c r="P1337" i="1"/>
  <c r="P1333" i="1"/>
  <c r="P1323" i="1"/>
  <c r="P1284" i="1"/>
  <c r="P1267" i="1"/>
  <c r="P1263" i="1"/>
  <c r="P1228" i="1"/>
  <c r="P1223" i="1"/>
  <c r="P1217" i="1"/>
  <c r="P1179" i="1"/>
  <c r="P1160" i="1"/>
  <c r="P1145" i="1"/>
  <c r="P1121" i="1"/>
  <c r="P1102" i="1"/>
  <c r="P1085" i="1"/>
  <c r="P1061" i="1"/>
  <c r="P1032" i="1"/>
  <c r="P1026" i="1"/>
  <c r="P998" i="1"/>
  <c r="P996" i="1"/>
  <c r="P992" i="1"/>
  <c r="P976" i="1"/>
  <c r="P964" i="1"/>
  <c r="P959" i="1"/>
  <c r="P956" i="1"/>
  <c r="P951" i="1"/>
  <c r="P950" i="1"/>
  <c r="P917" i="1"/>
  <c r="P911" i="1"/>
  <c r="P892" i="1"/>
  <c r="P883" i="1"/>
  <c r="P882" i="1"/>
  <c r="P881" i="1"/>
  <c r="P880" i="1"/>
  <c r="P856" i="1"/>
  <c r="P834" i="1"/>
  <c r="P828" i="1"/>
  <c r="P818" i="1"/>
  <c r="P817" i="1"/>
  <c r="P802" i="1"/>
  <c r="P782" i="1"/>
  <c r="P738" i="1"/>
  <c r="P726" i="1"/>
  <c r="P702" i="1"/>
  <c r="P663" i="1"/>
  <c r="P637" i="1"/>
  <c r="P615" i="1"/>
  <c r="P589" i="1"/>
  <c r="P577" i="1"/>
  <c r="P557" i="1"/>
  <c r="P547" i="1"/>
  <c r="P518" i="1"/>
  <c r="P502" i="1"/>
  <c r="P481" i="1"/>
  <c r="P476" i="1"/>
  <c r="P469" i="1"/>
  <c r="P445" i="1"/>
  <c r="P423" i="1"/>
  <c r="P415" i="1"/>
  <c r="P391" i="1"/>
  <c r="P389" i="1"/>
  <c r="P366" i="1"/>
  <c r="P365" i="1"/>
  <c r="P362" i="1"/>
  <c r="P359" i="1"/>
  <c r="P357" i="1"/>
  <c r="P351" i="1"/>
  <c r="P328" i="1"/>
  <c r="P252" i="1"/>
  <c r="P222" i="1"/>
  <c r="P151" i="1"/>
  <c r="P148" i="1"/>
  <c r="P122" i="1"/>
  <c r="P94" i="1"/>
  <c r="P82" i="1"/>
  <c r="P53" i="1"/>
  <c r="P47" i="1"/>
  <c r="P34" i="1"/>
  <c r="P18" i="1"/>
  <c r="P6" i="1"/>
  <c r="P4" i="1"/>
  <c r="P1751" i="1"/>
  <c r="P1748" i="1"/>
  <c r="P1747" i="1"/>
  <c r="P1745" i="1"/>
  <c r="P1744" i="1"/>
  <c r="P1741" i="1"/>
  <c r="P1740" i="1"/>
  <c r="P1739" i="1"/>
  <c r="P1737" i="1"/>
  <c r="P1731" i="1"/>
  <c r="P1730" i="1"/>
  <c r="P1729" i="1"/>
  <c r="P1724" i="1"/>
  <c r="P1720" i="1"/>
  <c r="P1718" i="1"/>
  <c r="P1715" i="1"/>
  <c r="P1713" i="1"/>
  <c r="P1709" i="1"/>
  <c r="P1708" i="1"/>
  <c r="P1705" i="1"/>
  <c r="P1702" i="1"/>
  <c r="P1700" i="1"/>
  <c r="P1699" i="1"/>
  <c r="P1698" i="1"/>
  <c r="P1697" i="1"/>
  <c r="P1696" i="1"/>
  <c r="P1692" i="1"/>
  <c r="P1687" i="1"/>
  <c r="P1685" i="1"/>
  <c r="P1683" i="1"/>
  <c r="P1682" i="1"/>
  <c r="P1681" i="1"/>
  <c r="P1680" i="1"/>
  <c r="P1676" i="1"/>
  <c r="P1673" i="1"/>
  <c r="P1667" i="1"/>
  <c r="P1665" i="1"/>
  <c r="P1664" i="1"/>
  <c r="P1659" i="1"/>
  <c r="P1654" i="1"/>
  <c r="P1650" i="1"/>
  <c r="P1641" i="1"/>
  <c r="P1634" i="1"/>
  <c r="P1631" i="1"/>
  <c r="P1630" i="1"/>
  <c r="P1627" i="1"/>
  <c r="P1625" i="1"/>
  <c r="P1623" i="1"/>
  <c r="P1622" i="1"/>
  <c r="P1621" i="1"/>
  <c r="P1620" i="1"/>
  <c r="P1619" i="1"/>
  <c r="P1618" i="1"/>
  <c r="P1616" i="1"/>
  <c r="P1614" i="1"/>
  <c r="P1613" i="1"/>
  <c r="P1612" i="1"/>
  <c r="P1611" i="1"/>
  <c r="P1609" i="1"/>
  <c r="P1602" i="1"/>
  <c r="P1598" i="1"/>
  <c r="P1596" i="1"/>
  <c r="P1589" i="1"/>
  <c r="P1588" i="1"/>
  <c r="P1585" i="1"/>
  <c r="P1578" i="1"/>
  <c r="P1576" i="1"/>
  <c r="P1574" i="1"/>
  <c r="P1573" i="1"/>
  <c r="P1566" i="1"/>
  <c r="P1564" i="1"/>
  <c r="P1563" i="1"/>
  <c r="P1559" i="1"/>
  <c r="P1557" i="1"/>
  <c r="P1554" i="1"/>
  <c r="P1553" i="1"/>
  <c r="P1552" i="1"/>
  <c r="P1546" i="1"/>
  <c r="P1535" i="1"/>
  <c r="P1526" i="1"/>
  <c r="P1512" i="1"/>
  <c r="P1511" i="1"/>
  <c r="P1506" i="1"/>
  <c r="P1505" i="1"/>
  <c r="P1501" i="1"/>
  <c r="P1494" i="1"/>
  <c r="P1493" i="1"/>
  <c r="P1490" i="1"/>
  <c r="P1483" i="1"/>
  <c r="P1481" i="1"/>
  <c r="P1480" i="1"/>
  <c r="P1476" i="1"/>
  <c r="P1459" i="1"/>
  <c r="P1445" i="1"/>
  <c r="P1444" i="1"/>
  <c r="P1443" i="1"/>
  <c r="P1440" i="1"/>
  <c r="P1438" i="1"/>
  <c r="P1436" i="1"/>
  <c r="P1430" i="1"/>
  <c r="P1419" i="1"/>
  <c r="P1416" i="1"/>
  <c r="P1412" i="1"/>
  <c r="P1402" i="1"/>
  <c r="P1395" i="1"/>
  <c r="P1393" i="1"/>
  <c r="P1390" i="1"/>
  <c r="P1389" i="1"/>
  <c r="P1386" i="1"/>
  <c r="P1383" i="1"/>
  <c r="P1381" i="1"/>
  <c r="P1380" i="1"/>
  <c r="P1373" i="1"/>
  <c r="P1371" i="1"/>
  <c r="P1370" i="1"/>
  <c r="P1369" i="1"/>
  <c r="P1360" i="1"/>
  <c r="P1358" i="1"/>
  <c r="P1356" i="1"/>
  <c r="P1354" i="1"/>
  <c r="P1353" i="1"/>
  <c r="P1351" i="1"/>
  <c r="P1350" i="1"/>
  <c r="P1349" i="1"/>
  <c r="P1344" i="1"/>
  <c r="P1341" i="1"/>
  <c r="P1331" i="1"/>
  <c r="P1328" i="1"/>
  <c r="P1327" i="1"/>
  <c r="P1326" i="1"/>
  <c r="P1321" i="1"/>
  <c r="P1320" i="1"/>
  <c r="P1316" i="1"/>
  <c r="P1313" i="1"/>
  <c r="P1305" i="1"/>
  <c r="P1303" i="1"/>
  <c r="P1302" i="1"/>
  <c r="P1301" i="1"/>
  <c r="P1292" i="1"/>
  <c r="P1290" i="1"/>
  <c r="P1287" i="1"/>
  <c r="P1286" i="1"/>
  <c r="P1279" i="1"/>
  <c r="P1275" i="1"/>
  <c r="P1273" i="1"/>
  <c r="P1271" i="1"/>
  <c r="P1261" i="1"/>
  <c r="P1256" i="1"/>
  <c r="P1253" i="1"/>
  <c r="P1249" i="1"/>
  <c r="P1248" i="1"/>
  <c r="P1247" i="1"/>
  <c r="P1245" i="1"/>
  <c r="P1244" i="1"/>
  <c r="P1238" i="1"/>
  <c r="P1237" i="1"/>
  <c r="P1234" i="1"/>
  <c r="P1229" i="1"/>
  <c r="P1227" i="1"/>
  <c r="P1226" i="1"/>
  <c r="P1225" i="1"/>
  <c r="P1218" i="1"/>
  <c r="P1211" i="1"/>
  <c r="P1207" i="1"/>
  <c r="P1205" i="1"/>
  <c r="P1198" i="1"/>
  <c r="P1197" i="1"/>
  <c r="P1194" i="1"/>
  <c r="P1193" i="1"/>
  <c r="P1188" i="1"/>
  <c r="P1178" i="1"/>
  <c r="P1171" i="1"/>
  <c r="P1169" i="1"/>
  <c r="P1166" i="1"/>
  <c r="P1165" i="1"/>
  <c r="P1159" i="1"/>
  <c r="P1158" i="1"/>
  <c r="P1157" i="1"/>
  <c r="P1155" i="1"/>
  <c r="P1154" i="1"/>
  <c r="P1153" i="1"/>
  <c r="P1150" i="1"/>
  <c r="P1148" i="1"/>
  <c r="P1144" i="1"/>
  <c r="P1139" i="1"/>
  <c r="P1137" i="1"/>
  <c r="P1135" i="1"/>
  <c r="P1133" i="1"/>
  <c r="P1131" i="1"/>
  <c r="P1127" i="1"/>
  <c r="P1124" i="1"/>
  <c r="P1119" i="1"/>
  <c r="P1118" i="1"/>
  <c r="P1111" i="1"/>
  <c r="P1105" i="1"/>
  <c r="P1100" i="1"/>
  <c r="P1090" i="1"/>
  <c r="P1084" i="1"/>
  <c r="P1083" i="1"/>
  <c r="P1080" i="1"/>
  <c r="P1078" i="1"/>
  <c r="P1075" i="1"/>
  <c r="P1073" i="1"/>
  <c r="P1070" i="1"/>
  <c r="P1067" i="1"/>
  <c r="P1064" i="1"/>
  <c r="P1059" i="1"/>
  <c r="P1057" i="1"/>
  <c r="P1054" i="1"/>
  <c r="P1049" i="1"/>
  <c r="P1045" i="1"/>
  <c r="P1040" i="1"/>
  <c r="P1037" i="1"/>
  <c r="P1035" i="1"/>
  <c r="P1028" i="1"/>
  <c r="P1022" i="1"/>
  <c r="P1019" i="1"/>
  <c r="P1017" i="1"/>
  <c r="P1010" i="1"/>
  <c r="P1006" i="1"/>
  <c r="P1003" i="1"/>
  <c r="P1000" i="1"/>
  <c r="P993" i="1"/>
  <c r="P991" i="1"/>
  <c r="P987" i="1"/>
  <c r="P984" i="1"/>
  <c r="P982" i="1"/>
  <c r="P979" i="1"/>
  <c r="P977" i="1"/>
  <c r="P975" i="1"/>
  <c r="P973" i="1"/>
  <c r="P972" i="1"/>
  <c r="P971" i="1"/>
  <c r="P969" i="1"/>
  <c r="P968" i="1"/>
  <c r="P953" i="1"/>
  <c r="P952" i="1"/>
  <c r="P949" i="1"/>
  <c r="P948" i="1"/>
  <c r="P947" i="1"/>
  <c r="P935" i="1"/>
  <c r="P934" i="1"/>
  <c r="P932" i="1"/>
  <c r="P929" i="1"/>
  <c r="P928" i="1"/>
  <c r="P925" i="1"/>
  <c r="P918" i="1"/>
  <c r="P916" i="1"/>
  <c r="P907" i="1"/>
  <c r="P905" i="1"/>
  <c r="P904" i="1"/>
  <c r="P902" i="1"/>
  <c r="P898" i="1"/>
  <c r="P896" i="1"/>
  <c r="P894" i="1"/>
  <c r="P893" i="1"/>
  <c r="P891" i="1"/>
  <c r="P890" i="1"/>
  <c r="P888" i="1"/>
  <c r="P886" i="1"/>
  <c r="P875" i="1"/>
  <c r="P874" i="1"/>
  <c r="P873" i="1"/>
  <c r="P869" i="1"/>
  <c r="P868" i="1"/>
  <c r="P867" i="1"/>
  <c r="P865" i="1"/>
  <c r="P864" i="1"/>
  <c r="P859" i="1"/>
  <c r="P858" i="1"/>
  <c r="P854" i="1"/>
  <c r="P847" i="1"/>
  <c r="P846" i="1"/>
  <c r="P838" i="1"/>
  <c r="P833" i="1"/>
  <c r="P830" i="1"/>
  <c r="P829" i="1"/>
  <c r="P825" i="1"/>
  <c r="P823" i="1"/>
  <c r="P822" i="1"/>
  <c r="P810" i="1"/>
  <c r="P808" i="1"/>
  <c r="P807" i="1"/>
  <c r="P804" i="1"/>
  <c r="P798" i="1"/>
  <c r="P795" i="1"/>
  <c r="P794" i="1"/>
  <c r="P787" i="1"/>
  <c r="P783" i="1"/>
  <c r="P777" i="1"/>
  <c r="P776" i="1"/>
  <c r="P765" i="1"/>
  <c r="P759" i="1"/>
  <c r="P758" i="1"/>
  <c r="P755" i="1"/>
  <c r="P750" i="1"/>
  <c r="P740" i="1"/>
  <c r="P739" i="1"/>
  <c r="P736" i="1"/>
  <c r="P729" i="1"/>
  <c r="P728" i="1"/>
  <c r="P725" i="1"/>
  <c r="P720" i="1"/>
  <c r="P719" i="1"/>
  <c r="P716" i="1"/>
  <c r="P715" i="1"/>
  <c r="P711" i="1"/>
  <c r="P707" i="1"/>
  <c r="P690" i="1"/>
  <c r="P689" i="1"/>
  <c r="P683" i="1"/>
  <c r="P682" i="1"/>
  <c r="P679" i="1"/>
  <c r="P677" i="1"/>
  <c r="P674" i="1"/>
  <c r="P672" i="1"/>
  <c r="P666" i="1"/>
  <c r="P665" i="1"/>
  <c r="P659" i="1"/>
  <c r="P658" i="1"/>
  <c r="P654" i="1"/>
  <c r="P653" i="1"/>
  <c r="P652" i="1"/>
  <c r="P651" i="1"/>
  <c r="P649" i="1"/>
  <c r="P646" i="1"/>
  <c r="P644" i="1"/>
  <c r="P643" i="1"/>
  <c r="P638" i="1"/>
  <c r="P636" i="1"/>
  <c r="P634" i="1"/>
  <c r="P633" i="1"/>
  <c r="P631" i="1"/>
  <c r="P626" i="1"/>
  <c r="P622" i="1"/>
  <c r="P620" i="1"/>
  <c r="P614" i="1"/>
  <c r="P613" i="1"/>
  <c r="P608" i="1"/>
  <c r="P606" i="1"/>
  <c r="P602" i="1"/>
  <c r="P596" i="1"/>
  <c r="P592" i="1"/>
  <c r="P590" i="1"/>
  <c r="P584" i="1"/>
  <c r="P576" i="1"/>
  <c r="P570" i="1"/>
  <c r="P565" i="1"/>
  <c r="P564" i="1"/>
  <c r="P546" i="1"/>
  <c r="P540" i="1"/>
  <c r="P536" i="1"/>
  <c r="P534" i="1"/>
  <c r="P529" i="1"/>
  <c r="P523" i="1"/>
  <c r="P516" i="1"/>
  <c r="P515" i="1"/>
  <c r="P511" i="1"/>
  <c r="P509" i="1"/>
  <c r="P505" i="1"/>
  <c r="P499" i="1"/>
  <c r="P496" i="1"/>
  <c r="P490" i="1"/>
  <c r="P487" i="1"/>
  <c r="P486" i="1"/>
  <c r="P483" i="1"/>
  <c r="P475" i="1"/>
  <c r="P471" i="1"/>
  <c r="P470" i="1"/>
  <c r="P465" i="1"/>
  <c r="P454" i="1"/>
  <c r="P450" i="1"/>
  <c r="P441" i="1"/>
  <c r="P440" i="1"/>
  <c r="P433" i="1"/>
  <c r="P432" i="1"/>
  <c r="P430" i="1"/>
  <c r="P426" i="1"/>
  <c r="P420" i="1"/>
  <c r="P418" i="1"/>
  <c r="P416" i="1"/>
  <c r="P410" i="1"/>
  <c r="P406" i="1"/>
  <c r="P404" i="1"/>
  <c r="P399" i="1"/>
  <c r="P398" i="1"/>
  <c r="P396" i="1"/>
  <c r="P386" i="1"/>
  <c r="P380" i="1"/>
  <c r="P378" i="1"/>
  <c r="P376" i="1"/>
  <c r="P373" i="1"/>
  <c r="P372" i="1"/>
  <c r="P371" i="1"/>
  <c r="P370" i="1"/>
  <c r="P363" i="1"/>
  <c r="P358" i="1"/>
  <c r="P356" i="1"/>
  <c r="P349" i="1"/>
  <c r="P346" i="1"/>
  <c r="P345" i="1"/>
  <c r="P344" i="1"/>
  <c r="P342" i="1"/>
  <c r="P340" i="1"/>
  <c r="P338" i="1"/>
  <c r="P330" i="1"/>
  <c r="P325" i="1"/>
  <c r="P324" i="1"/>
  <c r="P323" i="1"/>
  <c r="P322" i="1"/>
  <c r="P319" i="1"/>
  <c r="P318" i="1"/>
  <c r="P317" i="1"/>
  <c r="P316" i="1"/>
  <c r="P309" i="1"/>
  <c r="P306" i="1"/>
  <c r="P293" i="1"/>
  <c r="P292" i="1"/>
  <c r="P291" i="1"/>
  <c r="P286" i="1"/>
  <c r="P282" i="1"/>
  <c r="P278" i="1"/>
  <c r="P277" i="1"/>
  <c r="P276" i="1"/>
  <c r="P275" i="1"/>
  <c r="P268" i="1"/>
  <c r="P258" i="1"/>
  <c r="P256" i="1"/>
  <c r="P254" i="1"/>
  <c r="P250" i="1"/>
  <c r="P249" i="1"/>
  <c r="P246" i="1"/>
  <c r="P239" i="1"/>
  <c r="P235" i="1"/>
  <c r="P231" i="1"/>
  <c r="P230" i="1"/>
  <c r="P221" i="1"/>
  <c r="P218" i="1"/>
  <c r="P217" i="1"/>
  <c r="P214" i="1"/>
  <c r="P206" i="1"/>
  <c r="P204" i="1"/>
  <c r="P203" i="1"/>
  <c r="P199" i="1"/>
  <c r="P197" i="1"/>
  <c r="P192" i="1"/>
  <c r="P190" i="1"/>
  <c r="P187" i="1"/>
  <c r="P179" i="1"/>
  <c r="P178" i="1"/>
  <c r="P177" i="1"/>
  <c r="P176" i="1"/>
  <c r="P174" i="1"/>
  <c r="P172" i="1"/>
  <c r="P165" i="1"/>
  <c r="P162" i="1"/>
  <c r="P160" i="1"/>
  <c r="P159" i="1"/>
  <c r="P152" i="1"/>
  <c r="P142" i="1"/>
  <c r="P141" i="1"/>
  <c r="P139" i="1"/>
  <c r="P138" i="1"/>
  <c r="P137" i="1"/>
  <c r="P135" i="1"/>
  <c r="P128" i="1"/>
  <c r="P127" i="1"/>
  <c r="P126" i="1"/>
  <c r="P119" i="1"/>
  <c r="P118" i="1"/>
  <c r="P116" i="1"/>
  <c r="P113" i="1"/>
  <c r="P111" i="1"/>
  <c r="P106" i="1"/>
  <c r="P101" i="1"/>
  <c r="P99" i="1"/>
  <c r="P91" i="1"/>
  <c r="P81" i="1"/>
  <c r="P79" i="1"/>
  <c r="P77" i="1"/>
  <c r="P75" i="1"/>
  <c r="P67" i="1"/>
  <c r="P62" i="1"/>
  <c r="P58" i="1"/>
  <c r="P51" i="1"/>
  <c r="P50" i="1"/>
  <c r="P38" i="1"/>
  <c r="P33" i="1"/>
  <c r="P28" i="1"/>
  <c r="P26" i="1"/>
  <c r="P22" i="1"/>
  <c r="P19" i="1"/>
  <c r="P15" i="1"/>
  <c r="P10" i="1"/>
  <c r="P8" i="1"/>
  <c r="P3" i="1"/>
  <c r="N128" i="2"/>
  <c r="N129" i="2"/>
  <c r="N130"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6" i="2"/>
  <c r="N1495" i="2"/>
  <c r="N1494"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5" i="2"/>
  <c r="N1224" i="2"/>
  <c r="N1223" i="2"/>
  <c r="N1222" i="2"/>
  <c r="N1221" i="2"/>
  <c r="N1220" i="2"/>
  <c r="N1219" i="2"/>
  <c r="N1218" i="2"/>
  <c r="N1217" i="2"/>
  <c r="N1216" i="2"/>
  <c r="N1215" i="2"/>
  <c r="N1214"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6" i="2"/>
  <c r="N1175" i="2"/>
  <c r="N1174" i="2"/>
  <c r="N1173" i="2"/>
  <c r="N1172" i="2"/>
  <c r="N1171" i="2"/>
  <c r="N1170" i="2"/>
  <c r="N1169" i="2"/>
  <c r="N1168" i="2"/>
  <c r="N1167" i="2"/>
  <c r="N1166" i="2"/>
  <c r="N1165" i="2"/>
  <c r="N1164" i="2"/>
  <c r="N1163" i="2"/>
  <c r="N1162" i="2"/>
  <c r="N1161" i="2"/>
  <c r="N1160" i="2"/>
  <c r="N1159" i="2"/>
  <c r="N1158" i="2"/>
  <c r="N1157" i="2"/>
  <c r="N1156" i="2"/>
  <c r="N1155" i="2"/>
  <c r="N1154"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4" i="2"/>
  <c r="N1033" i="2"/>
  <c r="N1032" i="2"/>
  <c r="N1031" i="2"/>
  <c r="N1030" i="2"/>
  <c r="N1029" i="2"/>
  <c r="N1028" i="2"/>
  <c r="N1027" i="2"/>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I1" i="1"/>
  <c r="G1" i="1"/>
  <c r="O1754" i="1"/>
  <c r="L1754" i="1"/>
  <c r="K1754" i="1"/>
  <c r="J1754" i="1"/>
  <c r="I1754" i="1"/>
  <c r="H1754" i="1"/>
  <c r="G1754" i="1"/>
  <c r="F1754" i="1"/>
  <c r="E1754" i="1"/>
  <c r="D1754" i="1"/>
  <c r="C1754" i="1"/>
  <c r="B1754" i="1"/>
  <c r="A1754" i="1"/>
  <c r="O1753" i="1"/>
  <c r="L1753" i="1"/>
  <c r="K1753" i="1"/>
  <c r="J1753" i="1"/>
  <c r="I1753" i="1"/>
  <c r="H1753" i="1"/>
  <c r="G1753" i="1"/>
  <c r="F1753" i="1"/>
  <c r="E1753" i="1"/>
  <c r="D1753" i="1"/>
  <c r="C1753" i="1"/>
  <c r="B1753" i="1"/>
  <c r="A1753" i="1"/>
  <c r="O1752" i="1"/>
  <c r="L1752" i="1"/>
  <c r="K1752" i="1"/>
  <c r="J1752" i="1"/>
  <c r="I1752" i="1"/>
  <c r="H1752" i="1"/>
  <c r="G1752" i="1"/>
  <c r="F1752" i="1"/>
  <c r="E1752" i="1"/>
  <c r="D1752" i="1"/>
  <c r="C1752" i="1"/>
  <c r="B1752" i="1"/>
  <c r="A1752" i="1"/>
  <c r="O1751" i="1"/>
  <c r="L1751" i="1"/>
  <c r="K1751" i="1"/>
  <c r="J1751" i="1"/>
  <c r="I1751" i="1"/>
  <c r="H1751" i="1"/>
  <c r="G1751" i="1"/>
  <c r="F1751" i="1"/>
  <c r="E1751" i="1"/>
  <c r="D1751" i="1"/>
  <c r="C1751" i="1"/>
  <c r="B1751" i="1"/>
  <c r="A1751" i="1"/>
  <c r="O1750" i="1"/>
  <c r="L1750" i="1"/>
  <c r="K1750" i="1"/>
  <c r="J1750" i="1"/>
  <c r="I1750" i="1"/>
  <c r="H1750" i="1"/>
  <c r="G1750" i="1"/>
  <c r="F1750" i="1"/>
  <c r="E1750" i="1"/>
  <c r="D1750" i="1"/>
  <c r="C1750" i="1"/>
  <c r="B1750" i="1"/>
  <c r="A1750" i="1"/>
  <c r="O1749" i="1"/>
  <c r="L1749" i="1"/>
  <c r="K1749" i="1"/>
  <c r="J1749" i="1"/>
  <c r="I1749" i="1"/>
  <c r="H1749" i="1"/>
  <c r="G1749" i="1"/>
  <c r="F1749" i="1"/>
  <c r="E1749" i="1"/>
  <c r="D1749" i="1"/>
  <c r="C1749" i="1"/>
  <c r="B1749" i="1"/>
  <c r="A1749" i="1"/>
  <c r="O1748" i="1"/>
  <c r="L1748" i="1"/>
  <c r="K1748" i="1"/>
  <c r="J1748" i="1"/>
  <c r="I1748" i="1"/>
  <c r="H1748" i="1"/>
  <c r="G1748" i="1"/>
  <c r="F1748" i="1"/>
  <c r="E1748" i="1"/>
  <c r="D1748" i="1"/>
  <c r="C1748" i="1"/>
  <c r="B1748" i="1"/>
  <c r="A1748" i="1"/>
  <c r="O1747" i="1"/>
  <c r="L1747" i="1"/>
  <c r="K1747" i="1"/>
  <c r="J1747" i="1"/>
  <c r="I1747" i="1"/>
  <c r="H1747" i="1"/>
  <c r="G1747" i="1"/>
  <c r="F1747" i="1"/>
  <c r="E1747" i="1"/>
  <c r="D1747" i="1"/>
  <c r="C1747" i="1"/>
  <c r="B1747" i="1"/>
  <c r="A1747" i="1"/>
  <c r="O1746" i="1"/>
  <c r="L1746" i="1"/>
  <c r="K1746" i="1"/>
  <c r="J1746" i="1"/>
  <c r="I1746" i="1"/>
  <c r="H1746" i="1"/>
  <c r="G1746" i="1"/>
  <c r="F1746" i="1"/>
  <c r="E1746" i="1"/>
  <c r="D1746" i="1"/>
  <c r="C1746" i="1"/>
  <c r="B1746" i="1"/>
  <c r="A1746" i="1"/>
  <c r="O1745" i="1"/>
  <c r="L1745" i="1"/>
  <c r="K1745" i="1"/>
  <c r="J1745" i="1"/>
  <c r="I1745" i="1"/>
  <c r="H1745" i="1"/>
  <c r="G1745" i="1"/>
  <c r="F1745" i="1"/>
  <c r="E1745" i="1"/>
  <c r="D1745" i="1"/>
  <c r="C1745" i="1"/>
  <c r="B1745" i="1"/>
  <c r="A1745" i="1"/>
  <c r="O1744" i="1"/>
  <c r="L1744" i="1"/>
  <c r="K1744" i="1"/>
  <c r="J1744" i="1"/>
  <c r="I1744" i="1"/>
  <c r="H1744" i="1"/>
  <c r="G1744" i="1"/>
  <c r="F1744" i="1"/>
  <c r="E1744" i="1"/>
  <c r="D1744" i="1"/>
  <c r="C1744" i="1"/>
  <c r="B1744" i="1"/>
  <c r="A1744" i="1"/>
  <c r="O1743" i="1"/>
  <c r="L1743" i="1"/>
  <c r="K1743" i="1"/>
  <c r="J1743" i="1"/>
  <c r="I1743" i="1"/>
  <c r="H1743" i="1"/>
  <c r="G1743" i="1"/>
  <c r="F1743" i="1"/>
  <c r="E1743" i="1"/>
  <c r="D1743" i="1"/>
  <c r="C1743" i="1"/>
  <c r="B1743" i="1"/>
  <c r="A1743" i="1"/>
  <c r="O1742" i="1"/>
  <c r="L1742" i="1"/>
  <c r="K1742" i="1"/>
  <c r="J1742" i="1"/>
  <c r="I1742" i="1"/>
  <c r="H1742" i="1"/>
  <c r="G1742" i="1"/>
  <c r="F1742" i="1"/>
  <c r="E1742" i="1"/>
  <c r="D1742" i="1"/>
  <c r="C1742" i="1"/>
  <c r="B1742" i="1"/>
  <c r="A1742" i="1"/>
  <c r="O1741" i="1"/>
  <c r="L1741" i="1"/>
  <c r="K1741" i="1"/>
  <c r="J1741" i="1"/>
  <c r="I1741" i="1"/>
  <c r="H1741" i="1"/>
  <c r="G1741" i="1"/>
  <c r="F1741" i="1"/>
  <c r="E1741" i="1"/>
  <c r="D1741" i="1"/>
  <c r="C1741" i="1"/>
  <c r="B1741" i="1"/>
  <c r="A1741" i="1"/>
  <c r="O1740" i="1"/>
  <c r="L1740" i="1"/>
  <c r="K1740" i="1"/>
  <c r="J1740" i="1"/>
  <c r="I1740" i="1"/>
  <c r="H1740" i="1"/>
  <c r="G1740" i="1"/>
  <c r="F1740" i="1"/>
  <c r="E1740" i="1"/>
  <c r="D1740" i="1"/>
  <c r="C1740" i="1"/>
  <c r="B1740" i="1"/>
  <c r="A1740" i="1"/>
  <c r="O1739" i="1"/>
  <c r="L1739" i="1"/>
  <c r="K1739" i="1"/>
  <c r="J1739" i="1"/>
  <c r="I1739" i="1"/>
  <c r="H1739" i="1"/>
  <c r="G1739" i="1"/>
  <c r="F1739" i="1"/>
  <c r="E1739" i="1"/>
  <c r="D1739" i="1"/>
  <c r="C1739" i="1"/>
  <c r="B1739" i="1"/>
  <c r="A1739" i="1"/>
  <c r="O1738" i="1"/>
  <c r="L1738" i="1"/>
  <c r="K1738" i="1"/>
  <c r="J1738" i="1"/>
  <c r="I1738" i="1"/>
  <c r="H1738" i="1"/>
  <c r="G1738" i="1"/>
  <c r="F1738" i="1"/>
  <c r="E1738" i="1"/>
  <c r="D1738" i="1"/>
  <c r="C1738" i="1"/>
  <c r="B1738" i="1"/>
  <c r="A1738" i="1"/>
  <c r="O1737" i="1"/>
  <c r="L1737" i="1"/>
  <c r="K1737" i="1"/>
  <c r="J1737" i="1"/>
  <c r="I1737" i="1"/>
  <c r="H1737" i="1"/>
  <c r="G1737" i="1"/>
  <c r="F1737" i="1"/>
  <c r="E1737" i="1"/>
  <c r="D1737" i="1"/>
  <c r="C1737" i="1"/>
  <c r="B1737" i="1"/>
  <c r="A1737" i="1"/>
  <c r="O1736" i="1"/>
  <c r="L1736" i="1"/>
  <c r="K1736" i="1"/>
  <c r="J1736" i="1"/>
  <c r="I1736" i="1"/>
  <c r="H1736" i="1"/>
  <c r="G1736" i="1"/>
  <c r="F1736" i="1"/>
  <c r="E1736" i="1"/>
  <c r="D1736" i="1"/>
  <c r="C1736" i="1"/>
  <c r="B1736" i="1"/>
  <c r="A1736" i="1"/>
  <c r="O1735" i="1"/>
  <c r="L1735" i="1"/>
  <c r="K1735" i="1"/>
  <c r="J1735" i="1"/>
  <c r="I1735" i="1"/>
  <c r="H1735" i="1"/>
  <c r="G1735" i="1"/>
  <c r="F1735" i="1"/>
  <c r="E1735" i="1"/>
  <c r="D1735" i="1"/>
  <c r="C1735" i="1"/>
  <c r="B1735" i="1"/>
  <c r="A1735" i="1"/>
  <c r="O1734" i="1"/>
  <c r="L1734" i="1"/>
  <c r="K1734" i="1"/>
  <c r="J1734" i="1"/>
  <c r="I1734" i="1"/>
  <c r="H1734" i="1"/>
  <c r="G1734" i="1"/>
  <c r="F1734" i="1"/>
  <c r="E1734" i="1"/>
  <c r="D1734" i="1"/>
  <c r="C1734" i="1"/>
  <c r="B1734" i="1"/>
  <c r="A1734" i="1"/>
  <c r="O1733" i="1"/>
  <c r="L1733" i="1"/>
  <c r="K1733" i="1"/>
  <c r="J1733" i="1"/>
  <c r="I1733" i="1"/>
  <c r="H1733" i="1"/>
  <c r="G1733" i="1"/>
  <c r="F1733" i="1"/>
  <c r="E1733" i="1"/>
  <c r="D1733" i="1"/>
  <c r="C1733" i="1"/>
  <c r="B1733" i="1"/>
  <c r="A1733" i="1"/>
  <c r="O1732" i="1"/>
  <c r="L1732" i="1"/>
  <c r="K1732" i="1"/>
  <c r="J1732" i="1"/>
  <c r="I1732" i="1"/>
  <c r="H1732" i="1"/>
  <c r="G1732" i="1"/>
  <c r="F1732" i="1"/>
  <c r="E1732" i="1"/>
  <c r="D1732" i="1"/>
  <c r="C1732" i="1"/>
  <c r="B1732" i="1"/>
  <c r="A1732" i="1"/>
  <c r="O1731" i="1"/>
  <c r="L1731" i="1"/>
  <c r="K1731" i="1"/>
  <c r="J1731" i="1"/>
  <c r="I1731" i="1"/>
  <c r="H1731" i="1"/>
  <c r="G1731" i="1"/>
  <c r="F1731" i="1"/>
  <c r="E1731" i="1"/>
  <c r="D1731" i="1"/>
  <c r="C1731" i="1"/>
  <c r="B1731" i="1"/>
  <c r="A1731" i="1"/>
  <c r="O1730" i="1"/>
  <c r="L1730" i="1"/>
  <c r="K1730" i="1"/>
  <c r="J1730" i="1"/>
  <c r="I1730" i="1"/>
  <c r="H1730" i="1"/>
  <c r="G1730" i="1"/>
  <c r="F1730" i="1"/>
  <c r="E1730" i="1"/>
  <c r="D1730" i="1"/>
  <c r="C1730" i="1"/>
  <c r="B1730" i="1"/>
  <c r="A1730" i="1"/>
  <c r="O1729" i="1"/>
  <c r="L1729" i="1"/>
  <c r="K1729" i="1"/>
  <c r="J1729" i="1"/>
  <c r="I1729" i="1"/>
  <c r="H1729" i="1"/>
  <c r="G1729" i="1"/>
  <c r="F1729" i="1"/>
  <c r="E1729" i="1"/>
  <c r="D1729" i="1"/>
  <c r="C1729" i="1"/>
  <c r="B1729" i="1"/>
  <c r="A1729" i="1"/>
  <c r="O1728" i="1"/>
  <c r="L1728" i="1"/>
  <c r="K1728" i="1"/>
  <c r="J1728" i="1"/>
  <c r="I1728" i="1"/>
  <c r="H1728" i="1"/>
  <c r="G1728" i="1"/>
  <c r="F1728" i="1"/>
  <c r="E1728" i="1"/>
  <c r="D1728" i="1"/>
  <c r="C1728" i="1"/>
  <c r="B1728" i="1"/>
  <c r="A1728" i="1"/>
  <c r="O1727" i="1"/>
  <c r="L1727" i="1"/>
  <c r="K1727" i="1"/>
  <c r="J1727" i="1"/>
  <c r="I1727" i="1"/>
  <c r="H1727" i="1"/>
  <c r="G1727" i="1"/>
  <c r="F1727" i="1"/>
  <c r="E1727" i="1"/>
  <c r="D1727" i="1"/>
  <c r="C1727" i="1"/>
  <c r="B1727" i="1"/>
  <c r="A1727" i="1"/>
  <c r="O1726" i="1"/>
  <c r="L1726" i="1"/>
  <c r="K1726" i="1"/>
  <c r="J1726" i="1"/>
  <c r="I1726" i="1"/>
  <c r="H1726" i="1"/>
  <c r="G1726" i="1"/>
  <c r="F1726" i="1"/>
  <c r="E1726" i="1"/>
  <c r="D1726" i="1"/>
  <c r="C1726" i="1"/>
  <c r="B1726" i="1"/>
  <c r="A1726" i="1"/>
  <c r="O1725" i="1"/>
  <c r="L1725" i="1"/>
  <c r="K1725" i="1"/>
  <c r="J1725" i="1"/>
  <c r="I1725" i="1"/>
  <c r="H1725" i="1"/>
  <c r="G1725" i="1"/>
  <c r="F1725" i="1"/>
  <c r="E1725" i="1"/>
  <c r="D1725" i="1"/>
  <c r="C1725" i="1"/>
  <c r="B1725" i="1"/>
  <c r="A1725" i="1"/>
  <c r="O1724" i="1"/>
  <c r="L1724" i="1"/>
  <c r="K1724" i="1"/>
  <c r="J1724" i="1"/>
  <c r="I1724" i="1"/>
  <c r="H1724" i="1"/>
  <c r="G1724" i="1"/>
  <c r="F1724" i="1"/>
  <c r="E1724" i="1"/>
  <c r="D1724" i="1"/>
  <c r="C1724" i="1"/>
  <c r="B1724" i="1"/>
  <c r="A1724" i="1"/>
  <c r="O1723" i="1"/>
  <c r="L1723" i="1"/>
  <c r="K1723" i="1"/>
  <c r="J1723" i="1"/>
  <c r="I1723" i="1"/>
  <c r="H1723" i="1"/>
  <c r="G1723" i="1"/>
  <c r="F1723" i="1"/>
  <c r="E1723" i="1"/>
  <c r="D1723" i="1"/>
  <c r="C1723" i="1"/>
  <c r="B1723" i="1"/>
  <c r="A1723" i="1"/>
  <c r="O1722" i="1"/>
  <c r="L1722" i="1"/>
  <c r="K1722" i="1"/>
  <c r="J1722" i="1"/>
  <c r="I1722" i="1"/>
  <c r="H1722" i="1"/>
  <c r="G1722" i="1"/>
  <c r="F1722" i="1"/>
  <c r="E1722" i="1"/>
  <c r="D1722" i="1"/>
  <c r="C1722" i="1"/>
  <c r="B1722" i="1"/>
  <c r="A1722" i="1"/>
  <c r="O1721" i="1"/>
  <c r="L1721" i="1"/>
  <c r="K1721" i="1"/>
  <c r="J1721" i="1"/>
  <c r="I1721" i="1"/>
  <c r="H1721" i="1"/>
  <c r="G1721" i="1"/>
  <c r="F1721" i="1"/>
  <c r="E1721" i="1"/>
  <c r="D1721" i="1"/>
  <c r="C1721" i="1"/>
  <c r="B1721" i="1"/>
  <c r="A1721" i="1"/>
  <c r="O1720" i="1"/>
  <c r="L1720" i="1"/>
  <c r="K1720" i="1"/>
  <c r="J1720" i="1"/>
  <c r="I1720" i="1"/>
  <c r="H1720" i="1"/>
  <c r="G1720" i="1"/>
  <c r="F1720" i="1"/>
  <c r="E1720" i="1"/>
  <c r="D1720" i="1"/>
  <c r="C1720" i="1"/>
  <c r="B1720" i="1"/>
  <c r="A1720" i="1"/>
  <c r="O1719" i="1"/>
  <c r="L1719" i="1"/>
  <c r="K1719" i="1"/>
  <c r="J1719" i="1"/>
  <c r="I1719" i="1"/>
  <c r="H1719" i="1"/>
  <c r="G1719" i="1"/>
  <c r="F1719" i="1"/>
  <c r="E1719" i="1"/>
  <c r="D1719" i="1"/>
  <c r="C1719" i="1"/>
  <c r="B1719" i="1"/>
  <c r="A1719" i="1"/>
  <c r="O1718" i="1"/>
  <c r="L1718" i="1"/>
  <c r="K1718" i="1"/>
  <c r="J1718" i="1"/>
  <c r="I1718" i="1"/>
  <c r="H1718" i="1"/>
  <c r="G1718" i="1"/>
  <c r="F1718" i="1"/>
  <c r="E1718" i="1"/>
  <c r="D1718" i="1"/>
  <c r="C1718" i="1"/>
  <c r="B1718" i="1"/>
  <c r="A1718" i="1"/>
  <c r="O1717" i="1"/>
  <c r="L1717" i="1"/>
  <c r="K1717" i="1"/>
  <c r="J1717" i="1"/>
  <c r="I1717" i="1"/>
  <c r="H1717" i="1"/>
  <c r="G1717" i="1"/>
  <c r="F1717" i="1"/>
  <c r="E1717" i="1"/>
  <c r="D1717" i="1"/>
  <c r="C1717" i="1"/>
  <c r="B1717" i="1"/>
  <c r="A1717" i="1"/>
  <c r="O1716" i="1"/>
  <c r="L1716" i="1"/>
  <c r="K1716" i="1"/>
  <c r="J1716" i="1"/>
  <c r="I1716" i="1"/>
  <c r="H1716" i="1"/>
  <c r="G1716" i="1"/>
  <c r="F1716" i="1"/>
  <c r="E1716" i="1"/>
  <c r="D1716" i="1"/>
  <c r="C1716" i="1"/>
  <c r="B1716" i="1"/>
  <c r="A1716" i="1"/>
  <c r="O1715" i="1"/>
  <c r="L1715" i="1"/>
  <c r="K1715" i="1"/>
  <c r="J1715" i="1"/>
  <c r="I1715" i="1"/>
  <c r="H1715" i="1"/>
  <c r="G1715" i="1"/>
  <c r="F1715" i="1"/>
  <c r="E1715" i="1"/>
  <c r="D1715" i="1"/>
  <c r="C1715" i="1"/>
  <c r="B1715" i="1"/>
  <c r="A1715" i="1"/>
  <c r="O1714" i="1"/>
  <c r="L1714" i="1"/>
  <c r="K1714" i="1"/>
  <c r="J1714" i="1"/>
  <c r="I1714" i="1"/>
  <c r="H1714" i="1"/>
  <c r="G1714" i="1"/>
  <c r="F1714" i="1"/>
  <c r="E1714" i="1"/>
  <c r="D1714" i="1"/>
  <c r="C1714" i="1"/>
  <c r="B1714" i="1"/>
  <c r="A1714" i="1"/>
  <c r="O1713" i="1"/>
  <c r="L1713" i="1"/>
  <c r="K1713" i="1"/>
  <c r="J1713" i="1"/>
  <c r="I1713" i="1"/>
  <c r="H1713" i="1"/>
  <c r="G1713" i="1"/>
  <c r="F1713" i="1"/>
  <c r="E1713" i="1"/>
  <c r="D1713" i="1"/>
  <c r="C1713" i="1"/>
  <c r="B1713" i="1"/>
  <c r="A1713" i="1"/>
  <c r="O1712" i="1"/>
  <c r="L1712" i="1"/>
  <c r="K1712" i="1"/>
  <c r="J1712" i="1"/>
  <c r="I1712" i="1"/>
  <c r="H1712" i="1"/>
  <c r="G1712" i="1"/>
  <c r="F1712" i="1"/>
  <c r="E1712" i="1"/>
  <c r="D1712" i="1"/>
  <c r="C1712" i="1"/>
  <c r="B1712" i="1"/>
  <c r="A1712" i="1"/>
  <c r="O1711" i="1"/>
  <c r="L1711" i="1"/>
  <c r="K1711" i="1"/>
  <c r="J1711" i="1"/>
  <c r="I1711" i="1"/>
  <c r="H1711" i="1"/>
  <c r="G1711" i="1"/>
  <c r="F1711" i="1"/>
  <c r="E1711" i="1"/>
  <c r="D1711" i="1"/>
  <c r="C1711" i="1"/>
  <c r="B1711" i="1"/>
  <c r="A1711" i="1"/>
  <c r="O1710" i="1"/>
  <c r="L1710" i="1"/>
  <c r="K1710" i="1"/>
  <c r="J1710" i="1"/>
  <c r="I1710" i="1"/>
  <c r="H1710" i="1"/>
  <c r="G1710" i="1"/>
  <c r="F1710" i="1"/>
  <c r="E1710" i="1"/>
  <c r="D1710" i="1"/>
  <c r="C1710" i="1"/>
  <c r="B1710" i="1"/>
  <c r="A1710" i="1"/>
  <c r="O1709" i="1"/>
  <c r="L1709" i="1"/>
  <c r="K1709" i="1"/>
  <c r="J1709" i="1"/>
  <c r="I1709" i="1"/>
  <c r="H1709" i="1"/>
  <c r="G1709" i="1"/>
  <c r="F1709" i="1"/>
  <c r="E1709" i="1"/>
  <c r="D1709" i="1"/>
  <c r="C1709" i="1"/>
  <c r="B1709" i="1"/>
  <c r="A1709" i="1"/>
  <c r="O1708" i="1"/>
  <c r="L1708" i="1"/>
  <c r="K1708" i="1"/>
  <c r="J1708" i="1"/>
  <c r="I1708" i="1"/>
  <c r="H1708" i="1"/>
  <c r="G1708" i="1"/>
  <c r="F1708" i="1"/>
  <c r="E1708" i="1"/>
  <c r="D1708" i="1"/>
  <c r="C1708" i="1"/>
  <c r="B1708" i="1"/>
  <c r="A1708" i="1"/>
  <c r="O1707" i="1"/>
  <c r="L1707" i="1"/>
  <c r="K1707" i="1"/>
  <c r="J1707" i="1"/>
  <c r="I1707" i="1"/>
  <c r="H1707" i="1"/>
  <c r="G1707" i="1"/>
  <c r="F1707" i="1"/>
  <c r="E1707" i="1"/>
  <c r="D1707" i="1"/>
  <c r="C1707" i="1"/>
  <c r="B1707" i="1"/>
  <c r="A1707" i="1"/>
  <c r="O1706" i="1"/>
  <c r="L1706" i="1"/>
  <c r="K1706" i="1"/>
  <c r="J1706" i="1"/>
  <c r="I1706" i="1"/>
  <c r="H1706" i="1"/>
  <c r="G1706" i="1"/>
  <c r="F1706" i="1"/>
  <c r="E1706" i="1"/>
  <c r="D1706" i="1"/>
  <c r="C1706" i="1"/>
  <c r="B1706" i="1"/>
  <c r="A1706" i="1"/>
  <c r="O1705" i="1"/>
  <c r="L1705" i="1"/>
  <c r="K1705" i="1"/>
  <c r="J1705" i="1"/>
  <c r="I1705" i="1"/>
  <c r="H1705" i="1"/>
  <c r="G1705" i="1"/>
  <c r="F1705" i="1"/>
  <c r="E1705" i="1"/>
  <c r="D1705" i="1"/>
  <c r="C1705" i="1"/>
  <c r="B1705" i="1"/>
  <c r="A1705" i="1"/>
  <c r="O1704" i="1"/>
  <c r="L1704" i="1"/>
  <c r="K1704" i="1"/>
  <c r="J1704" i="1"/>
  <c r="I1704" i="1"/>
  <c r="H1704" i="1"/>
  <c r="G1704" i="1"/>
  <c r="F1704" i="1"/>
  <c r="E1704" i="1"/>
  <c r="D1704" i="1"/>
  <c r="C1704" i="1"/>
  <c r="B1704" i="1"/>
  <c r="A1704" i="1"/>
  <c r="O1703" i="1"/>
  <c r="L1703" i="1"/>
  <c r="K1703" i="1"/>
  <c r="J1703" i="1"/>
  <c r="I1703" i="1"/>
  <c r="H1703" i="1"/>
  <c r="G1703" i="1"/>
  <c r="F1703" i="1"/>
  <c r="E1703" i="1"/>
  <c r="D1703" i="1"/>
  <c r="C1703" i="1"/>
  <c r="B1703" i="1"/>
  <c r="A1703" i="1"/>
  <c r="O1702" i="1"/>
  <c r="L1702" i="1"/>
  <c r="K1702" i="1"/>
  <c r="J1702" i="1"/>
  <c r="I1702" i="1"/>
  <c r="H1702" i="1"/>
  <c r="G1702" i="1"/>
  <c r="F1702" i="1"/>
  <c r="E1702" i="1"/>
  <c r="D1702" i="1"/>
  <c r="C1702" i="1"/>
  <c r="B1702" i="1"/>
  <c r="A1702" i="1"/>
  <c r="O1701" i="1"/>
  <c r="L1701" i="1"/>
  <c r="K1701" i="1"/>
  <c r="J1701" i="1"/>
  <c r="I1701" i="1"/>
  <c r="H1701" i="1"/>
  <c r="G1701" i="1"/>
  <c r="F1701" i="1"/>
  <c r="E1701" i="1"/>
  <c r="D1701" i="1"/>
  <c r="C1701" i="1"/>
  <c r="B1701" i="1"/>
  <c r="A1701" i="1"/>
  <c r="O1700" i="1"/>
  <c r="L1700" i="1"/>
  <c r="K1700" i="1"/>
  <c r="J1700" i="1"/>
  <c r="I1700" i="1"/>
  <c r="H1700" i="1"/>
  <c r="G1700" i="1"/>
  <c r="F1700" i="1"/>
  <c r="E1700" i="1"/>
  <c r="D1700" i="1"/>
  <c r="C1700" i="1"/>
  <c r="B1700" i="1"/>
  <c r="A1700" i="1"/>
  <c r="O1699" i="1"/>
  <c r="L1699" i="1"/>
  <c r="K1699" i="1"/>
  <c r="J1699" i="1"/>
  <c r="I1699" i="1"/>
  <c r="H1699" i="1"/>
  <c r="G1699" i="1"/>
  <c r="F1699" i="1"/>
  <c r="E1699" i="1"/>
  <c r="D1699" i="1"/>
  <c r="C1699" i="1"/>
  <c r="B1699" i="1"/>
  <c r="A1699" i="1"/>
  <c r="O1698" i="1"/>
  <c r="L1698" i="1"/>
  <c r="K1698" i="1"/>
  <c r="J1698" i="1"/>
  <c r="I1698" i="1"/>
  <c r="H1698" i="1"/>
  <c r="G1698" i="1"/>
  <c r="F1698" i="1"/>
  <c r="E1698" i="1"/>
  <c r="D1698" i="1"/>
  <c r="C1698" i="1"/>
  <c r="B1698" i="1"/>
  <c r="A1698" i="1"/>
  <c r="O1697" i="1"/>
  <c r="L1697" i="1"/>
  <c r="K1697" i="1"/>
  <c r="J1697" i="1"/>
  <c r="I1697" i="1"/>
  <c r="H1697" i="1"/>
  <c r="G1697" i="1"/>
  <c r="F1697" i="1"/>
  <c r="E1697" i="1"/>
  <c r="D1697" i="1"/>
  <c r="C1697" i="1"/>
  <c r="B1697" i="1"/>
  <c r="A1697" i="1"/>
  <c r="O1696" i="1"/>
  <c r="L1696" i="1"/>
  <c r="K1696" i="1"/>
  <c r="J1696" i="1"/>
  <c r="I1696" i="1"/>
  <c r="H1696" i="1"/>
  <c r="G1696" i="1"/>
  <c r="F1696" i="1"/>
  <c r="E1696" i="1"/>
  <c r="D1696" i="1"/>
  <c r="C1696" i="1"/>
  <c r="B1696" i="1"/>
  <c r="A1696" i="1"/>
  <c r="O1695" i="1"/>
  <c r="L1695" i="1"/>
  <c r="K1695" i="1"/>
  <c r="J1695" i="1"/>
  <c r="I1695" i="1"/>
  <c r="H1695" i="1"/>
  <c r="G1695" i="1"/>
  <c r="F1695" i="1"/>
  <c r="E1695" i="1"/>
  <c r="D1695" i="1"/>
  <c r="C1695" i="1"/>
  <c r="B1695" i="1"/>
  <c r="A1695" i="1"/>
  <c r="O1694" i="1"/>
  <c r="L1694" i="1"/>
  <c r="K1694" i="1"/>
  <c r="J1694" i="1"/>
  <c r="I1694" i="1"/>
  <c r="H1694" i="1"/>
  <c r="G1694" i="1"/>
  <c r="F1694" i="1"/>
  <c r="E1694" i="1"/>
  <c r="D1694" i="1"/>
  <c r="C1694" i="1"/>
  <c r="B1694" i="1"/>
  <c r="A1694" i="1"/>
  <c r="O1693" i="1"/>
  <c r="L1693" i="1"/>
  <c r="K1693" i="1"/>
  <c r="J1693" i="1"/>
  <c r="I1693" i="1"/>
  <c r="H1693" i="1"/>
  <c r="G1693" i="1"/>
  <c r="F1693" i="1"/>
  <c r="E1693" i="1"/>
  <c r="D1693" i="1"/>
  <c r="C1693" i="1"/>
  <c r="B1693" i="1"/>
  <c r="A1693" i="1"/>
  <c r="O1692" i="1"/>
  <c r="L1692" i="1"/>
  <c r="K1692" i="1"/>
  <c r="J1692" i="1"/>
  <c r="I1692" i="1"/>
  <c r="H1692" i="1"/>
  <c r="G1692" i="1"/>
  <c r="F1692" i="1"/>
  <c r="E1692" i="1"/>
  <c r="D1692" i="1"/>
  <c r="C1692" i="1"/>
  <c r="B1692" i="1"/>
  <c r="A1692" i="1"/>
  <c r="O1691" i="1"/>
  <c r="L1691" i="1"/>
  <c r="K1691" i="1"/>
  <c r="J1691" i="1"/>
  <c r="I1691" i="1"/>
  <c r="H1691" i="1"/>
  <c r="G1691" i="1"/>
  <c r="F1691" i="1"/>
  <c r="E1691" i="1"/>
  <c r="D1691" i="1"/>
  <c r="C1691" i="1"/>
  <c r="B1691" i="1"/>
  <c r="A1691" i="1"/>
  <c r="O1690" i="1"/>
  <c r="L1690" i="1"/>
  <c r="K1690" i="1"/>
  <c r="J1690" i="1"/>
  <c r="I1690" i="1"/>
  <c r="H1690" i="1"/>
  <c r="G1690" i="1"/>
  <c r="F1690" i="1"/>
  <c r="E1690" i="1"/>
  <c r="D1690" i="1"/>
  <c r="C1690" i="1"/>
  <c r="B1690" i="1"/>
  <c r="A1690" i="1"/>
  <c r="O1689" i="1"/>
  <c r="L1689" i="1"/>
  <c r="K1689" i="1"/>
  <c r="J1689" i="1"/>
  <c r="I1689" i="1"/>
  <c r="H1689" i="1"/>
  <c r="G1689" i="1"/>
  <c r="F1689" i="1"/>
  <c r="E1689" i="1"/>
  <c r="D1689" i="1"/>
  <c r="C1689" i="1"/>
  <c r="B1689" i="1"/>
  <c r="A1689" i="1"/>
  <c r="O1688" i="1"/>
  <c r="L1688" i="1"/>
  <c r="K1688" i="1"/>
  <c r="J1688" i="1"/>
  <c r="I1688" i="1"/>
  <c r="H1688" i="1"/>
  <c r="G1688" i="1"/>
  <c r="F1688" i="1"/>
  <c r="E1688" i="1"/>
  <c r="D1688" i="1"/>
  <c r="C1688" i="1"/>
  <c r="B1688" i="1"/>
  <c r="A1688" i="1"/>
  <c r="O1687" i="1"/>
  <c r="L1687" i="1"/>
  <c r="K1687" i="1"/>
  <c r="J1687" i="1"/>
  <c r="I1687" i="1"/>
  <c r="H1687" i="1"/>
  <c r="G1687" i="1"/>
  <c r="F1687" i="1"/>
  <c r="E1687" i="1"/>
  <c r="D1687" i="1"/>
  <c r="C1687" i="1"/>
  <c r="B1687" i="1"/>
  <c r="A1687" i="1"/>
  <c r="O1686" i="1"/>
  <c r="L1686" i="1"/>
  <c r="K1686" i="1"/>
  <c r="J1686" i="1"/>
  <c r="I1686" i="1"/>
  <c r="H1686" i="1"/>
  <c r="G1686" i="1"/>
  <c r="F1686" i="1"/>
  <c r="E1686" i="1"/>
  <c r="D1686" i="1"/>
  <c r="C1686" i="1"/>
  <c r="B1686" i="1"/>
  <c r="A1686" i="1"/>
  <c r="O1685" i="1"/>
  <c r="L1685" i="1"/>
  <c r="K1685" i="1"/>
  <c r="J1685" i="1"/>
  <c r="I1685" i="1"/>
  <c r="H1685" i="1"/>
  <c r="G1685" i="1"/>
  <c r="F1685" i="1"/>
  <c r="E1685" i="1"/>
  <c r="D1685" i="1"/>
  <c r="C1685" i="1"/>
  <c r="B1685" i="1"/>
  <c r="A1685" i="1"/>
  <c r="P1684" i="1"/>
  <c r="O1684" i="1"/>
  <c r="L1684" i="1"/>
  <c r="K1684" i="1"/>
  <c r="J1684" i="1"/>
  <c r="I1684" i="1"/>
  <c r="H1684" i="1"/>
  <c r="G1684" i="1"/>
  <c r="F1684" i="1"/>
  <c r="E1684" i="1"/>
  <c r="D1684" i="1"/>
  <c r="C1684" i="1"/>
  <c r="B1684" i="1"/>
  <c r="A1684" i="1"/>
  <c r="O1683" i="1"/>
  <c r="L1683" i="1"/>
  <c r="K1683" i="1"/>
  <c r="J1683" i="1"/>
  <c r="I1683" i="1"/>
  <c r="H1683" i="1"/>
  <c r="G1683" i="1"/>
  <c r="F1683" i="1"/>
  <c r="E1683" i="1"/>
  <c r="D1683" i="1"/>
  <c r="C1683" i="1"/>
  <c r="B1683" i="1"/>
  <c r="A1683" i="1"/>
  <c r="O1682" i="1"/>
  <c r="L1682" i="1"/>
  <c r="K1682" i="1"/>
  <c r="J1682" i="1"/>
  <c r="I1682" i="1"/>
  <c r="H1682" i="1"/>
  <c r="G1682" i="1"/>
  <c r="F1682" i="1"/>
  <c r="E1682" i="1"/>
  <c r="D1682" i="1"/>
  <c r="C1682" i="1"/>
  <c r="B1682" i="1"/>
  <c r="A1682" i="1"/>
  <c r="O1681" i="1"/>
  <c r="L1681" i="1"/>
  <c r="K1681" i="1"/>
  <c r="J1681" i="1"/>
  <c r="I1681" i="1"/>
  <c r="H1681" i="1"/>
  <c r="G1681" i="1"/>
  <c r="F1681" i="1"/>
  <c r="E1681" i="1"/>
  <c r="D1681" i="1"/>
  <c r="C1681" i="1"/>
  <c r="B1681" i="1"/>
  <c r="A1681" i="1"/>
  <c r="O1680" i="1"/>
  <c r="L1680" i="1"/>
  <c r="K1680" i="1"/>
  <c r="J1680" i="1"/>
  <c r="I1680" i="1"/>
  <c r="H1680" i="1"/>
  <c r="G1680" i="1"/>
  <c r="F1680" i="1"/>
  <c r="E1680" i="1"/>
  <c r="D1680" i="1"/>
  <c r="C1680" i="1"/>
  <c r="B1680" i="1"/>
  <c r="A1680" i="1"/>
  <c r="O1679" i="1"/>
  <c r="L1679" i="1"/>
  <c r="K1679" i="1"/>
  <c r="J1679" i="1"/>
  <c r="I1679" i="1"/>
  <c r="H1679" i="1"/>
  <c r="G1679" i="1"/>
  <c r="F1679" i="1"/>
  <c r="E1679" i="1"/>
  <c r="D1679" i="1"/>
  <c r="C1679" i="1"/>
  <c r="B1679" i="1"/>
  <c r="A1679" i="1"/>
  <c r="O1678" i="1"/>
  <c r="L1678" i="1"/>
  <c r="K1678" i="1"/>
  <c r="J1678" i="1"/>
  <c r="I1678" i="1"/>
  <c r="H1678" i="1"/>
  <c r="G1678" i="1"/>
  <c r="F1678" i="1"/>
  <c r="E1678" i="1"/>
  <c r="D1678" i="1"/>
  <c r="C1678" i="1"/>
  <c r="B1678" i="1"/>
  <c r="A1678" i="1"/>
  <c r="O1677" i="1"/>
  <c r="L1677" i="1"/>
  <c r="K1677" i="1"/>
  <c r="J1677" i="1"/>
  <c r="I1677" i="1"/>
  <c r="H1677" i="1"/>
  <c r="G1677" i="1"/>
  <c r="F1677" i="1"/>
  <c r="E1677" i="1"/>
  <c r="D1677" i="1"/>
  <c r="C1677" i="1"/>
  <c r="B1677" i="1"/>
  <c r="A1677" i="1"/>
  <c r="O1676" i="1"/>
  <c r="L1676" i="1"/>
  <c r="K1676" i="1"/>
  <c r="J1676" i="1"/>
  <c r="I1676" i="1"/>
  <c r="H1676" i="1"/>
  <c r="G1676" i="1"/>
  <c r="F1676" i="1"/>
  <c r="E1676" i="1"/>
  <c r="D1676" i="1"/>
  <c r="C1676" i="1"/>
  <c r="B1676" i="1"/>
  <c r="A1676" i="1"/>
  <c r="O1675" i="1"/>
  <c r="L1675" i="1"/>
  <c r="K1675" i="1"/>
  <c r="J1675" i="1"/>
  <c r="I1675" i="1"/>
  <c r="H1675" i="1"/>
  <c r="G1675" i="1"/>
  <c r="F1675" i="1"/>
  <c r="E1675" i="1"/>
  <c r="D1675" i="1"/>
  <c r="C1675" i="1"/>
  <c r="B1675" i="1"/>
  <c r="A1675" i="1"/>
  <c r="O1674" i="1"/>
  <c r="L1674" i="1"/>
  <c r="K1674" i="1"/>
  <c r="J1674" i="1"/>
  <c r="I1674" i="1"/>
  <c r="H1674" i="1"/>
  <c r="G1674" i="1"/>
  <c r="F1674" i="1"/>
  <c r="E1674" i="1"/>
  <c r="D1674" i="1"/>
  <c r="C1674" i="1"/>
  <c r="B1674" i="1"/>
  <c r="A1674" i="1"/>
  <c r="O1673" i="1"/>
  <c r="L1673" i="1"/>
  <c r="K1673" i="1"/>
  <c r="J1673" i="1"/>
  <c r="I1673" i="1"/>
  <c r="H1673" i="1"/>
  <c r="G1673" i="1"/>
  <c r="F1673" i="1"/>
  <c r="E1673" i="1"/>
  <c r="D1673" i="1"/>
  <c r="C1673" i="1"/>
  <c r="B1673" i="1"/>
  <c r="A1673" i="1"/>
  <c r="O1672" i="1"/>
  <c r="L1672" i="1"/>
  <c r="K1672" i="1"/>
  <c r="J1672" i="1"/>
  <c r="I1672" i="1"/>
  <c r="H1672" i="1"/>
  <c r="G1672" i="1"/>
  <c r="F1672" i="1"/>
  <c r="E1672" i="1"/>
  <c r="D1672" i="1"/>
  <c r="C1672" i="1"/>
  <c r="B1672" i="1"/>
  <c r="A1672" i="1"/>
  <c r="O1671" i="1"/>
  <c r="L1671" i="1"/>
  <c r="K1671" i="1"/>
  <c r="J1671" i="1"/>
  <c r="I1671" i="1"/>
  <c r="H1671" i="1"/>
  <c r="G1671" i="1"/>
  <c r="F1671" i="1"/>
  <c r="E1671" i="1"/>
  <c r="D1671" i="1"/>
  <c r="C1671" i="1"/>
  <c r="B1671" i="1"/>
  <c r="A1671" i="1"/>
  <c r="O1670" i="1"/>
  <c r="L1670" i="1"/>
  <c r="K1670" i="1"/>
  <c r="J1670" i="1"/>
  <c r="I1670" i="1"/>
  <c r="H1670" i="1"/>
  <c r="G1670" i="1"/>
  <c r="F1670" i="1"/>
  <c r="E1670" i="1"/>
  <c r="D1670" i="1"/>
  <c r="C1670" i="1"/>
  <c r="B1670" i="1"/>
  <c r="A1670" i="1"/>
  <c r="O1669" i="1"/>
  <c r="L1669" i="1"/>
  <c r="K1669" i="1"/>
  <c r="J1669" i="1"/>
  <c r="I1669" i="1"/>
  <c r="H1669" i="1"/>
  <c r="G1669" i="1"/>
  <c r="F1669" i="1"/>
  <c r="E1669" i="1"/>
  <c r="D1669" i="1"/>
  <c r="C1669" i="1"/>
  <c r="B1669" i="1"/>
  <c r="A1669" i="1"/>
  <c r="O1668" i="1"/>
  <c r="L1668" i="1"/>
  <c r="K1668" i="1"/>
  <c r="J1668" i="1"/>
  <c r="I1668" i="1"/>
  <c r="H1668" i="1"/>
  <c r="G1668" i="1"/>
  <c r="F1668" i="1"/>
  <c r="E1668" i="1"/>
  <c r="D1668" i="1"/>
  <c r="C1668" i="1"/>
  <c r="B1668" i="1"/>
  <c r="A1668" i="1"/>
  <c r="O1667" i="1"/>
  <c r="L1667" i="1"/>
  <c r="K1667" i="1"/>
  <c r="J1667" i="1"/>
  <c r="I1667" i="1"/>
  <c r="H1667" i="1"/>
  <c r="G1667" i="1"/>
  <c r="F1667" i="1"/>
  <c r="E1667" i="1"/>
  <c r="D1667" i="1"/>
  <c r="C1667" i="1"/>
  <c r="B1667" i="1"/>
  <c r="A1667" i="1"/>
  <c r="O1666" i="1"/>
  <c r="L1666" i="1"/>
  <c r="K1666" i="1"/>
  <c r="J1666" i="1"/>
  <c r="I1666" i="1"/>
  <c r="H1666" i="1"/>
  <c r="G1666" i="1"/>
  <c r="F1666" i="1"/>
  <c r="E1666" i="1"/>
  <c r="D1666" i="1"/>
  <c r="C1666" i="1"/>
  <c r="B1666" i="1"/>
  <c r="A1666" i="1"/>
  <c r="O1665" i="1"/>
  <c r="L1665" i="1"/>
  <c r="K1665" i="1"/>
  <c r="J1665" i="1"/>
  <c r="I1665" i="1"/>
  <c r="H1665" i="1"/>
  <c r="G1665" i="1"/>
  <c r="F1665" i="1"/>
  <c r="E1665" i="1"/>
  <c r="D1665" i="1"/>
  <c r="C1665" i="1"/>
  <c r="B1665" i="1"/>
  <c r="A1665" i="1"/>
  <c r="O1664" i="1"/>
  <c r="L1664" i="1"/>
  <c r="K1664" i="1"/>
  <c r="J1664" i="1"/>
  <c r="I1664" i="1"/>
  <c r="H1664" i="1"/>
  <c r="G1664" i="1"/>
  <c r="F1664" i="1"/>
  <c r="E1664" i="1"/>
  <c r="D1664" i="1"/>
  <c r="C1664" i="1"/>
  <c r="B1664" i="1"/>
  <c r="A1664" i="1"/>
  <c r="O1663" i="1"/>
  <c r="L1663" i="1"/>
  <c r="K1663" i="1"/>
  <c r="J1663" i="1"/>
  <c r="I1663" i="1"/>
  <c r="H1663" i="1"/>
  <c r="G1663" i="1"/>
  <c r="F1663" i="1"/>
  <c r="E1663" i="1"/>
  <c r="D1663" i="1"/>
  <c r="C1663" i="1"/>
  <c r="B1663" i="1"/>
  <c r="A1663" i="1"/>
  <c r="O1662" i="1"/>
  <c r="L1662" i="1"/>
  <c r="K1662" i="1"/>
  <c r="J1662" i="1"/>
  <c r="I1662" i="1"/>
  <c r="H1662" i="1"/>
  <c r="G1662" i="1"/>
  <c r="F1662" i="1"/>
  <c r="E1662" i="1"/>
  <c r="D1662" i="1"/>
  <c r="C1662" i="1"/>
  <c r="B1662" i="1"/>
  <c r="A1662" i="1"/>
  <c r="O1661" i="1"/>
  <c r="L1661" i="1"/>
  <c r="K1661" i="1"/>
  <c r="J1661" i="1"/>
  <c r="I1661" i="1"/>
  <c r="H1661" i="1"/>
  <c r="G1661" i="1"/>
  <c r="F1661" i="1"/>
  <c r="E1661" i="1"/>
  <c r="D1661" i="1"/>
  <c r="C1661" i="1"/>
  <c r="B1661" i="1"/>
  <c r="A1661" i="1"/>
  <c r="O1660" i="1"/>
  <c r="L1660" i="1"/>
  <c r="K1660" i="1"/>
  <c r="J1660" i="1"/>
  <c r="I1660" i="1"/>
  <c r="H1660" i="1"/>
  <c r="G1660" i="1"/>
  <c r="F1660" i="1"/>
  <c r="E1660" i="1"/>
  <c r="D1660" i="1"/>
  <c r="C1660" i="1"/>
  <c r="B1660" i="1"/>
  <c r="A1660" i="1"/>
  <c r="O1659" i="1"/>
  <c r="L1659" i="1"/>
  <c r="K1659" i="1"/>
  <c r="J1659" i="1"/>
  <c r="I1659" i="1"/>
  <c r="H1659" i="1"/>
  <c r="G1659" i="1"/>
  <c r="F1659" i="1"/>
  <c r="E1659" i="1"/>
  <c r="D1659" i="1"/>
  <c r="C1659" i="1"/>
  <c r="B1659" i="1"/>
  <c r="A1659" i="1"/>
  <c r="O1658" i="1"/>
  <c r="L1658" i="1"/>
  <c r="K1658" i="1"/>
  <c r="J1658" i="1"/>
  <c r="I1658" i="1"/>
  <c r="H1658" i="1"/>
  <c r="G1658" i="1"/>
  <c r="F1658" i="1"/>
  <c r="E1658" i="1"/>
  <c r="D1658" i="1"/>
  <c r="C1658" i="1"/>
  <c r="B1658" i="1"/>
  <c r="A1658" i="1"/>
  <c r="O1657" i="1"/>
  <c r="L1657" i="1"/>
  <c r="K1657" i="1"/>
  <c r="J1657" i="1"/>
  <c r="I1657" i="1"/>
  <c r="H1657" i="1"/>
  <c r="G1657" i="1"/>
  <c r="F1657" i="1"/>
  <c r="E1657" i="1"/>
  <c r="D1657" i="1"/>
  <c r="C1657" i="1"/>
  <c r="B1657" i="1"/>
  <c r="A1657" i="1"/>
  <c r="O1656" i="1"/>
  <c r="L1656" i="1"/>
  <c r="K1656" i="1"/>
  <c r="J1656" i="1"/>
  <c r="I1656" i="1"/>
  <c r="H1656" i="1"/>
  <c r="G1656" i="1"/>
  <c r="F1656" i="1"/>
  <c r="E1656" i="1"/>
  <c r="D1656" i="1"/>
  <c r="C1656" i="1"/>
  <c r="B1656" i="1"/>
  <c r="A1656" i="1"/>
  <c r="O1655" i="1"/>
  <c r="L1655" i="1"/>
  <c r="K1655" i="1"/>
  <c r="J1655" i="1"/>
  <c r="I1655" i="1"/>
  <c r="H1655" i="1"/>
  <c r="G1655" i="1"/>
  <c r="F1655" i="1"/>
  <c r="E1655" i="1"/>
  <c r="D1655" i="1"/>
  <c r="C1655" i="1"/>
  <c r="B1655" i="1"/>
  <c r="A1655" i="1"/>
  <c r="O1654" i="1"/>
  <c r="L1654" i="1"/>
  <c r="K1654" i="1"/>
  <c r="J1654" i="1"/>
  <c r="I1654" i="1"/>
  <c r="H1654" i="1"/>
  <c r="G1654" i="1"/>
  <c r="F1654" i="1"/>
  <c r="E1654" i="1"/>
  <c r="D1654" i="1"/>
  <c r="C1654" i="1"/>
  <c r="B1654" i="1"/>
  <c r="A1654" i="1"/>
  <c r="O1653" i="1"/>
  <c r="L1653" i="1"/>
  <c r="K1653" i="1"/>
  <c r="J1653" i="1"/>
  <c r="I1653" i="1"/>
  <c r="H1653" i="1"/>
  <c r="G1653" i="1"/>
  <c r="F1653" i="1"/>
  <c r="E1653" i="1"/>
  <c r="D1653" i="1"/>
  <c r="C1653" i="1"/>
  <c r="B1653" i="1"/>
  <c r="A1653" i="1"/>
  <c r="O1652" i="1"/>
  <c r="L1652" i="1"/>
  <c r="K1652" i="1"/>
  <c r="J1652" i="1"/>
  <c r="I1652" i="1"/>
  <c r="H1652" i="1"/>
  <c r="G1652" i="1"/>
  <c r="F1652" i="1"/>
  <c r="E1652" i="1"/>
  <c r="D1652" i="1"/>
  <c r="C1652" i="1"/>
  <c r="B1652" i="1"/>
  <c r="A1652" i="1"/>
  <c r="O1651" i="1"/>
  <c r="L1651" i="1"/>
  <c r="K1651" i="1"/>
  <c r="J1651" i="1"/>
  <c r="I1651" i="1"/>
  <c r="H1651" i="1"/>
  <c r="G1651" i="1"/>
  <c r="F1651" i="1"/>
  <c r="E1651" i="1"/>
  <c r="D1651" i="1"/>
  <c r="C1651" i="1"/>
  <c r="B1651" i="1"/>
  <c r="A1651" i="1"/>
  <c r="O1650" i="1"/>
  <c r="L1650" i="1"/>
  <c r="K1650" i="1"/>
  <c r="J1650" i="1"/>
  <c r="I1650" i="1"/>
  <c r="H1650" i="1"/>
  <c r="G1650" i="1"/>
  <c r="F1650" i="1"/>
  <c r="E1650" i="1"/>
  <c r="D1650" i="1"/>
  <c r="C1650" i="1"/>
  <c r="B1650" i="1"/>
  <c r="A1650" i="1"/>
  <c r="O1649" i="1"/>
  <c r="L1649" i="1"/>
  <c r="K1649" i="1"/>
  <c r="J1649" i="1"/>
  <c r="I1649" i="1"/>
  <c r="H1649" i="1"/>
  <c r="G1649" i="1"/>
  <c r="F1649" i="1"/>
  <c r="E1649" i="1"/>
  <c r="D1649" i="1"/>
  <c r="C1649" i="1"/>
  <c r="B1649" i="1"/>
  <c r="A1649" i="1"/>
  <c r="O1648" i="1"/>
  <c r="L1648" i="1"/>
  <c r="K1648" i="1"/>
  <c r="J1648" i="1"/>
  <c r="I1648" i="1"/>
  <c r="H1648" i="1"/>
  <c r="G1648" i="1"/>
  <c r="F1648" i="1"/>
  <c r="E1648" i="1"/>
  <c r="D1648" i="1"/>
  <c r="C1648" i="1"/>
  <c r="B1648" i="1"/>
  <c r="A1648" i="1"/>
  <c r="O1647" i="1"/>
  <c r="L1647" i="1"/>
  <c r="K1647" i="1"/>
  <c r="J1647" i="1"/>
  <c r="I1647" i="1"/>
  <c r="H1647" i="1"/>
  <c r="G1647" i="1"/>
  <c r="F1647" i="1"/>
  <c r="E1647" i="1"/>
  <c r="D1647" i="1"/>
  <c r="C1647" i="1"/>
  <c r="B1647" i="1"/>
  <c r="A1647" i="1"/>
  <c r="O1646" i="1"/>
  <c r="L1646" i="1"/>
  <c r="K1646" i="1"/>
  <c r="J1646" i="1"/>
  <c r="I1646" i="1"/>
  <c r="H1646" i="1"/>
  <c r="G1646" i="1"/>
  <c r="F1646" i="1"/>
  <c r="E1646" i="1"/>
  <c r="D1646" i="1"/>
  <c r="C1646" i="1"/>
  <c r="B1646" i="1"/>
  <c r="A1646" i="1"/>
  <c r="O1645" i="1"/>
  <c r="L1645" i="1"/>
  <c r="K1645" i="1"/>
  <c r="J1645" i="1"/>
  <c r="I1645" i="1"/>
  <c r="H1645" i="1"/>
  <c r="G1645" i="1"/>
  <c r="F1645" i="1"/>
  <c r="E1645" i="1"/>
  <c r="D1645" i="1"/>
  <c r="C1645" i="1"/>
  <c r="B1645" i="1"/>
  <c r="A1645" i="1"/>
  <c r="O1644" i="1"/>
  <c r="L1644" i="1"/>
  <c r="K1644" i="1"/>
  <c r="J1644" i="1"/>
  <c r="I1644" i="1"/>
  <c r="H1644" i="1"/>
  <c r="G1644" i="1"/>
  <c r="F1644" i="1"/>
  <c r="E1644" i="1"/>
  <c r="D1644" i="1"/>
  <c r="C1644" i="1"/>
  <c r="B1644" i="1"/>
  <c r="A1644" i="1"/>
  <c r="O1643" i="1"/>
  <c r="L1643" i="1"/>
  <c r="K1643" i="1"/>
  <c r="J1643" i="1"/>
  <c r="I1643" i="1"/>
  <c r="H1643" i="1"/>
  <c r="G1643" i="1"/>
  <c r="F1643" i="1"/>
  <c r="E1643" i="1"/>
  <c r="D1643" i="1"/>
  <c r="C1643" i="1"/>
  <c r="B1643" i="1"/>
  <c r="A1643" i="1"/>
  <c r="P1642" i="1"/>
  <c r="O1642" i="1"/>
  <c r="L1642" i="1"/>
  <c r="K1642" i="1"/>
  <c r="J1642" i="1"/>
  <c r="I1642" i="1"/>
  <c r="H1642" i="1"/>
  <c r="G1642" i="1"/>
  <c r="F1642" i="1"/>
  <c r="E1642" i="1"/>
  <c r="D1642" i="1"/>
  <c r="C1642" i="1"/>
  <c r="B1642" i="1"/>
  <c r="A1642" i="1"/>
  <c r="O1641" i="1"/>
  <c r="L1641" i="1"/>
  <c r="K1641" i="1"/>
  <c r="J1641" i="1"/>
  <c r="I1641" i="1"/>
  <c r="H1641" i="1"/>
  <c r="G1641" i="1"/>
  <c r="F1641" i="1"/>
  <c r="E1641" i="1"/>
  <c r="D1641" i="1"/>
  <c r="C1641" i="1"/>
  <c r="B1641" i="1"/>
  <c r="A1641" i="1"/>
  <c r="O1640" i="1"/>
  <c r="L1640" i="1"/>
  <c r="K1640" i="1"/>
  <c r="J1640" i="1"/>
  <c r="I1640" i="1"/>
  <c r="H1640" i="1"/>
  <c r="G1640" i="1"/>
  <c r="F1640" i="1"/>
  <c r="E1640" i="1"/>
  <c r="D1640" i="1"/>
  <c r="C1640" i="1"/>
  <c r="B1640" i="1"/>
  <c r="A1640" i="1"/>
  <c r="O1639" i="1"/>
  <c r="L1639" i="1"/>
  <c r="K1639" i="1"/>
  <c r="J1639" i="1"/>
  <c r="I1639" i="1"/>
  <c r="H1639" i="1"/>
  <c r="G1639" i="1"/>
  <c r="F1639" i="1"/>
  <c r="E1639" i="1"/>
  <c r="D1639" i="1"/>
  <c r="C1639" i="1"/>
  <c r="B1639" i="1"/>
  <c r="A1639" i="1"/>
  <c r="O1638" i="1"/>
  <c r="L1638" i="1"/>
  <c r="K1638" i="1"/>
  <c r="J1638" i="1"/>
  <c r="I1638" i="1"/>
  <c r="H1638" i="1"/>
  <c r="G1638" i="1"/>
  <c r="F1638" i="1"/>
  <c r="E1638" i="1"/>
  <c r="D1638" i="1"/>
  <c r="C1638" i="1"/>
  <c r="B1638" i="1"/>
  <c r="A1638" i="1"/>
  <c r="O1637" i="1"/>
  <c r="L1637" i="1"/>
  <c r="K1637" i="1"/>
  <c r="J1637" i="1"/>
  <c r="I1637" i="1"/>
  <c r="H1637" i="1"/>
  <c r="G1637" i="1"/>
  <c r="F1637" i="1"/>
  <c r="E1637" i="1"/>
  <c r="D1637" i="1"/>
  <c r="C1637" i="1"/>
  <c r="B1637" i="1"/>
  <c r="A1637" i="1"/>
  <c r="O1636" i="1"/>
  <c r="L1636" i="1"/>
  <c r="K1636" i="1"/>
  <c r="J1636" i="1"/>
  <c r="I1636" i="1"/>
  <c r="H1636" i="1"/>
  <c r="G1636" i="1"/>
  <c r="F1636" i="1"/>
  <c r="E1636" i="1"/>
  <c r="D1636" i="1"/>
  <c r="C1636" i="1"/>
  <c r="B1636" i="1"/>
  <c r="A1636" i="1"/>
  <c r="O1635" i="1"/>
  <c r="L1635" i="1"/>
  <c r="K1635" i="1"/>
  <c r="J1635" i="1"/>
  <c r="I1635" i="1"/>
  <c r="H1635" i="1"/>
  <c r="G1635" i="1"/>
  <c r="F1635" i="1"/>
  <c r="E1635" i="1"/>
  <c r="D1635" i="1"/>
  <c r="C1635" i="1"/>
  <c r="B1635" i="1"/>
  <c r="A1635" i="1"/>
  <c r="O1634" i="1"/>
  <c r="L1634" i="1"/>
  <c r="K1634" i="1"/>
  <c r="J1634" i="1"/>
  <c r="I1634" i="1"/>
  <c r="H1634" i="1"/>
  <c r="G1634" i="1"/>
  <c r="F1634" i="1"/>
  <c r="E1634" i="1"/>
  <c r="D1634" i="1"/>
  <c r="C1634" i="1"/>
  <c r="B1634" i="1"/>
  <c r="A1634" i="1"/>
  <c r="O1633" i="1"/>
  <c r="L1633" i="1"/>
  <c r="K1633" i="1"/>
  <c r="J1633" i="1"/>
  <c r="I1633" i="1"/>
  <c r="H1633" i="1"/>
  <c r="G1633" i="1"/>
  <c r="F1633" i="1"/>
  <c r="E1633" i="1"/>
  <c r="D1633" i="1"/>
  <c r="C1633" i="1"/>
  <c r="B1633" i="1"/>
  <c r="A1633" i="1"/>
  <c r="O1632" i="1"/>
  <c r="L1632" i="1"/>
  <c r="K1632" i="1"/>
  <c r="J1632" i="1"/>
  <c r="I1632" i="1"/>
  <c r="H1632" i="1"/>
  <c r="G1632" i="1"/>
  <c r="F1632" i="1"/>
  <c r="E1632" i="1"/>
  <c r="D1632" i="1"/>
  <c r="C1632" i="1"/>
  <c r="B1632" i="1"/>
  <c r="A1632" i="1"/>
  <c r="O1631" i="1"/>
  <c r="L1631" i="1"/>
  <c r="K1631" i="1"/>
  <c r="J1631" i="1"/>
  <c r="I1631" i="1"/>
  <c r="H1631" i="1"/>
  <c r="G1631" i="1"/>
  <c r="F1631" i="1"/>
  <c r="E1631" i="1"/>
  <c r="D1631" i="1"/>
  <c r="C1631" i="1"/>
  <c r="B1631" i="1"/>
  <c r="A1631" i="1"/>
  <c r="O1630" i="1"/>
  <c r="L1630" i="1"/>
  <c r="K1630" i="1"/>
  <c r="J1630" i="1"/>
  <c r="I1630" i="1"/>
  <c r="H1630" i="1"/>
  <c r="G1630" i="1"/>
  <c r="F1630" i="1"/>
  <c r="E1630" i="1"/>
  <c r="D1630" i="1"/>
  <c r="C1630" i="1"/>
  <c r="B1630" i="1"/>
  <c r="A1630" i="1"/>
  <c r="O1629" i="1"/>
  <c r="L1629" i="1"/>
  <c r="K1629" i="1"/>
  <c r="J1629" i="1"/>
  <c r="I1629" i="1"/>
  <c r="H1629" i="1"/>
  <c r="G1629" i="1"/>
  <c r="F1629" i="1"/>
  <c r="E1629" i="1"/>
  <c r="D1629" i="1"/>
  <c r="C1629" i="1"/>
  <c r="B1629" i="1"/>
  <c r="A1629" i="1"/>
  <c r="O1628" i="1"/>
  <c r="L1628" i="1"/>
  <c r="K1628" i="1"/>
  <c r="J1628" i="1"/>
  <c r="I1628" i="1"/>
  <c r="H1628" i="1"/>
  <c r="G1628" i="1"/>
  <c r="F1628" i="1"/>
  <c r="E1628" i="1"/>
  <c r="D1628" i="1"/>
  <c r="C1628" i="1"/>
  <c r="B1628" i="1"/>
  <c r="A1628" i="1"/>
  <c r="O1627" i="1"/>
  <c r="L1627" i="1"/>
  <c r="K1627" i="1"/>
  <c r="J1627" i="1"/>
  <c r="I1627" i="1"/>
  <c r="H1627" i="1"/>
  <c r="G1627" i="1"/>
  <c r="F1627" i="1"/>
  <c r="E1627" i="1"/>
  <c r="D1627" i="1"/>
  <c r="C1627" i="1"/>
  <c r="B1627" i="1"/>
  <c r="A1627" i="1"/>
  <c r="P1626" i="1"/>
  <c r="O1626" i="1"/>
  <c r="L1626" i="1"/>
  <c r="K1626" i="1"/>
  <c r="J1626" i="1"/>
  <c r="I1626" i="1"/>
  <c r="H1626" i="1"/>
  <c r="G1626" i="1"/>
  <c r="F1626" i="1"/>
  <c r="E1626" i="1"/>
  <c r="D1626" i="1"/>
  <c r="C1626" i="1"/>
  <c r="B1626" i="1"/>
  <c r="A1626" i="1"/>
  <c r="O1625" i="1"/>
  <c r="L1625" i="1"/>
  <c r="K1625" i="1"/>
  <c r="J1625" i="1"/>
  <c r="I1625" i="1"/>
  <c r="H1625" i="1"/>
  <c r="G1625" i="1"/>
  <c r="F1625" i="1"/>
  <c r="E1625" i="1"/>
  <c r="D1625" i="1"/>
  <c r="C1625" i="1"/>
  <c r="B1625" i="1"/>
  <c r="A1625" i="1"/>
  <c r="O1624" i="1"/>
  <c r="L1624" i="1"/>
  <c r="K1624" i="1"/>
  <c r="J1624" i="1"/>
  <c r="I1624" i="1"/>
  <c r="H1624" i="1"/>
  <c r="G1624" i="1"/>
  <c r="F1624" i="1"/>
  <c r="E1624" i="1"/>
  <c r="D1624" i="1"/>
  <c r="C1624" i="1"/>
  <c r="B1624" i="1"/>
  <c r="A1624" i="1"/>
  <c r="O1623" i="1"/>
  <c r="L1623" i="1"/>
  <c r="K1623" i="1"/>
  <c r="J1623" i="1"/>
  <c r="I1623" i="1"/>
  <c r="H1623" i="1"/>
  <c r="G1623" i="1"/>
  <c r="F1623" i="1"/>
  <c r="E1623" i="1"/>
  <c r="D1623" i="1"/>
  <c r="C1623" i="1"/>
  <c r="B1623" i="1"/>
  <c r="A1623" i="1"/>
  <c r="O1622" i="1"/>
  <c r="L1622" i="1"/>
  <c r="K1622" i="1"/>
  <c r="J1622" i="1"/>
  <c r="I1622" i="1"/>
  <c r="H1622" i="1"/>
  <c r="G1622" i="1"/>
  <c r="F1622" i="1"/>
  <c r="E1622" i="1"/>
  <c r="D1622" i="1"/>
  <c r="C1622" i="1"/>
  <c r="B1622" i="1"/>
  <c r="A1622" i="1"/>
  <c r="O1621" i="1"/>
  <c r="L1621" i="1"/>
  <c r="K1621" i="1"/>
  <c r="J1621" i="1"/>
  <c r="I1621" i="1"/>
  <c r="H1621" i="1"/>
  <c r="G1621" i="1"/>
  <c r="F1621" i="1"/>
  <c r="E1621" i="1"/>
  <c r="D1621" i="1"/>
  <c r="C1621" i="1"/>
  <c r="B1621" i="1"/>
  <c r="A1621" i="1"/>
  <c r="O1620" i="1"/>
  <c r="L1620" i="1"/>
  <c r="K1620" i="1"/>
  <c r="J1620" i="1"/>
  <c r="I1620" i="1"/>
  <c r="H1620" i="1"/>
  <c r="G1620" i="1"/>
  <c r="F1620" i="1"/>
  <c r="E1620" i="1"/>
  <c r="D1620" i="1"/>
  <c r="C1620" i="1"/>
  <c r="B1620" i="1"/>
  <c r="A1620" i="1"/>
  <c r="O1619" i="1"/>
  <c r="L1619" i="1"/>
  <c r="K1619" i="1"/>
  <c r="J1619" i="1"/>
  <c r="I1619" i="1"/>
  <c r="H1619" i="1"/>
  <c r="G1619" i="1"/>
  <c r="F1619" i="1"/>
  <c r="E1619" i="1"/>
  <c r="D1619" i="1"/>
  <c r="C1619" i="1"/>
  <c r="B1619" i="1"/>
  <c r="A1619" i="1"/>
  <c r="O1618" i="1"/>
  <c r="L1618" i="1"/>
  <c r="K1618" i="1"/>
  <c r="J1618" i="1"/>
  <c r="I1618" i="1"/>
  <c r="H1618" i="1"/>
  <c r="G1618" i="1"/>
  <c r="F1618" i="1"/>
  <c r="E1618" i="1"/>
  <c r="D1618" i="1"/>
  <c r="C1618" i="1"/>
  <c r="B1618" i="1"/>
  <c r="A1618" i="1"/>
  <c r="O1617" i="1"/>
  <c r="L1617" i="1"/>
  <c r="K1617" i="1"/>
  <c r="J1617" i="1"/>
  <c r="I1617" i="1"/>
  <c r="H1617" i="1"/>
  <c r="G1617" i="1"/>
  <c r="F1617" i="1"/>
  <c r="E1617" i="1"/>
  <c r="D1617" i="1"/>
  <c r="C1617" i="1"/>
  <c r="B1617" i="1"/>
  <c r="A1617" i="1"/>
  <c r="O1616" i="1"/>
  <c r="L1616" i="1"/>
  <c r="K1616" i="1"/>
  <c r="J1616" i="1"/>
  <c r="I1616" i="1"/>
  <c r="H1616" i="1"/>
  <c r="G1616" i="1"/>
  <c r="F1616" i="1"/>
  <c r="E1616" i="1"/>
  <c r="D1616" i="1"/>
  <c r="C1616" i="1"/>
  <c r="B1616" i="1"/>
  <c r="A1616" i="1"/>
  <c r="O1615" i="1"/>
  <c r="L1615" i="1"/>
  <c r="K1615" i="1"/>
  <c r="J1615" i="1"/>
  <c r="I1615" i="1"/>
  <c r="H1615" i="1"/>
  <c r="G1615" i="1"/>
  <c r="F1615" i="1"/>
  <c r="E1615" i="1"/>
  <c r="D1615" i="1"/>
  <c r="C1615" i="1"/>
  <c r="B1615" i="1"/>
  <c r="A1615" i="1"/>
  <c r="O1614" i="1"/>
  <c r="L1614" i="1"/>
  <c r="K1614" i="1"/>
  <c r="J1614" i="1"/>
  <c r="I1614" i="1"/>
  <c r="H1614" i="1"/>
  <c r="G1614" i="1"/>
  <c r="F1614" i="1"/>
  <c r="E1614" i="1"/>
  <c r="D1614" i="1"/>
  <c r="C1614" i="1"/>
  <c r="B1614" i="1"/>
  <c r="A1614" i="1"/>
  <c r="O1613" i="1"/>
  <c r="L1613" i="1"/>
  <c r="K1613" i="1"/>
  <c r="J1613" i="1"/>
  <c r="I1613" i="1"/>
  <c r="H1613" i="1"/>
  <c r="G1613" i="1"/>
  <c r="F1613" i="1"/>
  <c r="E1613" i="1"/>
  <c r="D1613" i="1"/>
  <c r="C1613" i="1"/>
  <c r="B1613" i="1"/>
  <c r="A1613" i="1"/>
  <c r="O1612" i="1"/>
  <c r="L1612" i="1"/>
  <c r="K1612" i="1"/>
  <c r="J1612" i="1"/>
  <c r="I1612" i="1"/>
  <c r="H1612" i="1"/>
  <c r="G1612" i="1"/>
  <c r="F1612" i="1"/>
  <c r="E1612" i="1"/>
  <c r="D1612" i="1"/>
  <c r="C1612" i="1"/>
  <c r="B1612" i="1"/>
  <c r="A1612" i="1"/>
  <c r="O1611" i="1"/>
  <c r="L1611" i="1"/>
  <c r="K1611" i="1"/>
  <c r="J1611" i="1"/>
  <c r="I1611" i="1"/>
  <c r="H1611" i="1"/>
  <c r="G1611" i="1"/>
  <c r="F1611" i="1"/>
  <c r="E1611" i="1"/>
  <c r="D1611" i="1"/>
  <c r="C1611" i="1"/>
  <c r="B1611" i="1"/>
  <c r="A1611" i="1"/>
  <c r="O1610" i="1"/>
  <c r="L1610" i="1"/>
  <c r="K1610" i="1"/>
  <c r="J1610" i="1"/>
  <c r="I1610" i="1"/>
  <c r="H1610" i="1"/>
  <c r="G1610" i="1"/>
  <c r="F1610" i="1"/>
  <c r="E1610" i="1"/>
  <c r="D1610" i="1"/>
  <c r="C1610" i="1"/>
  <c r="B1610" i="1"/>
  <c r="A1610" i="1"/>
  <c r="O1609" i="1"/>
  <c r="L1609" i="1"/>
  <c r="K1609" i="1"/>
  <c r="J1609" i="1"/>
  <c r="I1609" i="1"/>
  <c r="H1609" i="1"/>
  <c r="G1609" i="1"/>
  <c r="F1609" i="1"/>
  <c r="E1609" i="1"/>
  <c r="D1609" i="1"/>
  <c r="C1609" i="1"/>
  <c r="B1609" i="1"/>
  <c r="A1609" i="1"/>
  <c r="O1608" i="1"/>
  <c r="L1608" i="1"/>
  <c r="K1608" i="1"/>
  <c r="J1608" i="1"/>
  <c r="I1608" i="1"/>
  <c r="H1608" i="1"/>
  <c r="G1608" i="1"/>
  <c r="F1608" i="1"/>
  <c r="E1608" i="1"/>
  <c r="D1608" i="1"/>
  <c r="C1608" i="1"/>
  <c r="B1608" i="1"/>
  <c r="A1608" i="1"/>
  <c r="O1607" i="1"/>
  <c r="L1607" i="1"/>
  <c r="K1607" i="1"/>
  <c r="J1607" i="1"/>
  <c r="I1607" i="1"/>
  <c r="H1607" i="1"/>
  <c r="G1607" i="1"/>
  <c r="F1607" i="1"/>
  <c r="E1607" i="1"/>
  <c r="D1607" i="1"/>
  <c r="C1607" i="1"/>
  <c r="B1607" i="1"/>
  <c r="A1607" i="1"/>
  <c r="O1606" i="1"/>
  <c r="L1606" i="1"/>
  <c r="K1606" i="1"/>
  <c r="J1606" i="1"/>
  <c r="I1606" i="1"/>
  <c r="H1606" i="1"/>
  <c r="G1606" i="1"/>
  <c r="F1606" i="1"/>
  <c r="E1606" i="1"/>
  <c r="D1606" i="1"/>
  <c r="C1606" i="1"/>
  <c r="B1606" i="1"/>
  <c r="A1606" i="1"/>
  <c r="O1605" i="1"/>
  <c r="L1605" i="1"/>
  <c r="K1605" i="1"/>
  <c r="J1605" i="1"/>
  <c r="I1605" i="1"/>
  <c r="H1605" i="1"/>
  <c r="G1605" i="1"/>
  <c r="F1605" i="1"/>
  <c r="E1605" i="1"/>
  <c r="D1605" i="1"/>
  <c r="C1605" i="1"/>
  <c r="B1605" i="1"/>
  <c r="A1605" i="1"/>
  <c r="O1604" i="1"/>
  <c r="L1604" i="1"/>
  <c r="K1604" i="1"/>
  <c r="J1604" i="1"/>
  <c r="I1604" i="1"/>
  <c r="H1604" i="1"/>
  <c r="G1604" i="1"/>
  <c r="F1604" i="1"/>
  <c r="E1604" i="1"/>
  <c r="D1604" i="1"/>
  <c r="C1604" i="1"/>
  <c r="B1604" i="1"/>
  <c r="A1604" i="1"/>
  <c r="O1603" i="1"/>
  <c r="L1603" i="1"/>
  <c r="K1603" i="1"/>
  <c r="J1603" i="1"/>
  <c r="I1603" i="1"/>
  <c r="H1603" i="1"/>
  <c r="G1603" i="1"/>
  <c r="F1603" i="1"/>
  <c r="E1603" i="1"/>
  <c r="D1603" i="1"/>
  <c r="C1603" i="1"/>
  <c r="B1603" i="1"/>
  <c r="A1603" i="1"/>
  <c r="O1602" i="1"/>
  <c r="L1602" i="1"/>
  <c r="K1602" i="1"/>
  <c r="J1602" i="1"/>
  <c r="I1602" i="1"/>
  <c r="H1602" i="1"/>
  <c r="G1602" i="1"/>
  <c r="F1602" i="1"/>
  <c r="E1602" i="1"/>
  <c r="D1602" i="1"/>
  <c r="C1602" i="1"/>
  <c r="B1602" i="1"/>
  <c r="A1602" i="1"/>
  <c r="O1601" i="1"/>
  <c r="L1601" i="1"/>
  <c r="K1601" i="1"/>
  <c r="J1601" i="1"/>
  <c r="I1601" i="1"/>
  <c r="H1601" i="1"/>
  <c r="G1601" i="1"/>
  <c r="F1601" i="1"/>
  <c r="E1601" i="1"/>
  <c r="D1601" i="1"/>
  <c r="C1601" i="1"/>
  <c r="B1601" i="1"/>
  <c r="A1601" i="1"/>
  <c r="O1600" i="1"/>
  <c r="L1600" i="1"/>
  <c r="K1600" i="1"/>
  <c r="J1600" i="1"/>
  <c r="I1600" i="1"/>
  <c r="H1600" i="1"/>
  <c r="G1600" i="1"/>
  <c r="F1600" i="1"/>
  <c r="E1600" i="1"/>
  <c r="D1600" i="1"/>
  <c r="C1600" i="1"/>
  <c r="B1600" i="1"/>
  <c r="A1600" i="1"/>
  <c r="O1599" i="1"/>
  <c r="L1599" i="1"/>
  <c r="K1599" i="1"/>
  <c r="J1599" i="1"/>
  <c r="I1599" i="1"/>
  <c r="H1599" i="1"/>
  <c r="G1599" i="1"/>
  <c r="F1599" i="1"/>
  <c r="E1599" i="1"/>
  <c r="D1599" i="1"/>
  <c r="C1599" i="1"/>
  <c r="B1599" i="1"/>
  <c r="A1599" i="1"/>
  <c r="O1598" i="1"/>
  <c r="L1598" i="1"/>
  <c r="K1598" i="1"/>
  <c r="J1598" i="1"/>
  <c r="I1598" i="1"/>
  <c r="H1598" i="1"/>
  <c r="G1598" i="1"/>
  <c r="F1598" i="1"/>
  <c r="E1598" i="1"/>
  <c r="D1598" i="1"/>
  <c r="C1598" i="1"/>
  <c r="B1598" i="1"/>
  <c r="A1598" i="1"/>
  <c r="O1597" i="1"/>
  <c r="L1597" i="1"/>
  <c r="K1597" i="1"/>
  <c r="J1597" i="1"/>
  <c r="I1597" i="1"/>
  <c r="H1597" i="1"/>
  <c r="G1597" i="1"/>
  <c r="F1597" i="1"/>
  <c r="E1597" i="1"/>
  <c r="D1597" i="1"/>
  <c r="C1597" i="1"/>
  <c r="B1597" i="1"/>
  <c r="A1597" i="1"/>
  <c r="O1596" i="1"/>
  <c r="L1596" i="1"/>
  <c r="K1596" i="1"/>
  <c r="J1596" i="1"/>
  <c r="I1596" i="1"/>
  <c r="H1596" i="1"/>
  <c r="G1596" i="1"/>
  <c r="F1596" i="1"/>
  <c r="E1596" i="1"/>
  <c r="D1596" i="1"/>
  <c r="C1596" i="1"/>
  <c r="B1596" i="1"/>
  <c r="A1596" i="1"/>
  <c r="O1595" i="1"/>
  <c r="L1595" i="1"/>
  <c r="K1595" i="1"/>
  <c r="J1595" i="1"/>
  <c r="I1595" i="1"/>
  <c r="H1595" i="1"/>
  <c r="G1595" i="1"/>
  <c r="F1595" i="1"/>
  <c r="E1595" i="1"/>
  <c r="D1595" i="1"/>
  <c r="C1595" i="1"/>
  <c r="B1595" i="1"/>
  <c r="A1595" i="1"/>
  <c r="O1594" i="1"/>
  <c r="L1594" i="1"/>
  <c r="K1594" i="1"/>
  <c r="J1594" i="1"/>
  <c r="I1594" i="1"/>
  <c r="H1594" i="1"/>
  <c r="G1594" i="1"/>
  <c r="F1594" i="1"/>
  <c r="E1594" i="1"/>
  <c r="D1594" i="1"/>
  <c r="C1594" i="1"/>
  <c r="B1594" i="1"/>
  <c r="A1594" i="1"/>
  <c r="O1593" i="1"/>
  <c r="L1593" i="1"/>
  <c r="K1593" i="1"/>
  <c r="J1593" i="1"/>
  <c r="I1593" i="1"/>
  <c r="H1593" i="1"/>
  <c r="G1593" i="1"/>
  <c r="F1593" i="1"/>
  <c r="E1593" i="1"/>
  <c r="D1593" i="1"/>
  <c r="C1593" i="1"/>
  <c r="B1593" i="1"/>
  <c r="A1593" i="1"/>
  <c r="O1592" i="1"/>
  <c r="L1592" i="1"/>
  <c r="K1592" i="1"/>
  <c r="J1592" i="1"/>
  <c r="I1592" i="1"/>
  <c r="H1592" i="1"/>
  <c r="G1592" i="1"/>
  <c r="F1592" i="1"/>
  <c r="E1592" i="1"/>
  <c r="D1592" i="1"/>
  <c r="C1592" i="1"/>
  <c r="B1592" i="1"/>
  <c r="A1592" i="1"/>
  <c r="O1591" i="1"/>
  <c r="L1591" i="1"/>
  <c r="K1591" i="1"/>
  <c r="J1591" i="1"/>
  <c r="I1591" i="1"/>
  <c r="H1591" i="1"/>
  <c r="G1591" i="1"/>
  <c r="F1591" i="1"/>
  <c r="E1591" i="1"/>
  <c r="D1591" i="1"/>
  <c r="C1591" i="1"/>
  <c r="B1591" i="1"/>
  <c r="A1591" i="1"/>
  <c r="O1590" i="1"/>
  <c r="L1590" i="1"/>
  <c r="K1590" i="1"/>
  <c r="J1590" i="1"/>
  <c r="I1590" i="1"/>
  <c r="H1590" i="1"/>
  <c r="G1590" i="1"/>
  <c r="F1590" i="1"/>
  <c r="E1590" i="1"/>
  <c r="D1590" i="1"/>
  <c r="C1590" i="1"/>
  <c r="B1590" i="1"/>
  <c r="A1590" i="1"/>
  <c r="O1589" i="1"/>
  <c r="L1589" i="1"/>
  <c r="K1589" i="1"/>
  <c r="J1589" i="1"/>
  <c r="I1589" i="1"/>
  <c r="H1589" i="1"/>
  <c r="G1589" i="1"/>
  <c r="F1589" i="1"/>
  <c r="E1589" i="1"/>
  <c r="D1589" i="1"/>
  <c r="C1589" i="1"/>
  <c r="B1589" i="1"/>
  <c r="A1589" i="1"/>
  <c r="O1588" i="1"/>
  <c r="L1588" i="1"/>
  <c r="K1588" i="1"/>
  <c r="J1588" i="1"/>
  <c r="I1588" i="1"/>
  <c r="H1588" i="1"/>
  <c r="G1588" i="1"/>
  <c r="F1588" i="1"/>
  <c r="E1588" i="1"/>
  <c r="D1588" i="1"/>
  <c r="C1588" i="1"/>
  <c r="B1588" i="1"/>
  <c r="A1588" i="1"/>
  <c r="O1587" i="1"/>
  <c r="L1587" i="1"/>
  <c r="K1587" i="1"/>
  <c r="J1587" i="1"/>
  <c r="I1587" i="1"/>
  <c r="H1587" i="1"/>
  <c r="G1587" i="1"/>
  <c r="F1587" i="1"/>
  <c r="E1587" i="1"/>
  <c r="D1587" i="1"/>
  <c r="C1587" i="1"/>
  <c r="B1587" i="1"/>
  <c r="A1587" i="1"/>
  <c r="O1586" i="1"/>
  <c r="L1586" i="1"/>
  <c r="K1586" i="1"/>
  <c r="J1586" i="1"/>
  <c r="I1586" i="1"/>
  <c r="H1586" i="1"/>
  <c r="G1586" i="1"/>
  <c r="F1586" i="1"/>
  <c r="E1586" i="1"/>
  <c r="D1586" i="1"/>
  <c r="C1586" i="1"/>
  <c r="B1586" i="1"/>
  <c r="A1586" i="1"/>
  <c r="O1585" i="1"/>
  <c r="L1585" i="1"/>
  <c r="K1585" i="1"/>
  <c r="J1585" i="1"/>
  <c r="I1585" i="1"/>
  <c r="H1585" i="1"/>
  <c r="G1585" i="1"/>
  <c r="F1585" i="1"/>
  <c r="E1585" i="1"/>
  <c r="D1585" i="1"/>
  <c r="C1585" i="1"/>
  <c r="B1585" i="1"/>
  <c r="A1585" i="1"/>
  <c r="P1584" i="1"/>
  <c r="O1584" i="1"/>
  <c r="L1584" i="1"/>
  <c r="K1584" i="1"/>
  <c r="J1584" i="1"/>
  <c r="I1584" i="1"/>
  <c r="H1584" i="1"/>
  <c r="G1584" i="1"/>
  <c r="F1584" i="1"/>
  <c r="E1584" i="1"/>
  <c r="D1584" i="1"/>
  <c r="C1584" i="1"/>
  <c r="B1584" i="1"/>
  <c r="A1584" i="1"/>
  <c r="O1583" i="1"/>
  <c r="L1583" i="1"/>
  <c r="K1583" i="1"/>
  <c r="J1583" i="1"/>
  <c r="I1583" i="1"/>
  <c r="H1583" i="1"/>
  <c r="G1583" i="1"/>
  <c r="F1583" i="1"/>
  <c r="E1583" i="1"/>
  <c r="D1583" i="1"/>
  <c r="C1583" i="1"/>
  <c r="B1583" i="1"/>
  <c r="A1583" i="1"/>
  <c r="O1582" i="1"/>
  <c r="L1582" i="1"/>
  <c r="K1582" i="1"/>
  <c r="J1582" i="1"/>
  <c r="I1582" i="1"/>
  <c r="H1582" i="1"/>
  <c r="G1582" i="1"/>
  <c r="F1582" i="1"/>
  <c r="E1582" i="1"/>
  <c r="D1582" i="1"/>
  <c r="C1582" i="1"/>
  <c r="B1582" i="1"/>
  <c r="A1582" i="1"/>
  <c r="O1581" i="1"/>
  <c r="L1581" i="1"/>
  <c r="K1581" i="1"/>
  <c r="J1581" i="1"/>
  <c r="I1581" i="1"/>
  <c r="H1581" i="1"/>
  <c r="G1581" i="1"/>
  <c r="F1581" i="1"/>
  <c r="E1581" i="1"/>
  <c r="D1581" i="1"/>
  <c r="C1581" i="1"/>
  <c r="B1581" i="1"/>
  <c r="A1581" i="1"/>
  <c r="O1580" i="1"/>
  <c r="L1580" i="1"/>
  <c r="K1580" i="1"/>
  <c r="J1580" i="1"/>
  <c r="I1580" i="1"/>
  <c r="H1580" i="1"/>
  <c r="G1580" i="1"/>
  <c r="F1580" i="1"/>
  <c r="E1580" i="1"/>
  <c r="D1580" i="1"/>
  <c r="C1580" i="1"/>
  <c r="B1580" i="1"/>
  <c r="A1580" i="1"/>
  <c r="O1579" i="1"/>
  <c r="L1579" i="1"/>
  <c r="K1579" i="1"/>
  <c r="J1579" i="1"/>
  <c r="I1579" i="1"/>
  <c r="H1579" i="1"/>
  <c r="G1579" i="1"/>
  <c r="F1579" i="1"/>
  <c r="E1579" i="1"/>
  <c r="D1579" i="1"/>
  <c r="C1579" i="1"/>
  <c r="B1579" i="1"/>
  <c r="A1579" i="1"/>
  <c r="O1578" i="1"/>
  <c r="L1578" i="1"/>
  <c r="K1578" i="1"/>
  <c r="J1578" i="1"/>
  <c r="I1578" i="1"/>
  <c r="H1578" i="1"/>
  <c r="G1578" i="1"/>
  <c r="F1578" i="1"/>
  <c r="E1578" i="1"/>
  <c r="D1578" i="1"/>
  <c r="C1578" i="1"/>
  <c r="B1578" i="1"/>
  <c r="A1578" i="1"/>
  <c r="P1577" i="1"/>
  <c r="O1577" i="1"/>
  <c r="L1577" i="1"/>
  <c r="K1577" i="1"/>
  <c r="J1577" i="1"/>
  <c r="I1577" i="1"/>
  <c r="H1577" i="1"/>
  <c r="G1577" i="1"/>
  <c r="F1577" i="1"/>
  <c r="E1577" i="1"/>
  <c r="D1577" i="1"/>
  <c r="C1577" i="1"/>
  <c r="B1577" i="1"/>
  <c r="A1577" i="1"/>
  <c r="O1576" i="1"/>
  <c r="L1576" i="1"/>
  <c r="K1576" i="1"/>
  <c r="J1576" i="1"/>
  <c r="I1576" i="1"/>
  <c r="H1576" i="1"/>
  <c r="G1576" i="1"/>
  <c r="F1576" i="1"/>
  <c r="E1576" i="1"/>
  <c r="D1576" i="1"/>
  <c r="C1576" i="1"/>
  <c r="B1576" i="1"/>
  <c r="A1576" i="1"/>
  <c r="O1575" i="1"/>
  <c r="L1575" i="1"/>
  <c r="K1575" i="1"/>
  <c r="J1575" i="1"/>
  <c r="I1575" i="1"/>
  <c r="H1575" i="1"/>
  <c r="G1575" i="1"/>
  <c r="F1575" i="1"/>
  <c r="E1575" i="1"/>
  <c r="D1575" i="1"/>
  <c r="C1575" i="1"/>
  <c r="B1575" i="1"/>
  <c r="A1575" i="1"/>
  <c r="O1574" i="1"/>
  <c r="L1574" i="1"/>
  <c r="K1574" i="1"/>
  <c r="J1574" i="1"/>
  <c r="I1574" i="1"/>
  <c r="H1574" i="1"/>
  <c r="G1574" i="1"/>
  <c r="F1574" i="1"/>
  <c r="E1574" i="1"/>
  <c r="D1574" i="1"/>
  <c r="C1574" i="1"/>
  <c r="B1574" i="1"/>
  <c r="A1574" i="1"/>
  <c r="O1573" i="1"/>
  <c r="L1573" i="1"/>
  <c r="K1573" i="1"/>
  <c r="J1573" i="1"/>
  <c r="I1573" i="1"/>
  <c r="H1573" i="1"/>
  <c r="G1573" i="1"/>
  <c r="F1573" i="1"/>
  <c r="E1573" i="1"/>
  <c r="D1573" i="1"/>
  <c r="C1573" i="1"/>
  <c r="B1573" i="1"/>
  <c r="A1573" i="1"/>
  <c r="O1572" i="1"/>
  <c r="L1572" i="1"/>
  <c r="K1572" i="1"/>
  <c r="J1572" i="1"/>
  <c r="I1572" i="1"/>
  <c r="H1572" i="1"/>
  <c r="G1572" i="1"/>
  <c r="F1572" i="1"/>
  <c r="E1572" i="1"/>
  <c r="D1572" i="1"/>
  <c r="C1572" i="1"/>
  <c r="B1572" i="1"/>
  <c r="A1572" i="1"/>
  <c r="O1571" i="1"/>
  <c r="L1571" i="1"/>
  <c r="K1571" i="1"/>
  <c r="J1571" i="1"/>
  <c r="I1571" i="1"/>
  <c r="H1571" i="1"/>
  <c r="G1571" i="1"/>
  <c r="F1571" i="1"/>
  <c r="E1571" i="1"/>
  <c r="D1571" i="1"/>
  <c r="C1571" i="1"/>
  <c r="B1571" i="1"/>
  <c r="A1571" i="1"/>
  <c r="O1570" i="1"/>
  <c r="L1570" i="1"/>
  <c r="K1570" i="1"/>
  <c r="J1570" i="1"/>
  <c r="I1570" i="1"/>
  <c r="H1570" i="1"/>
  <c r="G1570" i="1"/>
  <c r="F1570" i="1"/>
  <c r="E1570" i="1"/>
  <c r="D1570" i="1"/>
  <c r="C1570" i="1"/>
  <c r="B1570" i="1"/>
  <c r="A1570" i="1"/>
  <c r="P1569" i="1"/>
  <c r="O1569" i="1"/>
  <c r="L1569" i="1"/>
  <c r="K1569" i="1"/>
  <c r="J1569" i="1"/>
  <c r="I1569" i="1"/>
  <c r="H1569" i="1"/>
  <c r="G1569" i="1"/>
  <c r="F1569" i="1"/>
  <c r="E1569" i="1"/>
  <c r="D1569" i="1"/>
  <c r="C1569" i="1"/>
  <c r="B1569" i="1"/>
  <c r="A1569" i="1"/>
  <c r="O1568" i="1"/>
  <c r="L1568" i="1"/>
  <c r="K1568" i="1"/>
  <c r="J1568" i="1"/>
  <c r="I1568" i="1"/>
  <c r="H1568" i="1"/>
  <c r="G1568" i="1"/>
  <c r="F1568" i="1"/>
  <c r="E1568" i="1"/>
  <c r="D1568" i="1"/>
  <c r="C1568" i="1"/>
  <c r="B1568" i="1"/>
  <c r="A1568" i="1"/>
  <c r="P1567" i="1"/>
  <c r="O1567" i="1"/>
  <c r="L1567" i="1"/>
  <c r="K1567" i="1"/>
  <c r="J1567" i="1"/>
  <c r="I1567" i="1"/>
  <c r="H1567" i="1"/>
  <c r="G1567" i="1"/>
  <c r="F1567" i="1"/>
  <c r="E1567" i="1"/>
  <c r="D1567" i="1"/>
  <c r="C1567" i="1"/>
  <c r="B1567" i="1"/>
  <c r="A1567" i="1"/>
  <c r="O1566" i="1"/>
  <c r="L1566" i="1"/>
  <c r="K1566" i="1"/>
  <c r="J1566" i="1"/>
  <c r="I1566" i="1"/>
  <c r="H1566" i="1"/>
  <c r="G1566" i="1"/>
  <c r="F1566" i="1"/>
  <c r="E1566" i="1"/>
  <c r="D1566" i="1"/>
  <c r="C1566" i="1"/>
  <c r="B1566" i="1"/>
  <c r="A1566" i="1"/>
  <c r="O1565" i="1"/>
  <c r="L1565" i="1"/>
  <c r="K1565" i="1"/>
  <c r="J1565" i="1"/>
  <c r="I1565" i="1"/>
  <c r="H1565" i="1"/>
  <c r="G1565" i="1"/>
  <c r="F1565" i="1"/>
  <c r="E1565" i="1"/>
  <c r="D1565" i="1"/>
  <c r="C1565" i="1"/>
  <c r="B1565" i="1"/>
  <c r="A1565" i="1"/>
  <c r="O1564" i="1"/>
  <c r="L1564" i="1"/>
  <c r="K1564" i="1"/>
  <c r="J1564" i="1"/>
  <c r="I1564" i="1"/>
  <c r="H1564" i="1"/>
  <c r="G1564" i="1"/>
  <c r="F1564" i="1"/>
  <c r="E1564" i="1"/>
  <c r="D1564" i="1"/>
  <c r="C1564" i="1"/>
  <c r="B1564" i="1"/>
  <c r="A1564" i="1"/>
  <c r="O1563" i="1"/>
  <c r="L1563" i="1"/>
  <c r="K1563" i="1"/>
  <c r="J1563" i="1"/>
  <c r="I1563" i="1"/>
  <c r="H1563" i="1"/>
  <c r="G1563" i="1"/>
  <c r="F1563" i="1"/>
  <c r="E1563" i="1"/>
  <c r="D1563" i="1"/>
  <c r="C1563" i="1"/>
  <c r="B1563" i="1"/>
  <c r="A1563" i="1"/>
  <c r="O1562" i="1"/>
  <c r="L1562" i="1"/>
  <c r="K1562" i="1"/>
  <c r="J1562" i="1"/>
  <c r="I1562" i="1"/>
  <c r="H1562" i="1"/>
  <c r="G1562" i="1"/>
  <c r="F1562" i="1"/>
  <c r="E1562" i="1"/>
  <c r="D1562" i="1"/>
  <c r="C1562" i="1"/>
  <c r="B1562" i="1"/>
  <c r="A1562" i="1"/>
  <c r="O1561" i="1"/>
  <c r="L1561" i="1"/>
  <c r="K1561" i="1"/>
  <c r="J1561" i="1"/>
  <c r="I1561" i="1"/>
  <c r="H1561" i="1"/>
  <c r="G1561" i="1"/>
  <c r="F1561" i="1"/>
  <c r="E1561" i="1"/>
  <c r="D1561" i="1"/>
  <c r="C1561" i="1"/>
  <c r="B1561" i="1"/>
  <c r="A1561" i="1"/>
  <c r="O1560" i="1"/>
  <c r="L1560" i="1"/>
  <c r="K1560" i="1"/>
  <c r="J1560" i="1"/>
  <c r="I1560" i="1"/>
  <c r="H1560" i="1"/>
  <c r="G1560" i="1"/>
  <c r="F1560" i="1"/>
  <c r="E1560" i="1"/>
  <c r="D1560" i="1"/>
  <c r="C1560" i="1"/>
  <c r="B1560" i="1"/>
  <c r="A1560" i="1"/>
  <c r="O1559" i="1"/>
  <c r="L1559" i="1"/>
  <c r="K1559" i="1"/>
  <c r="J1559" i="1"/>
  <c r="I1559" i="1"/>
  <c r="H1559" i="1"/>
  <c r="G1559" i="1"/>
  <c r="F1559" i="1"/>
  <c r="E1559" i="1"/>
  <c r="D1559" i="1"/>
  <c r="C1559" i="1"/>
  <c r="B1559" i="1"/>
  <c r="A1559" i="1"/>
  <c r="O1558" i="1"/>
  <c r="L1558" i="1"/>
  <c r="K1558" i="1"/>
  <c r="J1558" i="1"/>
  <c r="I1558" i="1"/>
  <c r="H1558" i="1"/>
  <c r="G1558" i="1"/>
  <c r="F1558" i="1"/>
  <c r="E1558" i="1"/>
  <c r="D1558" i="1"/>
  <c r="C1558" i="1"/>
  <c r="B1558" i="1"/>
  <c r="A1558" i="1"/>
  <c r="O1557" i="1"/>
  <c r="L1557" i="1"/>
  <c r="K1557" i="1"/>
  <c r="J1557" i="1"/>
  <c r="I1557" i="1"/>
  <c r="H1557" i="1"/>
  <c r="G1557" i="1"/>
  <c r="F1557" i="1"/>
  <c r="E1557" i="1"/>
  <c r="D1557" i="1"/>
  <c r="C1557" i="1"/>
  <c r="B1557" i="1"/>
  <c r="A1557" i="1"/>
  <c r="O1556" i="1"/>
  <c r="L1556" i="1"/>
  <c r="K1556" i="1"/>
  <c r="J1556" i="1"/>
  <c r="I1556" i="1"/>
  <c r="H1556" i="1"/>
  <c r="G1556" i="1"/>
  <c r="F1556" i="1"/>
  <c r="E1556" i="1"/>
  <c r="D1556" i="1"/>
  <c r="C1556" i="1"/>
  <c r="B1556" i="1"/>
  <c r="A1556" i="1"/>
  <c r="O1555" i="1"/>
  <c r="L1555" i="1"/>
  <c r="K1555" i="1"/>
  <c r="J1555" i="1"/>
  <c r="I1555" i="1"/>
  <c r="H1555" i="1"/>
  <c r="G1555" i="1"/>
  <c r="F1555" i="1"/>
  <c r="E1555" i="1"/>
  <c r="D1555" i="1"/>
  <c r="C1555" i="1"/>
  <c r="B1555" i="1"/>
  <c r="A1555" i="1"/>
  <c r="O1554" i="1"/>
  <c r="L1554" i="1"/>
  <c r="K1554" i="1"/>
  <c r="J1554" i="1"/>
  <c r="I1554" i="1"/>
  <c r="H1554" i="1"/>
  <c r="G1554" i="1"/>
  <c r="F1554" i="1"/>
  <c r="E1554" i="1"/>
  <c r="D1554" i="1"/>
  <c r="C1554" i="1"/>
  <c r="B1554" i="1"/>
  <c r="A1554" i="1"/>
  <c r="O1553" i="1"/>
  <c r="L1553" i="1"/>
  <c r="K1553" i="1"/>
  <c r="J1553" i="1"/>
  <c r="I1553" i="1"/>
  <c r="H1553" i="1"/>
  <c r="G1553" i="1"/>
  <c r="F1553" i="1"/>
  <c r="E1553" i="1"/>
  <c r="D1553" i="1"/>
  <c r="C1553" i="1"/>
  <c r="B1553" i="1"/>
  <c r="A1553" i="1"/>
  <c r="O1552" i="1"/>
  <c r="L1552" i="1"/>
  <c r="K1552" i="1"/>
  <c r="J1552" i="1"/>
  <c r="I1552" i="1"/>
  <c r="H1552" i="1"/>
  <c r="G1552" i="1"/>
  <c r="F1552" i="1"/>
  <c r="E1552" i="1"/>
  <c r="D1552" i="1"/>
  <c r="C1552" i="1"/>
  <c r="B1552" i="1"/>
  <c r="A1552" i="1"/>
  <c r="O1551" i="1"/>
  <c r="L1551" i="1"/>
  <c r="K1551" i="1"/>
  <c r="J1551" i="1"/>
  <c r="I1551" i="1"/>
  <c r="H1551" i="1"/>
  <c r="G1551" i="1"/>
  <c r="F1551" i="1"/>
  <c r="E1551" i="1"/>
  <c r="D1551" i="1"/>
  <c r="C1551" i="1"/>
  <c r="B1551" i="1"/>
  <c r="A1551" i="1"/>
  <c r="O1550" i="1"/>
  <c r="L1550" i="1"/>
  <c r="K1550" i="1"/>
  <c r="J1550" i="1"/>
  <c r="I1550" i="1"/>
  <c r="H1550" i="1"/>
  <c r="G1550" i="1"/>
  <c r="F1550" i="1"/>
  <c r="E1550" i="1"/>
  <c r="D1550" i="1"/>
  <c r="C1550" i="1"/>
  <c r="B1550" i="1"/>
  <c r="A1550" i="1"/>
  <c r="O1549" i="1"/>
  <c r="L1549" i="1"/>
  <c r="K1549" i="1"/>
  <c r="J1549" i="1"/>
  <c r="I1549" i="1"/>
  <c r="H1549" i="1"/>
  <c r="G1549" i="1"/>
  <c r="F1549" i="1"/>
  <c r="E1549" i="1"/>
  <c r="D1549" i="1"/>
  <c r="C1549" i="1"/>
  <c r="B1549" i="1"/>
  <c r="A1549" i="1"/>
  <c r="O1548" i="1"/>
  <c r="L1548" i="1"/>
  <c r="K1548" i="1"/>
  <c r="J1548" i="1"/>
  <c r="I1548" i="1"/>
  <c r="H1548" i="1"/>
  <c r="G1548" i="1"/>
  <c r="F1548" i="1"/>
  <c r="E1548" i="1"/>
  <c r="D1548" i="1"/>
  <c r="C1548" i="1"/>
  <c r="B1548" i="1"/>
  <c r="A1548" i="1"/>
  <c r="O1547" i="1"/>
  <c r="L1547" i="1"/>
  <c r="K1547" i="1"/>
  <c r="J1547" i="1"/>
  <c r="I1547" i="1"/>
  <c r="H1547" i="1"/>
  <c r="G1547" i="1"/>
  <c r="F1547" i="1"/>
  <c r="E1547" i="1"/>
  <c r="D1547" i="1"/>
  <c r="C1547" i="1"/>
  <c r="B1547" i="1"/>
  <c r="A1547" i="1"/>
  <c r="O1546" i="1"/>
  <c r="L1546" i="1"/>
  <c r="K1546" i="1"/>
  <c r="J1546" i="1"/>
  <c r="I1546" i="1"/>
  <c r="H1546" i="1"/>
  <c r="G1546" i="1"/>
  <c r="F1546" i="1"/>
  <c r="E1546" i="1"/>
  <c r="D1546" i="1"/>
  <c r="C1546" i="1"/>
  <c r="B1546" i="1"/>
  <c r="A1546" i="1"/>
  <c r="O1545" i="1"/>
  <c r="L1545" i="1"/>
  <c r="K1545" i="1"/>
  <c r="J1545" i="1"/>
  <c r="I1545" i="1"/>
  <c r="H1545" i="1"/>
  <c r="G1545" i="1"/>
  <c r="F1545" i="1"/>
  <c r="E1545" i="1"/>
  <c r="D1545" i="1"/>
  <c r="C1545" i="1"/>
  <c r="B1545" i="1"/>
  <c r="A1545" i="1"/>
  <c r="O1544" i="1"/>
  <c r="L1544" i="1"/>
  <c r="K1544" i="1"/>
  <c r="J1544" i="1"/>
  <c r="I1544" i="1"/>
  <c r="H1544" i="1"/>
  <c r="G1544" i="1"/>
  <c r="F1544" i="1"/>
  <c r="E1544" i="1"/>
  <c r="D1544" i="1"/>
  <c r="C1544" i="1"/>
  <c r="B1544" i="1"/>
  <c r="A1544" i="1"/>
  <c r="O1543" i="1"/>
  <c r="L1543" i="1"/>
  <c r="K1543" i="1"/>
  <c r="J1543" i="1"/>
  <c r="I1543" i="1"/>
  <c r="H1543" i="1"/>
  <c r="G1543" i="1"/>
  <c r="F1543" i="1"/>
  <c r="E1543" i="1"/>
  <c r="D1543" i="1"/>
  <c r="C1543" i="1"/>
  <c r="B1543" i="1"/>
  <c r="A1543" i="1"/>
  <c r="O1542" i="1"/>
  <c r="L1542" i="1"/>
  <c r="K1542" i="1"/>
  <c r="J1542" i="1"/>
  <c r="I1542" i="1"/>
  <c r="H1542" i="1"/>
  <c r="G1542" i="1"/>
  <c r="F1542" i="1"/>
  <c r="E1542" i="1"/>
  <c r="D1542" i="1"/>
  <c r="C1542" i="1"/>
  <c r="B1542" i="1"/>
  <c r="A1542" i="1"/>
  <c r="O1541" i="1"/>
  <c r="L1541" i="1"/>
  <c r="K1541" i="1"/>
  <c r="J1541" i="1"/>
  <c r="I1541" i="1"/>
  <c r="H1541" i="1"/>
  <c r="G1541" i="1"/>
  <c r="F1541" i="1"/>
  <c r="E1541" i="1"/>
  <c r="D1541" i="1"/>
  <c r="C1541" i="1"/>
  <c r="B1541" i="1"/>
  <c r="A1541" i="1"/>
  <c r="O1540" i="1"/>
  <c r="L1540" i="1"/>
  <c r="K1540" i="1"/>
  <c r="J1540" i="1"/>
  <c r="I1540" i="1"/>
  <c r="H1540" i="1"/>
  <c r="G1540" i="1"/>
  <c r="F1540" i="1"/>
  <c r="E1540" i="1"/>
  <c r="D1540" i="1"/>
  <c r="C1540" i="1"/>
  <c r="B1540" i="1"/>
  <c r="A1540" i="1"/>
  <c r="O1539" i="1"/>
  <c r="L1539" i="1"/>
  <c r="K1539" i="1"/>
  <c r="J1539" i="1"/>
  <c r="I1539" i="1"/>
  <c r="H1539" i="1"/>
  <c r="G1539" i="1"/>
  <c r="F1539" i="1"/>
  <c r="E1539" i="1"/>
  <c r="D1539" i="1"/>
  <c r="C1539" i="1"/>
  <c r="B1539" i="1"/>
  <c r="A1539" i="1"/>
  <c r="O1538" i="1"/>
  <c r="L1538" i="1"/>
  <c r="K1538" i="1"/>
  <c r="J1538" i="1"/>
  <c r="I1538" i="1"/>
  <c r="H1538" i="1"/>
  <c r="G1538" i="1"/>
  <c r="F1538" i="1"/>
  <c r="E1538" i="1"/>
  <c r="D1538" i="1"/>
  <c r="C1538" i="1"/>
  <c r="B1538" i="1"/>
  <c r="A1538" i="1"/>
  <c r="O1537" i="1"/>
  <c r="L1537" i="1"/>
  <c r="K1537" i="1"/>
  <c r="J1537" i="1"/>
  <c r="I1537" i="1"/>
  <c r="H1537" i="1"/>
  <c r="G1537" i="1"/>
  <c r="F1537" i="1"/>
  <c r="E1537" i="1"/>
  <c r="D1537" i="1"/>
  <c r="C1537" i="1"/>
  <c r="B1537" i="1"/>
  <c r="A1537" i="1"/>
  <c r="O1536" i="1"/>
  <c r="L1536" i="1"/>
  <c r="K1536" i="1"/>
  <c r="J1536" i="1"/>
  <c r="I1536" i="1"/>
  <c r="H1536" i="1"/>
  <c r="G1536" i="1"/>
  <c r="F1536" i="1"/>
  <c r="E1536" i="1"/>
  <c r="D1536" i="1"/>
  <c r="C1536" i="1"/>
  <c r="B1536" i="1"/>
  <c r="A1536" i="1"/>
  <c r="O1535" i="1"/>
  <c r="L1535" i="1"/>
  <c r="K1535" i="1"/>
  <c r="J1535" i="1"/>
  <c r="I1535" i="1"/>
  <c r="H1535" i="1"/>
  <c r="G1535" i="1"/>
  <c r="F1535" i="1"/>
  <c r="E1535" i="1"/>
  <c r="D1535" i="1"/>
  <c r="C1535" i="1"/>
  <c r="B1535" i="1"/>
  <c r="A1535" i="1"/>
  <c r="O1534" i="1"/>
  <c r="L1534" i="1"/>
  <c r="K1534" i="1"/>
  <c r="J1534" i="1"/>
  <c r="I1534" i="1"/>
  <c r="H1534" i="1"/>
  <c r="G1534" i="1"/>
  <c r="F1534" i="1"/>
  <c r="E1534" i="1"/>
  <c r="D1534" i="1"/>
  <c r="C1534" i="1"/>
  <c r="B1534" i="1"/>
  <c r="A1534" i="1"/>
  <c r="O1533" i="1"/>
  <c r="L1533" i="1"/>
  <c r="K1533" i="1"/>
  <c r="J1533" i="1"/>
  <c r="I1533" i="1"/>
  <c r="H1533" i="1"/>
  <c r="G1533" i="1"/>
  <c r="F1533" i="1"/>
  <c r="E1533" i="1"/>
  <c r="D1533" i="1"/>
  <c r="C1533" i="1"/>
  <c r="B1533" i="1"/>
  <c r="A1533" i="1"/>
  <c r="O1532" i="1"/>
  <c r="L1532" i="1"/>
  <c r="K1532" i="1"/>
  <c r="J1532" i="1"/>
  <c r="I1532" i="1"/>
  <c r="H1532" i="1"/>
  <c r="G1532" i="1"/>
  <c r="F1532" i="1"/>
  <c r="E1532" i="1"/>
  <c r="D1532" i="1"/>
  <c r="C1532" i="1"/>
  <c r="B1532" i="1"/>
  <c r="A1532" i="1"/>
  <c r="O1531" i="1"/>
  <c r="L1531" i="1"/>
  <c r="K1531" i="1"/>
  <c r="J1531" i="1"/>
  <c r="I1531" i="1"/>
  <c r="H1531" i="1"/>
  <c r="G1531" i="1"/>
  <c r="F1531" i="1"/>
  <c r="E1531" i="1"/>
  <c r="D1531" i="1"/>
  <c r="C1531" i="1"/>
  <c r="B1531" i="1"/>
  <c r="A1531" i="1"/>
  <c r="O1530" i="1"/>
  <c r="L1530" i="1"/>
  <c r="K1530" i="1"/>
  <c r="J1530" i="1"/>
  <c r="I1530" i="1"/>
  <c r="H1530" i="1"/>
  <c r="G1530" i="1"/>
  <c r="F1530" i="1"/>
  <c r="E1530" i="1"/>
  <c r="D1530" i="1"/>
  <c r="C1530" i="1"/>
  <c r="B1530" i="1"/>
  <c r="A1530" i="1"/>
  <c r="O1529" i="1"/>
  <c r="L1529" i="1"/>
  <c r="K1529" i="1"/>
  <c r="J1529" i="1"/>
  <c r="I1529" i="1"/>
  <c r="H1529" i="1"/>
  <c r="G1529" i="1"/>
  <c r="F1529" i="1"/>
  <c r="E1529" i="1"/>
  <c r="D1529" i="1"/>
  <c r="C1529" i="1"/>
  <c r="B1529" i="1"/>
  <c r="A1529" i="1"/>
  <c r="O1528" i="1"/>
  <c r="L1528" i="1"/>
  <c r="K1528" i="1"/>
  <c r="J1528" i="1"/>
  <c r="I1528" i="1"/>
  <c r="H1528" i="1"/>
  <c r="G1528" i="1"/>
  <c r="F1528" i="1"/>
  <c r="E1528" i="1"/>
  <c r="D1528" i="1"/>
  <c r="C1528" i="1"/>
  <c r="B1528" i="1"/>
  <c r="A1528" i="1"/>
  <c r="P1527" i="1"/>
  <c r="O1527" i="1"/>
  <c r="L1527" i="1"/>
  <c r="K1527" i="1"/>
  <c r="J1527" i="1"/>
  <c r="I1527" i="1"/>
  <c r="H1527" i="1"/>
  <c r="G1527" i="1"/>
  <c r="F1527" i="1"/>
  <c r="E1527" i="1"/>
  <c r="D1527" i="1"/>
  <c r="C1527" i="1"/>
  <c r="B1527" i="1"/>
  <c r="A1527" i="1"/>
  <c r="O1526" i="1"/>
  <c r="L1526" i="1"/>
  <c r="K1526" i="1"/>
  <c r="J1526" i="1"/>
  <c r="I1526" i="1"/>
  <c r="H1526" i="1"/>
  <c r="G1526" i="1"/>
  <c r="F1526" i="1"/>
  <c r="E1526" i="1"/>
  <c r="D1526" i="1"/>
  <c r="C1526" i="1"/>
  <c r="B1526" i="1"/>
  <c r="A1526" i="1"/>
  <c r="O1525" i="1"/>
  <c r="L1525" i="1"/>
  <c r="K1525" i="1"/>
  <c r="J1525" i="1"/>
  <c r="I1525" i="1"/>
  <c r="H1525" i="1"/>
  <c r="G1525" i="1"/>
  <c r="F1525" i="1"/>
  <c r="E1525" i="1"/>
  <c r="D1525" i="1"/>
  <c r="C1525" i="1"/>
  <c r="B1525" i="1"/>
  <c r="A1525" i="1"/>
  <c r="O1524" i="1"/>
  <c r="L1524" i="1"/>
  <c r="K1524" i="1"/>
  <c r="J1524" i="1"/>
  <c r="I1524" i="1"/>
  <c r="H1524" i="1"/>
  <c r="G1524" i="1"/>
  <c r="F1524" i="1"/>
  <c r="E1524" i="1"/>
  <c r="D1524" i="1"/>
  <c r="C1524" i="1"/>
  <c r="B1524" i="1"/>
  <c r="A1524" i="1"/>
  <c r="O1523" i="1"/>
  <c r="L1523" i="1"/>
  <c r="K1523" i="1"/>
  <c r="J1523" i="1"/>
  <c r="I1523" i="1"/>
  <c r="H1523" i="1"/>
  <c r="G1523" i="1"/>
  <c r="F1523" i="1"/>
  <c r="E1523" i="1"/>
  <c r="D1523" i="1"/>
  <c r="C1523" i="1"/>
  <c r="B1523" i="1"/>
  <c r="A1523" i="1"/>
  <c r="O1522" i="1"/>
  <c r="L1522" i="1"/>
  <c r="K1522" i="1"/>
  <c r="J1522" i="1"/>
  <c r="I1522" i="1"/>
  <c r="H1522" i="1"/>
  <c r="G1522" i="1"/>
  <c r="F1522" i="1"/>
  <c r="E1522" i="1"/>
  <c r="D1522" i="1"/>
  <c r="C1522" i="1"/>
  <c r="B1522" i="1"/>
  <c r="A1522" i="1"/>
  <c r="O1521" i="1"/>
  <c r="L1521" i="1"/>
  <c r="K1521" i="1"/>
  <c r="J1521" i="1"/>
  <c r="I1521" i="1"/>
  <c r="H1521" i="1"/>
  <c r="G1521" i="1"/>
  <c r="F1521" i="1"/>
  <c r="E1521" i="1"/>
  <c r="D1521" i="1"/>
  <c r="C1521" i="1"/>
  <c r="B1521" i="1"/>
  <c r="A1521" i="1"/>
  <c r="O1520" i="1"/>
  <c r="L1520" i="1"/>
  <c r="K1520" i="1"/>
  <c r="J1520" i="1"/>
  <c r="I1520" i="1"/>
  <c r="H1520" i="1"/>
  <c r="G1520" i="1"/>
  <c r="F1520" i="1"/>
  <c r="E1520" i="1"/>
  <c r="D1520" i="1"/>
  <c r="C1520" i="1"/>
  <c r="B1520" i="1"/>
  <c r="A1520" i="1"/>
  <c r="O1519" i="1"/>
  <c r="L1519" i="1"/>
  <c r="K1519" i="1"/>
  <c r="J1519" i="1"/>
  <c r="I1519" i="1"/>
  <c r="H1519" i="1"/>
  <c r="G1519" i="1"/>
  <c r="F1519" i="1"/>
  <c r="E1519" i="1"/>
  <c r="D1519" i="1"/>
  <c r="C1519" i="1"/>
  <c r="B1519" i="1"/>
  <c r="A1519" i="1"/>
  <c r="O1518" i="1"/>
  <c r="L1518" i="1"/>
  <c r="K1518" i="1"/>
  <c r="J1518" i="1"/>
  <c r="I1518" i="1"/>
  <c r="H1518" i="1"/>
  <c r="G1518" i="1"/>
  <c r="F1518" i="1"/>
  <c r="E1518" i="1"/>
  <c r="D1518" i="1"/>
  <c r="C1518" i="1"/>
  <c r="B1518" i="1"/>
  <c r="A1518" i="1"/>
  <c r="O1517" i="1"/>
  <c r="L1517" i="1"/>
  <c r="K1517" i="1"/>
  <c r="J1517" i="1"/>
  <c r="I1517" i="1"/>
  <c r="H1517" i="1"/>
  <c r="G1517" i="1"/>
  <c r="F1517" i="1"/>
  <c r="E1517" i="1"/>
  <c r="D1517" i="1"/>
  <c r="C1517" i="1"/>
  <c r="B1517" i="1"/>
  <c r="A1517" i="1"/>
  <c r="O1516" i="1"/>
  <c r="L1516" i="1"/>
  <c r="K1516" i="1"/>
  <c r="J1516" i="1"/>
  <c r="I1516" i="1"/>
  <c r="H1516" i="1"/>
  <c r="G1516" i="1"/>
  <c r="F1516" i="1"/>
  <c r="E1516" i="1"/>
  <c r="D1516" i="1"/>
  <c r="C1516" i="1"/>
  <c r="B1516" i="1"/>
  <c r="A1516" i="1"/>
  <c r="O1515" i="1"/>
  <c r="L1515" i="1"/>
  <c r="K1515" i="1"/>
  <c r="J1515" i="1"/>
  <c r="I1515" i="1"/>
  <c r="H1515" i="1"/>
  <c r="G1515" i="1"/>
  <c r="F1515" i="1"/>
  <c r="E1515" i="1"/>
  <c r="D1515" i="1"/>
  <c r="C1515" i="1"/>
  <c r="B1515" i="1"/>
  <c r="A1515" i="1"/>
  <c r="P1514" i="1"/>
  <c r="O1514" i="1"/>
  <c r="L1514" i="1"/>
  <c r="K1514" i="1"/>
  <c r="J1514" i="1"/>
  <c r="I1514" i="1"/>
  <c r="H1514" i="1"/>
  <c r="G1514" i="1"/>
  <c r="F1514" i="1"/>
  <c r="E1514" i="1"/>
  <c r="D1514" i="1"/>
  <c r="C1514" i="1"/>
  <c r="B1514" i="1"/>
  <c r="A1514" i="1"/>
  <c r="O1513" i="1"/>
  <c r="L1513" i="1"/>
  <c r="K1513" i="1"/>
  <c r="J1513" i="1"/>
  <c r="I1513" i="1"/>
  <c r="H1513" i="1"/>
  <c r="G1513" i="1"/>
  <c r="F1513" i="1"/>
  <c r="E1513" i="1"/>
  <c r="D1513" i="1"/>
  <c r="C1513" i="1"/>
  <c r="B1513" i="1"/>
  <c r="A1513" i="1"/>
  <c r="O1512" i="1"/>
  <c r="L1512" i="1"/>
  <c r="K1512" i="1"/>
  <c r="J1512" i="1"/>
  <c r="I1512" i="1"/>
  <c r="H1512" i="1"/>
  <c r="G1512" i="1"/>
  <c r="F1512" i="1"/>
  <c r="E1512" i="1"/>
  <c r="D1512" i="1"/>
  <c r="C1512" i="1"/>
  <c r="B1512" i="1"/>
  <c r="A1512" i="1"/>
  <c r="O1511" i="1"/>
  <c r="L1511" i="1"/>
  <c r="K1511" i="1"/>
  <c r="J1511" i="1"/>
  <c r="I1511" i="1"/>
  <c r="H1511" i="1"/>
  <c r="G1511" i="1"/>
  <c r="F1511" i="1"/>
  <c r="E1511" i="1"/>
  <c r="D1511" i="1"/>
  <c r="C1511" i="1"/>
  <c r="B1511" i="1"/>
  <c r="A1511" i="1"/>
  <c r="O1510" i="1"/>
  <c r="L1510" i="1"/>
  <c r="K1510" i="1"/>
  <c r="J1510" i="1"/>
  <c r="I1510" i="1"/>
  <c r="H1510" i="1"/>
  <c r="G1510" i="1"/>
  <c r="F1510" i="1"/>
  <c r="E1510" i="1"/>
  <c r="D1510" i="1"/>
  <c r="C1510" i="1"/>
  <c r="B1510" i="1"/>
  <c r="A1510" i="1"/>
  <c r="O1509" i="1"/>
  <c r="L1509" i="1"/>
  <c r="K1509" i="1"/>
  <c r="J1509" i="1"/>
  <c r="I1509" i="1"/>
  <c r="H1509" i="1"/>
  <c r="G1509" i="1"/>
  <c r="F1509" i="1"/>
  <c r="E1509" i="1"/>
  <c r="D1509" i="1"/>
  <c r="C1509" i="1"/>
  <c r="B1509" i="1"/>
  <c r="A1509" i="1"/>
  <c r="O1508" i="1"/>
  <c r="L1508" i="1"/>
  <c r="K1508" i="1"/>
  <c r="J1508" i="1"/>
  <c r="I1508" i="1"/>
  <c r="H1508" i="1"/>
  <c r="G1508" i="1"/>
  <c r="F1508" i="1"/>
  <c r="E1508" i="1"/>
  <c r="D1508" i="1"/>
  <c r="C1508" i="1"/>
  <c r="B1508" i="1"/>
  <c r="A1508" i="1"/>
  <c r="O1507" i="1"/>
  <c r="L1507" i="1"/>
  <c r="K1507" i="1"/>
  <c r="J1507" i="1"/>
  <c r="I1507" i="1"/>
  <c r="H1507" i="1"/>
  <c r="G1507" i="1"/>
  <c r="F1507" i="1"/>
  <c r="E1507" i="1"/>
  <c r="D1507" i="1"/>
  <c r="C1507" i="1"/>
  <c r="B1507" i="1"/>
  <c r="A1507" i="1"/>
  <c r="O1506" i="1"/>
  <c r="L1506" i="1"/>
  <c r="K1506" i="1"/>
  <c r="J1506" i="1"/>
  <c r="I1506" i="1"/>
  <c r="H1506" i="1"/>
  <c r="G1506" i="1"/>
  <c r="F1506" i="1"/>
  <c r="E1506" i="1"/>
  <c r="D1506" i="1"/>
  <c r="C1506" i="1"/>
  <c r="B1506" i="1"/>
  <c r="A1506" i="1"/>
  <c r="O1505" i="1"/>
  <c r="L1505" i="1"/>
  <c r="K1505" i="1"/>
  <c r="J1505" i="1"/>
  <c r="I1505" i="1"/>
  <c r="H1505" i="1"/>
  <c r="G1505" i="1"/>
  <c r="F1505" i="1"/>
  <c r="E1505" i="1"/>
  <c r="D1505" i="1"/>
  <c r="C1505" i="1"/>
  <c r="B1505" i="1"/>
  <c r="A1505" i="1"/>
  <c r="O1504" i="1"/>
  <c r="L1504" i="1"/>
  <c r="K1504" i="1"/>
  <c r="J1504" i="1"/>
  <c r="I1504" i="1"/>
  <c r="H1504" i="1"/>
  <c r="G1504" i="1"/>
  <c r="F1504" i="1"/>
  <c r="E1504" i="1"/>
  <c r="D1504" i="1"/>
  <c r="C1504" i="1"/>
  <c r="B1504" i="1"/>
  <c r="A1504" i="1"/>
  <c r="O1503" i="1"/>
  <c r="L1503" i="1"/>
  <c r="K1503" i="1"/>
  <c r="J1503" i="1"/>
  <c r="I1503" i="1"/>
  <c r="H1503" i="1"/>
  <c r="G1503" i="1"/>
  <c r="F1503" i="1"/>
  <c r="E1503" i="1"/>
  <c r="D1503" i="1"/>
  <c r="C1503" i="1"/>
  <c r="B1503" i="1"/>
  <c r="A1503" i="1"/>
  <c r="O1502" i="1"/>
  <c r="L1502" i="1"/>
  <c r="K1502" i="1"/>
  <c r="J1502" i="1"/>
  <c r="I1502" i="1"/>
  <c r="H1502" i="1"/>
  <c r="G1502" i="1"/>
  <c r="F1502" i="1"/>
  <c r="E1502" i="1"/>
  <c r="D1502" i="1"/>
  <c r="C1502" i="1"/>
  <c r="B1502" i="1"/>
  <c r="A1502" i="1"/>
  <c r="O1501" i="1"/>
  <c r="L1501" i="1"/>
  <c r="K1501" i="1"/>
  <c r="J1501" i="1"/>
  <c r="I1501" i="1"/>
  <c r="H1501" i="1"/>
  <c r="G1501" i="1"/>
  <c r="F1501" i="1"/>
  <c r="E1501" i="1"/>
  <c r="D1501" i="1"/>
  <c r="C1501" i="1"/>
  <c r="B1501" i="1"/>
  <c r="A1501" i="1"/>
  <c r="O1500" i="1"/>
  <c r="L1500" i="1"/>
  <c r="K1500" i="1"/>
  <c r="J1500" i="1"/>
  <c r="I1500" i="1"/>
  <c r="H1500" i="1"/>
  <c r="G1500" i="1"/>
  <c r="F1500" i="1"/>
  <c r="E1500" i="1"/>
  <c r="D1500" i="1"/>
  <c r="C1500" i="1"/>
  <c r="B1500" i="1"/>
  <c r="A1500" i="1"/>
  <c r="O1499" i="1"/>
  <c r="L1499" i="1"/>
  <c r="K1499" i="1"/>
  <c r="J1499" i="1"/>
  <c r="I1499" i="1"/>
  <c r="H1499" i="1"/>
  <c r="G1499" i="1"/>
  <c r="F1499" i="1"/>
  <c r="E1499" i="1"/>
  <c r="D1499" i="1"/>
  <c r="C1499" i="1"/>
  <c r="B1499" i="1"/>
  <c r="A1499" i="1"/>
  <c r="O1498" i="1"/>
  <c r="L1498" i="1"/>
  <c r="K1498" i="1"/>
  <c r="J1498" i="1"/>
  <c r="I1498" i="1"/>
  <c r="H1498" i="1"/>
  <c r="G1498" i="1"/>
  <c r="F1498" i="1"/>
  <c r="E1498" i="1"/>
  <c r="D1498" i="1"/>
  <c r="C1498" i="1"/>
  <c r="B1498" i="1"/>
  <c r="A1498" i="1"/>
  <c r="O1497" i="1"/>
  <c r="L1497" i="1"/>
  <c r="K1497" i="1"/>
  <c r="J1497" i="1"/>
  <c r="I1497" i="1"/>
  <c r="H1497" i="1"/>
  <c r="G1497" i="1"/>
  <c r="F1497" i="1"/>
  <c r="E1497" i="1"/>
  <c r="D1497" i="1"/>
  <c r="C1497" i="1"/>
  <c r="B1497" i="1"/>
  <c r="A1497" i="1"/>
  <c r="O1496" i="1"/>
  <c r="L1496" i="1"/>
  <c r="K1496" i="1"/>
  <c r="J1496" i="1"/>
  <c r="I1496" i="1"/>
  <c r="H1496" i="1"/>
  <c r="G1496" i="1"/>
  <c r="F1496" i="1"/>
  <c r="E1496" i="1"/>
  <c r="D1496" i="1"/>
  <c r="C1496" i="1"/>
  <c r="B1496" i="1"/>
  <c r="A1496" i="1"/>
  <c r="O1495" i="1"/>
  <c r="L1495" i="1"/>
  <c r="K1495" i="1"/>
  <c r="J1495" i="1"/>
  <c r="I1495" i="1"/>
  <c r="H1495" i="1"/>
  <c r="G1495" i="1"/>
  <c r="F1495" i="1"/>
  <c r="E1495" i="1"/>
  <c r="D1495" i="1"/>
  <c r="C1495" i="1"/>
  <c r="B1495" i="1"/>
  <c r="A1495" i="1"/>
  <c r="O1494" i="1"/>
  <c r="L1494" i="1"/>
  <c r="K1494" i="1"/>
  <c r="J1494" i="1"/>
  <c r="I1494" i="1"/>
  <c r="H1494" i="1"/>
  <c r="G1494" i="1"/>
  <c r="F1494" i="1"/>
  <c r="E1494" i="1"/>
  <c r="D1494" i="1"/>
  <c r="C1494" i="1"/>
  <c r="B1494" i="1"/>
  <c r="A1494" i="1"/>
  <c r="O1493" i="1"/>
  <c r="L1493" i="1"/>
  <c r="K1493" i="1"/>
  <c r="J1493" i="1"/>
  <c r="I1493" i="1"/>
  <c r="H1493" i="1"/>
  <c r="G1493" i="1"/>
  <c r="F1493" i="1"/>
  <c r="E1493" i="1"/>
  <c r="D1493" i="1"/>
  <c r="C1493" i="1"/>
  <c r="B1493" i="1"/>
  <c r="A1493" i="1"/>
  <c r="P1492" i="1"/>
  <c r="O1492" i="1"/>
  <c r="L1492" i="1"/>
  <c r="K1492" i="1"/>
  <c r="J1492" i="1"/>
  <c r="I1492" i="1"/>
  <c r="H1492" i="1"/>
  <c r="G1492" i="1"/>
  <c r="F1492" i="1"/>
  <c r="E1492" i="1"/>
  <c r="D1492" i="1"/>
  <c r="C1492" i="1"/>
  <c r="B1492" i="1"/>
  <c r="A1492" i="1"/>
  <c r="O1491" i="1"/>
  <c r="L1491" i="1"/>
  <c r="K1491" i="1"/>
  <c r="J1491" i="1"/>
  <c r="I1491" i="1"/>
  <c r="H1491" i="1"/>
  <c r="G1491" i="1"/>
  <c r="F1491" i="1"/>
  <c r="E1491" i="1"/>
  <c r="D1491" i="1"/>
  <c r="C1491" i="1"/>
  <c r="B1491" i="1"/>
  <c r="A1491" i="1"/>
  <c r="O1490" i="1"/>
  <c r="L1490" i="1"/>
  <c r="K1490" i="1"/>
  <c r="J1490" i="1"/>
  <c r="I1490" i="1"/>
  <c r="H1490" i="1"/>
  <c r="G1490" i="1"/>
  <c r="F1490" i="1"/>
  <c r="E1490" i="1"/>
  <c r="D1490" i="1"/>
  <c r="C1490" i="1"/>
  <c r="B1490" i="1"/>
  <c r="A1490" i="1"/>
  <c r="O1489" i="1"/>
  <c r="L1489" i="1"/>
  <c r="K1489" i="1"/>
  <c r="J1489" i="1"/>
  <c r="I1489" i="1"/>
  <c r="H1489" i="1"/>
  <c r="G1489" i="1"/>
  <c r="F1489" i="1"/>
  <c r="E1489" i="1"/>
  <c r="D1489" i="1"/>
  <c r="C1489" i="1"/>
  <c r="B1489" i="1"/>
  <c r="A1489" i="1"/>
  <c r="O1488" i="1"/>
  <c r="L1488" i="1"/>
  <c r="K1488" i="1"/>
  <c r="J1488" i="1"/>
  <c r="I1488" i="1"/>
  <c r="H1488" i="1"/>
  <c r="G1488" i="1"/>
  <c r="F1488" i="1"/>
  <c r="E1488" i="1"/>
  <c r="D1488" i="1"/>
  <c r="C1488" i="1"/>
  <c r="B1488" i="1"/>
  <c r="A1488" i="1"/>
  <c r="O1487" i="1"/>
  <c r="L1487" i="1"/>
  <c r="K1487" i="1"/>
  <c r="J1487" i="1"/>
  <c r="I1487" i="1"/>
  <c r="H1487" i="1"/>
  <c r="G1487" i="1"/>
  <c r="F1487" i="1"/>
  <c r="E1487" i="1"/>
  <c r="D1487" i="1"/>
  <c r="C1487" i="1"/>
  <c r="B1487" i="1"/>
  <c r="A1487" i="1"/>
  <c r="O1486" i="1"/>
  <c r="L1486" i="1"/>
  <c r="K1486" i="1"/>
  <c r="J1486" i="1"/>
  <c r="I1486" i="1"/>
  <c r="H1486" i="1"/>
  <c r="G1486" i="1"/>
  <c r="F1486" i="1"/>
  <c r="E1486" i="1"/>
  <c r="D1486" i="1"/>
  <c r="C1486" i="1"/>
  <c r="B1486" i="1"/>
  <c r="A1486" i="1"/>
  <c r="O1485" i="1"/>
  <c r="L1485" i="1"/>
  <c r="K1485" i="1"/>
  <c r="J1485" i="1"/>
  <c r="I1485" i="1"/>
  <c r="H1485" i="1"/>
  <c r="G1485" i="1"/>
  <c r="F1485" i="1"/>
  <c r="E1485" i="1"/>
  <c r="D1485" i="1"/>
  <c r="C1485" i="1"/>
  <c r="B1485" i="1"/>
  <c r="A1485" i="1"/>
  <c r="O1484" i="1"/>
  <c r="L1484" i="1"/>
  <c r="K1484" i="1"/>
  <c r="J1484" i="1"/>
  <c r="I1484" i="1"/>
  <c r="H1484" i="1"/>
  <c r="G1484" i="1"/>
  <c r="F1484" i="1"/>
  <c r="E1484" i="1"/>
  <c r="D1484" i="1"/>
  <c r="C1484" i="1"/>
  <c r="B1484" i="1"/>
  <c r="A1484" i="1"/>
  <c r="O1483" i="1"/>
  <c r="L1483" i="1"/>
  <c r="K1483" i="1"/>
  <c r="J1483" i="1"/>
  <c r="I1483" i="1"/>
  <c r="H1483" i="1"/>
  <c r="G1483" i="1"/>
  <c r="F1483" i="1"/>
  <c r="E1483" i="1"/>
  <c r="D1483" i="1"/>
  <c r="C1483" i="1"/>
  <c r="B1483" i="1"/>
  <c r="A1483" i="1"/>
  <c r="O1482" i="1"/>
  <c r="L1482" i="1"/>
  <c r="K1482" i="1"/>
  <c r="J1482" i="1"/>
  <c r="I1482" i="1"/>
  <c r="H1482" i="1"/>
  <c r="G1482" i="1"/>
  <c r="F1482" i="1"/>
  <c r="E1482" i="1"/>
  <c r="D1482" i="1"/>
  <c r="C1482" i="1"/>
  <c r="B1482" i="1"/>
  <c r="A1482" i="1"/>
  <c r="O1481" i="1"/>
  <c r="L1481" i="1"/>
  <c r="K1481" i="1"/>
  <c r="J1481" i="1"/>
  <c r="I1481" i="1"/>
  <c r="H1481" i="1"/>
  <c r="G1481" i="1"/>
  <c r="F1481" i="1"/>
  <c r="E1481" i="1"/>
  <c r="D1481" i="1"/>
  <c r="C1481" i="1"/>
  <c r="B1481" i="1"/>
  <c r="A1481" i="1"/>
  <c r="O1480" i="1"/>
  <c r="L1480" i="1"/>
  <c r="K1480" i="1"/>
  <c r="J1480" i="1"/>
  <c r="I1480" i="1"/>
  <c r="H1480" i="1"/>
  <c r="G1480" i="1"/>
  <c r="F1480" i="1"/>
  <c r="E1480" i="1"/>
  <c r="D1480" i="1"/>
  <c r="C1480" i="1"/>
  <c r="B1480" i="1"/>
  <c r="A1480" i="1"/>
  <c r="O1479" i="1"/>
  <c r="L1479" i="1"/>
  <c r="K1479" i="1"/>
  <c r="J1479" i="1"/>
  <c r="I1479" i="1"/>
  <c r="H1479" i="1"/>
  <c r="G1479" i="1"/>
  <c r="F1479" i="1"/>
  <c r="E1479" i="1"/>
  <c r="D1479" i="1"/>
  <c r="C1479" i="1"/>
  <c r="B1479" i="1"/>
  <c r="A1479" i="1"/>
  <c r="O1478" i="1"/>
  <c r="L1478" i="1"/>
  <c r="K1478" i="1"/>
  <c r="J1478" i="1"/>
  <c r="I1478" i="1"/>
  <c r="H1478" i="1"/>
  <c r="G1478" i="1"/>
  <c r="F1478" i="1"/>
  <c r="E1478" i="1"/>
  <c r="D1478" i="1"/>
  <c r="C1478" i="1"/>
  <c r="B1478" i="1"/>
  <c r="A1478" i="1"/>
  <c r="O1477" i="1"/>
  <c r="L1477" i="1"/>
  <c r="K1477" i="1"/>
  <c r="J1477" i="1"/>
  <c r="I1477" i="1"/>
  <c r="H1477" i="1"/>
  <c r="G1477" i="1"/>
  <c r="F1477" i="1"/>
  <c r="E1477" i="1"/>
  <c r="D1477" i="1"/>
  <c r="C1477" i="1"/>
  <c r="B1477" i="1"/>
  <c r="A1477" i="1"/>
  <c r="O1476" i="1"/>
  <c r="L1476" i="1"/>
  <c r="K1476" i="1"/>
  <c r="J1476" i="1"/>
  <c r="I1476" i="1"/>
  <c r="H1476" i="1"/>
  <c r="G1476" i="1"/>
  <c r="F1476" i="1"/>
  <c r="E1476" i="1"/>
  <c r="D1476" i="1"/>
  <c r="C1476" i="1"/>
  <c r="B1476" i="1"/>
  <c r="A1476" i="1"/>
  <c r="O1475" i="1"/>
  <c r="L1475" i="1"/>
  <c r="K1475" i="1"/>
  <c r="J1475" i="1"/>
  <c r="I1475" i="1"/>
  <c r="H1475" i="1"/>
  <c r="G1475" i="1"/>
  <c r="F1475" i="1"/>
  <c r="E1475" i="1"/>
  <c r="D1475" i="1"/>
  <c r="C1475" i="1"/>
  <c r="B1475" i="1"/>
  <c r="A1475" i="1"/>
  <c r="O1474" i="1"/>
  <c r="L1474" i="1"/>
  <c r="K1474" i="1"/>
  <c r="J1474" i="1"/>
  <c r="I1474" i="1"/>
  <c r="H1474" i="1"/>
  <c r="G1474" i="1"/>
  <c r="F1474" i="1"/>
  <c r="E1474" i="1"/>
  <c r="D1474" i="1"/>
  <c r="C1474" i="1"/>
  <c r="B1474" i="1"/>
  <c r="A1474" i="1"/>
  <c r="O1473" i="1"/>
  <c r="L1473" i="1"/>
  <c r="K1473" i="1"/>
  <c r="J1473" i="1"/>
  <c r="I1473" i="1"/>
  <c r="H1473" i="1"/>
  <c r="G1473" i="1"/>
  <c r="F1473" i="1"/>
  <c r="E1473" i="1"/>
  <c r="D1473" i="1"/>
  <c r="C1473" i="1"/>
  <c r="B1473" i="1"/>
  <c r="A1473" i="1"/>
  <c r="O1472" i="1"/>
  <c r="L1472" i="1"/>
  <c r="K1472" i="1"/>
  <c r="J1472" i="1"/>
  <c r="I1472" i="1"/>
  <c r="H1472" i="1"/>
  <c r="G1472" i="1"/>
  <c r="F1472" i="1"/>
  <c r="E1472" i="1"/>
  <c r="D1472" i="1"/>
  <c r="C1472" i="1"/>
  <c r="B1472" i="1"/>
  <c r="A1472" i="1"/>
  <c r="O1471" i="1"/>
  <c r="L1471" i="1"/>
  <c r="K1471" i="1"/>
  <c r="J1471" i="1"/>
  <c r="I1471" i="1"/>
  <c r="H1471" i="1"/>
  <c r="G1471" i="1"/>
  <c r="F1471" i="1"/>
  <c r="E1471" i="1"/>
  <c r="D1471" i="1"/>
  <c r="C1471" i="1"/>
  <c r="B1471" i="1"/>
  <c r="A1471" i="1"/>
  <c r="O1470" i="1"/>
  <c r="L1470" i="1"/>
  <c r="K1470" i="1"/>
  <c r="J1470" i="1"/>
  <c r="I1470" i="1"/>
  <c r="H1470" i="1"/>
  <c r="G1470" i="1"/>
  <c r="F1470" i="1"/>
  <c r="E1470" i="1"/>
  <c r="D1470" i="1"/>
  <c r="C1470" i="1"/>
  <c r="B1470" i="1"/>
  <c r="A1470" i="1"/>
  <c r="O1469" i="1"/>
  <c r="L1469" i="1"/>
  <c r="K1469" i="1"/>
  <c r="J1469" i="1"/>
  <c r="I1469" i="1"/>
  <c r="H1469" i="1"/>
  <c r="G1469" i="1"/>
  <c r="F1469" i="1"/>
  <c r="E1469" i="1"/>
  <c r="D1469" i="1"/>
  <c r="C1469" i="1"/>
  <c r="B1469" i="1"/>
  <c r="A1469" i="1"/>
  <c r="O1468" i="1"/>
  <c r="L1468" i="1"/>
  <c r="K1468" i="1"/>
  <c r="J1468" i="1"/>
  <c r="I1468" i="1"/>
  <c r="H1468" i="1"/>
  <c r="G1468" i="1"/>
  <c r="F1468" i="1"/>
  <c r="E1468" i="1"/>
  <c r="D1468" i="1"/>
  <c r="C1468" i="1"/>
  <c r="B1468" i="1"/>
  <c r="A1468" i="1"/>
  <c r="O1467" i="1"/>
  <c r="L1467" i="1"/>
  <c r="K1467" i="1"/>
  <c r="J1467" i="1"/>
  <c r="I1467" i="1"/>
  <c r="H1467" i="1"/>
  <c r="G1467" i="1"/>
  <c r="F1467" i="1"/>
  <c r="E1467" i="1"/>
  <c r="D1467" i="1"/>
  <c r="C1467" i="1"/>
  <c r="B1467" i="1"/>
  <c r="A1467" i="1"/>
  <c r="O1466" i="1"/>
  <c r="L1466" i="1"/>
  <c r="K1466" i="1"/>
  <c r="J1466" i="1"/>
  <c r="I1466" i="1"/>
  <c r="H1466" i="1"/>
  <c r="G1466" i="1"/>
  <c r="F1466" i="1"/>
  <c r="E1466" i="1"/>
  <c r="D1466" i="1"/>
  <c r="C1466" i="1"/>
  <c r="B1466" i="1"/>
  <c r="A1466" i="1"/>
  <c r="O1465" i="1"/>
  <c r="L1465" i="1"/>
  <c r="K1465" i="1"/>
  <c r="J1465" i="1"/>
  <c r="I1465" i="1"/>
  <c r="H1465" i="1"/>
  <c r="G1465" i="1"/>
  <c r="F1465" i="1"/>
  <c r="E1465" i="1"/>
  <c r="D1465" i="1"/>
  <c r="C1465" i="1"/>
  <c r="B1465" i="1"/>
  <c r="A1465" i="1"/>
  <c r="O1464" i="1"/>
  <c r="L1464" i="1"/>
  <c r="K1464" i="1"/>
  <c r="J1464" i="1"/>
  <c r="I1464" i="1"/>
  <c r="H1464" i="1"/>
  <c r="G1464" i="1"/>
  <c r="F1464" i="1"/>
  <c r="E1464" i="1"/>
  <c r="D1464" i="1"/>
  <c r="C1464" i="1"/>
  <c r="B1464" i="1"/>
  <c r="A1464" i="1"/>
  <c r="O1463" i="1"/>
  <c r="L1463" i="1"/>
  <c r="K1463" i="1"/>
  <c r="J1463" i="1"/>
  <c r="I1463" i="1"/>
  <c r="H1463" i="1"/>
  <c r="G1463" i="1"/>
  <c r="F1463" i="1"/>
  <c r="E1463" i="1"/>
  <c r="D1463" i="1"/>
  <c r="C1463" i="1"/>
  <c r="B1463" i="1"/>
  <c r="A1463" i="1"/>
  <c r="O1462" i="1"/>
  <c r="L1462" i="1"/>
  <c r="K1462" i="1"/>
  <c r="J1462" i="1"/>
  <c r="I1462" i="1"/>
  <c r="H1462" i="1"/>
  <c r="G1462" i="1"/>
  <c r="F1462" i="1"/>
  <c r="E1462" i="1"/>
  <c r="D1462" i="1"/>
  <c r="C1462" i="1"/>
  <c r="B1462" i="1"/>
  <c r="A1462" i="1"/>
  <c r="O1461" i="1"/>
  <c r="L1461" i="1"/>
  <c r="K1461" i="1"/>
  <c r="J1461" i="1"/>
  <c r="I1461" i="1"/>
  <c r="H1461" i="1"/>
  <c r="G1461" i="1"/>
  <c r="F1461" i="1"/>
  <c r="E1461" i="1"/>
  <c r="D1461" i="1"/>
  <c r="C1461" i="1"/>
  <c r="B1461" i="1"/>
  <c r="A1461" i="1"/>
  <c r="O1460" i="1"/>
  <c r="L1460" i="1"/>
  <c r="K1460" i="1"/>
  <c r="J1460" i="1"/>
  <c r="I1460" i="1"/>
  <c r="H1460" i="1"/>
  <c r="G1460" i="1"/>
  <c r="F1460" i="1"/>
  <c r="E1460" i="1"/>
  <c r="D1460" i="1"/>
  <c r="C1460" i="1"/>
  <c r="B1460" i="1"/>
  <c r="A1460" i="1"/>
  <c r="O1459" i="1"/>
  <c r="L1459" i="1"/>
  <c r="K1459" i="1"/>
  <c r="J1459" i="1"/>
  <c r="I1459" i="1"/>
  <c r="H1459" i="1"/>
  <c r="G1459" i="1"/>
  <c r="F1459" i="1"/>
  <c r="E1459" i="1"/>
  <c r="D1459" i="1"/>
  <c r="C1459" i="1"/>
  <c r="B1459" i="1"/>
  <c r="A1459" i="1"/>
  <c r="P1458" i="1"/>
  <c r="O1458" i="1"/>
  <c r="L1458" i="1"/>
  <c r="K1458" i="1"/>
  <c r="J1458" i="1"/>
  <c r="I1458" i="1"/>
  <c r="H1458" i="1"/>
  <c r="G1458" i="1"/>
  <c r="F1458" i="1"/>
  <c r="E1458" i="1"/>
  <c r="D1458" i="1"/>
  <c r="C1458" i="1"/>
  <c r="B1458" i="1"/>
  <c r="A1458" i="1"/>
  <c r="O1457" i="1"/>
  <c r="L1457" i="1"/>
  <c r="K1457" i="1"/>
  <c r="J1457" i="1"/>
  <c r="I1457" i="1"/>
  <c r="H1457" i="1"/>
  <c r="G1457" i="1"/>
  <c r="F1457" i="1"/>
  <c r="E1457" i="1"/>
  <c r="D1457" i="1"/>
  <c r="C1457" i="1"/>
  <c r="B1457" i="1"/>
  <c r="A1457" i="1"/>
  <c r="O1456" i="1"/>
  <c r="L1456" i="1"/>
  <c r="K1456" i="1"/>
  <c r="J1456" i="1"/>
  <c r="I1456" i="1"/>
  <c r="H1456" i="1"/>
  <c r="G1456" i="1"/>
  <c r="F1456" i="1"/>
  <c r="E1456" i="1"/>
  <c r="D1456" i="1"/>
  <c r="C1456" i="1"/>
  <c r="B1456" i="1"/>
  <c r="A1456" i="1"/>
  <c r="O1455" i="1"/>
  <c r="L1455" i="1"/>
  <c r="K1455" i="1"/>
  <c r="J1455" i="1"/>
  <c r="I1455" i="1"/>
  <c r="H1455" i="1"/>
  <c r="G1455" i="1"/>
  <c r="F1455" i="1"/>
  <c r="E1455" i="1"/>
  <c r="D1455" i="1"/>
  <c r="C1455" i="1"/>
  <c r="B1455" i="1"/>
  <c r="A1455" i="1"/>
  <c r="O1454" i="1"/>
  <c r="L1454" i="1"/>
  <c r="K1454" i="1"/>
  <c r="J1454" i="1"/>
  <c r="I1454" i="1"/>
  <c r="H1454" i="1"/>
  <c r="G1454" i="1"/>
  <c r="F1454" i="1"/>
  <c r="E1454" i="1"/>
  <c r="D1454" i="1"/>
  <c r="C1454" i="1"/>
  <c r="B1454" i="1"/>
  <c r="A1454" i="1"/>
  <c r="O1453" i="1"/>
  <c r="L1453" i="1"/>
  <c r="K1453" i="1"/>
  <c r="J1453" i="1"/>
  <c r="I1453" i="1"/>
  <c r="H1453" i="1"/>
  <c r="G1453" i="1"/>
  <c r="F1453" i="1"/>
  <c r="E1453" i="1"/>
  <c r="D1453" i="1"/>
  <c r="C1453" i="1"/>
  <c r="B1453" i="1"/>
  <c r="A1453" i="1"/>
  <c r="O1452" i="1"/>
  <c r="L1452" i="1"/>
  <c r="K1452" i="1"/>
  <c r="J1452" i="1"/>
  <c r="I1452" i="1"/>
  <c r="H1452" i="1"/>
  <c r="G1452" i="1"/>
  <c r="F1452" i="1"/>
  <c r="E1452" i="1"/>
  <c r="D1452" i="1"/>
  <c r="C1452" i="1"/>
  <c r="B1452" i="1"/>
  <c r="A1452" i="1"/>
  <c r="O1451" i="1"/>
  <c r="L1451" i="1"/>
  <c r="K1451" i="1"/>
  <c r="J1451" i="1"/>
  <c r="I1451" i="1"/>
  <c r="H1451" i="1"/>
  <c r="G1451" i="1"/>
  <c r="F1451" i="1"/>
  <c r="E1451" i="1"/>
  <c r="D1451" i="1"/>
  <c r="C1451" i="1"/>
  <c r="B1451" i="1"/>
  <c r="A1451" i="1"/>
  <c r="O1450" i="1"/>
  <c r="L1450" i="1"/>
  <c r="K1450" i="1"/>
  <c r="J1450" i="1"/>
  <c r="I1450" i="1"/>
  <c r="H1450" i="1"/>
  <c r="G1450" i="1"/>
  <c r="F1450" i="1"/>
  <c r="E1450" i="1"/>
  <c r="D1450" i="1"/>
  <c r="C1450" i="1"/>
  <c r="B1450" i="1"/>
  <c r="A1450" i="1"/>
  <c r="O1449" i="1"/>
  <c r="L1449" i="1"/>
  <c r="K1449" i="1"/>
  <c r="J1449" i="1"/>
  <c r="I1449" i="1"/>
  <c r="H1449" i="1"/>
  <c r="G1449" i="1"/>
  <c r="F1449" i="1"/>
  <c r="E1449" i="1"/>
  <c r="D1449" i="1"/>
  <c r="C1449" i="1"/>
  <c r="B1449" i="1"/>
  <c r="A1449" i="1"/>
  <c r="O1448" i="1"/>
  <c r="L1448" i="1"/>
  <c r="K1448" i="1"/>
  <c r="J1448" i="1"/>
  <c r="I1448" i="1"/>
  <c r="H1448" i="1"/>
  <c r="G1448" i="1"/>
  <c r="F1448" i="1"/>
  <c r="E1448" i="1"/>
  <c r="D1448" i="1"/>
  <c r="C1448" i="1"/>
  <c r="B1448" i="1"/>
  <c r="A1448" i="1"/>
  <c r="O1447" i="1"/>
  <c r="L1447" i="1"/>
  <c r="K1447" i="1"/>
  <c r="J1447" i="1"/>
  <c r="I1447" i="1"/>
  <c r="H1447" i="1"/>
  <c r="G1447" i="1"/>
  <c r="F1447" i="1"/>
  <c r="E1447" i="1"/>
  <c r="D1447" i="1"/>
  <c r="C1447" i="1"/>
  <c r="B1447" i="1"/>
  <c r="A1447" i="1"/>
  <c r="O1446" i="1"/>
  <c r="L1446" i="1"/>
  <c r="K1446" i="1"/>
  <c r="J1446" i="1"/>
  <c r="I1446" i="1"/>
  <c r="H1446" i="1"/>
  <c r="G1446" i="1"/>
  <c r="F1446" i="1"/>
  <c r="E1446" i="1"/>
  <c r="D1446" i="1"/>
  <c r="C1446" i="1"/>
  <c r="B1446" i="1"/>
  <c r="A1446" i="1"/>
  <c r="O1445" i="1"/>
  <c r="L1445" i="1"/>
  <c r="K1445" i="1"/>
  <c r="J1445" i="1"/>
  <c r="I1445" i="1"/>
  <c r="H1445" i="1"/>
  <c r="G1445" i="1"/>
  <c r="F1445" i="1"/>
  <c r="E1445" i="1"/>
  <c r="D1445" i="1"/>
  <c r="C1445" i="1"/>
  <c r="B1445" i="1"/>
  <c r="A1445" i="1"/>
  <c r="O1444" i="1"/>
  <c r="L1444" i="1"/>
  <c r="K1444" i="1"/>
  <c r="J1444" i="1"/>
  <c r="I1444" i="1"/>
  <c r="H1444" i="1"/>
  <c r="G1444" i="1"/>
  <c r="F1444" i="1"/>
  <c r="E1444" i="1"/>
  <c r="D1444" i="1"/>
  <c r="C1444" i="1"/>
  <c r="B1444" i="1"/>
  <c r="A1444" i="1"/>
  <c r="O1443" i="1"/>
  <c r="L1443" i="1"/>
  <c r="K1443" i="1"/>
  <c r="J1443" i="1"/>
  <c r="I1443" i="1"/>
  <c r="H1443" i="1"/>
  <c r="G1443" i="1"/>
  <c r="F1443" i="1"/>
  <c r="E1443" i="1"/>
  <c r="D1443" i="1"/>
  <c r="C1443" i="1"/>
  <c r="B1443" i="1"/>
  <c r="A1443" i="1"/>
  <c r="O1442" i="1"/>
  <c r="L1442" i="1"/>
  <c r="K1442" i="1"/>
  <c r="J1442" i="1"/>
  <c r="I1442" i="1"/>
  <c r="H1442" i="1"/>
  <c r="G1442" i="1"/>
  <c r="F1442" i="1"/>
  <c r="E1442" i="1"/>
  <c r="D1442" i="1"/>
  <c r="C1442" i="1"/>
  <c r="B1442" i="1"/>
  <c r="A1442" i="1"/>
  <c r="O1441" i="1"/>
  <c r="L1441" i="1"/>
  <c r="K1441" i="1"/>
  <c r="J1441" i="1"/>
  <c r="I1441" i="1"/>
  <c r="H1441" i="1"/>
  <c r="G1441" i="1"/>
  <c r="F1441" i="1"/>
  <c r="E1441" i="1"/>
  <c r="D1441" i="1"/>
  <c r="C1441" i="1"/>
  <c r="B1441" i="1"/>
  <c r="A1441" i="1"/>
  <c r="O1440" i="1"/>
  <c r="L1440" i="1"/>
  <c r="K1440" i="1"/>
  <c r="J1440" i="1"/>
  <c r="I1440" i="1"/>
  <c r="H1440" i="1"/>
  <c r="G1440" i="1"/>
  <c r="F1440" i="1"/>
  <c r="E1440" i="1"/>
  <c r="D1440" i="1"/>
  <c r="C1440" i="1"/>
  <c r="B1440" i="1"/>
  <c r="A1440" i="1"/>
  <c r="O1439" i="1"/>
  <c r="L1439" i="1"/>
  <c r="K1439" i="1"/>
  <c r="J1439" i="1"/>
  <c r="I1439" i="1"/>
  <c r="H1439" i="1"/>
  <c r="G1439" i="1"/>
  <c r="F1439" i="1"/>
  <c r="E1439" i="1"/>
  <c r="D1439" i="1"/>
  <c r="C1439" i="1"/>
  <c r="B1439" i="1"/>
  <c r="A1439" i="1"/>
  <c r="O1438" i="1"/>
  <c r="L1438" i="1"/>
  <c r="K1438" i="1"/>
  <c r="J1438" i="1"/>
  <c r="I1438" i="1"/>
  <c r="H1438" i="1"/>
  <c r="G1438" i="1"/>
  <c r="F1438" i="1"/>
  <c r="E1438" i="1"/>
  <c r="D1438" i="1"/>
  <c r="C1438" i="1"/>
  <c r="B1438" i="1"/>
  <c r="A1438" i="1"/>
  <c r="O1437" i="1"/>
  <c r="L1437" i="1"/>
  <c r="K1437" i="1"/>
  <c r="J1437" i="1"/>
  <c r="I1437" i="1"/>
  <c r="H1437" i="1"/>
  <c r="G1437" i="1"/>
  <c r="F1437" i="1"/>
  <c r="E1437" i="1"/>
  <c r="D1437" i="1"/>
  <c r="C1437" i="1"/>
  <c r="B1437" i="1"/>
  <c r="A1437" i="1"/>
  <c r="O1436" i="1"/>
  <c r="L1436" i="1"/>
  <c r="K1436" i="1"/>
  <c r="J1436" i="1"/>
  <c r="I1436" i="1"/>
  <c r="H1436" i="1"/>
  <c r="G1436" i="1"/>
  <c r="F1436" i="1"/>
  <c r="E1436" i="1"/>
  <c r="D1436" i="1"/>
  <c r="C1436" i="1"/>
  <c r="B1436" i="1"/>
  <c r="A1436" i="1"/>
  <c r="O1435" i="1"/>
  <c r="L1435" i="1"/>
  <c r="K1435" i="1"/>
  <c r="J1435" i="1"/>
  <c r="I1435" i="1"/>
  <c r="H1435" i="1"/>
  <c r="G1435" i="1"/>
  <c r="F1435" i="1"/>
  <c r="E1435" i="1"/>
  <c r="D1435" i="1"/>
  <c r="C1435" i="1"/>
  <c r="B1435" i="1"/>
  <c r="A1435" i="1"/>
  <c r="O1434" i="1"/>
  <c r="L1434" i="1"/>
  <c r="K1434" i="1"/>
  <c r="J1434" i="1"/>
  <c r="I1434" i="1"/>
  <c r="H1434" i="1"/>
  <c r="G1434" i="1"/>
  <c r="F1434" i="1"/>
  <c r="E1434" i="1"/>
  <c r="D1434" i="1"/>
  <c r="C1434" i="1"/>
  <c r="B1434" i="1"/>
  <c r="A1434" i="1"/>
  <c r="O1433" i="1"/>
  <c r="L1433" i="1"/>
  <c r="K1433" i="1"/>
  <c r="J1433" i="1"/>
  <c r="I1433" i="1"/>
  <c r="H1433" i="1"/>
  <c r="G1433" i="1"/>
  <c r="F1433" i="1"/>
  <c r="E1433" i="1"/>
  <c r="D1433" i="1"/>
  <c r="C1433" i="1"/>
  <c r="B1433" i="1"/>
  <c r="A1433" i="1"/>
  <c r="O1432" i="1"/>
  <c r="L1432" i="1"/>
  <c r="K1432" i="1"/>
  <c r="J1432" i="1"/>
  <c r="I1432" i="1"/>
  <c r="H1432" i="1"/>
  <c r="G1432" i="1"/>
  <c r="F1432" i="1"/>
  <c r="E1432" i="1"/>
  <c r="D1432" i="1"/>
  <c r="C1432" i="1"/>
  <c r="B1432" i="1"/>
  <c r="A1432" i="1"/>
  <c r="O1431" i="1"/>
  <c r="L1431" i="1"/>
  <c r="K1431" i="1"/>
  <c r="J1431" i="1"/>
  <c r="I1431" i="1"/>
  <c r="H1431" i="1"/>
  <c r="G1431" i="1"/>
  <c r="F1431" i="1"/>
  <c r="E1431" i="1"/>
  <c r="D1431" i="1"/>
  <c r="C1431" i="1"/>
  <c r="B1431" i="1"/>
  <c r="A1431" i="1"/>
  <c r="O1430" i="1"/>
  <c r="L1430" i="1"/>
  <c r="K1430" i="1"/>
  <c r="J1430" i="1"/>
  <c r="I1430" i="1"/>
  <c r="H1430" i="1"/>
  <c r="G1430" i="1"/>
  <c r="F1430" i="1"/>
  <c r="E1430" i="1"/>
  <c r="D1430" i="1"/>
  <c r="C1430" i="1"/>
  <c r="B1430" i="1"/>
  <c r="A1430" i="1"/>
  <c r="O1429" i="1"/>
  <c r="L1429" i="1"/>
  <c r="K1429" i="1"/>
  <c r="J1429" i="1"/>
  <c r="I1429" i="1"/>
  <c r="H1429" i="1"/>
  <c r="G1429" i="1"/>
  <c r="F1429" i="1"/>
  <c r="E1429" i="1"/>
  <c r="D1429" i="1"/>
  <c r="C1429" i="1"/>
  <c r="B1429" i="1"/>
  <c r="A1429" i="1"/>
  <c r="O1428" i="1"/>
  <c r="L1428" i="1"/>
  <c r="K1428" i="1"/>
  <c r="J1428" i="1"/>
  <c r="I1428" i="1"/>
  <c r="H1428" i="1"/>
  <c r="G1428" i="1"/>
  <c r="F1428" i="1"/>
  <c r="E1428" i="1"/>
  <c r="D1428" i="1"/>
  <c r="C1428" i="1"/>
  <c r="B1428" i="1"/>
  <c r="A1428" i="1"/>
  <c r="P1427" i="1"/>
  <c r="O1427" i="1"/>
  <c r="L1427" i="1"/>
  <c r="K1427" i="1"/>
  <c r="J1427" i="1"/>
  <c r="I1427" i="1"/>
  <c r="H1427" i="1"/>
  <c r="G1427" i="1"/>
  <c r="F1427" i="1"/>
  <c r="E1427" i="1"/>
  <c r="D1427" i="1"/>
  <c r="C1427" i="1"/>
  <c r="B1427" i="1"/>
  <c r="A1427" i="1"/>
  <c r="O1426" i="1"/>
  <c r="L1426" i="1"/>
  <c r="K1426" i="1"/>
  <c r="J1426" i="1"/>
  <c r="I1426" i="1"/>
  <c r="H1426" i="1"/>
  <c r="G1426" i="1"/>
  <c r="F1426" i="1"/>
  <c r="E1426" i="1"/>
  <c r="D1426" i="1"/>
  <c r="C1426" i="1"/>
  <c r="B1426" i="1"/>
  <c r="A1426" i="1"/>
  <c r="O1425" i="1"/>
  <c r="L1425" i="1"/>
  <c r="K1425" i="1"/>
  <c r="J1425" i="1"/>
  <c r="I1425" i="1"/>
  <c r="H1425" i="1"/>
  <c r="G1425" i="1"/>
  <c r="F1425" i="1"/>
  <c r="E1425" i="1"/>
  <c r="D1425" i="1"/>
  <c r="C1425" i="1"/>
  <c r="B1425" i="1"/>
  <c r="A1425" i="1"/>
  <c r="P1424" i="1"/>
  <c r="O1424" i="1"/>
  <c r="L1424" i="1"/>
  <c r="K1424" i="1"/>
  <c r="J1424" i="1"/>
  <c r="I1424" i="1"/>
  <c r="H1424" i="1"/>
  <c r="G1424" i="1"/>
  <c r="F1424" i="1"/>
  <c r="E1424" i="1"/>
  <c r="D1424" i="1"/>
  <c r="C1424" i="1"/>
  <c r="B1424" i="1"/>
  <c r="A1424" i="1"/>
  <c r="O1423" i="1"/>
  <c r="L1423" i="1"/>
  <c r="K1423" i="1"/>
  <c r="J1423" i="1"/>
  <c r="I1423" i="1"/>
  <c r="H1423" i="1"/>
  <c r="G1423" i="1"/>
  <c r="F1423" i="1"/>
  <c r="E1423" i="1"/>
  <c r="D1423" i="1"/>
  <c r="C1423" i="1"/>
  <c r="B1423" i="1"/>
  <c r="A1423" i="1"/>
  <c r="O1422" i="1"/>
  <c r="L1422" i="1"/>
  <c r="K1422" i="1"/>
  <c r="J1422" i="1"/>
  <c r="I1422" i="1"/>
  <c r="H1422" i="1"/>
  <c r="G1422" i="1"/>
  <c r="F1422" i="1"/>
  <c r="E1422" i="1"/>
  <c r="D1422" i="1"/>
  <c r="C1422" i="1"/>
  <c r="B1422" i="1"/>
  <c r="A1422" i="1"/>
  <c r="O1421" i="1"/>
  <c r="L1421" i="1"/>
  <c r="K1421" i="1"/>
  <c r="J1421" i="1"/>
  <c r="I1421" i="1"/>
  <c r="H1421" i="1"/>
  <c r="G1421" i="1"/>
  <c r="F1421" i="1"/>
  <c r="E1421" i="1"/>
  <c r="D1421" i="1"/>
  <c r="C1421" i="1"/>
  <c r="B1421" i="1"/>
  <c r="A1421" i="1"/>
  <c r="O1420" i="1"/>
  <c r="L1420" i="1"/>
  <c r="K1420" i="1"/>
  <c r="J1420" i="1"/>
  <c r="I1420" i="1"/>
  <c r="H1420" i="1"/>
  <c r="G1420" i="1"/>
  <c r="F1420" i="1"/>
  <c r="E1420" i="1"/>
  <c r="D1420" i="1"/>
  <c r="C1420" i="1"/>
  <c r="B1420" i="1"/>
  <c r="A1420" i="1"/>
  <c r="O1419" i="1"/>
  <c r="L1419" i="1"/>
  <c r="K1419" i="1"/>
  <c r="J1419" i="1"/>
  <c r="I1419" i="1"/>
  <c r="H1419" i="1"/>
  <c r="G1419" i="1"/>
  <c r="F1419" i="1"/>
  <c r="E1419" i="1"/>
  <c r="D1419" i="1"/>
  <c r="C1419" i="1"/>
  <c r="B1419" i="1"/>
  <c r="A1419" i="1"/>
  <c r="O1418" i="1"/>
  <c r="L1418" i="1"/>
  <c r="K1418" i="1"/>
  <c r="J1418" i="1"/>
  <c r="I1418" i="1"/>
  <c r="H1418" i="1"/>
  <c r="G1418" i="1"/>
  <c r="F1418" i="1"/>
  <c r="E1418" i="1"/>
  <c r="D1418" i="1"/>
  <c r="C1418" i="1"/>
  <c r="B1418" i="1"/>
  <c r="A1418" i="1"/>
  <c r="O1417" i="1"/>
  <c r="L1417" i="1"/>
  <c r="K1417" i="1"/>
  <c r="J1417" i="1"/>
  <c r="I1417" i="1"/>
  <c r="H1417" i="1"/>
  <c r="G1417" i="1"/>
  <c r="F1417" i="1"/>
  <c r="E1417" i="1"/>
  <c r="D1417" i="1"/>
  <c r="C1417" i="1"/>
  <c r="B1417" i="1"/>
  <c r="A1417" i="1"/>
  <c r="O1416" i="1"/>
  <c r="L1416" i="1"/>
  <c r="K1416" i="1"/>
  <c r="J1416" i="1"/>
  <c r="I1416" i="1"/>
  <c r="H1416" i="1"/>
  <c r="G1416" i="1"/>
  <c r="F1416" i="1"/>
  <c r="E1416" i="1"/>
  <c r="D1416" i="1"/>
  <c r="C1416" i="1"/>
  <c r="B1416" i="1"/>
  <c r="A1416" i="1"/>
  <c r="O1415" i="1"/>
  <c r="L1415" i="1"/>
  <c r="K1415" i="1"/>
  <c r="J1415" i="1"/>
  <c r="I1415" i="1"/>
  <c r="H1415" i="1"/>
  <c r="G1415" i="1"/>
  <c r="F1415" i="1"/>
  <c r="E1415" i="1"/>
  <c r="D1415" i="1"/>
  <c r="C1415" i="1"/>
  <c r="B1415" i="1"/>
  <c r="A1415" i="1"/>
  <c r="O1414" i="1"/>
  <c r="L1414" i="1"/>
  <c r="K1414" i="1"/>
  <c r="J1414" i="1"/>
  <c r="I1414" i="1"/>
  <c r="H1414" i="1"/>
  <c r="G1414" i="1"/>
  <c r="F1414" i="1"/>
  <c r="E1414" i="1"/>
  <c r="D1414" i="1"/>
  <c r="C1414" i="1"/>
  <c r="B1414" i="1"/>
  <c r="A1414" i="1"/>
  <c r="O1413" i="1"/>
  <c r="L1413" i="1"/>
  <c r="K1413" i="1"/>
  <c r="J1413" i="1"/>
  <c r="I1413" i="1"/>
  <c r="H1413" i="1"/>
  <c r="G1413" i="1"/>
  <c r="F1413" i="1"/>
  <c r="E1413" i="1"/>
  <c r="D1413" i="1"/>
  <c r="C1413" i="1"/>
  <c r="B1413" i="1"/>
  <c r="A1413" i="1"/>
  <c r="O1412" i="1"/>
  <c r="L1412" i="1"/>
  <c r="K1412" i="1"/>
  <c r="J1412" i="1"/>
  <c r="I1412" i="1"/>
  <c r="H1412" i="1"/>
  <c r="G1412" i="1"/>
  <c r="F1412" i="1"/>
  <c r="E1412" i="1"/>
  <c r="D1412" i="1"/>
  <c r="C1412" i="1"/>
  <c r="B1412" i="1"/>
  <c r="A1412" i="1"/>
  <c r="O1411" i="1"/>
  <c r="L1411" i="1"/>
  <c r="K1411" i="1"/>
  <c r="J1411" i="1"/>
  <c r="I1411" i="1"/>
  <c r="H1411" i="1"/>
  <c r="G1411" i="1"/>
  <c r="F1411" i="1"/>
  <c r="E1411" i="1"/>
  <c r="D1411" i="1"/>
  <c r="C1411" i="1"/>
  <c r="B1411" i="1"/>
  <c r="A1411" i="1"/>
  <c r="O1410" i="1"/>
  <c r="L1410" i="1"/>
  <c r="K1410" i="1"/>
  <c r="J1410" i="1"/>
  <c r="I1410" i="1"/>
  <c r="H1410" i="1"/>
  <c r="G1410" i="1"/>
  <c r="F1410" i="1"/>
  <c r="E1410" i="1"/>
  <c r="D1410" i="1"/>
  <c r="C1410" i="1"/>
  <c r="B1410" i="1"/>
  <c r="A1410" i="1"/>
  <c r="O1409" i="1"/>
  <c r="L1409" i="1"/>
  <c r="K1409" i="1"/>
  <c r="J1409" i="1"/>
  <c r="I1409" i="1"/>
  <c r="H1409" i="1"/>
  <c r="G1409" i="1"/>
  <c r="F1409" i="1"/>
  <c r="E1409" i="1"/>
  <c r="D1409" i="1"/>
  <c r="C1409" i="1"/>
  <c r="B1409" i="1"/>
  <c r="A1409" i="1"/>
  <c r="O1408" i="1"/>
  <c r="L1408" i="1"/>
  <c r="K1408" i="1"/>
  <c r="J1408" i="1"/>
  <c r="I1408" i="1"/>
  <c r="H1408" i="1"/>
  <c r="G1408" i="1"/>
  <c r="F1408" i="1"/>
  <c r="E1408" i="1"/>
  <c r="D1408" i="1"/>
  <c r="C1408" i="1"/>
  <c r="B1408" i="1"/>
  <c r="A1408" i="1"/>
  <c r="O1407" i="1"/>
  <c r="L1407" i="1"/>
  <c r="K1407" i="1"/>
  <c r="J1407" i="1"/>
  <c r="I1407" i="1"/>
  <c r="H1407" i="1"/>
  <c r="G1407" i="1"/>
  <c r="F1407" i="1"/>
  <c r="E1407" i="1"/>
  <c r="D1407" i="1"/>
  <c r="C1407" i="1"/>
  <c r="B1407" i="1"/>
  <c r="A1407" i="1"/>
  <c r="O1406" i="1"/>
  <c r="L1406" i="1"/>
  <c r="K1406" i="1"/>
  <c r="J1406" i="1"/>
  <c r="I1406" i="1"/>
  <c r="H1406" i="1"/>
  <c r="G1406" i="1"/>
  <c r="F1406" i="1"/>
  <c r="E1406" i="1"/>
  <c r="D1406" i="1"/>
  <c r="C1406" i="1"/>
  <c r="B1406" i="1"/>
  <c r="A1406" i="1"/>
  <c r="O1405" i="1"/>
  <c r="L1405" i="1"/>
  <c r="K1405" i="1"/>
  <c r="J1405" i="1"/>
  <c r="I1405" i="1"/>
  <c r="H1405" i="1"/>
  <c r="G1405" i="1"/>
  <c r="F1405" i="1"/>
  <c r="E1405" i="1"/>
  <c r="D1405" i="1"/>
  <c r="C1405" i="1"/>
  <c r="B1405" i="1"/>
  <c r="A1405" i="1"/>
  <c r="O1404" i="1"/>
  <c r="L1404" i="1"/>
  <c r="K1404" i="1"/>
  <c r="J1404" i="1"/>
  <c r="I1404" i="1"/>
  <c r="H1404" i="1"/>
  <c r="G1404" i="1"/>
  <c r="F1404" i="1"/>
  <c r="E1404" i="1"/>
  <c r="D1404" i="1"/>
  <c r="C1404" i="1"/>
  <c r="B1404" i="1"/>
  <c r="A1404" i="1"/>
  <c r="O1403" i="1"/>
  <c r="L1403" i="1"/>
  <c r="K1403" i="1"/>
  <c r="J1403" i="1"/>
  <c r="I1403" i="1"/>
  <c r="H1403" i="1"/>
  <c r="G1403" i="1"/>
  <c r="F1403" i="1"/>
  <c r="E1403" i="1"/>
  <c r="D1403" i="1"/>
  <c r="C1403" i="1"/>
  <c r="B1403" i="1"/>
  <c r="A1403" i="1"/>
  <c r="O1402" i="1"/>
  <c r="L1402" i="1"/>
  <c r="K1402" i="1"/>
  <c r="J1402" i="1"/>
  <c r="I1402" i="1"/>
  <c r="H1402" i="1"/>
  <c r="G1402" i="1"/>
  <c r="F1402" i="1"/>
  <c r="E1402" i="1"/>
  <c r="D1402" i="1"/>
  <c r="C1402" i="1"/>
  <c r="B1402" i="1"/>
  <c r="A1402" i="1"/>
  <c r="O1401" i="1"/>
  <c r="L1401" i="1"/>
  <c r="K1401" i="1"/>
  <c r="J1401" i="1"/>
  <c r="I1401" i="1"/>
  <c r="H1401" i="1"/>
  <c r="G1401" i="1"/>
  <c r="F1401" i="1"/>
  <c r="E1401" i="1"/>
  <c r="D1401" i="1"/>
  <c r="C1401" i="1"/>
  <c r="B1401" i="1"/>
  <c r="A1401" i="1"/>
  <c r="O1400" i="1"/>
  <c r="L1400" i="1"/>
  <c r="K1400" i="1"/>
  <c r="J1400" i="1"/>
  <c r="I1400" i="1"/>
  <c r="H1400" i="1"/>
  <c r="G1400" i="1"/>
  <c r="F1400" i="1"/>
  <c r="E1400" i="1"/>
  <c r="D1400" i="1"/>
  <c r="C1400" i="1"/>
  <c r="B1400" i="1"/>
  <c r="A1400" i="1"/>
  <c r="O1399" i="1"/>
  <c r="L1399" i="1"/>
  <c r="K1399" i="1"/>
  <c r="J1399" i="1"/>
  <c r="I1399" i="1"/>
  <c r="H1399" i="1"/>
  <c r="G1399" i="1"/>
  <c r="F1399" i="1"/>
  <c r="E1399" i="1"/>
  <c r="D1399" i="1"/>
  <c r="C1399" i="1"/>
  <c r="B1399" i="1"/>
  <c r="A1399" i="1"/>
  <c r="O1398" i="1"/>
  <c r="L1398" i="1"/>
  <c r="K1398" i="1"/>
  <c r="J1398" i="1"/>
  <c r="I1398" i="1"/>
  <c r="H1398" i="1"/>
  <c r="G1398" i="1"/>
  <c r="F1398" i="1"/>
  <c r="E1398" i="1"/>
  <c r="D1398" i="1"/>
  <c r="C1398" i="1"/>
  <c r="B1398" i="1"/>
  <c r="A1398" i="1"/>
  <c r="O1397" i="1"/>
  <c r="L1397" i="1"/>
  <c r="K1397" i="1"/>
  <c r="J1397" i="1"/>
  <c r="I1397" i="1"/>
  <c r="H1397" i="1"/>
  <c r="G1397" i="1"/>
  <c r="F1397" i="1"/>
  <c r="E1397" i="1"/>
  <c r="D1397" i="1"/>
  <c r="C1397" i="1"/>
  <c r="B1397" i="1"/>
  <c r="A1397" i="1"/>
  <c r="O1396" i="1"/>
  <c r="L1396" i="1"/>
  <c r="K1396" i="1"/>
  <c r="J1396" i="1"/>
  <c r="I1396" i="1"/>
  <c r="H1396" i="1"/>
  <c r="G1396" i="1"/>
  <c r="F1396" i="1"/>
  <c r="E1396" i="1"/>
  <c r="D1396" i="1"/>
  <c r="C1396" i="1"/>
  <c r="B1396" i="1"/>
  <c r="A1396" i="1"/>
  <c r="O1395" i="1"/>
  <c r="L1395" i="1"/>
  <c r="K1395" i="1"/>
  <c r="J1395" i="1"/>
  <c r="I1395" i="1"/>
  <c r="H1395" i="1"/>
  <c r="G1395" i="1"/>
  <c r="F1395" i="1"/>
  <c r="E1395" i="1"/>
  <c r="D1395" i="1"/>
  <c r="C1395" i="1"/>
  <c r="B1395" i="1"/>
  <c r="A1395" i="1"/>
  <c r="O1394" i="1"/>
  <c r="L1394" i="1"/>
  <c r="K1394" i="1"/>
  <c r="J1394" i="1"/>
  <c r="I1394" i="1"/>
  <c r="H1394" i="1"/>
  <c r="G1394" i="1"/>
  <c r="F1394" i="1"/>
  <c r="E1394" i="1"/>
  <c r="D1394" i="1"/>
  <c r="C1394" i="1"/>
  <c r="B1394" i="1"/>
  <c r="A1394" i="1"/>
  <c r="O1393" i="1"/>
  <c r="L1393" i="1"/>
  <c r="K1393" i="1"/>
  <c r="J1393" i="1"/>
  <c r="I1393" i="1"/>
  <c r="H1393" i="1"/>
  <c r="G1393" i="1"/>
  <c r="F1393" i="1"/>
  <c r="E1393" i="1"/>
  <c r="D1393" i="1"/>
  <c r="C1393" i="1"/>
  <c r="B1393" i="1"/>
  <c r="A1393" i="1"/>
  <c r="O1392" i="1"/>
  <c r="L1392" i="1"/>
  <c r="K1392" i="1"/>
  <c r="J1392" i="1"/>
  <c r="I1392" i="1"/>
  <c r="H1392" i="1"/>
  <c r="G1392" i="1"/>
  <c r="F1392" i="1"/>
  <c r="E1392" i="1"/>
  <c r="D1392" i="1"/>
  <c r="C1392" i="1"/>
  <c r="B1392" i="1"/>
  <c r="A1392" i="1"/>
  <c r="O1391" i="1"/>
  <c r="L1391" i="1"/>
  <c r="K1391" i="1"/>
  <c r="J1391" i="1"/>
  <c r="I1391" i="1"/>
  <c r="H1391" i="1"/>
  <c r="G1391" i="1"/>
  <c r="F1391" i="1"/>
  <c r="E1391" i="1"/>
  <c r="D1391" i="1"/>
  <c r="C1391" i="1"/>
  <c r="B1391" i="1"/>
  <c r="A1391" i="1"/>
  <c r="O1390" i="1"/>
  <c r="L1390" i="1"/>
  <c r="K1390" i="1"/>
  <c r="J1390" i="1"/>
  <c r="I1390" i="1"/>
  <c r="H1390" i="1"/>
  <c r="G1390" i="1"/>
  <c r="F1390" i="1"/>
  <c r="E1390" i="1"/>
  <c r="D1390" i="1"/>
  <c r="C1390" i="1"/>
  <c r="B1390" i="1"/>
  <c r="A1390" i="1"/>
  <c r="O1389" i="1"/>
  <c r="L1389" i="1"/>
  <c r="K1389" i="1"/>
  <c r="J1389" i="1"/>
  <c r="I1389" i="1"/>
  <c r="H1389" i="1"/>
  <c r="G1389" i="1"/>
  <c r="F1389" i="1"/>
  <c r="E1389" i="1"/>
  <c r="D1389" i="1"/>
  <c r="C1389" i="1"/>
  <c r="B1389" i="1"/>
  <c r="A1389" i="1"/>
  <c r="O1388" i="1"/>
  <c r="L1388" i="1"/>
  <c r="K1388" i="1"/>
  <c r="J1388" i="1"/>
  <c r="I1388" i="1"/>
  <c r="H1388" i="1"/>
  <c r="G1388" i="1"/>
  <c r="F1388" i="1"/>
  <c r="E1388" i="1"/>
  <c r="D1388" i="1"/>
  <c r="C1388" i="1"/>
  <c r="B1388" i="1"/>
  <c r="A1388" i="1"/>
  <c r="O1387" i="1"/>
  <c r="L1387" i="1"/>
  <c r="K1387" i="1"/>
  <c r="J1387" i="1"/>
  <c r="I1387" i="1"/>
  <c r="H1387" i="1"/>
  <c r="G1387" i="1"/>
  <c r="F1387" i="1"/>
  <c r="E1387" i="1"/>
  <c r="D1387" i="1"/>
  <c r="C1387" i="1"/>
  <c r="B1387" i="1"/>
  <c r="A1387" i="1"/>
  <c r="O1386" i="1"/>
  <c r="L1386" i="1"/>
  <c r="K1386" i="1"/>
  <c r="J1386" i="1"/>
  <c r="I1386" i="1"/>
  <c r="H1386" i="1"/>
  <c r="G1386" i="1"/>
  <c r="F1386" i="1"/>
  <c r="E1386" i="1"/>
  <c r="D1386" i="1"/>
  <c r="C1386" i="1"/>
  <c r="B1386" i="1"/>
  <c r="A1386" i="1"/>
  <c r="O1385" i="1"/>
  <c r="L1385" i="1"/>
  <c r="K1385" i="1"/>
  <c r="J1385" i="1"/>
  <c r="I1385" i="1"/>
  <c r="H1385" i="1"/>
  <c r="G1385" i="1"/>
  <c r="F1385" i="1"/>
  <c r="E1385" i="1"/>
  <c r="D1385" i="1"/>
  <c r="C1385" i="1"/>
  <c r="B1385" i="1"/>
  <c r="A1385" i="1"/>
  <c r="O1384" i="1"/>
  <c r="L1384" i="1"/>
  <c r="K1384" i="1"/>
  <c r="J1384" i="1"/>
  <c r="I1384" i="1"/>
  <c r="H1384" i="1"/>
  <c r="G1384" i="1"/>
  <c r="F1384" i="1"/>
  <c r="E1384" i="1"/>
  <c r="D1384" i="1"/>
  <c r="C1384" i="1"/>
  <c r="B1384" i="1"/>
  <c r="A1384" i="1"/>
  <c r="O1383" i="1"/>
  <c r="L1383" i="1"/>
  <c r="K1383" i="1"/>
  <c r="J1383" i="1"/>
  <c r="I1383" i="1"/>
  <c r="H1383" i="1"/>
  <c r="G1383" i="1"/>
  <c r="F1383" i="1"/>
  <c r="E1383" i="1"/>
  <c r="D1383" i="1"/>
  <c r="C1383" i="1"/>
  <c r="B1383" i="1"/>
  <c r="A1383" i="1"/>
  <c r="O1382" i="1"/>
  <c r="L1382" i="1"/>
  <c r="K1382" i="1"/>
  <c r="J1382" i="1"/>
  <c r="I1382" i="1"/>
  <c r="H1382" i="1"/>
  <c r="G1382" i="1"/>
  <c r="F1382" i="1"/>
  <c r="E1382" i="1"/>
  <c r="D1382" i="1"/>
  <c r="C1382" i="1"/>
  <c r="B1382" i="1"/>
  <c r="A1382" i="1"/>
  <c r="O1381" i="1"/>
  <c r="L1381" i="1"/>
  <c r="K1381" i="1"/>
  <c r="J1381" i="1"/>
  <c r="I1381" i="1"/>
  <c r="H1381" i="1"/>
  <c r="G1381" i="1"/>
  <c r="F1381" i="1"/>
  <c r="E1381" i="1"/>
  <c r="D1381" i="1"/>
  <c r="C1381" i="1"/>
  <c r="B1381" i="1"/>
  <c r="A1381" i="1"/>
  <c r="O1380" i="1"/>
  <c r="L1380" i="1"/>
  <c r="K1380" i="1"/>
  <c r="J1380" i="1"/>
  <c r="I1380" i="1"/>
  <c r="H1380" i="1"/>
  <c r="G1380" i="1"/>
  <c r="F1380" i="1"/>
  <c r="E1380" i="1"/>
  <c r="D1380" i="1"/>
  <c r="C1380" i="1"/>
  <c r="B1380" i="1"/>
  <c r="A1380" i="1"/>
  <c r="O1379" i="1"/>
  <c r="L1379" i="1"/>
  <c r="K1379" i="1"/>
  <c r="J1379" i="1"/>
  <c r="I1379" i="1"/>
  <c r="H1379" i="1"/>
  <c r="G1379" i="1"/>
  <c r="F1379" i="1"/>
  <c r="E1379" i="1"/>
  <c r="D1379" i="1"/>
  <c r="C1379" i="1"/>
  <c r="B1379" i="1"/>
  <c r="A1379" i="1"/>
  <c r="O1378" i="1"/>
  <c r="L1378" i="1"/>
  <c r="K1378" i="1"/>
  <c r="J1378" i="1"/>
  <c r="I1378" i="1"/>
  <c r="H1378" i="1"/>
  <c r="G1378" i="1"/>
  <c r="F1378" i="1"/>
  <c r="E1378" i="1"/>
  <c r="D1378" i="1"/>
  <c r="C1378" i="1"/>
  <c r="B1378" i="1"/>
  <c r="A1378" i="1"/>
  <c r="P1377" i="1"/>
  <c r="O1377" i="1"/>
  <c r="L1377" i="1"/>
  <c r="K1377" i="1"/>
  <c r="J1377" i="1"/>
  <c r="I1377" i="1"/>
  <c r="H1377" i="1"/>
  <c r="G1377" i="1"/>
  <c r="F1377" i="1"/>
  <c r="E1377" i="1"/>
  <c r="D1377" i="1"/>
  <c r="C1377" i="1"/>
  <c r="B1377" i="1"/>
  <c r="A1377" i="1"/>
  <c r="O1376" i="1"/>
  <c r="L1376" i="1"/>
  <c r="K1376" i="1"/>
  <c r="J1376" i="1"/>
  <c r="I1376" i="1"/>
  <c r="H1376" i="1"/>
  <c r="G1376" i="1"/>
  <c r="F1376" i="1"/>
  <c r="E1376" i="1"/>
  <c r="D1376" i="1"/>
  <c r="C1376" i="1"/>
  <c r="B1376" i="1"/>
  <c r="A1376" i="1"/>
  <c r="O1375" i="1"/>
  <c r="L1375" i="1"/>
  <c r="K1375" i="1"/>
  <c r="J1375" i="1"/>
  <c r="I1375" i="1"/>
  <c r="H1375" i="1"/>
  <c r="G1375" i="1"/>
  <c r="F1375" i="1"/>
  <c r="E1375" i="1"/>
  <c r="D1375" i="1"/>
  <c r="C1375" i="1"/>
  <c r="B1375" i="1"/>
  <c r="A1375" i="1"/>
  <c r="O1374" i="1"/>
  <c r="L1374" i="1"/>
  <c r="K1374" i="1"/>
  <c r="J1374" i="1"/>
  <c r="I1374" i="1"/>
  <c r="H1374" i="1"/>
  <c r="G1374" i="1"/>
  <c r="F1374" i="1"/>
  <c r="E1374" i="1"/>
  <c r="D1374" i="1"/>
  <c r="C1374" i="1"/>
  <c r="B1374" i="1"/>
  <c r="A1374" i="1"/>
  <c r="O1373" i="1"/>
  <c r="L1373" i="1"/>
  <c r="K1373" i="1"/>
  <c r="J1373" i="1"/>
  <c r="I1373" i="1"/>
  <c r="H1373" i="1"/>
  <c r="G1373" i="1"/>
  <c r="F1373" i="1"/>
  <c r="E1373" i="1"/>
  <c r="D1373" i="1"/>
  <c r="C1373" i="1"/>
  <c r="B1373" i="1"/>
  <c r="A1373" i="1"/>
  <c r="O1372" i="1"/>
  <c r="L1372" i="1"/>
  <c r="K1372" i="1"/>
  <c r="J1372" i="1"/>
  <c r="I1372" i="1"/>
  <c r="H1372" i="1"/>
  <c r="G1372" i="1"/>
  <c r="F1372" i="1"/>
  <c r="E1372" i="1"/>
  <c r="D1372" i="1"/>
  <c r="C1372" i="1"/>
  <c r="B1372" i="1"/>
  <c r="A1372" i="1"/>
  <c r="O1371" i="1"/>
  <c r="L1371" i="1"/>
  <c r="K1371" i="1"/>
  <c r="J1371" i="1"/>
  <c r="I1371" i="1"/>
  <c r="H1371" i="1"/>
  <c r="G1371" i="1"/>
  <c r="F1371" i="1"/>
  <c r="E1371" i="1"/>
  <c r="D1371" i="1"/>
  <c r="C1371" i="1"/>
  <c r="B1371" i="1"/>
  <c r="A1371" i="1"/>
  <c r="O1370" i="1"/>
  <c r="L1370" i="1"/>
  <c r="K1370" i="1"/>
  <c r="J1370" i="1"/>
  <c r="I1370" i="1"/>
  <c r="H1370" i="1"/>
  <c r="G1370" i="1"/>
  <c r="F1370" i="1"/>
  <c r="E1370" i="1"/>
  <c r="D1370" i="1"/>
  <c r="C1370" i="1"/>
  <c r="B1370" i="1"/>
  <c r="A1370" i="1"/>
  <c r="O1369" i="1"/>
  <c r="L1369" i="1"/>
  <c r="K1369" i="1"/>
  <c r="J1369" i="1"/>
  <c r="I1369" i="1"/>
  <c r="H1369" i="1"/>
  <c r="G1369" i="1"/>
  <c r="F1369" i="1"/>
  <c r="E1369" i="1"/>
  <c r="D1369" i="1"/>
  <c r="C1369" i="1"/>
  <c r="B1369" i="1"/>
  <c r="A1369" i="1"/>
  <c r="O1368" i="1"/>
  <c r="L1368" i="1"/>
  <c r="K1368" i="1"/>
  <c r="J1368" i="1"/>
  <c r="I1368" i="1"/>
  <c r="H1368" i="1"/>
  <c r="G1368" i="1"/>
  <c r="F1368" i="1"/>
  <c r="E1368" i="1"/>
  <c r="D1368" i="1"/>
  <c r="C1368" i="1"/>
  <c r="B1368" i="1"/>
  <c r="A1368" i="1"/>
  <c r="P1367" i="1"/>
  <c r="O1367" i="1"/>
  <c r="L1367" i="1"/>
  <c r="K1367" i="1"/>
  <c r="J1367" i="1"/>
  <c r="I1367" i="1"/>
  <c r="H1367" i="1"/>
  <c r="G1367" i="1"/>
  <c r="F1367" i="1"/>
  <c r="E1367" i="1"/>
  <c r="D1367" i="1"/>
  <c r="C1367" i="1"/>
  <c r="B1367" i="1"/>
  <c r="A1367" i="1"/>
  <c r="O1366" i="1"/>
  <c r="L1366" i="1"/>
  <c r="K1366" i="1"/>
  <c r="J1366" i="1"/>
  <c r="I1366" i="1"/>
  <c r="H1366" i="1"/>
  <c r="G1366" i="1"/>
  <c r="F1366" i="1"/>
  <c r="E1366" i="1"/>
  <c r="D1366" i="1"/>
  <c r="C1366" i="1"/>
  <c r="B1366" i="1"/>
  <c r="A1366" i="1"/>
  <c r="O1365" i="1"/>
  <c r="L1365" i="1"/>
  <c r="K1365" i="1"/>
  <c r="J1365" i="1"/>
  <c r="I1365" i="1"/>
  <c r="H1365" i="1"/>
  <c r="G1365" i="1"/>
  <c r="F1365" i="1"/>
  <c r="E1365" i="1"/>
  <c r="D1365" i="1"/>
  <c r="C1365" i="1"/>
  <c r="B1365" i="1"/>
  <c r="A1365" i="1"/>
  <c r="O1364" i="1"/>
  <c r="L1364" i="1"/>
  <c r="K1364" i="1"/>
  <c r="J1364" i="1"/>
  <c r="I1364" i="1"/>
  <c r="H1364" i="1"/>
  <c r="G1364" i="1"/>
  <c r="F1364" i="1"/>
  <c r="E1364" i="1"/>
  <c r="D1364" i="1"/>
  <c r="C1364" i="1"/>
  <c r="B1364" i="1"/>
  <c r="A1364" i="1"/>
  <c r="O1363" i="1"/>
  <c r="L1363" i="1"/>
  <c r="K1363" i="1"/>
  <c r="J1363" i="1"/>
  <c r="I1363" i="1"/>
  <c r="H1363" i="1"/>
  <c r="G1363" i="1"/>
  <c r="F1363" i="1"/>
  <c r="E1363" i="1"/>
  <c r="D1363" i="1"/>
  <c r="C1363" i="1"/>
  <c r="B1363" i="1"/>
  <c r="A1363" i="1"/>
  <c r="O1362" i="1"/>
  <c r="L1362" i="1"/>
  <c r="K1362" i="1"/>
  <c r="J1362" i="1"/>
  <c r="I1362" i="1"/>
  <c r="H1362" i="1"/>
  <c r="G1362" i="1"/>
  <c r="F1362" i="1"/>
  <c r="E1362" i="1"/>
  <c r="D1362" i="1"/>
  <c r="C1362" i="1"/>
  <c r="B1362" i="1"/>
  <c r="A1362" i="1"/>
  <c r="P1361" i="1"/>
  <c r="O1361" i="1"/>
  <c r="L1361" i="1"/>
  <c r="K1361" i="1"/>
  <c r="J1361" i="1"/>
  <c r="I1361" i="1"/>
  <c r="H1361" i="1"/>
  <c r="G1361" i="1"/>
  <c r="F1361" i="1"/>
  <c r="E1361" i="1"/>
  <c r="D1361" i="1"/>
  <c r="C1361" i="1"/>
  <c r="B1361" i="1"/>
  <c r="A1361" i="1"/>
  <c r="O1360" i="1"/>
  <c r="L1360" i="1"/>
  <c r="K1360" i="1"/>
  <c r="J1360" i="1"/>
  <c r="I1360" i="1"/>
  <c r="H1360" i="1"/>
  <c r="G1360" i="1"/>
  <c r="F1360" i="1"/>
  <c r="E1360" i="1"/>
  <c r="D1360" i="1"/>
  <c r="C1360" i="1"/>
  <c r="B1360" i="1"/>
  <c r="A1360" i="1"/>
  <c r="O1359" i="1"/>
  <c r="L1359" i="1"/>
  <c r="K1359" i="1"/>
  <c r="J1359" i="1"/>
  <c r="I1359" i="1"/>
  <c r="H1359" i="1"/>
  <c r="G1359" i="1"/>
  <c r="F1359" i="1"/>
  <c r="E1359" i="1"/>
  <c r="D1359" i="1"/>
  <c r="C1359" i="1"/>
  <c r="B1359" i="1"/>
  <c r="A1359" i="1"/>
  <c r="O1358" i="1"/>
  <c r="L1358" i="1"/>
  <c r="K1358" i="1"/>
  <c r="J1358" i="1"/>
  <c r="I1358" i="1"/>
  <c r="H1358" i="1"/>
  <c r="G1358" i="1"/>
  <c r="F1358" i="1"/>
  <c r="E1358" i="1"/>
  <c r="D1358" i="1"/>
  <c r="C1358" i="1"/>
  <c r="B1358" i="1"/>
  <c r="A1358" i="1"/>
  <c r="O1357" i="1"/>
  <c r="L1357" i="1"/>
  <c r="K1357" i="1"/>
  <c r="J1357" i="1"/>
  <c r="I1357" i="1"/>
  <c r="H1357" i="1"/>
  <c r="G1357" i="1"/>
  <c r="F1357" i="1"/>
  <c r="E1357" i="1"/>
  <c r="D1357" i="1"/>
  <c r="C1357" i="1"/>
  <c r="B1357" i="1"/>
  <c r="A1357" i="1"/>
  <c r="O1356" i="1"/>
  <c r="L1356" i="1"/>
  <c r="K1356" i="1"/>
  <c r="J1356" i="1"/>
  <c r="I1356" i="1"/>
  <c r="H1356" i="1"/>
  <c r="G1356" i="1"/>
  <c r="F1356" i="1"/>
  <c r="E1356" i="1"/>
  <c r="D1356" i="1"/>
  <c r="C1356" i="1"/>
  <c r="B1356" i="1"/>
  <c r="A1356" i="1"/>
  <c r="O1355" i="1"/>
  <c r="L1355" i="1"/>
  <c r="K1355" i="1"/>
  <c r="J1355" i="1"/>
  <c r="I1355" i="1"/>
  <c r="H1355" i="1"/>
  <c r="G1355" i="1"/>
  <c r="F1355" i="1"/>
  <c r="E1355" i="1"/>
  <c r="D1355" i="1"/>
  <c r="C1355" i="1"/>
  <c r="B1355" i="1"/>
  <c r="A1355" i="1"/>
  <c r="O1354" i="1"/>
  <c r="L1354" i="1"/>
  <c r="K1354" i="1"/>
  <c r="J1354" i="1"/>
  <c r="I1354" i="1"/>
  <c r="H1354" i="1"/>
  <c r="G1354" i="1"/>
  <c r="F1354" i="1"/>
  <c r="E1354" i="1"/>
  <c r="D1354" i="1"/>
  <c r="C1354" i="1"/>
  <c r="B1354" i="1"/>
  <c r="A1354" i="1"/>
  <c r="O1353" i="1"/>
  <c r="L1353" i="1"/>
  <c r="K1353" i="1"/>
  <c r="J1353" i="1"/>
  <c r="I1353" i="1"/>
  <c r="H1353" i="1"/>
  <c r="G1353" i="1"/>
  <c r="F1353" i="1"/>
  <c r="E1353" i="1"/>
  <c r="D1353" i="1"/>
  <c r="C1353" i="1"/>
  <c r="B1353" i="1"/>
  <c r="A1353" i="1"/>
  <c r="O1352" i="1"/>
  <c r="L1352" i="1"/>
  <c r="K1352" i="1"/>
  <c r="J1352" i="1"/>
  <c r="I1352" i="1"/>
  <c r="H1352" i="1"/>
  <c r="G1352" i="1"/>
  <c r="F1352" i="1"/>
  <c r="E1352" i="1"/>
  <c r="D1352" i="1"/>
  <c r="C1352" i="1"/>
  <c r="B1352" i="1"/>
  <c r="A1352" i="1"/>
  <c r="O1351" i="1"/>
  <c r="L1351" i="1"/>
  <c r="K1351" i="1"/>
  <c r="J1351" i="1"/>
  <c r="I1351" i="1"/>
  <c r="H1351" i="1"/>
  <c r="G1351" i="1"/>
  <c r="F1351" i="1"/>
  <c r="E1351" i="1"/>
  <c r="D1351" i="1"/>
  <c r="C1351" i="1"/>
  <c r="B1351" i="1"/>
  <c r="A1351" i="1"/>
  <c r="O1350" i="1"/>
  <c r="L1350" i="1"/>
  <c r="K1350" i="1"/>
  <c r="J1350" i="1"/>
  <c r="I1350" i="1"/>
  <c r="H1350" i="1"/>
  <c r="G1350" i="1"/>
  <c r="F1350" i="1"/>
  <c r="E1350" i="1"/>
  <c r="D1350" i="1"/>
  <c r="C1350" i="1"/>
  <c r="B1350" i="1"/>
  <c r="A1350" i="1"/>
  <c r="O1349" i="1"/>
  <c r="L1349" i="1"/>
  <c r="K1349" i="1"/>
  <c r="J1349" i="1"/>
  <c r="I1349" i="1"/>
  <c r="H1349" i="1"/>
  <c r="G1349" i="1"/>
  <c r="F1349" i="1"/>
  <c r="E1349" i="1"/>
  <c r="D1349" i="1"/>
  <c r="C1349" i="1"/>
  <c r="B1349" i="1"/>
  <c r="A1349" i="1"/>
  <c r="O1348" i="1"/>
  <c r="L1348" i="1"/>
  <c r="K1348" i="1"/>
  <c r="J1348" i="1"/>
  <c r="I1348" i="1"/>
  <c r="H1348" i="1"/>
  <c r="G1348" i="1"/>
  <c r="F1348" i="1"/>
  <c r="E1348" i="1"/>
  <c r="D1348" i="1"/>
  <c r="C1348" i="1"/>
  <c r="B1348" i="1"/>
  <c r="A1348" i="1"/>
  <c r="O1347" i="1"/>
  <c r="L1347" i="1"/>
  <c r="K1347" i="1"/>
  <c r="J1347" i="1"/>
  <c r="I1347" i="1"/>
  <c r="H1347" i="1"/>
  <c r="G1347" i="1"/>
  <c r="F1347" i="1"/>
  <c r="E1347" i="1"/>
  <c r="D1347" i="1"/>
  <c r="C1347" i="1"/>
  <c r="B1347" i="1"/>
  <c r="A1347" i="1"/>
  <c r="O1346" i="1"/>
  <c r="L1346" i="1"/>
  <c r="K1346" i="1"/>
  <c r="J1346" i="1"/>
  <c r="I1346" i="1"/>
  <c r="H1346" i="1"/>
  <c r="G1346" i="1"/>
  <c r="F1346" i="1"/>
  <c r="E1346" i="1"/>
  <c r="D1346" i="1"/>
  <c r="C1346" i="1"/>
  <c r="B1346" i="1"/>
  <c r="A1346" i="1"/>
  <c r="O1345" i="1"/>
  <c r="L1345" i="1"/>
  <c r="K1345" i="1"/>
  <c r="J1345" i="1"/>
  <c r="I1345" i="1"/>
  <c r="H1345" i="1"/>
  <c r="G1345" i="1"/>
  <c r="F1345" i="1"/>
  <c r="E1345" i="1"/>
  <c r="D1345" i="1"/>
  <c r="C1345" i="1"/>
  <c r="B1345" i="1"/>
  <c r="A1345" i="1"/>
  <c r="O1344" i="1"/>
  <c r="L1344" i="1"/>
  <c r="K1344" i="1"/>
  <c r="J1344" i="1"/>
  <c r="I1344" i="1"/>
  <c r="H1344" i="1"/>
  <c r="G1344" i="1"/>
  <c r="F1344" i="1"/>
  <c r="E1344" i="1"/>
  <c r="D1344" i="1"/>
  <c r="C1344" i="1"/>
  <c r="B1344" i="1"/>
  <c r="A1344" i="1"/>
  <c r="P1343" i="1"/>
  <c r="O1343" i="1"/>
  <c r="L1343" i="1"/>
  <c r="K1343" i="1"/>
  <c r="J1343" i="1"/>
  <c r="I1343" i="1"/>
  <c r="H1343" i="1"/>
  <c r="G1343" i="1"/>
  <c r="F1343" i="1"/>
  <c r="E1343" i="1"/>
  <c r="D1343" i="1"/>
  <c r="C1343" i="1"/>
  <c r="B1343" i="1"/>
  <c r="A1343" i="1"/>
  <c r="O1342" i="1"/>
  <c r="L1342" i="1"/>
  <c r="K1342" i="1"/>
  <c r="J1342" i="1"/>
  <c r="I1342" i="1"/>
  <c r="H1342" i="1"/>
  <c r="G1342" i="1"/>
  <c r="F1342" i="1"/>
  <c r="E1342" i="1"/>
  <c r="D1342" i="1"/>
  <c r="C1342" i="1"/>
  <c r="B1342" i="1"/>
  <c r="A1342" i="1"/>
  <c r="O1341" i="1"/>
  <c r="L1341" i="1"/>
  <c r="K1341" i="1"/>
  <c r="J1341" i="1"/>
  <c r="I1341" i="1"/>
  <c r="H1341" i="1"/>
  <c r="G1341" i="1"/>
  <c r="F1341" i="1"/>
  <c r="E1341" i="1"/>
  <c r="D1341" i="1"/>
  <c r="C1341" i="1"/>
  <c r="B1341" i="1"/>
  <c r="A1341" i="1"/>
  <c r="O1340" i="1"/>
  <c r="L1340" i="1"/>
  <c r="K1340" i="1"/>
  <c r="J1340" i="1"/>
  <c r="I1340" i="1"/>
  <c r="H1340" i="1"/>
  <c r="G1340" i="1"/>
  <c r="F1340" i="1"/>
  <c r="E1340" i="1"/>
  <c r="D1340" i="1"/>
  <c r="C1340" i="1"/>
  <c r="B1340" i="1"/>
  <c r="A1340" i="1"/>
  <c r="O1339" i="1"/>
  <c r="L1339" i="1"/>
  <c r="K1339" i="1"/>
  <c r="J1339" i="1"/>
  <c r="I1339" i="1"/>
  <c r="H1339" i="1"/>
  <c r="G1339" i="1"/>
  <c r="F1339" i="1"/>
  <c r="E1339" i="1"/>
  <c r="D1339" i="1"/>
  <c r="C1339" i="1"/>
  <c r="B1339" i="1"/>
  <c r="A1339" i="1"/>
  <c r="O1338" i="1"/>
  <c r="L1338" i="1"/>
  <c r="K1338" i="1"/>
  <c r="J1338" i="1"/>
  <c r="I1338" i="1"/>
  <c r="H1338" i="1"/>
  <c r="G1338" i="1"/>
  <c r="F1338" i="1"/>
  <c r="E1338" i="1"/>
  <c r="D1338" i="1"/>
  <c r="C1338" i="1"/>
  <c r="B1338" i="1"/>
  <c r="A1338" i="1"/>
  <c r="O1337" i="1"/>
  <c r="L1337" i="1"/>
  <c r="K1337" i="1"/>
  <c r="J1337" i="1"/>
  <c r="I1337" i="1"/>
  <c r="H1337" i="1"/>
  <c r="G1337" i="1"/>
  <c r="F1337" i="1"/>
  <c r="E1337" i="1"/>
  <c r="D1337" i="1"/>
  <c r="C1337" i="1"/>
  <c r="B1337" i="1"/>
  <c r="A1337" i="1"/>
  <c r="O1336" i="1"/>
  <c r="L1336" i="1"/>
  <c r="K1336" i="1"/>
  <c r="J1336" i="1"/>
  <c r="I1336" i="1"/>
  <c r="H1336" i="1"/>
  <c r="G1336" i="1"/>
  <c r="F1336" i="1"/>
  <c r="E1336" i="1"/>
  <c r="D1336" i="1"/>
  <c r="C1336" i="1"/>
  <c r="B1336" i="1"/>
  <c r="A1336" i="1"/>
  <c r="O1335" i="1"/>
  <c r="L1335" i="1"/>
  <c r="K1335" i="1"/>
  <c r="J1335" i="1"/>
  <c r="I1335" i="1"/>
  <c r="H1335" i="1"/>
  <c r="G1335" i="1"/>
  <c r="F1335" i="1"/>
  <c r="E1335" i="1"/>
  <c r="D1335" i="1"/>
  <c r="C1335" i="1"/>
  <c r="B1335" i="1"/>
  <c r="A1335" i="1"/>
  <c r="O1334" i="1"/>
  <c r="L1334" i="1"/>
  <c r="K1334" i="1"/>
  <c r="J1334" i="1"/>
  <c r="I1334" i="1"/>
  <c r="H1334" i="1"/>
  <c r="G1334" i="1"/>
  <c r="F1334" i="1"/>
  <c r="E1334" i="1"/>
  <c r="D1334" i="1"/>
  <c r="C1334" i="1"/>
  <c r="B1334" i="1"/>
  <c r="A1334" i="1"/>
  <c r="O1333" i="1"/>
  <c r="L1333" i="1"/>
  <c r="K1333" i="1"/>
  <c r="J1333" i="1"/>
  <c r="I1333" i="1"/>
  <c r="H1333" i="1"/>
  <c r="G1333" i="1"/>
  <c r="F1333" i="1"/>
  <c r="E1333" i="1"/>
  <c r="D1333" i="1"/>
  <c r="C1333" i="1"/>
  <c r="B1333" i="1"/>
  <c r="A1333" i="1"/>
  <c r="O1332" i="1"/>
  <c r="L1332" i="1"/>
  <c r="K1332" i="1"/>
  <c r="J1332" i="1"/>
  <c r="I1332" i="1"/>
  <c r="H1332" i="1"/>
  <c r="G1332" i="1"/>
  <c r="F1332" i="1"/>
  <c r="E1332" i="1"/>
  <c r="D1332" i="1"/>
  <c r="C1332" i="1"/>
  <c r="B1332" i="1"/>
  <c r="A1332" i="1"/>
  <c r="O1331" i="1"/>
  <c r="L1331" i="1"/>
  <c r="K1331" i="1"/>
  <c r="J1331" i="1"/>
  <c r="I1331" i="1"/>
  <c r="H1331" i="1"/>
  <c r="G1331" i="1"/>
  <c r="F1331" i="1"/>
  <c r="E1331" i="1"/>
  <c r="D1331" i="1"/>
  <c r="C1331" i="1"/>
  <c r="B1331" i="1"/>
  <c r="A1331" i="1"/>
  <c r="O1330" i="1"/>
  <c r="L1330" i="1"/>
  <c r="K1330" i="1"/>
  <c r="J1330" i="1"/>
  <c r="I1330" i="1"/>
  <c r="H1330" i="1"/>
  <c r="G1330" i="1"/>
  <c r="F1330" i="1"/>
  <c r="E1330" i="1"/>
  <c r="D1330" i="1"/>
  <c r="C1330" i="1"/>
  <c r="B1330" i="1"/>
  <c r="A1330" i="1"/>
  <c r="O1329" i="1"/>
  <c r="L1329" i="1"/>
  <c r="K1329" i="1"/>
  <c r="J1329" i="1"/>
  <c r="I1329" i="1"/>
  <c r="H1329" i="1"/>
  <c r="G1329" i="1"/>
  <c r="F1329" i="1"/>
  <c r="E1329" i="1"/>
  <c r="D1329" i="1"/>
  <c r="C1329" i="1"/>
  <c r="B1329" i="1"/>
  <c r="A1329" i="1"/>
  <c r="O1328" i="1"/>
  <c r="L1328" i="1"/>
  <c r="K1328" i="1"/>
  <c r="J1328" i="1"/>
  <c r="I1328" i="1"/>
  <c r="H1328" i="1"/>
  <c r="G1328" i="1"/>
  <c r="F1328" i="1"/>
  <c r="E1328" i="1"/>
  <c r="D1328" i="1"/>
  <c r="C1328" i="1"/>
  <c r="B1328" i="1"/>
  <c r="A1328" i="1"/>
  <c r="O1327" i="1"/>
  <c r="L1327" i="1"/>
  <c r="K1327" i="1"/>
  <c r="J1327" i="1"/>
  <c r="I1327" i="1"/>
  <c r="H1327" i="1"/>
  <c r="G1327" i="1"/>
  <c r="F1327" i="1"/>
  <c r="E1327" i="1"/>
  <c r="D1327" i="1"/>
  <c r="C1327" i="1"/>
  <c r="B1327" i="1"/>
  <c r="A1327" i="1"/>
  <c r="O1326" i="1"/>
  <c r="L1326" i="1"/>
  <c r="K1326" i="1"/>
  <c r="J1326" i="1"/>
  <c r="I1326" i="1"/>
  <c r="H1326" i="1"/>
  <c r="G1326" i="1"/>
  <c r="F1326" i="1"/>
  <c r="E1326" i="1"/>
  <c r="D1326" i="1"/>
  <c r="C1326" i="1"/>
  <c r="B1326" i="1"/>
  <c r="A1326" i="1"/>
  <c r="O1325" i="1"/>
  <c r="L1325" i="1"/>
  <c r="K1325" i="1"/>
  <c r="J1325" i="1"/>
  <c r="I1325" i="1"/>
  <c r="H1325" i="1"/>
  <c r="G1325" i="1"/>
  <c r="F1325" i="1"/>
  <c r="E1325" i="1"/>
  <c r="D1325" i="1"/>
  <c r="C1325" i="1"/>
  <c r="B1325" i="1"/>
  <c r="A1325" i="1"/>
  <c r="O1324" i="1"/>
  <c r="L1324" i="1"/>
  <c r="K1324" i="1"/>
  <c r="J1324" i="1"/>
  <c r="I1324" i="1"/>
  <c r="H1324" i="1"/>
  <c r="G1324" i="1"/>
  <c r="F1324" i="1"/>
  <c r="E1324" i="1"/>
  <c r="D1324" i="1"/>
  <c r="C1324" i="1"/>
  <c r="B1324" i="1"/>
  <c r="A1324" i="1"/>
  <c r="O1323" i="1"/>
  <c r="L1323" i="1"/>
  <c r="K1323" i="1"/>
  <c r="J1323" i="1"/>
  <c r="I1323" i="1"/>
  <c r="H1323" i="1"/>
  <c r="G1323" i="1"/>
  <c r="F1323" i="1"/>
  <c r="E1323" i="1"/>
  <c r="D1323" i="1"/>
  <c r="C1323" i="1"/>
  <c r="B1323" i="1"/>
  <c r="A1323" i="1"/>
  <c r="O1322" i="1"/>
  <c r="L1322" i="1"/>
  <c r="K1322" i="1"/>
  <c r="J1322" i="1"/>
  <c r="I1322" i="1"/>
  <c r="H1322" i="1"/>
  <c r="G1322" i="1"/>
  <c r="F1322" i="1"/>
  <c r="E1322" i="1"/>
  <c r="D1322" i="1"/>
  <c r="C1322" i="1"/>
  <c r="B1322" i="1"/>
  <c r="A1322" i="1"/>
  <c r="O1321" i="1"/>
  <c r="L1321" i="1"/>
  <c r="K1321" i="1"/>
  <c r="J1321" i="1"/>
  <c r="I1321" i="1"/>
  <c r="H1321" i="1"/>
  <c r="G1321" i="1"/>
  <c r="F1321" i="1"/>
  <c r="E1321" i="1"/>
  <c r="D1321" i="1"/>
  <c r="C1321" i="1"/>
  <c r="B1321" i="1"/>
  <c r="A1321" i="1"/>
  <c r="O1320" i="1"/>
  <c r="L1320" i="1"/>
  <c r="K1320" i="1"/>
  <c r="J1320" i="1"/>
  <c r="I1320" i="1"/>
  <c r="H1320" i="1"/>
  <c r="G1320" i="1"/>
  <c r="F1320" i="1"/>
  <c r="E1320" i="1"/>
  <c r="D1320" i="1"/>
  <c r="C1320" i="1"/>
  <c r="B1320" i="1"/>
  <c r="A1320" i="1"/>
  <c r="O1319" i="1"/>
  <c r="L1319" i="1"/>
  <c r="K1319" i="1"/>
  <c r="J1319" i="1"/>
  <c r="I1319" i="1"/>
  <c r="H1319" i="1"/>
  <c r="G1319" i="1"/>
  <c r="F1319" i="1"/>
  <c r="E1319" i="1"/>
  <c r="D1319" i="1"/>
  <c r="C1319" i="1"/>
  <c r="B1319" i="1"/>
  <c r="A1319" i="1"/>
  <c r="O1318" i="1"/>
  <c r="L1318" i="1"/>
  <c r="K1318" i="1"/>
  <c r="J1318" i="1"/>
  <c r="I1318" i="1"/>
  <c r="H1318" i="1"/>
  <c r="G1318" i="1"/>
  <c r="F1318" i="1"/>
  <c r="E1318" i="1"/>
  <c r="D1318" i="1"/>
  <c r="C1318" i="1"/>
  <c r="B1318" i="1"/>
  <c r="A1318" i="1"/>
  <c r="O1317" i="1"/>
  <c r="L1317" i="1"/>
  <c r="K1317" i="1"/>
  <c r="J1317" i="1"/>
  <c r="I1317" i="1"/>
  <c r="H1317" i="1"/>
  <c r="G1317" i="1"/>
  <c r="F1317" i="1"/>
  <c r="E1317" i="1"/>
  <c r="D1317" i="1"/>
  <c r="C1317" i="1"/>
  <c r="B1317" i="1"/>
  <c r="A1317" i="1"/>
  <c r="O1316" i="1"/>
  <c r="L1316" i="1"/>
  <c r="K1316" i="1"/>
  <c r="J1316" i="1"/>
  <c r="I1316" i="1"/>
  <c r="H1316" i="1"/>
  <c r="G1316" i="1"/>
  <c r="F1316" i="1"/>
  <c r="E1316" i="1"/>
  <c r="D1316" i="1"/>
  <c r="C1316" i="1"/>
  <c r="B1316" i="1"/>
  <c r="A1316" i="1"/>
  <c r="O1315" i="1"/>
  <c r="L1315" i="1"/>
  <c r="K1315" i="1"/>
  <c r="J1315" i="1"/>
  <c r="I1315" i="1"/>
  <c r="H1315" i="1"/>
  <c r="G1315" i="1"/>
  <c r="F1315" i="1"/>
  <c r="E1315" i="1"/>
  <c r="D1315" i="1"/>
  <c r="C1315" i="1"/>
  <c r="B1315" i="1"/>
  <c r="A1315" i="1"/>
  <c r="O1314" i="1"/>
  <c r="L1314" i="1"/>
  <c r="K1314" i="1"/>
  <c r="J1314" i="1"/>
  <c r="I1314" i="1"/>
  <c r="H1314" i="1"/>
  <c r="G1314" i="1"/>
  <c r="F1314" i="1"/>
  <c r="E1314" i="1"/>
  <c r="D1314" i="1"/>
  <c r="C1314" i="1"/>
  <c r="B1314" i="1"/>
  <c r="A1314" i="1"/>
  <c r="O1313" i="1"/>
  <c r="L1313" i="1"/>
  <c r="K1313" i="1"/>
  <c r="J1313" i="1"/>
  <c r="I1313" i="1"/>
  <c r="H1313" i="1"/>
  <c r="G1313" i="1"/>
  <c r="F1313" i="1"/>
  <c r="E1313" i="1"/>
  <c r="D1313" i="1"/>
  <c r="C1313" i="1"/>
  <c r="B1313" i="1"/>
  <c r="A1313" i="1"/>
  <c r="O1312" i="1"/>
  <c r="L1312" i="1"/>
  <c r="K1312" i="1"/>
  <c r="J1312" i="1"/>
  <c r="I1312" i="1"/>
  <c r="H1312" i="1"/>
  <c r="G1312" i="1"/>
  <c r="F1312" i="1"/>
  <c r="E1312" i="1"/>
  <c r="D1312" i="1"/>
  <c r="C1312" i="1"/>
  <c r="B1312" i="1"/>
  <c r="A1312" i="1"/>
  <c r="O1311" i="1"/>
  <c r="L1311" i="1"/>
  <c r="K1311" i="1"/>
  <c r="J1311" i="1"/>
  <c r="I1311" i="1"/>
  <c r="H1311" i="1"/>
  <c r="G1311" i="1"/>
  <c r="F1311" i="1"/>
  <c r="E1311" i="1"/>
  <c r="D1311" i="1"/>
  <c r="C1311" i="1"/>
  <c r="B1311" i="1"/>
  <c r="A1311" i="1"/>
  <c r="O1310" i="1"/>
  <c r="L1310" i="1"/>
  <c r="K1310" i="1"/>
  <c r="J1310" i="1"/>
  <c r="I1310" i="1"/>
  <c r="H1310" i="1"/>
  <c r="G1310" i="1"/>
  <c r="F1310" i="1"/>
  <c r="E1310" i="1"/>
  <c r="D1310" i="1"/>
  <c r="C1310" i="1"/>
  <c r="B1310" i="1"/>
  <c r="A1310" i="1"/>
  <c r="O1309" i="1"/>
  <c r="L1309" i="1"/>
  <c r="K1309" i="1"/>
  <c r="J1309" i="1"/>
  <c r="I1309" i="1"/>
  <c r="H1309" i="1"/>
  <c r="G1309" i="1"/>
  <c r="F1309" i="1"/>
  <c r="E1309" i="1"/>
  <c r="D1309" i="1"/>
  <c r="C1309" i="1"/>
  <c r="B1309" i="1"/>
  <c r="A1309" i="1"/>
  <c r="O1308" i="1"/>
  <c r="L1308" i="1"/>
  <c r="K1308" i="1"/>
  <c r="J1308" i="1"/>
  <c r="I1308" i="1"/>
  <c r="H1308" i="1"/>
  <c r="G1308" i="1"/>
  <c r="F1308" i="1"/>
  <c r="E1308" i="1"/>
  <c r="D1308" i="1"/>
  <c r="C1308" i="1"/>
  <c r="B1308" i="1"/>
  <c r="A1308" i="1"/>
  <c r="O1307" i="1"/>
  <c r="L1307" i="1"/>
  <c r="K1307" i="1"/>
  <c r="J1307" i="1"/>
  <c r="I1307" i="1"/>
  <c r="H1307" i="1"/>
  <c r="G1307" i="1"/>
  <c r="F1307" i="1"/>
  <c r="E1307" i="1"/>
  <c r="D1307" i="1"/>
  <c r="C1307" i="1"/>
  <c r="B1307" i="1"/>
  <c r="A1307" i="1"/>
  <c r="O1306" i="1"/>
  <c r="L1306" i="1"/>
  <c r="K1306" i="1"/>
  <c r="J1306" i="1"/>
  <c r="I1306" i="1"/>
  <c r="H1306" i="1"/>
  <c r="G1306" i="1"/>
  <c r="F1306" i="1"/>
  <c r="E1306" i="1"/>
  <c r="D1306" i="1"/>
  <c r="C1306" i="1"/>
  <c r="B1306" i="1"/>
  <c r="A1306" i="1"/>
  <c r="O1305" i="1"/>
  <c r="L1305" i="1"/>
  <c r="K1305" i="1"/>
  <c r="J1305" i="1"/>
  <c r="I1305" i="1"/>
  <c r="H1305" i="1"/>
  <c r="G1305" i="1"/>
  <c r="F1305" i="1"/>
  <c r="E1305" i="1"/>
  <c r="D1305" i="1"/>
  <c r="C1305" i="1"/>
  <c r="B1305" i="1"/>
  <c r="A1305" i="1"/>
  <c r="O1304" i="1"/>
  <c r="L1304" i="1"/>
  <c r="K1304" i="1"/>
  <c r="J1304" i="1"/>
  <c r="I1304" i="1"/>
  <c r="H1304" i="1"/>
  <c r="G1304" i="1"/>
  <c r="F1304" i="1"/>
  <c r="E1304" i="1"/>
  <c r="D1304" i="1"/>
  <c r="C1304" i="1"/>
  <c r="B1304" i="1"/>
  <c r="A1304" i="1"/>
  <c r="O1303" i="1"/>
  <c r="L1303" i="1"/>
  <c r="K1303" i="1"/>
  <c r="J1303" i="1"/>
  <c r="I1303" i="1"/>
  <c r="H1303" i="1"/>
  <c r="G1303" i="1"/>
  <c r="F1303" i="1"/>
  <c r="E1303" i="1"/>
  <c r="D1303" i="1"/>
  <c r="C1303" i="1"/>
  <c r="B1303" i="1"/>
  <c r="A1303" i="1"/>
  <c r="O1302" i="1"/>
  <c r="L1302" i="1"/>
  <c r="K1302" i="1"/>
  <c r="J1302" i="1"/>
  <c r="I1302" i="1"/>
  <c r="H1302" i="1"/>
  <c r="G1302" i="1"/>
  <c r="F1302" i="1"/>
  <c r="E1302" i="1"/>
  <c r="D1302" i="1"/>
  <c r="C1302" i="1"/>
  <c r="B1302" i="1"/>
  <c r="A1302" i="1"/>
  <c r="O1301" i="1"/>
  <c r="L1301" i="1"/>
  <c r="K1301" i="1"/>
  <c r="J1301" i="1"/>
  <c r="I1301" i="1"/>
  <c r="H1301" i="1"/>
  <c r="G1301" i="1"/>
  <c r="F1301" i="1"/>
  <c r="E1301" i="1"/>
  <c r="D1301" i="1"/>
  <c r="C1301" i="1"/>
  <c r="B1301" i="1"/>
  <c r="A1301" i="1"/>
  <c r="O1300" i="1"/>
  <c r="L1300" i="1"/>
  <c r="K1300" i="1"/>
  <c r="J1300" i="1"/>
  <c r="I1300" i="1"/>
  <c r="H1300" i="1"/>
  <c r="G1300" i="1"/>
  <c r="F1300" i="1"/>
  <c r="E1300" i="1"/>
  <c r="D1300" i="1"/>
  <c r="C1300" i="1"/>
  <c r="B1300" i="1"/>
  <c r="A1300" i="1"/>
  <c r="O1299" i="1"/>
  <c r="L1299" i="1"/>
  <c r="K1299" i="1"/>
  <c r="J1299" i="1"/>
  <c r="I1299" i="1"/>
  <c r="H1299" i="1"/>
  <c r="G1299" i="1"/>
  <c r="F1299" i="1"/>
  <c r="E1299" i="1"/>
  <c r="D1299" i="1"/>
  <c r="C1299" i="1"/>
  <c r="B1299" i="1"/>
  <c r="A1299" i="1"/>
  <c r="O1298" i="1"/>
  <c r="L1298" i="1"/>
  <c r="K1298" i="1"/>
  <c r="J1298" i="1"/>
  <c r="I1298" i="1"/>
  <c r="H1298" i="1"/>
  <c r="G1298" i="1"/>
  <c r="F1298" i="1"/>
  <c r="E1298" i="1"/>
  <c r="D1298" i="1"/>
  <c r="C1298" i="1"/>
  <c r="B1298" i="1"/>
  <c r="A1298" i="1"/>
  <c r="O1297" i="1"/>
  <c r="L1297" i="1"/>
  <c r="K1297" i="1"/>
  <c r="J1297" i="1"/>
  <c r="I1297" i="1"/>
  <c r="H1297" i="1"/>
  <c r="G1297" i="1"/>
  <c r="F1297" i="1"/>
  <c r="E1297" i="1"/>
  <c r="D1297" i="1"/>
  <c r="C1297" i="1"/>
  <c r="B1297" i="1"/>
  <c r="A1297" i="1"/>
  <c r="O1296" i="1"/>
  <c r="L1296" i="1"/>
  <c r="K1296" i="1"/>
  <c r="J1296" i="1"/>
  <c r="I1296" i="1"/>
  <c r="H1296" i="1"/>
  <c r="G1296" i="1"/>
  <c r="F1296" i="1"/>
  <c r="E1296" i="1"/>
  <c r="D1296" i="1"/>
  <c r="C1296" i="1"/>
  <c r="B1296" i="1"/>
  <c r="A1296" i="1"/>
  <c r="O1295" i="1"/>
  <c r="L1295" i="1"/>
  <c r="K1295" i="1"/>
  <c r="J1295" i="1"/>
  <c r="I1295" i="1"/>
  <c r="H1295" i="1"/>
  <c r="G1295" i="1"/>
  <c r="F1295" i="1"/>
  <c r="E1295" i="1"/>
  <c r="D1295" i="1"/>
  <c r="C1295" i="1"/>
  <c r="B1295" i="1"/>
  <c r="A1295" i="1"/>
  <c r="O1294" i="1"/>
  <c r="L1294" i="1"/>
  <c r="K1294" i="1"/>
  <c r="J1294" i="1"/>
  <c r="I1294" i="1"/>
  <c r="H1294" i="1"/>
  <c r="G1294" i="1"/>
  <c r="F1294" i="1"/>
  <c r="E1294" i="1"/>
  <c r="D1294" i="1"/>
  <c r="C1294" i="1"/>
  <c r="B1294" i="1"/>
  <c r="A1294" i="1"/>
  <c r="O1293" i="1"/>
  <c r="L1293" i="1"/>
  <c r="K1293" i="1"/>
  <c r="J1293" i="1"/>
  <c r="I1293" i="1"/>
  <c r="H1293" i="1"/>
  <c r="G1293" i="1"/>
  <c r="F1293" i="1"/>
  <c r="E1293" i="1"/>
  <c r="D1293" i="1"/>
  <c r="C1293" i="1"/>
  <c r="B1293" i="1"/>
  <c r="A1293" i="1"/>
  <c r="O1292" i="1"/>
  <c r="L1292" i="1"/>
  <c r="K1292" i="1"/>
  <c r="J1292" i="1"/>
  <c r="I1292" i="1"/>
  <c r="H1292" i="1"/>
  <c r="G1292" i="1"/>
  <c r="F1292" i="1"/>
  <c r="E1292" i="1"/>
  <c r="D1292" i="1"/>
  <c r="C1292" i="1"/>
  <c r="B1292" i="1"/>
  <c r="A1292" i="1"/>
  <c r="O1291" i="1"/>
  <c r="L1291" i="1"/>
  <c r="K1291" i="1"/>
  <c r="J1291" i="1"/>
  <c r="I1291" i="1"/>
  <c r="H1291" i="1"/>
  <c r="G1291" i="1"/>
  <c r="F1291" i="1"/>
  <c r="E1291" i="1"/>
  <c r="D1291" i="1"/>
  <c r="C1291" i="1"/>
  <c r="B1291" i="1"/>
  <c r="A1291" i="1"/>
  <c r="O1290" i="1"/>
  <c r="L1290" i="1"/>
  <c r="K1290" i="1"/>
  <c r="J1290" i="1"/>
  <c r="I1290" i="1"/>
  <c r="H1290" i="1"/>
  <c r="G1290" i="1"/>
  <c r="F1290" i="1"/>
  <c r="E1290" i="1"/>
  <c r="D1290" i="1"/>
  <c r="C1290" i="1"/>
  <c r="B1290" i="1"/>
  <c r="A1290" i="1"/>
  <c r="O1289" i="1"/>
  <c r="L1289" i="1"/>
  <c r="K1289" i="1"/>
  <c r="J1289" i="1"/>
  <c r="I1289" i="1"/>
  <c r="H1289" i="1"/>
  <c r="G1289" i="1"/>
  <c r="F1289" i="1"/>
  <c r="E1289" i="1"/>
  <c r="D1289" i="1"/>
  <c r="C1289" i="1"/>
  <c r="B1289" i="1"/>
  <c r="A1289" i="1"/>
  <c r="O1288" i="1"/>
  <c r="L1288" i="1"/>
  <c r="K1288" i="1"/>
  <c r="J1288" i="1"/>
  <c r="I1288" i="1"/>
  <c r="H1288" i="1"/>
  <c r="G1288" i="1"/>
  <c r="F1288" i="1"/>
  <c r="E1288" i="1"/>
  <c r="D1288" i="1"/>
  <c r="C1288" i="1"/>
  <c r="B1288" i="1"/>
  <c r="A1288" i="1"/>
  <c r="O1287" i="1"/>
  <c r="L1287" i="1"/>
  <c r="K1287" i="1"/>
  <c r="J1287" i="1"/>
  <c r="I1287" i="1"/>
  <c r="H1287" i="1"/>
  <c r="G1287" i="1"/>
  <c r="F1287" i="1"/>
  <c r="E1287" i="1"/>
  <c r="D1287" i="1"/>
  <c r="C1287" i="1"/>
  <c r="B1287" i="1"/>
  <c r="A1287" i="1"/>
  <c r="O1286" i="1"/>
  <c r="L1286" i="1"/>
  <c r="K1286" i="1"/>
  <c r="J1286" i="1"/>
  <c r="I1286" i="1"/>
  <c r="H1286" i="1"/>
  <c r="G1286" i="1"/>
  <c r="F1286" i="1"/>
  <c r="E1286" i="1"/>
  <c r="D1286" i="1"/>
  <c r="C1286" i="1"/>
  <c r="B1286" i="1"/>
  <c r="A1286" i="1"/>
  <c r="O1285" i="1"/>
  <c r="L1285" i="1"/>
  <c r="K1285" i="1"/>
  <c r="J1285" i="1"/>
  <c r="I1285" i="1"/>
  <c r="H1285" i="1"/>
  <c r="G1285" i="1"/>
  <c r="F1285" i="1"/>
  <c r="E1285" i="1"/>
  <c r="D1285" i="1"/>
  <c r="C1285" i="1"/>
  <c r="B1285" i="1"/>
  <c r="A1285" i="1"/>
  <c r="O1284" i="1"/>
  <c r="L1284" i="1"/>
  <c r="K1284" i="1"/>
  <c r="J1284" i="1"/>
  <c r="I1284" i="1"/>
  <c r="H1284" i="1"/>
  <c r="G1284" i="1"/>
  <c r="F1284" i="1"/>
  <c r="E1284" i="1"/>
  <c r="D1284" i="1"/>
  <c r="C1284" i="1"/>
  <c r="B1284" i="1"/>
  <c r="A1284" i="1"/>
  <c r="O1283" i="1"/>
  <c r="L1283" i="1"/>
  <c r="K1283" i="1"/>
  <c r="J1283" i="1"/>
  <c r="I1283" i="1"/>
  <c r="H1283" i="1"/>
  <c r="G1283" i="1"/>
  <c r="F1283" i="1"/>
  <c r="E1283" i="1"/>
  <c r="D1283" i="1"/>
  <c r="C1283" i="1"/>
  <c r="B1283" i="1"/>
  <c r="A1283" i="1"/>
  <c r="O1282" i="1"/>
  <c r="L1282" i="1"/>
  <c r="K1282" i="1"/>
  <c r="J1282" i="1"/>
  <c r="I1282" i="1"/>
  <c r="H1282" i="1"/>
  <c r="G1282" i="1"/>
  <c r="F1282" i="1"/>
  <c r="E1282" i="1"/>
  <c r="D1282" i="1"/>
  <c r="C1282" i="1"/>
  <c r="B1282" i="1"/>
  <c r="A1282" i="1"/>
  <c r="O1281" i="1"/>
  <c r="L1281" i="1"/>
  <c r="K1281" i="1"/>
  <c r="J1281" i="1"/>
  <c r="I1281" i="1"/>
  <c r="H1281" i="1"/>
  <c r="G1281" i="1"/>
  <c r="F1281" i="1"/>
  <c r="E1281" i="1"/>
  <c r="D1281" i="1"/>
  <c r="C1281" i="1"/>
  <c r="B1281" i="1"/>
  <c r="A1281" i="1"/>
  <c r="O1280" i="1"/>
  <c r="L1280" i="1"/>
  <c r="K1280" i="1"/>
  <c r="J1280" i="1"/>
  <c r="I1280" i="1"/>
  <c r="H1280" i="1"/>
  <c r="G1280" i="1"/>
  <c r="F1280" i="1"/>
  <c r="E1280" i="1"/>
  <c r="D1280" i="1"/>
  <c r="C1280" i="1"/>
  <c r="B1280" i="1"/>
  <c r="A1280" i="1"/>
  <c r="O1279" i="1"/>
  <c r="L1279" i="1"/>
  <c r="K1279" i="1"/>
  <c r="J1279" i="1"/>
  <c r="I1279" i="1"/>
  <c r="H1279" i="1"/>
  <c r="G1279" i="1"/>
  <c r="F1279" i="1"/>
  <c r="E1279" i="1"/>
  <c r="D1279" i="1"/>
  <c r="C1279" i="1"/>
  <c r="B1279" i="1"/>
  <c r="A1279" i="1"/>
  <c r="O1278" i="1"/>
  <c r="L1278" i="1"/>
  <c r="K1278" i="1"/>
  <c r="J1278" i="1"/>
  <c r="I1278" i="1"/>
  <c r="H1278" i="1"/>
  <c r="G1278" i="1"/>
  <c r="F1278" i="1"/>
  <c r="E1278" i="1"/>
  <c r="D1278" i="1"/>
  <c r="C1278" i="1"/>
  <c r="B1278" i="1"/>
  <c r="A1278" i="1"/>
  <c r="P1277" i="1"/>
  <c r="O1277" i="1"/>
  <c r="L1277" i="1"/>
  <c r="K1277" i="1"/>
  <c r="J1277" i="1"/>
  <c r="I1277" i="1"/>
  <c r="H1277" i="1"/>
  <c r="G1277" i="1"/>
  <c r="F1277" i="1"/>
  <c r="E1277" i="1"/>
  <c r="D1277" i="1"/>
  <c r="C1277" i="1"/>
  <c r="B1277" i="1"/>
  <c r="A1277" i="1"/>
  <c r="O1276" i="1"/>
  <c r="L1276" i="1"/>
  <c r="K1276" i="1"/>
  <c r="J1276" i="1"/>
  <c r="I1276" i="1"/>
  <c r="H1276" i="1"/>
  <c r="G1276" i="1"/>
  <c r="F1276" i="1"/>
  <c r="E1276" i="1"/>
  <c r="D1276" i="1"/>
  <c r="C1276" i="1"/>
  <c r="B1276" i="1"/>
  <c r="A1276" i="1"/>
  <c r="O1275" i="1"/>
  <c r="L1275" i="1"/>
  <c r="K1275" i="1"/>
  <c r="J1275" i="1"/>
  <c r="I1275" i="1"/>
  <c r="H1275" i="1"/>
  <c r="G1275" i="1"/>
  <c r="F1275" i="1"/>
  <c r="E1275" i="1"/>
  <c r="D1275" i="1"/>
  <c r="C1275" i="1"/>
  <c r="B1275" i="1"/>
  <c r="A1275" i="1"/>
  <c r="O1274" i="1"/>
  <c r="L1274" i="1"/>
  <c r="K1274" i="1"/>
  <c r="J1274" i="1"/>
  <c r="I1274" i="1"/>
  <c r="H1274" i="1"/>
  <c r="G1274" i="1"/>
  <c r="F1274" i="1"/>
  <c r="E1274" i="1"/>
  <c r="D1274" i="1"/>
  <c r="C1274" i="1"/>
  <c r="B1274" i="1"/>
  <c r="A1274" i="1"/>
  <c r="O1273" i="1"/>
  <c r="L1273" i="1"/>
  <c r="K1273" i="1"/>
  <c r="J1273" i="1"/>
  <c r="I1273" i="1"/>
  <c r="H1273" i="1"/>
  <c r="G1273" i="1"/>
  <c r="F1273" i="1"/>
  <c r="E1273" i="1"/>
  <c r="D1273" i="1"/>
  <c r="C1273" i="1"/>
  <c r="B1273" i="1"/>
  <c r="A1273" i="1"/>
  <c r="O1272" i="1"/>
  <c r="L1272" i="1"/>
  <c r="K1272" i="1"/>
  <c r="J1272" i="1"/>
  <c r="I1272" i="1"/>
  <c r="H1272" i="1"/>
  <c r="G1272" i="1"/>
  <c r="F1272" i="1"/>
  <c r="E1272" i="1"/>
  <c r="D1272" i="1"/>
  <c r="C1272" i="1"/>
  <c r="B1272" i="1"/>
  <c r="A1272" i="1"/>
  <c r="O1271" i="1"/>
  <c r="L1271" i="1"/>
  <c r="K1271" i="1"/>
  <c r="J1271" i="1"/>
  <c r="I1271" i="1"/>
  <c r="H1271" i="1"/>
  <c r="G1271" i="1"/>
  <c r="F1271" i="1"/>
  <c r="E1271" i="1"/>
  <c r="D1271" i="1"/>
  <c r="C1271" i="1"/>
  <c r="B1271" i="1"/>
  <c r="A1271" i="1"/>
  <c r="O1270" i="1"/>
  <c r="L1270" i="1"/>
  <c r="K1270" i="1"/>
  <c r="J1270" i="1"/>
  <c r="I1270" i="1"/>
  <c r="H1270" i="1"/>
  <c r="G1270" i="1"/>
  <c r="F1270" i="1"/>
  <c r="E1270" i="1"/>
  <c r="D1270" i="1"/>
  <c r="C1270" i="1"/>
  <c r="B1270" i="1"/>
  <c r="A1270" i="1"/>
  <c r="O1269" i="1"/>
  <c r="L1269" i="1"/>
  <c r="K1269" i="1"/>
  <c r="J1269" i="1"/>
  <c r="I1269" i="1"/>
  <c r="H1269" i="1"/>
  <c r="G1269" i="1"/>
  <c r="F1269" i="1"/>
  <c r="E1269" i="1"/>
  <c r="D1269" i="1"/>
  <c r="C1269" i="1"/>
  <c r="B1269" i="1"/>
  <c r="A1269" i="1"/>
  <c r="O1268" i="1"/>
  <c r="L1268" i="1"/>
  <c r="K1268" i="1"/>
  <c r="J1268" i="1"/>
  <c r="I1268" i="1"/>
  <c r="H1268" i="1"/>
  <c r="G1268" i="1"/>
  <c r="F1268" i="1"/>
  <c r="E1268" i="1"/>
  <c r="D1268" i="1"/>
  <c r="C1268" i="1"/>
  <c r="B1268" i="1"/>
  <c r="A1268" i="1"/>
  <c r="O1267" i="1"/>
  <c r="L1267" i="1"/>
  <c r="K1267" i="1"/>
  <c r="J1267" i="1"/>
  <c r="I1267" i="1"/>
  <c r="H1267" i="1"/>
  <c r="G1267" i="1"/>
  <c r="F1267" i="1"/>
  <c r="E1267" i="1"/>
  <c r="D1267" i="1"/>
  <c r="C1267" i="1"/>
  <c r="B1267" i="1"/>
  <c r="A1267" i="1"/>
  <c r="O1266" i="1"/>
  <c r="L1266" i="1"/>
  <c r="K1266" i="1"/>
  <c r="J1266" i="1"/>
  <c r="I1266" i="1"/>
  <c r="H1266" i="1"/>
  <c r="G1266" i="1"/>
  <c r="F1266" i="1"/>
  <c r="E1266" i="1"/>
  <c r="D1266" i="1"/>
  <c r="C1266" i="1"/>
  <c r="B1266" i="1"/>
  <c r="A1266" i="1"/>
  <c r="O1265" i="1"/>
  <c r="L1265" i="1"/>
  <c r="K1265" i="1"/>
  <c r="J1265" i="1"/>
  <c r="I1265" i="1"/>
  <c r="H1265" i="1"/>
  <c r="G1265" i="1"/>
  <c r="F1265" i="1"/>
  <c r="E1265" i="1"/>
  <c r="D1265" i="1"/>
  <c r="C1265" i="1"/>
  <c r="B1265" i="1"/>
  <c r="A1265" i="1"/>
  <c r="O1264" i="1"/>
  <c r="L1264" i="1"/>
  <c r="K1264" i="1"/>
  <c r="J1264" i="1"/>
  <c r="I1264" i="1"/>
  <c r="H1264" i="1"/>
  <c r="G1264" i="1"/>
  <c r="F1264" i="1"/>
  <c r="E1264" i="1"/>
  <c r="D1264" i="1"/>
  <c r="C1264" i="1"/>
  <c r="B1264" i="1"/>
  <c r="A1264" i="1"/>
  <c r="O1263" i="1"/>
  <c r="L1263" i="1"/>
  <c r="K1263" i="1"/>
  <c r="J1263" i="1"/>
  <c r="I1263" i="1"/>
  <c r="H1263" i="1"/>
  <c r="G1263" i="1"/>
  <c r="F1263" i="1"/>
  <c r="E1263" i="1"/>
  <c r="D1263" i="1"/>
  <c r="C1263" i="1"/>
  <c r="B1263" i="1"/>
  <c r="A1263" i="1"/>
  <c r="O1262" i="1"/>
  <c r="L1262" i="1"/>
  <c r="K1262" i="1"/>
  <c r="J1262" i="1"/>
  <c r="I1262" i="1"/>
  <c r="H1262" i="1"/>
  <c r="G1262" i="1"/>
  <c r="F1262" i="1"/>
  <c r="E1262" i="1"/>
  <c r="D1262" i="1"/>
  <c r="C1262" i="1"/>
  <c r="B1262" i="1"/>
  <c r="A1262" i="1"/>
  <c r="O1261" i="1"/>
  <c r="L1261" i="1"/>
  <c r="K1261" i="1"/>
  <c r="J1261" i="1"/>
  <c r="I1261" i="1"/>
  <c r="H1261" i="1"/>
  <c r="G1261" i="1"/>
  <c r="F1261" i="1"/>
  <c r="E1261" i="1"/>
  <c r="D1261" i="1"/>
  <c r="C1261" i="1"/>
  <c r="B1261" i="1"/>
  <c r="A1261" i="1"/>
  <c r="O1260" i="1"/>
  <c r="L1260" i="1"/>
  <c r="K1260" i="1"/>
  <c r="J1260" i="1"/>
  <c r="I1260" i="1"/>
  <c r="H1260" i="1"/>
  <c r="G1260" i="1"/>
  <c r="F1260" i="1"/>
  <c r="E1260" i="1"/>
  <c r="D1260" i="1"/>
  <c r="C1260" i="1"/>
  <c r="B1260" i="1"/>
  <c r="A1260" i="1"/>
  <c r="O1259" i="1"/>
  <c r="L1259" i="1"/>
  <c r="K1259" i="1"/>
  <c r="J1259" i="1"/>
  <c r="I1259" i="1"/>
  <c r="H1259" i="1"/>
  <c r="G1259" i="1"/>
  <c r="F1259" i="1"/>
  <c r="E1259" i="1"/>
  <c r="D1259" i="1"/>
  <c r="C1259" i="1"/>
  <c r="B1259" i="1"/>
  <c r="A1259" i="1"/>
  <c r="O1258" i="1"/>
  <c r="L1258" i="1"/>
  <c r="K1258" i="1"/>
  <c r="J1258" i="1"/>
  <c r="I1258" i="1"/>
  <c r="H1258" i="1"/>
  <c r="G1258" i="1"/>
  <c r="F1258" i="1"/>
  <c r="E1258" i="1"/>
  <c r="D1258" i="1"/>
  <c r="C1258" i="1"/>
  <c r="B1258" i="1"/>
  <c r="A1258" i="1"/>
  <c r="O1257" i="1"/>
  <c r="L1257" i="1"/>
  <c r="K1257" i="1"/>
  <c r="J1257" i="1"/>
  <c r="I1257" i="1"/>
  <c r="H1257" i="1"/>
  <c r="G1257" i="1"/>
  <c r="F1257" i="1"/>
  <c r="E1257" i="1"/>
  <c r="D1257" i="1"/>
  <c r="C1257" i="1"/>
  <c r="B1257" i="1"/>
  <c r="A1257" i="1"/>
  <c r="O1256" i="1"/>
  <c r="L1256" i="1"/>
  <c r="K1256" i="1"/>
  <c r="J1256" i="1"/>
  <c r="I1256" i="1"/>
  <c r="H1256" i="1"/>
  <c r="G1256" i="1"/>
  <c r="F1256" i="1"/>
  <c r="E1256" i="1"/>
  <c r="D1256" i="1"/>
  <c r="C1256" i="1"/>
  <c r="B1256" i="1"/>
  <c r="A1256" i="1"/>
  <c r="O1255" i="1"/>
  <c r="L1255" i="1"/>
  <c r="K1255" i="1"/>
  <c r="J1255" i="1"/>
  <c r="I1255" i="1"/>
  <c r="H1255" i="1"/>
  <c r="G1255" i="1"/>
  <c r="F1255" i="1"/>
  <c r="E1255" i="1"/>
  <c r="D1255" i="1"/>
  <c r="C1255" i="1"/>
  <c r="B1255" i="1"/>
  <c r="A1255" i="1"/>
  <c r="O1254" i="1"/>
  <c r="L1254" i="1"/>
  <c r="K1254" i="1"/>
  <c r="J1254" i="1"/>
  <c r="I1254" i="1"/>
  <c r="H1254" i="1"/>
  <c r="G1254" i="1"/>
  <c r="F1254" i="1"/>
  <c r="E1254" i="1"/>
  <c r="D1254" i="1"/>
  <c r="C1254" i="1"/>
  <c r="B1254" i="1"/>
  <c r="A1254" i="1"/>
  <c r="O1253" i="1"/>
  <c r="L1253" i="1"/>
  <c r="K1253" i="1"/>
  <c r="J1253" i="1"/>
  <c r="I1253" i="1"/>
  <c r="H1253" i="1"/>
  <c r="G1253" i="1"/>
  <c r="F1253" i="1"/>
  <c r="E1253" i="1"/>
  <c r="D1253" i="1"/>
  <c r="C1253" i="1"/>
  <c r="B1253" i="1"/>
  <c r="A1253" i="1"/>
  <c r="O1252" i="1"/>
  <c r="L1252" i="1"/>
  <c r="K1252" i="1"/>
  <c r="J1252" i="1"/>
  <c r="I1252" i="1"/>
  <c r="H1252" i="1"/>
  <c r="G1252" i="1"/>
  <c r="F1252" i="1"/>
  <c r="E1252" i="1"/>
  <c r="D1252" i="1"/>
  <c r="C1252" i="1"/>
  <c r="B1252" i="1"/>
  <c r="A1252" i="1"/>
  <c r="O1251" i="1"/>
  <c r="L1251" i="1"/>
  <c r="K1251" i="1"/>
  <c r="J1251" i="1"/>
  <c r="I1251" i="1"/>
  <c r="H1251" i="1"/>
  <c r="G1251" i="1"/>
  <c r="F1251" i="1"/>
  <c r="E1251" i="1"/>
  <c r="D1251" i="1"/>
  <c r="C1251" i="1"/>
  <c r="B1251" i="1"/>
  <c r="A1251" i="1"/>
  <c r="O1250" i="1"/>
  <c r="L1250" i="1"/>
  <c r="K1250" i="1"/>
  <c r="J1250" i="1"/>
  <c r="I1250" i="1"/>
  <c r="H1250" i="1"/>
  <c r="G1250" i="1"/>
  <c r="F1250" i="1"/>
  <c r="E1250" i="1"/>
  <c r="D1250" i="1"/>
  <c r="C1250" i="1"/>
  <c r="B1250" i="1"/>
  <c r="A1250" i="1"/>
  <c r="O1249" i="1"/>
  <c r="L1249" i="1"/>
  <c r="K1249" i="1"/>
  <c r="J1249" i="1"/>
  <c r="I1249" i="1"/>
  <c r="H1249" i="1"/>
  <c r="G1249" i="1"/>
  <c r="F1249" i="1"/>
  <c r="E1249" i="1"/>
  <c r="D1249" i="1"/>
  <c r="C1249" i="1"/>
  <c r="B1249" i="1"/>
  <c r="A1249" i="1"/>
  <c r="O1248" i="1"/>
  <c r="L1248" i="1"/>
  <c r="K1248" i="1"/>
  <c r="J1248" i="1"/>
  <c r="I1248" i="1"/>
  <c r="H1248" i="1"/>
  <c r="G1248" i="1"/>
  <c r="F1248" i="1"/>
  <c r="E1248" i="1"/>
  <c r="D1248" i="1"/>
  <c r="C1248" i="1"/>
  <c r="B1248" i="1"/>
  <c r="A1248" i="1"/>
  <c r="O1247" i="1"/>
  <c r="L1247" i="1"/>
  <c r="K1247" i="1"/>
  <c r="J1247" i="1"/>
  <c r="I1247" i="1"/>
  <c r="H1247" i="1"/>
  <c r="G1247" i="1"/>
  <c r="F1247" i="1"/>
  <c r="E1247" i="1"/>
  <c r="D1247" i="1"/>
  <c r="C1247" i="1"/>
  <c r="B1247" i="1"/>
  <c r="A1247" i="1"/>
  <c r="O1246" i="1"/>
  <c r="L1246" i="1"/>
  <c r="K1246" i="1"/>
  <c r="J1246" i="1"/>
  <c r="I1246" i="1"/>
  <c r="H1246" i="1"/>
  <c r="G1246" i="1"/>
  <c r="F1246" i="1"/>
  <c r="E1246" i="1"/>
  <c r="D1246" i="1"/>
  <c r="C1246" i="1"/>
  <c r="B1246" i="1"/>
  <c r="A1246" i="1"/>
  <c r="O1245" i="1"/>
  <c r="L1245" i="1"/>
  <c r="K1245" i="1"/>
  <c r="J1245" i="1"/>
  <c r="I1245" i="1"/>
  <c r="H1245" i="1"/>
  <c r="G1245" i="1"/>
  <c r="F1245" i="1"/>
  <c r="E1245" i="1"/>
  <c r="D1245" i="1"/>
  <c r="C1245" i="1"/>
  <c r="B1245" i="1"/>
  <c r="A1245" i="1"/>
  <c r="O1244" i="1"/>
  <c r="L1244" i="1"/>
  <c r="K1244" i="1"/>
  <c r="J1244" i="1"/>
  <c r="I1244" i="1"/>
  <c r="H1244" i="1"/>
  <c r="G1244" i="1"/>
  <c r="F1244" i="1"/>
  <c r="E1244" i="1"/>
  <c r="D1244" i="1"/>
  <c r="C1244" i="1"/>
  <c r="B1244" i="1"/>
  <c r="A1244" i="1"/>
  <c r="O1243" i="1"/>
  <c r="L1243" i="1"/>
  <c r="K1243" i="1"/>
  <c r="J1243" i="1"/>
  <c r="I1243" i="1"/>
  <c r="H1243" i="1"/>
  <c r="G1243" i="1"/>
  <c r="F1243" i="1"/>
  <c r="E1243" i="1"/>
  <c r="D1243" i="1"/>
  <c r="C1243" i="1"/>
  <c r="B1243" i="1"/>
  <c r="A1243" i="1"/>
  <c r="P1242" i="1"/>
  <c r="O1242" i="1"/>
  <c r="L1242" i="1"/>
  <c r="K1242" i="1"/>
  <c r="J1242" i="1"/>
  <c r="I1242" i="1"/>
  <c r="H1242" i="1"/>
  <c r="G1242" i="1"/>
  <c r="F1242" i="1"/>
  <c r="E1242" i="1"/>
  <c r="D1242" i="1"/>
  <c r="C1242" i="1"/>
  <c r="B1242" i="1"/>
  <c r="A1242" i="1"/>
  <c r="O1241" i="1"/>
  <c r="L1241" i="1"/>
  <c r="K1241" i="1"/>
  <c r="J1241" i="1"/>
  <c r="I1241" i="1"/>
  <c r="H1241" i="1"/>
  <c r="G1241" i="1"/>
  <c r="F1241" i="1"/>
  <c r="E1241" i="1"/>
  <c r="D1241" i="1"/>
  <c r="C1241" i="1"/>
  <c r="B1241" i="1"/>
  <c r="A1241" i="1"/>
  <c r="O1240" i="1"/>
  <c r="L1240" i="1"/>
  <c r="K1240" i="1"/>
  <c r="J1240" i="1"/>
  <c r="I1240" i="1"/>
  <c r="H1240" i="1"/>
  <c r="G1240" i="1"/>
  <c r="F1240" i="1"/>
  <c r="E1240" i="1"/>
  <c r="D1240" i="1"/>
  <c r="C1240" i="1"/>
  <c r="B1240" i="1"/>
  <c r="A1240" i="1"/>
  <c r="O1239" i="1"/>
  <c r="L1239" i="1"/>
  <c r="K1239" i="1"/>
  <c r="J1239" i="1"/>
  <c r="I1239" i="1"/>
  <c r="H1239" i="1"/>
  <c r="G1239" i="1"/>
  <c r="F1239" i="1"/>
  <c r="E1239" i="1"/>
  <c r="D1239" i="1"/>
  <c r="C1239" i="1"/>
  <c r="B1239" i="1"/>
  <c r="A1239" i="1"/>
  <c r="O1238" i="1"/>
  <c r="L1238" i="1"/>
  <c r="K1238" i="1"/>
  <c r="J1238" i="1"/>
  <c r="I1238" i="1"/>
  <c r="H1238" i="1"/>
  <c r="G1238" i="1"/>
  <c r="F1238" i="1"/>
  <c r="E1238" i="1"/>
  <c r="D1238" i="1"/>
  <c r="C1238" i="1"/>
  <c r="B1238" i="1"/>
  <c r="A1238" i="1"/>
  <c r="O1237" i="1"/>
  <c r="L1237" i="1"/>
  <c r="K1237" i="1"/>
  <c r="J1237" i="1"/>
  <c r="I1237" i="1"/>
  <c r="H1237" i="1"/>
  <c r="G1237" i="1"/>
  <c r="F1237" i="1"/>
  <c r="E1237" i="1"/>
  <c r="D1237" i="1"/>
  <c r="C1237" i="1"/>
  <c r="B1237" i="1"/>
  <c r="A1237" i="1"/>
  <c r="O1236" i="1"/>
  <c r="L1236" i="1"/>
  <c r="K1236" i="1"/>
  <c r="J1236" i="1"/>
  <c r="I1236" i="1"/>
  <c r="H1236" i="1"/>
  <c r="G1236" i="1"/>
  <c r="F1236" i="1"/>
  <c r="E1236" i="1"/>
  <c r="D1236" i="1"/>
  <c r="C1236" i="1"/>
  <c r="B1236" i="1"/>
  <c r="A1236" i="1"/>
  <c r="O1235" i="1"/>
  <c r="L1235" i="1"/>
  <c r="K1235" i="1"/>
  <c r="J1235" i="1"/>
  <c r="I1235" i="1"/>
  <c r="H1235" i="1"/>
  <c r="G1235" i="1"/>
  <c r="F1235" i="1"/>
  <c r="E1235" i="1"/>
  <c r="D1235" i="1"/>
  <c r="C1235" i="1"/>
  <c r="B1235" i="1"/>
  <c r="A1235" i="1"/>
  <c r="O1234" i="1"/>
  <c r="L1234" i="1"/>
  <c r="K1234" i="1"/>
  <c r="J1234" i="1"/>
  <c r="I1234" i="1"/>
  <c r="H1234" i="1"/>
  <c r="G1234" i="1"/>
  <c r="F1234" i="1"/>
  <c r="E1234" i="1"/>
  <c r="D1234" i="1"/>
  <c r="C1234" i="1"/>
  <c r="B1234" i="1"/>
  <c r="A1234" i="1"/>
  <c r="O1233" i="1"/>
  <c r="L1233" i="1"/>
  <c r="K1233" i="1"/>
  <c r="J1233" i="1"/>
  <c r="I1233" i="1"/>
  <c r="H1233" i="1"/>
  <c r="G1233" i="1"/>
  <c r="F1233" i="1"/>
  <c r="E1233" i="1"/>
  <c r="D1233" i="1"/>
  <c r="C1233" i="1"/>
  <c r="B1233" i="1"/>
  <c r="A1233" i="1"/>
  <c r="O1232" i="1"/>
  <c r="L1232" i="1"/>
  <c r="K1232" i="1"/>
  <c r="J1232" i="1"/>
  <c r="I1232" i="1"/>
  <c r="H1232" i="1"/>
  <c r="G1232" i="1"/>
  <c r="F1232" i="1"/>
  <c r="E1232" i="1"/>
  <c r="D1232" i="1"/>
  <c r="C1232" i="1"/>
  <c r="B1232" i="1"/>
  <c r="A1232" i="1"/>
  <c r="O1231" i="1"/>
  <c r="L1231" i="1"/>
  <c r="K1231" i="1"/>
  <c r="J1231" i="1"/>
  <c r="I1231" i="1"/>
  <c r="H1231" i="1"/>
  <c r="G1231" i="1"/>
  <c r="F1231" i="1"/>
  <c r="E1231" i="1"/>
  <c r="D1231" i="1"/>
  <c r="C1231" i="1"/>
  <c r="B1231" i="1"/>
  <c r="A1231" i="1"/>
  <c r="O1230" i="1"/>
  <c r="L1230" i="1"/>
  <c r="K1230" i="1"/>
  <c r="J1230" i="1"/>
  <c r="I1230" i="1"/>
  <c r="H1230" i="1"/>
  <c r="G1230" i="1"/>
  <c r="F1230" i="1"/>
  <c r="E1230" i="1"/>
  <c r="D1230" i="1"/>
  <c r="C1230" i="1"/>
  <c r="B1230" i="1"/>
  <c r="A1230" i="1"/>
  <c r="O1229" i="1"/>
  <c r="L1229" i="1"/>
  <c r="K1229" i="1"/>
  <c r="J1229" i="1"/>
  <c r="I1229" i="1"/>
  <c r="H1229" i="1"/>
  <c r="G1229" i="1"/>
  <c r="F1229" i="1"/>
  <c r="E1229" i="1"/>
  <c r="D1229" i="1"/>
  <c r="C1229" i="1"/>
  <c r="B1229" i="1"/>
  <c r="A1229" i="1"/>
  <c r="O1228" i="1"/>
  <c r="L1228" i="1"/>
  <c r="K1228" i="1"/>
  <c r="J1228" i="1"/>
  <c r="I1228" i="1"/>
  <c r="H1228" i="1"/>
  <c r="G1228" i="1"/>
  <c r="F1228" i="1"/>
  <c r="E1228" i="1"/>
  <c r="D1228" i="1"/>
  <c r="C1228" i="1"/>
  <c r="B1228" i="1"/>
  <c r="A1228" i="1"/>
  <c r="O1227" i="1"/>
  <c r="L1227" i="1"/>
  <c r="K1227" i="1"/>
  <c r="J1227" i="1"/>
  <c r="I1227" i="1"/>
  <c r="H1227" i="1"/>
  <c r="G1227" i="1"/>
  <c r="F1227" i="1"/>
  <c r="E1227" i="1"/>
  <c r="D1227" i="1"/>
  <c r="C1227" i="1"/>
  <c r="B1227" i="1"/>
  <c r="A1227" i="1"/>
  <c r="O1226" i="1"/>
  <c r="L1226" i="1"/>
  <c r="K1226" i="1"/>
  <c r="J1226" i="1"/>
  <c r="I1226" i="1"/>
  <c r="H1226" i="1"/>
  <c r="G1226" i="1"/>
  <c r="F1226" i="1"/>
  <c r="E1226" i="1"/>
  <c r="D1226" i="1"/>
  <c r="C1226" i="1"/>
  <c r="B1226" i="1"/>
  <c r="A1226" i="1"/>
  <c r="O1225" i="1"/>
  <c r="L1225" i="1"/>
  <c r="K1225" i="1"/>
  <c r="J1225" i="1"/>
  <c r="I1225" i="1"/>
  <c r="H1225" i="1"/>
  <c r="G1225" i="1"/>
  <c r="F1225" i="1"/>
  <c r="E1225" i="1"/>
  <c r="D1225" i="1"/>
  <c r="C1225" i="1"/>
  <c r="B1225" i="1"/>
  <c r="A1225" i="1"/>
  <c r="O1224" i="1"/>
  <c r="L1224" i="1"/>
  <c r="K1224" i="1"/>
  <c r="J1224" i="1"/>
  <c r="I1224" i="1"/>
  <c r="H1224" i="1"/>
  <c r="G1224" i="1"/>
  <c r="F1224" i="1"/>
  <c r="E1224" i="1"/>
  <c r="D1224" i="1"/>
  <c r="C1224" i="1"/>
  <c r="B1224" i="1"/>
  <c r="A1224" i="1"/>
  <c r="O1223" i="1"/>
  <c r="L1223" i="1"/>
  <c r="K1223" i="1"/>
  <c r="J1223" i="1"/>
  <c r="I1223" i="1"/>
  <c r="H1223" i="1"/>
  <c r="G1223" i="1"/>
  <c r="F1223" i="1"/>
  <c r="E1223" i="1"/>
  <c r="D1223" i="1"/>
  <c r="C1223" i="1"/>
  <c r="B1223" i="1"/>
  <c r="A1223" i="1"/>
  <c r="O1222" i="1"/>
  <c r="L1222" i="1"/>
  <c r="K1222" i="1"/>
  <c r="J1222" i="1"/>
  <c r="I1222" i="1"/>
  <c r="H1222" i="1"/>
  <c r="G1222" i="1"/>
  <c r="F1222" i="1"/>
  <c r="E1222" i="1"/>
  <c r="D1222" i="1"/>
  <c r="C1222" i="1"/>
  <c r="B1222" i="1"/>
  <c r="A1222" i="1"/>
  <c r="O1221" i="1"/>
  <c r="L1221" i="1"/>
  <c r="K1221" i="1"/>
  <c r="J1221" i="1"/>
  <c r="I1221" i="1"/>
  <c r="H1221" i="1"/>
  <c r="G1221" i="1"/>
  <c r="F1221" i="1"/>
  <c r="E1221" i="1"/>
  <c r="D1221" i="1"/>
  <c r="C1221" i="1"/>
  <c r="B1221" i="1"/>
  <c r="A1221" i="1"/>
  <c r="O1220" i="1"/>
  <c r="L1220" i="1"/>
  <c r="K1220" i="1"/>
  <c r="J1220" i="1"/>
  <c r="I1220" i="1"/>
  <c r="H1220" i="1"/>
  <c r="G1220" i="1"/>
  <c r="F1220" i="1"/>
  <c r="E1220" i="1"/>
  <c r="D1220" i="1"/>
  <c r="C1220" i="1"/>
  <c r="B1220" i="1"/>
  <c r="A1220" i="1"/>
  <c r="O1219" i="1"/>
  <c r="L1219" i="1"/>
  <c r="K1219" i="1"/>
  <c r="J1219" i="1"/>
  <c r="I1219" i="1"/>
  <c r="H1219" i="1"/>
  <c r="G1219" i="1"/>
  <c r="F1219" i="1"/>
  <c r="E1219" i="1"/>
  <c r="D1219" i="1"/>
  <c r="C1219" i="1"/>
  <c r="B1219" i="1"/>
  <c r="A1219" i="1"/>
  <c r="O1218" i="1"/>
  <c r="L1218" i="1"/>
  <c r="K1218" i="1"/>
  <c r="J1218" i="1"/>
  <c r="I1218" i="1"/>
  <c r="H1218" i="1"/>
  <c r="G1218" i="1"/>
  <c r="F1218" i="1"/>
  <c r="E1218" i="1"/>
  <c r="D1218" i="1"/>
  <c r="C1218" i="1"/>
  <c r="B1218" i="1"/>
  <c r="A1218" i="1"/>
  <c r="O1217" i="1"/>
  <c r="L1217" i="1"/>
  <c r="K1217" i="1"/>
  <c r="J1217" i="1"/>
  <c r="I1217" i="1"/>
  <c r="H1217" i="1"/>
  <c r="G1217" i="1"/>
  <c r="F1217" i="1"/>
  <c r="E1217" i="1"/>
  <c r="D1217" i="1"/>
  <c r="C1217" i="1"/>
  <c r="B1217" i="1"/>
  <c r="A1217" i="1"/>
  <c r="O1216" i="1"/>
  <c r="L1216" i="1"/>
  <c r="K1216" i="1"/>
  <c r="J1216" i="1"/>
  <c r="I1216" i="1"/>
  <c r="H1216" i="1"/>
  <c r="G1216" i="1"/>
  <c r="F1216" i="1"/>
  <c r="E1216" i="1"/>
  <c r="D1216" i="1"/>
  <c r="C1216" i="1"/>
  <c r="B1216" i="1"/>
  <c r="A1216" i="1"/>
  <c r="O1215" i="1"/>
  <c r="L1215" i="1"/>
  <c r="K1215" i="1"/>
  <c r="J1215" i="1"/>
  <c r="I1215" i="1"/>
  <c r="H1215" i="1"/>
  <c r="G1215" i="1"/>
  <c r="F1215" i="1"/>
  <c r="E1215" i="1"/>
  <c r="D1215" i="1"/>
  <c r="C1215" i="1"/>
  <c r="B1215" i="1"/>
  <c r="A1215" i="1"/>
  <c r="O1214" i="1"/>
  <c r="L1214" i="1"/>
  <c r="K1214" i="1"/>
  <c r="J1214" i="1"/>
  <c r="I1214" i="1"/>
  <c r="H1214" i="1"/>
  <c r="G1214" i="1"/>
  <c r="F1214" i="1"/>
  <c r="E1214" i="1"/>
  <c r="D1214" i="1"/>
  <c r="C1214" i="1"/>
  <c r="B1214" i="1"/>
  <c r="A1214" i="1"/>
  <c r="O1213" i="1"/>
  <c r="L1213" i="1"/>
  <c r="K1213" i="1"/>
  <c r="J1213" i="1"/>
  <c r="I1213" i="1"/>
  <c r="H1213" i="1"/>
  <c r="G1213" i="1"/>
  <c r="F1213" i="1"/>
  <c r="E1213" i="1"/>
  <c r="D1213" i="1"/>
  <c r="C1213" i="1"/>
  <c r="B1213" i="1"/>
  <c r="A1213" i="1"/>
  <c r="O1212" i="1"/>
  <c r="L1212" i="1"/>
  <c r="K1212" i="1"/>
  <c r="J1212" i="1"/>
  <c r="I1212" i="1"/>
  <c r="H1212" i="1"/>
  <c r="G1212" i="1"/>
  <c r="F1212" i="1"/>
  <c r="E1212" i="1"/>
  <c r="D1212" i="1"/>
  <c r="C1212" i="1"/>
  <c r="B1212" i="1"/>
  <c r="A1212" i="1"/>
  <c r="O1211" i="1"/>
  <c r="L1211" i="1"/>
  <c r="K1211" i="1"/>
  <c r="J1211" i="1"/>
  <c r="I1211" i="1"/>
  <c r="H1211" i="1"/>
  <c r="G1211" i="1"/>
  <c r="F1211" i="1"/>
  <c r="E1211" i="1"/>
  <c r="D1211" i="1"/>
  <c r="C1211" i="1"/>
  <c r="B1211" i="1"/>
  <c r="A1211" i="1"/>
  <c r="O1210" i="1"/>
  <c r="L1210" i="1"/>
  <c r="K1210" i="1"/>
  <c r="J1210" i="1"/>
  <c r="I1210" i="1"/>
  <c r="H1210" i="1"/>
  <c r="G1210" i="1"/>
  <c r="F1210" i="1"/>
  <c r="E1210" i="1"/>
  <c r="D1210" i="1"/>
  <c r="C1210" i="1"/>
  <c r="B1210" i="1"/>
  <c r="A1210" i="1"/>
  <c r="O1209" i="1"/>
  <c r="L1209" i="1"/>
  <c r="K1209" i="1"/>
  <c r="J1209" i="1"/>
  <c r="I1209" i="1"/>
  <c r="H1209" i="1"/>
  <c r="G1209" i="1"/>
  <c r="F1209" i="1"/>
  <c r="E1209" i="1"/>
  <c r="D1209" i="1"/>
  <c r="C1209" i="1"/>
  <c r="B1209" i="1"/>
  <c r="A1209" i="1"/>
  <c r="O1208" i="1"/>
  <c r="L1208" i="1"/>
  <c r="K1208" i="1"/>
  <c r="J1208" i="1"/>
  <c r="I1208" i="1"/>
  <c r="H1208" i="1"/>
  <c r="G1208" i="1"/>
  <c r="F1208" i="1"/>
  <c r="E1208" i="1"/>
  <c r="D1208" i="1"/>
  <c r="C1208" i="1"/>
  <c r="B1208" i="1"/>
  <c r="A1208" i="1"/>
  <c r="O1207" i="1"/>
  <c r="L1207" i="1"/>
  <c r="K1207" i="1"/>
  <c r="J1207" i="1"/>
  <c r="I1207" i="1"/>
  <c r="H1207" i="1"/>
  <c r="G1207" i="1"/>
  <c r="F1207" i="1"/>
  <c r="E1207" i="1"/>
  <c r="D1207" i="1"/>
  <c r="C1207" i="1"/>
  <c r="B1207" i="1"/>
  <c r="A1207" i="1"/>
  <c r="O1206" i="1"/>
  <c r="L1206" i="1"/>
  <c r="K1206" i="1"/>
  <c r="J1206" i="1"/>
  <c r="I1206" i="1"/>
  <c r="H1206" i="1"/>
  <c r="G1206" i="1"/>
  <c r="F1206" i="1"/>
  <c r="E1206" i="1"/>
  <c r="D1206" i="1"/>
  <c r="C1206" i="1"/>
  <c r="B1206" i="1"/>
  <c r="A1206" i="1"/>
  <c r="O1205" i="1"/>
  <c r="L1205" i="1"/>
  <c r="K1205" i="1"/>
  <c r="J1205" i="1"/>
  <c r="I1205" i="1"/>
  <c r="H1205" i="1"/>
  <c r="G1205" i="1"/>
  <c r="F1205" i="1"/>
  <c r="E1205" i="1"/>
  <c r="D1205" i="1"/>
  <c r="C1205" i="1"/>
  <c r="B1205" i="1"/>
  <c r="A1205" i="1"/>
  <c r="O1204" i="1"/>
  <c r="L1204" i="1"/>
  <c r="K1204" i="1"/>
  <c r="J1204" i="1"/>
  <c r="I1204" i="1"/>
  <c r="H1204" i="1"/>
  <c r="G1204" i="1"/>
  <c r="F1204" i="1"/>
  <c r="E1204" i="1"/>
  <c r="D1204" i="1"/>
  <c r="C1204" i="1"/>
  <c r="B1204" i="1"/>
  <c r="A1204" i="1"/>
  <c r="O1203" i="1"/>
  <c r="L1203" i="1"/>
  <c r="K1203" i="1"/>
  <c r="J1203" i="1"/>
  <c r="I1203" i="1"/>
  <c r="H1203" i="1"/>
  <c r="G1203" i="1"/>
  <c r="F1203" i="1"/>
  <c r="E1203" i="1"/>
  <c r="D1203" i="1"/>
  <c r="C1203" i="1"/>
  <c r="B1203" i="1"/>
  <c r="A1203" i="1"/>
  <c r="O1202" i="1"/>
  <c r="L1202" i="1"/>
  <c r="K1202" i="1"/>
  <c r="J1202" i="1"/>
  <c r="I1202" i="1"/>
  <c r="H1202" i="1"/>
  <c r="G1202" i="1"/>
  <c r="F1202" i="1"/>
  <c r="E1202" i="1"/>
  <c r="D1202" i="1"/>
  <c r="C1202" i="1"/>
  <c r="B1202" i="1"/>
  <c r="A1202" i="1"/>
  <c r="O1201" i="1"/>
  <c r="L1201" i="1"/>
  <c r="K1201" i="1"/>
  <c r="J1201" i="1"/>
  <c r="I1201" i="1"/>
  <c r="H1201" i="1"/>
  <c r="G1201" i="1"/>
  <c r="F1201" i="1"/>
  <c r="E1201" i="1"/>
  <c r="D1201" i="1"/>
  <c r="C1201" i="1"/>
  <c r="B1201" i="1"/>
  <c r="A1201" i="1"/>
  <c r="O1200" i="1"/>
  <c r="L1200" i="1"/>
  <c r="K1200" i="1"/>
  <c r="J1200" i="1"/>
  <c r="I1200" i="1"/>
  <c r="H1200" i="1"/>
  <c r="G1200" i="1"/>
  <c r="F1200" i="1"/>
  <c r="E1200" i="1"/>
  <c r="D1200" i="1"/>
  <c r="C1200" i="1"/>
  <c r="B1200" i="1"/>
  <c r="A1200" i="1"/>
  <c r="O1199" i="1"/>
  <c r="L1199" i="1"/>
  <c r="K1199" i="1"/>
  <c r="J1199" i="1"/>
  <c r="I1199" i="1"/>
  <c r="H1199" i="1"/>
  <c r="G1199" i="1"/>
  <c r="F1199" i="1"/>
  <c r="E1199" i="1"/>
  <c r="D1199" i="1"/>
  <c r="C1199" i="1"/>
  <c r="B1199" i="1"/>
  <c r="A1199" i="1"/>
  <c r="O1198" i="1"/>
  <c r="L1198" i="1"/>
  <c r="K1198" i="1"/>
  <c r="J1198" i="1"/>
  <c r="I1198" i="1"/>
  <c r="H1198" i="1"/>
  <c r="G1198" i="1"/>
  <c r="F1198" i="1"/>
  <c r="E1198" i="1"/>
  <c r="D1198" i="1"/>
  <c r="C1198" i="1"/>
  <c r="B1198" i="1"/>
  <c r="A1198" i="1"/>
  <c r="O1197" i="1"/>
  <c r="L1197" i="1"/>
  <c r="K1197" i="1"/>
  <c r="J1197" i="1"/>
  <c r="I1197" i="1"/>
  <c r="H1197" i="1"/>
  <c r="G1197" i="1"/>
  <c r="F1197" i="1"/>
  <c r="E1197" i="1"/>
  <c r="D1197" i="1"/>
  <c r="C1197" i="1"/>
  <c r="B1197" i="1"/>
  <c r="A1197" i="1"/>
  <c r="O1196" i="1"/>
  <c r="L1196" i="1"/>
  <c r="K1196" i="1"/>
  <c r="J1196" i="1"/>
  <c r="I1196" i="1"/>
  <c r="H1196" i="1"/>
  <c r="G1196" i="1"/>
  <c r="F1196" i="1"/>
  <c r="E1196" i="1"/>
  <c r="D1196" i="1"/>
  <c r="C1196" i="1"/>
  <c r="B1196" i="1"/>
  <c r="A1196" i="1"/>
  <c r="O1195" i="1"/>
  <c r="L1195" i="1"/>
  <c r="K1195" i="1"/>
  <c r="J1195" i="1"/>
  <c r="I1195" i="1"/>
  <c r="H1195" i="1"/>
  <c r="G1195" i="1"/>
  <c r="F1195" i="1"/>
  <c r="E1195" i="1"/>
  <c r="D1195" i="1"/>
  <c r="C1195" i="1"/>
  <c r="B1195" i="1"/>
  <c r="A1195" i="1"/>
  <c r="O1194" i="1"/>
  <c r="L1194" i="1"/>
  <c r="K1194" i="1"/>
  <c r="J1194" i="1"/>
  <c r="I1194" i="1"/>
  <c r="H1194" i="1"/>
  <c r="G1194" i="1"/>
  <c r="F1194" i="1"/>
  <c r="E1194" i="1"/>
  <c r="D1194" i="1"/>
  <c r="C1194" i="1"/>
  <c r="B1194" i="1"/>
  <c r="A1194" i="1"/>
  <c r="O1193" i="1"/>
  <c r="L1193" i="1"/>
  <c r="K1193" i="1"/>
  <c r="J1193" i="1"/>
  <c r="I1193" i="1"/>
  <c r="H1193" i="1"/>
  <c r="G1193" i="1"/>
  <c r="F1193" i="1"/>
  <c r="E1193" i="1"/>
  <c r="D1193" i="1"/>
  <c r="C1193" i="1"/>
  <c r="B1193" i="1"/>
  <c r="A1193" i="1"/>
  <c r="O1192" i="1"/>
  <c r="L1192" i="1"/>
  <c r="K1192" i="1"/>
  <c r="J1192" i="1"/>
  <c r="I1192" i="1"/>
  <c r="H1192" i="1"/>
  <c r="G1192" i="1"/>
  <c r="F1192" i="1"/>
  <c r="E1192" i="1"/>
  <c r="D1192" i="1"/>
  <c r="C1192" i="1"/>
  <c r="B1192" i="1"/>
  <c r="A1192" i="1"/>
  <c r="O1191" i="1"/>
  <c r="L1191" i="1"/>
  <c r="K1191" i="1"/>
  <c r="J1191" i="1"/>
  <c r="I1191" i="1"/>
  <c r="H1191" i="1"/>
  <c r="G1191" i="1"/>
  <c r="F1191" i="1"/>
  <c r="E1191" i="1"/>
  <c r="D1191" i="1"/>
  <c r="C1191" i="1"/>
  <c r="B1191" i="1"/>
  <c r="A1191" i="1"/>
  <c r="O1190" i="1"/>
  <c r="L1190" i="1"/>
  <c r="K1190" i="1"/>
  <c r="J1190" i="1"/>
  <c r="I1190" i="1"/>
  <c r="H1190" i="1"/>
  <c r="G1190" i="1"/>
  <c r="F1190" i="1"/>
  <c r="E1190" i="1"/>
  <c r="D1190" i="1"/>
  <c r="C1190" i="1"/>
  <c r="B1190" i="1"/>
  <c r="A1190" i="1"/>
  <c r="O1189" i="1"/>
  <c r="L1189" i="1"/>
  <c r="K1189" i="1"/>
  <c r="J1189" i="1"/>
  <c r="I1189" i="1"/>
  <c r="H1189" i="1"/>
  <c r="G1189" i="1"/>
  <c r="F1189" i="1"/>
  <c r="E1189" i="1"/>
  <c r="D1189" i="1"/>
  <c r="C1189" i="1"/>
  <c r="B1189" i="1"/>
  <c r="A1189" i="1"/>
  <c r="O1188" i="1"/>
  <c r="L1188" i="1"/>
  <c r="K1188" i="1"/>
  <c r="J1188" i="1"/>
  <c r="I1188" i="1"/>
  <c r="H1188" i="1"/>
  <c r="G1188" i="1"/>
  <c r="F1188" i="1"/>
  <c r="E1188" i="1"/>
  <c r="D1188" i="1"/>
  <c r="C1188" i="1"/>
  <c r="B1188" i="1"/>
  <c r="A1188" i="1"/>
  <c r="O1187" i="1"/>
  <c r="L1187" i="1"/>
  <c r="K1187" i="1"/>
  <c r="J1187" i="1"/>
  <c r="I1187" i="1"/>
  <c r="H1187" i="1"/>
  <c r="G1187" i="1"/>
  <c r="F1187" i="1"/>
  <c r="E1187" i="1"/>
  <c r="D1187" i="1"/>
  <c r="C1187" i="1"/>
  <c r="B1187" i="1"/>
  <c r="A1187" i="1"/>
  <c r="O1186" i="1"/>
  <c r="L1186" i="1"/>
  <c r="K1186" i="1"/>
  <c r="J1186" i="1"/>
  <c r="I1186" i="1"/>
  <c r="H1186" i="1"/>
  <c r="G1186" i="1"/>
  <c r="F1186" i="1"/>
  <c r="E1186" i="1"/>
  <c r="D1186" i="1"/>
  <c r="C1186" i="1"/>
  <c r="B1186" i="1"/>
  <c r="A1186" i="1"/>
  <c r="O1185" i="1"/>
  <c r="L1185" i="1"/>
  <c r="K1185" i="1"/>
  <c r="J1185" i="1"/>
  <c r="I1185" i="1"/>
  <c r="H1185" i="1"/>
  <c r="G1185" i="1"/>
  <c r="F1185" i="1"/>
  <c r="E1185" i="1"/>
  <c r="D1185" i="1"/>
  <c r="C1185" i="1"/>
  <c r="B1185" i="1"/>
  <c r="A1185" i="1"/>
  <c r="O1184" i="1"/>
  <c r="L1184" i="1"/>
  <c r="K1184" i="1"/>
  <c r="J1184" i="1"/>
  <c r="I1184" i="1"/>
  <c r="H1184" i="1"/>
  <c r="G1184" i="1"/>
  <c r="F1184" i="1"/>
  <c r="E1184" i="1"/>
  <c r="D1184" i="1"/>
  <c r="C1184" i="1"/>
  <c r="B1184" i="1"/>
  <c r="A1184" i="1"/>
  <c r="O1183" i="1"/>
  <c r="L1183" i="1"/>
  <c r="K1183" i="1"/>
  <c r="J1183" i="1"/>
  <c r="I1183" i="1"/>
  <c r="H1183" i="1"/>
  <c r="G1183" i="1"/>
  <c r="F1183" i="1"/>
  <c r="E1183" i="1"/>
  <c r="D1183" i="1"/>
  <c r="C1183" i="1"/>
  <c r="B1183" i="1"/>
  <c r="A1183" i="1"/>
  <c r="O1182" i="1"/>
  <c r="L1182" i="1"/>
  <c r="K1182" i="1"/>
  <c r="J1182" i="1"/>
  <c r="I1182" i="1"/>
  <c r="H1182" i="1"/>
  <c r="G1182" i="1"/>
  <c r="F1182" i="1"/>
  <c r="E1182" i="1"/>
  <c r="D1182" i="1"/>
  <c r="C1182" i="1"/>
  <c r="B1182" i="1"/>
  <c r="A1182" i="1"/>
  <c r="P1181" i="1"/>
  <c r="O1181" i="1"/>
  <c r="L1181" i="1"/>
  <c r="K1181" i="1"/>
  <c r="J1181" i="1"/>
  <c r="I1181" i="1"/>
  <c r="H1181" i="1"/>
  <c r="G1181" i="1"/>
  <c r="F1181" i="1"/>
  <c r="E1181" i="1"/>
  <c r="D1181" i="1"/>
  <c r="C1181" i="1"/>
  <c r="B1181" i="1"/>
  <c r="A1181" i="1"/>
  <c r="O1180" i="1"/>
  <c r="L1180" i="1"/>
  <c r="K1180" i="1"/>
  <c r="J1180" i="1"/>
  <c r="I1180" i="1"/>
  <c r="H1180" i="1"/>
  <c r="G1180" i="1"/>
  <c r="F1180" i="1"/>
  <c r="E1180" i="1"/>
  <c r="D1180" i="1"/>
  <c r="C1180" i="1"/>
  <c r="B1180" i="1"/>
  <c r="A1180" i="1"/>
  <c r="O1179" i="1"/>
  <c r="L1179" i="1"/>
  <c r="K1179" i="1"/>
  <c r="J1179" i="1"/>
  <c r="I1179" i="1"/>
  <c r="H1179" i="1"/>
  <c r="G1179" i="1"/>
  <c r="F1179" i="1"/>
  <c r="E1179" i="1"/>
  <c r="D1179" i="1"/>
  <c r="C1179" i="1"/>
  <c r="B1179" i="1"/>
  <c r="A1179" i="1"/>
  <c r="O1178" i="1"/>
  <c r="L1178" i="1"/>
  <c r="K1178" i="1"/>
  <c r="J1178" i="1"/>
  <c r="I1178" i="1"/>
  <c r="H1178" i="1"/>
  <c r="G1178" i="1"/>
  <c r="F1178" i="1"/>
  <c r="E1178" i="1"/>
  <c r="D1178" i="1"/>
  <c r="C1178" i="1"/>
  <c r="B1178" i="1"/>
  <c r="A1178" i="1"/>
  <c r="O1177" i="1"/>
  <c r="L1177" i="1"/>
  <c r="K1177" i="1"/>
  <c r="J1177" i="1"/>
  <c r="I1177" i="1"/>
  <c r="H1177" i="1"/>
  <c r="G1177" i="1"/>
  <c r="F1177" i="1"/>
  <c r="E1177" i="1"/>
  <c r="D1177" i="1"/>
  <c r="C1177" i="1"/>
  <c r="B1177" i="1"/>
  <c r="A1177" i="1"/>
  <c r="O1176" i="1"/>
  <c r="L1176" i="1"/>
  <c r="K1176" i="1"/>
  <c r="J1176" i="1"/>
  <c r="I1176" i="1"/>
  <c r="H1176" i="1"/>
  <c r="G1176" i="1"/>
  <c r="F1176" i="1"/>
  <c r="E1176" i="1"/>
  <c r="D1176" i="1"/>
  <c r="C1176" i="1"/>
  <c r="B1176" i="1"/>
  <c r="A1176" i="1"/>
  <c r="O1175" i="1"/>
  <c r="L1175" i="1"/>
  <c r="K1175" i="1"/>
  <c r="J1175" i="1"/>
  <c r="I1175" i="1"/>
  <c r="H1175" i="1"/>
  <c r="G1175" i="1"/>
  <c r="F1175" i="1"/>
  <c r="E1175" i="1"/>
  <c r="D1175" i="1"/>
  <c r="C1175" i="1"/>
  <c r="B1175" i="1"/>
  <c r="A1175" i="1"/>
  <c r="O1174" i="1"/>
  <c r="L1174" i="1"/>
  <c r="K1174" i="1"/>
  <c r="J1174" i="1"/>
  <c r="I1174" i="1"/>
  <c r="H1174" i="1"/>
  <c r="G1174" i="1"/>
  <c r="F1174" i="1"/>
  <c r="E1174" i="1"/>
  <c r="D1174" i="1"/>
  <c r="C1174" i="1"/>
  <c r="B1174" i="1"/>
  <c r="A1174" i="1"/>
  <c r="O1173" i="1"/>
  <c r="L1173" i="1"/>
  <c r="K1173" i="1"/>
  <c r="J1173" i="1"/>
  <c r="I1173" i="1"/>
  <c r="H1173" i="1"/>
  <c r="G1173" i="1"/>
  <c r="F1173" i="1"/>
  <c r="E1173" i="1"/>
  <c r="D1173" i="1"/>
  <c r="C1173" i="1"/>
  <c r="B1173" i="1"/>
  <c r="A1173" i="1"/>
  <c r="O1172" i="1"/>
  <c r="L1172" i="1"/>
  <c r="K1172" i="1"/>
  <c r="J1172" i="1"/>
  <c r="I1172" i="1"/>
  <c r="H1172" i="1"/>
  <c r="G1172" i="1"/>
  <c r="F1172" i="1"/>
  <c r="E1172" i="1"/>
  <c r="D1172" i="1"/>
  <c r="C1172" i="1"/>
  <c r="B1172" i="1"/>
  <c r="A1172" i="1"/>
  <c r="O1171" i="1"/>
  <c r="L1171" i="1"/>
  <c r="K1171" i="1"/>
  <c r="J1171" i="1"/>
  <c r="I1171" i="1"/>
  <c r="H1171" i="1"/>
  <c r="G1171" i="1"/>
  <c r="F1171" i="1"/>
  <c r="E1171" i="1"/>
  <c r="D1171" i="1"/>
  <c r="C1171" i="1"/>
  <c r="B1171" i="1"/>
  <c r="A1171" i="1"/>
  <c r="P1170" i="1"/>
  <c r="O1170" i="1"/>
  <c r="L1170" i="1"/>
  <c r="K1170" i="1"/>
  <c r="J1170" i="1"/>
  <c r="I1170" i="1"/>
  <c r="H1170" i="1"/>
  <c r="G1170" i="1"/>
  <c r="F1170" i="1"/>
  <c r="E1170" i="1"/>
  <c r="D1170" i="1"/>
  <c r="C1170" i="1"/>
  <c r="B1170" i="1"/>
  <c r="A1170" i="1"/>
  <c r="O1169" i="1"/>
  <c r="L1169" i="1"/>
  <c r="K1169" i="1"/>
  <c r="J1169" i="1"/>
  <c r="I1169" i="1"/>
  <c r="H1169" i="1"/>
  <c r="G1169" i="1"/>
  <c r="F1169" i="1"/>
  <c r="E1169" i="1"/>
  <c r="D1169" i="1"/>
  <c r="C1169" i="1"/>
  <c r="B1169" i="1"/>
  <c r="A1169" i="1"/>
  <c r="O1168" i="1"/>
  <c r="L1168" i="1"/>
  <c r="K1168" i="1"/>
  <c r="J1168" i="1"/>
  <c r="I1168" i="1"/>
  <c r="H1168" i="1"/>
  <c r="G1168" i="1"/>
  <c r="F1168" i="1"/>
  <c r="E1168" i="1"/>
  <c r="D1168" i="1"/>
  <c r="C1168" i="1"/>
  <c r="B1168" i="1"/>
  <c r="A1168" i="1"/>
  <c r="O1167" i="1"/>
  <c r="L1167" i="1"/>
  <c r="K1167" i="1"/>
  <c r="J1167" i="1"/>
  <c r="I1167" i="1"/>
  <c r="H1167" i="1"/>
  <c r="G1167" i="1"/>
  <c r="F1167" i="1"/>
  <c r="E1167" i="1"/>
  <c r="D1167" i="1"/>
  <c r="C1167" i="1"/>
  <c r="B1167" i="1"/>
  <c r="A1167" i="1"/>
  <c r="O1166" i="1"/>
  <c r="L1166" i="1"/>
  <c r="K1166" i="1"/>
  <c r="J1166" i="1"/>
  <c r="I1166" i="1"/>
  <c r="H1166" i="1"/>
  <c r="G1166" i="1"/>
  <c r="F1166" i="1"/>
  <c r="E1166" i="1"/>
  <c r="D1166" i="1"/>
  <c r="C1166" i="1"/>
  <c r="B1166" i="1"/>
  <c r="A1166" i="1"/>
  <c r="O1165" i="1"/>
  <c r="L1165" i="1"/>
  <c r="K1165" i="1"/>
  <c r="J1165" i="1"/>
  <c r="I1165" i="1"/>
  <c r="H1165" i="1"/>
  <c r="G1165" i="1"/>
  <c r="F1165" i="1"/>
  <c r="E1165" i="1"/>
  <c r="D1165" i="1"/>
  <c r="C1165" i="1"/>
  <c r="B1165" i="1"/>
  <c r="A1165" i="1"/>
  <c r="O1164" i="1"/>
  <c r="L1164" i="1"/>
  <c r="K1164" i="1"/>
  <c r="J1164" i="1"/>
  <c r="I1164" i="1"/>
  <c r="H1164" i="1"/>
  <c r="G1164" i="1"/>
  <c r="F1164" i="1"/>
  <c r="E1164" i="1"/>
  <c r="D1164" i="1"/>
  <c r="C1164" i="1"/>
  <c r="B1164" i="1"/>
  <c r="A1164" i="1"/>
  <c r="P1163" i="1"/>
  <c r="O1163" i="1"/>
  <c r="L1163" i="1"/>
  <c r="K1163" i="1"/>
  <c r="J1163" i="1"/>
  <c r="I1163" i="1"/>
  <c r="H1163" i="1"/>
  <c r="G1163" i="1"/>
  <c r="F1163" i="1"/>
  <c r="E1163" i="1"/>
  <c r="D1163" i="1"/>
  <c r="C1163" i="1"/>
  <c r="B1163" i="1"/>
  <c r="A1163" i="1"/>
  <c r="O1162" i="1"/>
  <c r="L1162" i="1"/>
  <c r="K1162" i="1"/>
  <c r="J1162" i="1"/>
  <c r="I1162" i="1"/>
  <c r="H1162" i="1"/>
  <c r="G1162" i="1"/>
  <c r="F1162" i="1"/>
  <c r="E1162" i="1"/>
  <c r="D1162" i="1"/>
  <c r="C1162" i="1"/>
  <c r="B1162" i="1"/>
  <c r="A1162" i="1"/>
  <c r="O1161" i="1"/>
  <c r="L1161" i="1"/>
  <c r="K1161" i="1"/>
  <c r="J1161" i="1"/>
  <c r="I1161" i="1"/>
  <c r="H1161" i="1"/>
  <c r="G1161" i="1"/>
  <c r="F1161" i="1"/>
  <c r="E1161" i="1"/>
  <c r="D1161" i="1"/>
  <c r="C1161" i="1"/>
  <c r="B1161" i="1"/>
  <c r="A1161" i="1"/>
  <c r="O1160" i="1"/>
  <c r="L1160" i="1"/>
  <c r="K1160" i="1"/>
  <c r="J1160" i="1"/>
  <c r="I1160" i="1"/>
  <c r="H1160" i="1"/>
  <c r="G1160" i="1"/>
  <c r="F1160" i="1"/>
  <c r="E1160" i="1"/>
  <c r="D1160" i="1"/>
  <c r="C1160" i="1"/>
  <c r="B1160" i="1"/>
  <c r="A1160" i="1"/>
  <c r="O1159" i="1"/>
  <c r="L1159" i="1"/>
  <c r="K1159" i="1"/>
  <c r="J1159" i="1"/>
  <c r="I1159" i="1"/>
  <c r="H1159" i="1"/>
  <c r="G1159" i="1"/>
  <c r="F1159" i="1"/>
  <c r="E1159" i="1"/>
  <c r="D1159" i="1"/>
  <c r="C1159" i="1"/>
  <c r="B1159" i="1"/>
  <c r="A1159" i="1"/>
  <c r="O1158" i="1"/>
  <c r="L1158" i="1"/>
  <c r="K1158" i="1"/>
  <c r="J1158" i="1"/>
  <c r="I1158" i="1"/>
  <c r="H1158" i="1"/>
  <c r="G1158" i="1"/>
  <c r="F1158" i="1"/>
  <c r="E1158" i="1"/>
  <c r="D1158" i="1"/>
  <c r="C1158" i="1"/>
  <c r="B1158" i="1"/>
  <c r="A1158" i="1"/>
  <c r="O1157" i="1"/>
  <c r="L1157" i="1"/>
  <c r="K1157" i="1"/>
  <c r="J1157" i="1"/>
  <c r="I1157" i="1"/>
  <c r="H1157" i="1"/>
  <c r="G1157" i="1"/>
  <c r="F1157" i="1"/>
  <c r="E1157" i="1"/>
  <c r="D1157" i="1"/>
  <c r="C1157" i="1"/>
  <c r="B1157" i="1"/>
  <c r="A1157" i="1"/>
  <c r="O1156" i="1"/>
  <c r="L1156" i="1"/>
  <c r="K1156" i="1"/>
  <c r="J1156" i="1"/>
  <c r="I1156" i="1"/>
  <c r="H1156" i="1"/>
  <c r="G1156" i="1"/>
  <c r="F1156" i="1"/>
  <c r="E1156" i="1"/>
  <c r="D1156" i="1"/>
  <c r="C1156" i="1"/>
  <c r="B1156" i="1"/>
  <c r="A1156" i="1"/>
  <c r="O1155" i="1"/>
  <c r="L1155" i="1"/>
  <c r="K1155" i="1"/>
  <c r="J1155" i="1"/>
  <c r="I1155" i="1"/>
  <c r="H1155" i="1"/>
  <c r="G1155" i="1"/>
  <c r="F1155" i="1"/>
  <c r="E1155" i="1"/>
  <c r="D1155" i="1"/>
  <c r="C1155" i="1"/>
  <c r="B1155" i="1"/>
  <c r="A1155" i="1"/>
  <c r="O1154" i="1"/>
  <c r="L1154" i="1"/>
  <c r="K1154" i="1"/>
  <c r="J1154" i="1"/>
  <c r="I1154" i="1"/>
  <c r="H1154" i="1"/>
  <c r="G1154" i="1"/>
  <c r="F1154" i="1"/>
  <c r="E1154" i="1"/>
  <c r="D1154" i="1"/>
  <c r="C1154" i="1"/>
  <c r="B1154" i="1"/>
  <c r="A1154" i="1"/>
  <c r="O1153" i="1"/>
  <c r="L1153" i="1"/>
  <c r="K1153" i="1"/>
  <c r="J1153" i="1"/>
  <c r="I1153" i="1"/>
  <c r="H1153" i="1"/>
  <c r="G1153" i="1"/>
  <c r="F1153" i="1"/>
  <c r="E1153" i="1"/>
  <c r="D1153" i="1"/>
  <c r="C1153" i="1"/>
  <c r="B1153" i="1"/>
  <c r="A1153" i="1"/>
  <c r="O1152" i="1"/>
  <c r="L1152" i="1"/>
  <c r="K1152" i="1"/>
  <c r="J1152" i="1"/>
  <c r="I1152" i="1"/>
  <c r="H1152" i="1"/>
  <c r="G1152" i="1"/>
  <c r="F1152" i="1"/>
  <c r="E1152" i="1"/>
  <c r="D1152" i="1"/>
  <c r="C1152" i="1"/>
  <c r="B1152" i="1"/>
  <c r="A1152" i="1"/>
  <c r="O1151" i="1"/>
  <c r="L1151" i="1"/>
  <c r="K1151" i="1"/>
  <c r="J1151" i="1"/>
  <c r="I1151" i="1"/>
  <c r="H1151" i="1"/>
  <c r="G1151" i="1"/>
  <c r="F1151" i="1"/>
  <c r="E1151" i="1"/>
  <c r="D1151" i="1"/>
  <c r="C1151" i="1"/>
  <c r="B1151" i="1"/>
  <c r="A1151" i="1"/>
  <c r="O1150" i="1"/>
  <c r="L1150" i="1"/>
  <c r="K1150" i="1"/>
  <c r="J1150" i="1"/>
  <c r="I1150" i="1"/>
  <c r="H1150" i="1"/>
  <c r="G1150" i="1"/>
  <c r="F1150" i="1"/>
  <c r="E1150" i="1"/>
  <c r="D1150" i="1"/>
  <c r="C1150" i="1"/>
  <c r="B1150" i="1"/>
  <c r="A1150" i="1"/>
  <c r="O1149" i="1"/>
  <c r="L1149" i="1"/>
  <c r="K1149" i="1"/>
  <c r="J1149" i="1"/>
  <c r="I1149" i="1"/>
  <c r="H1149" i="1"/>
  <c r="G1149" i="1"/>
  <c r="F1149" i="1"/>
  <c r="E1149" i="1"/>
  <c r="D1149" i="1"/>
  <c r="C1149" i="1"/>
  <c r="B1149" i="1"/>
  <c r="A1149" i="1"/>
  <c r="O1148" i="1"/>
  <c r="L1148" i="1"/>
  <c r="K1148" i="1"/>
  <c r="J1148" i="1"/>
  <c r="I1148" i="1"/>
  <c r="H1148" i="1"/>
  <c r="G1148" i="1"/>
  <c r="F1148" i="1"/>
  <c r="E1148" i="1"/>
  <c r="D1148" i="1"/>
  <c r="C1148" i="1"/>
  <c r="B1148" i="1"/>
  <c r="A1148" i="1"/>
  <c r="O1147" i="1"/>
  <c r="L1147" i="1"/>
  <c r="K1147" i="1"/>
  <c r="J1147" i="1"/>
  <c r="I1147" i="1"/>
  <c r="H1147" i="1"/>
  <c r="G1147" i="1"/>
  <c r="F1147" i="1"/>
  <c r="E1147" i="1"/>
  <c r="D1147" i="1"/>
  <c r="C1147" i="1"/>
  <c r="B1147" i="1"/>
  <c r="A1147" i="1"/>
  <c r="O1146" i="1"/>
  <c r="L1146" i="1"/>
  <c r="K1146" i="1"/>
  <c r="J1146" i="1"/>
  <c r="I1146" i="1"/>
  <c r="H1146" i="1"/>
  <c r="G1146" i="1"/>
  <c r="F1146" i="1"/>
  <c r="E1146" i="1"/>
  <c r="D1146" i="1"/>
  <c r="C1146" i="1"/>
  <c r="B1146" i="1"/>
  <c r="A1146" i="1"/>
  <c r="O1145" i="1"/>
  <c r="L1145" i="1"/>
  <c r="K1145" i="1"/>
  <c r="J1145" i="1"/>
  <c r="I1145" i="1"/>
  <c r="H1145" i="1"/>
  <c r="G1145" i="1"/>
  <c r="F1145" i="1"/>
  <c r="E1145" i="1"/>
  <c r="D1145" i="1"/>
  <c r="C1145" i="1"/>
  <c r="B1145" i="1"/>
  <c r="A1145" i="1"/>
  <c r="O1144" i="1"/>
  <c r="L1144" i="1"/>
  <c r="K1144" i="1"/>
  <c r="J1144" i="1"/>
  <c r="I1144" i="1"/>
  <c r="H1144" i="1"/>
  <c r="G1144" i="1"/>
  <c r="F1144" i="1"/>
  <c r="E1144" i="1"/>
  <c r="D1144" i="1"/>
  <c r="C1144" i="1"/>
  <c r="B1144" i="1"/>
  <c r="A1144" i="1"/>
  <c r="P1143" i="1"/>
  <c r="O1143" i="1"/>
  <c r="L1143" i="1"/>
  <c r="K1143" i="1"/>
  <c r="J1143" i="1"/>
  <c r="I1143" i="1"/>
  <c r="H1143" i="1"/>
  <c r="G1143" i="1"/>
  <c r="F1143" i="1"/>
  <c r="E1143" i="1"/>
  <c r="D1143" i="1"/>
  <c r="C1143" i="1"/>
  <c r="B1143" i="1"/>
  <c r="A1143" i="1"/>
  <c r="O1142" i="1"/>
  <c r="L1142" i="1"/>
  <c r="K1142" i="1"/>
  <c r="J1142" i="1"/>
  <c r="I1142" i="1"/>
  <c r="H1142" i="1"/>
  <c r="G1142" i="1"/>
  <c r="F1142" i="1"/>
  <c r="E1142" i="1"/>
  <c r="D1142" i="1"/>
  <c r="C1142" i="1"/>
  <c r="B1142" i="1"/>
  <c r="A1142" i="1"/>
  <c r="O1141" i="1"/>
  <c r="L1141" i="1"/>
  <c r="K1141" i="1"/>
  <c r="J1141" i="1"/>
  <c r="I1141" i="1"/>
  <c r="H1141" i="1"/>
  <c r="G1141" i="1"/>
  <c r="F1141" i="1"/>
  <c r="E1141" i="1"/>
  <c r="D1141" i="1"/>
  <c r="C1141" i="1"/>
  <c r="B1141" i="1"/>
  <c r="A1141" i="1"/>
  <c r="O1140" i="1"/>
  <c r="L1140" i="1"/>
  <c r="K1140" i="1"/>
  <c r="J1140" i="1"/>
  <c r="I1140" i="1"/>
  <c r="H1140" i="1"/>
  <c r="G1140" i="1"/>
  <c r="F1140" i="1"/>
  <c r="E1140" i="1"/>
  <c r="D1140" i="1"/>
  <c r="C1140" i="1"/>
  <c r="B1140" i="1"/>
  <c r="A1140" i="1"/>
  <c r="O1139" i="1"/>
  <c r="L1139" i="1"/>
  <c r="K1139" i="1"/>
  <c r="J1139" i="1"/>
  <c r="I1139" i="1"/>
  <c r="H1139" i="1"/>
  <c r="G1139" i="1"/>
  <c r="F1139" i="1"/>
  <c r="E1139" i="1"/>
  <c r="D1139" i="1"/>
  <c r="C1139" i="1"/>
  <c r="B1139" i="1"/>
  <c r="A1139" i="1"/>
  <c r="O1138" i="1"/>
  <c r="L1138" i="1"/>
  <c r="K1138" i="1"/>
  <c r="J1138" i="1"/>
  <c r="I1138" i="1"/>
  <c r="H1138" i="1"/>
  <c r="G1138" i="1"/>
  <c r="F1138" i="1"/>
  <c r="E1138" i="1"/>
  <c r="D1138" i="1"/>
  <c r="C1138" i="1"/>
  <c r="B1138" i="1"/>
  <c r="A1138" i="1"/>
  <c r="O1137" i="1"/>
  <c r="L1137" i="1"/>
  <c r="K1137" i="1"/>
  <c r="J1137" i="1"/>
  <c r="I1137" i="1"/>
  <c r="H1137" i="1"/>
  <c r="G1137" i="1"/>
  <c r="F1137" i="1"/>
  <c r="E1137" i="1"/>
  <c r="D1137" i="1"/>
  <c r="C1137" i="1"/>
  <c r="B1137" i="1"/>
  <c r="A1137" i="1"/>
  <c r="P1136" i="1"/>
  <c r="O1136" i="1"/>
  <c r="L1136" i="1"/>
  <c r="K1136" i="1"/>
  <c r="J1136" i="1"/>
  <c r="I1136" i="1"/>
  <c r="H1136" i="1"/>
  <c r="G1136" i="1"/>
  <c r="F1136" i="1"/>
  <c r="E1136" i="1"/>
  <c r="D1136" i="1"/>
  <c r="C1136" i="1"/>
  <c r="B1136" i="1"/>
  <c r="A1136" i="1"/>
  <c r="O1135" i="1"/>
  <c r="L1135" i="1"/>
  <c r="K1135" i="1"/>
  <c r="J1135" i="1"/>
  <c r="I1135" i="1"/>
  <c r="H1135" i="1"/>
  <c r="G1135" i="1"/>
  <c r="F1135" i="1"/>
  <c r="E1135" i="1"/>
  <c r="D1135" i="1"/>
  <c r="C1135" i="1"/>
  <c r="B1135" i="1"/>
  <c r="A1135" i="1"/>
  <c r="O1134" i="1"/>
  <c r="L1134" i="1"/>
  <c r="K1134" i="1"/>
  <c r="J1134" i="1"/>
  <c r="I1134" i="1"/>
  <c r="H1134" i="1"/>
  <c r="G1134" i="1"/>
  <c r="F1134" i="1"/>
  <c r="E1134" i="1"/>
  <c r="D1134" i="1"/>
  <c r="C1134" i="1"/>
  <c r="B1134" i="1"/>
  <c r="A1134" i="1"/>
  <c r="O1133" i="1"/>
  <c r="L1133" i="1"/>
  <c r="K1133" i="1"/>
  <c r="J1133" i="1"/>
  <c r="I1133" i="1"/>
  <c r="H1133" i="1"/>
  <c r="G1133" i="1"/>
  <c r="F1133" i="1"/>
  <c r="E1133" i="1"/>
  <c r="D1133" i="1"/>
  <c r="C1133" i="1"/>
  <c r="B1133" i="1"/>
  <c r="A1133" i="1"/>
  <c r="O1132" i="1"/>
  <c r="L1132" i="1"/>
  <c r="K1132" i="1"/>
  <c r="J1132" i="1"/>
  <c r="I1132" i="1"/>
  <c r="H1132" i="1"/>
  <c r="G1132" i="1"/>
  <c r="F1132" i="1"/>
  <c r="E1132" i="1"/>
  <c r="D1132" i="1"/>
  <c r="C1132" i="1"/>
  <c r="B1132" i="1"/>
  <c r="A1132" i="1"/>
  <c r="O1131" i="1"/>
  <c r="L1131" i="1"/>
  <c r="K1131" i="1"/>
  <c r="J1131" i="1"/>
  <c r="I1131" i="1"/>
  <c r="H1131" i="1"/>
  <c r="G1131" i="1"/>
  <c r="F1131" i="1"/>
  <c r="E1131" i="1"/>
  <c r="D1131" i="1"/>
  <c r="C1131" i="1"/>
  <c r="B1131" i="1"/>
  <c r="A1131" i="1"/>
  <c r="O1130" i="1"/>
  <c r="L1130" i="1"/>
  <c r="K1130" i="1"/>
  <c r="J1130" i="1"/>
  <c r="I1130" i="1"/>
  <c r="H1130" i="1"/>
  <c r="G1130" i="1"/>
  <c r="F1130" i="1"/>
  <c r="E1130" i="1"/>
  <c r="D1130" i="1"/>
  <c r="C1130" i="1"/>
  <c r="B1130" i="1"/>
  <c r="A1130" i="1"/>
  <c r="O1129" i="1"/>
  <c r="L1129" i="1"/>
  <c r="K1129" i="1"/>
  <c r="J1129" i="1"/>
  <c r="I1129" i="1"/>
  <c r="H1129" i="1"/>
  <c r="G1129" i="1"/>
  <c r="F1129" i="1"/>
  <c r="E1129" i="1"/>
  <c r="D1129" i="1"/>
  <c r="C1129" i="1"/>
  <c r="B1129" i="1"/>
  <c r="A1129" i="1"/>
  <c r="O1128" i="1"/>
  <c r="L1128" i="1"/>
  <c r="K1128" i="1"/>
  <c r="J1128" i="1"/>
  <c r="I1128" i="1"/>
  <c r="H1128" i="1"/>
  <c r="G1128" i="1"/>
  <c r="F1128" i="1"/>
  <c r="E1128" i="1"/>
  <c r="D1128" i="1"/>
  <c r="C1128" i="1"/>
  <c r="B1128" i="1"/>
  <c r="A1128" i="1"/>
  <c r="O1127" i="1"/>
  <c r="L1127" i="1"/>
  <c r="K1127" i="1"/>
  <c r="J1127" i="1"/>
  <c r="I1127" i="1"/>
  <c r="H1127" i="1"/>
  <c r="G1127" i="1"/>
  <c r="F1127" i="1"/>
  <c r="E1127" i="1"/>
  <c r="D1127" i="1"/>
  <c r="C1127" i="1"/>
  <c r="B1127" i="1"/>
  <c r="A1127" i="1"/>
  <c r="O1126" i="1"/>
  <c r="L1126" i="1"/>
  <c r="K1126" i="1"/>
  <c r="J1126" i="1"/>
  <c r="I1126" i="1"/>
  <c r="H1126" i="1"/>
  <c r="G1126" i="1"/>
  <c r="F1126" i="1"/>
  <c r="E1126" i="1"/>
  <c r="D1126" i="1"/>
  <c r="C1126" i="1"/>
  <c r="B1126" i="1"/>
  <c r="A1126" i="1"/>
  <c r="O1125" i="1"/>
  <c r="L1125" i="1"/>
  <c r="K1125" i="1"/>
  <c r="J1125" i="1"/>
  <c r="I1125" i="1"/>
  <c r="H1125" i="1"/>
  <c r="G1125" i="1"/>
  <c r="F1125" i="1"/>
  <c r="E1125" i="1"/>
  <c r="D1125" i="1"/>
  <c r="C1125" i="1"/>
  <c r="B1125" i="1"/>
  <c r="A1125" i="1"/>
  <c r="O1124" i="1"/>
  <c r="L1124" i="1"/>
  <c r="K1124" i="1"/>
  <c r="J1124" i="1"/>
  <c r="I1124" i="1"/>
  <c r="H1124" i="1"/>
  <c r="G1124" i="1"/>
  <c r="F1124" i="1"/>
  <c r="E1124" i="1"/>
  <c r="D1124" i="1"/>
  <c r="C1124" i="1"/>
  <c r="B1124" i="1"/>
  <c r="A1124" i="1"/>
  <c r="O1123" i="1"/>
  <c r="L1123" i="1"/>
  <c r="K1123" i="1"/>
  <c r="J1123" i="1"/>
  <c r="I1123" i="1"/>
  <c r="H1123" i="1"/>
  <c r="G1123" i="1"/>
  <c r="F1123" i="1"/>
  <c r="E1123" i="1"/>
  <c r="D1123" i="1"/>
  <c r="C1123" i="1"/>
  <c r="B1123" i="1"/>
  <c r="A1123" i="1"/>
  <c r="O1122" i="1"/>
  <c r="L1122" i="1"/>
  <c r="K1122" i="1"/>
  <c r="J1122" i="1"/>
  <c r="I1122" i="1"/>
  <c r="H1122" i="1"/>
  <c r="G1122" i="1"/>
  <c r="F1122" i="1"/>
  <c r="E1122" i="1"/>
  <c r="D1122" i="1"/>
  <c r="C1122" i="1"/>
  <c r="B1122" i="1"/>
  <c r="A1122" i="1"/>
  <c r="O1121" i="1"/>
  <c r="L1121" i="1"/>
  <c r="K1121" i="1"/>
  <c r="J1121" i="1"/>
  <c r="I1121" i="1"/>
  <c r="H1121" i="1"/>
  <c r="G1121" i="1"/>
  <c r="F1121" i="1"/>
  <c r="E1121" i="1"/>
  <c r="D1121" i="1"/>
  <c r="C1121" i="1"/>
  <c r="B1121" i="1"/>
  <c r="A1121" i="1"/>
  <c r="O1120" i="1"/>
  <c r="L1120" i="1"/>
  <c r="K1120" i="1"/>
  <c r="J1120" i="1"/>
  <c r="I1120" i="1"/>
  <c r="H1120" i="1"/>
  <c r="G1120" i="1"/>
  <c r="F1120" i="1"/>
  <c r="E1120" i="1"/>
  <c r="D1120" i="1"/>
  <c r="C1120" i="1"/>
  <c r="B1120" i="1"/>
  <c r="A1120" i="1"/>
  <c r="O1119" i="1"/>
  <c r="L1119" i="1"/>
  <c r="K1119" i="1"/>
  <c r="J1119" i="1"/>
  <c r="I1119" i="1"/>
  <c r="H1119" i="1"/>
  <c r="G1119" i="1"/>
  <c r="F1119" i="1"/>
  <c r="E1119" i="1"/>
  <c r="D1119" i="1"/>
  <c r="C1119" i="1"/>
  <c r="B1119" i="1"/>
  <c r="A1119" i="1"/>
  <c r="O1118" i="1"/>
  <c r="L1118" i="1"/>
  <c r="K1118" i="1"/>
  <c r="J1118" i="1"/>
  <c r="I1118" i="1"/>
  <c r="H1118" i="1"/>
  <c r="G1118" i="1"/>
  <c r="F1118" i="1"/>
  <c r="E1118" i="1"/>
  <c r="D1118" i="1"/>
  <c r="C1118" i="1"/>
  <c r="B1118" i="1"/>
  <c r="A1118" i="1"/>
  <c r="O1117" i="1"/>
  <c r="L1117" i="1"/>
  <c r="K1117" i="1"/>
  <c r="J1117" i="1"/>
  <c r="I1117" i="1"/>
  <c r="H1117" i="1"/>
  <c r="G1117" i="1"/>
  <c r="F1117" i="1"/>
  <c r="E1117" i="1"/>
  <c r="D1117" i="1"/>
  <c r="C1117" i="1"/>
  <c r="B1117" i="1"/>
  <c r="A1117" i="1"/>
  <c r="P1116" i="1"/>
  <c r="O1116" i="1"/>
  <c r="L1116" i="1"/>
  <c r="K1116" i="1"/>
  <c r="J1116" i="1"/>
  <c r="I1116" i="1"/>
  <c r="H1116" i="1"/>
  <c r="G1116" i="1"/>
  <c r="F1116" i="1"/>
  <c r="E1116" i="1"/>
  <c r="D1116" i="1"/>
  <c r="C1116" i="1"/>
  <c r="B1116" i="1"/>
  <c r="A1116" i="1"/>
  <c r="O1115" i="1"/>
  <c r="L1115" i="1"/>
  <c r="K1115" i="1"/>
  <c r="J1115" i="1"/>
  <c r="I1115" i="1"/>
  <c r="H1115" i="1"/>
  <c r="G1115" i="1"/>
  <c r="F1115" i="1"/>
  <c r="E1115" i="1"/>
  <c r="D1115" i="1"/>
  <c r="C1115" i="1"/>
  <c r="B1115" i="1"/>
  <c r="A1115" i="1"/>
  <c r="O1114" i="1"/>
  <c r="L1114" i="1"/>
  <c r="K1114" i="1"/>
  <c r="J1114" i="1"/>
  <c r="I1114" i="1"/>
  <c r="H1114" i="1"/>
  <c r="G1114" i="1"/>
  <c r="F1114" i="1"/>
  <c r="E1114" i="1"/>
  <c r="D1114" i="1"/>
  <c r="C1114" i="1"/>
  <c r="B1114" i="1"/>
  <c r="A1114" i="1"/>
  <c r="O1113" i="1"/>
  <c r="L1113" i="1"/>
  <c r="K1113" i="1"/>
  <c r="J1113" i="1"/>
  <c r="I1113" i="1"/>
  <c r="H1113" i="1"/>
  <c r="G1113" i="1"/>
  <c r="F1113" i="1"/>
  <c r="E1113" i="1"/>
  <c r="D1113" i="1"/>
  <c r="C1113" i="1"/>
  <c r="B1113" i="1"/>
  <c r="A1113" i="1"/>
  <c r="O1112" i="1"/>
  <c r="L1112" i="1"/>
  <c r="K1112" i="1"/>
  <c r="J1112" i="1"/>
  <c r="I1112" i="1"/>
  <c r="H1112" i="1"/>
  <c r="G1112" i="1"/>
  <c r="F1112" i="1"/>
  <c r="E1112" i="1"/>
  <c r="D1112" i="1"/>
  <c r="C1112" i="1"/>
  <c r="B1112" i="1"/>
  <c r="A1112" i="1"/>
  <c r="O1111" i="1"/>
  <c r="L1111" i="1"/>
  <c r="K1111" i="1"/>
  <c r="J1111" i="1"/>
  <c r="I1111" i="1"/>
  <c r="H1111" i="1"/>
  <c r="G1111" i="1"/>
  <c r="F1111" i="1"/>
  <c r="E1111" i="1"/>
  <c r="D1111" i="1"/>
  <c r="C1111" i="1"/>
  <c r="B1111" i="1"/>
  <c r="A1111" i="1"/>
  <c r="O1110" i="1"/>
  <c r="L1110" i="1"/>
  <c r="K1110" i="1"/>
  <c r="J1110" i="1"/>
  <c r="I1110" i="1"/>
  <c r="H1110" i="1"/>
  <c r="G1110" i="1"/>
  <c r="F1110" i="1"/>
  <c r="E1110" i="1"/>
  <c r="D1110" i="1"/>
  <c r="C1110" i="1"/>
  <c r="B1110" i="1"/>
  <c r="A1110" i="1"/>
  <c r="P1109" i="1"/>
  <c r="O1109" i="1"/>
  <c r="L1109" i="1"/>
  <c r="K1109" i="1"/>
  <c r="J1109" i="1"/>
  <c r="I1109" i="1"/>
  <c r="H1109" i="1"/>
  <c r="G1109" i="1"/>
  <c r="F1109" i="1"/>
  <c r="E1109" i="1"/>
  <c r="D1109" i="1"/>
  <c r="C1109" i="1"/>
  <c r="B1109" i="1"/>
  <c r="A1109" i="1"/>
  <c r="O1108" i="1"/>
  <c r="L1108" i="1"/>
  <c r="K1108" i="1"/>
  <c r="J1108" i="1"/>
  <c r="I1108" i="1"/>
  <c r="H1108" i="1"/>
  <c r="G1108" i="1"/>
  <c r="F1108" i="1"/>
  <c r="E1108" i="1"/>
  <c r="D1108" i="1"/>
  <c r="C1108" i="1"/>
  <c r="B1108" i="1"/>
  <c r="A1108" i="1"/>
  <c r="O1107" i="1"/>
  <c r="L1107" i="1"/>
  <c r="K1107" i="1"/>
  <c r="J1107" i="1"/>
  <c r="I1107" i="1"/>
  <c r="H1107" i="1"/>
  <c r="G1107" i="1"/>
  <c r="F1107" i="1"/>
  <c r="E1107" i="1"/>
  <c r="D1107" i="1"/>
  <c r="C1107" i="1"/>
  <c r="B1107" i="1"/>
  <c r="A1107" i="1"/>
  <c r="O1106" i="1"/>
  <c r="L1106" i="1"/>
  <c r="K1106" i="1"/>
  <c r="J1106" i="1"/>
  <c r="I1106" i="1"/>
  <c r="H1106" i="1"/>
  <c r="G1106" i="1"/>
  <c r="F1106" i="1"/>
  <c r="E1106" i="1"/>
  <c r="D1106" i="1"/>
  <c r="C1106" i="1"/>
  <c r="B1106" i="1"/>
  <c r="A1106" i="1"/>
  <c r="O1105" i="1"/>
  <c r="L1105" i="1"/>
  <c r="K1105" i="1"/>
  <c r="J1105" i="1"/>
  <c r="I1105" i="1"/>
  <c r="H1105" i="1"/>
  <c r="G1105" i="1"/>
  <c r="F1105" i="1"/>
  <c r="E1105" i="1"/>
  <c r="D1105" i="1"/>
  <c r="C1105" i="1"/>
  <c r="B1105" i="1"/>
  <c r="A1105" i="1"/>
  <c r="O1104" i="1"/>
  <c r="L1104" i="1"/>
  <c r="K1104" i="1"/>
  <c r="J1104" i="1"/>
  <c r="I1104" i="1"/>
  <c r="H1104" i="1"/>
  <c r="G1104" i="1"/>
  <c r="F1104" i="1"/>
  <c r="E1104" i="1"/>
  <c r="D1104" i="1"/>
  <c r="C1104" i="1"/>
  <c r="B1104" i="1"/>
  <c r="A1104" i="1"/>
  <c r="P1103" i="1"/>
  <c r="O1103" i="1"/>
  <c r="L1103" i="1"/>
  <c r="K1103" i="1"/>
  <c r="J1103" i="1"/>
  <c r="I1103" i="1"/>
  <c r="H1103" i="1"/>
  <c r="G1103" i="1"/>
  <c r="F1103" i="1"/>
  <c r="E1103" i="1"/>
  <c r="D1103" i="1"/>
  <c r="C1103" i="1"/>
  <c r="B1103" i="1"/>
  <c r="A1103" i="1"/>
  <c r="O1102" i="1"/>
  <c r="L1102" i="1"/>
  <c r="K1102" i="1"/>
  <c r="J1102" i="1"/>
  <c r="I1102" i="1"/>
  <c r="H1102" i="1"/>
  <c r="G1102" i="1"/>
  <c r="F1102" i="1"/>
  <c r="E1102" i="1"/>
  <c r="D1102" i="1"/>
  <c r="C1102" i="1"/>
  <c r="B1102" i="1"/>
  <c r="A1102" i="1"/>
  <c r="O1101" i="1"/>
  <c r="L1101" i="1"/>
  <c r="K1101" i="1"/>
  <c r="J1101" i="1"/>
  <c r="I1101" i="1"/>
  <c r="H1101" i="1"/>
  <c r="G1101" i="1"/>
  <c r="F1101" i="1"/>
  <c r="E1101" i="1"/>
  <c r="D1101" i="1"/>
  <c r="C1101" i="1"/>
  <c r="B1101" i="1"/>
  <c r="A1101" i="1"/>
  <c r="O1100" i="1"/>
  <c r="L1100" i="1"/>
  <c r="K1100" i="1"/>
  <c r="J1100" i="1"/>
  <c r="I1100" i="1"/>
  <c r="H1100" i="1"/>
  <c r="G1100" i="1"/>
  <c r="F1100" i="1"/>
  <c r="E1100" i="1"/>
  <c r="D1100" i="1"/>
  <c r="C1100" i="1"/>
  <c r="B1100" i="1"/>
  <c r="A1100" i="1"/>
  <c r="O1099" i="1"/>
  <c r="L1099" i="1"/>
  <c r="K1099" i="1"/>
  <c r="J1099" i="1"/>
  <c r="I1099" i="1"/>
  <c r="H1099" i="1"/>
  <c r="G1099" i="1"/>
  <c r="F1099" i="1"/>
  <c r="E1099" i="1"/>
  <c r="D1099" i="1"/>
  <c r="C1099" i="1"/>
  <c r="B1099" i="1"/>
  <c r="A1099" i="1"/>
  <c r="O1098" i="1"/>
  <c r="L1098" i="1"/>
  <c r="K1098" i="1"/>
  <c r="J1098" i="1"/>
  <c r="I1098" i="1"/>
  <c r="H1098" i="1"/>
  <c r="G1098" i="1"/>
  <c r="F1098" i="1"/>
  <c r="E1098" i="1"/>
  <c r="D1098" i="1"/>
  <c r="C1098" i="1"/>
  <c r="B1098" i="1"/>
  <c r="A1098" i="1"/>
  <c r="O1097" i="1"/>
  <c r="L1097" i="1"/>
  <c r="K1097" i="1"/>
  <c r="J1097" i="1"/>
  <c r="I1097" i="1"/>
  <c r="H1097" i="1"/>
  <c r="G1097" i="1"/>
  <c r="F1097" i="1"/>
  <c r="E1097" i="1"/>
  <c r="D1097" i="1"/>
  <c r="C1097" i="1"/>
  <c r="B1097" i="1"/>
  <c r="A1097" i="1"/>
  <c r="O1096" i="1"/>
  <c r="L1096" i="1"/>
  <c r="K1096" i="1"/>
  <c r="J1096" i="1"/>
  <c r="I1096" i="1"/>
  <c r="H1096" i="1"/>
  <c r="G1096" i="1"/>
  <c r="F1096" i="1"/>
  <c r="E1096" i="1"/>
  <c r="D1096" i="1"/>
  <c r="C1096" i="1"/>
  <c r="B1096" i="1"/>
  <c r="A1096" i="1"/>
  <c r="O1095" i="1"/>
  <c r="L1095" i="1"/>
  <c r="K1095" i="1"/>
  <c r="J1095" i="1"/>
  <c r="I1095" i="1"/>
  <c r="H1095" i="1"/>
  <c r="G1095" i="1"/>
  <c r="F1095" i="1"/>
  <c r="E1095" i="1"/>
  <c r="D1095" i="1"/>
  <c r="C1095" i="1"/>
  <c r="B1095" i="1"/>
  <c r="A1095" i="1"/>
  <c r="O1094" i="1"/>
  <c r="L1094" i="1"/>
  <c r="K1094" i="1"/>
  <c r="J1094" i="1"/>
  <c r="I1094" i="1"/>
  <c r="H1094" i="1"/>
  <c r="G1094" i="1"/>
  <c r="F1094" i="1"/>
  <c r="E1094" i="1"/>
  <c r="D1094" i="1"/>
  <c r="C1094" i="1"/>
  <c r="B1094" i="1"/>
  <c r="A1094" i="1"/>
  <c r="O1093" i="1"/>
  <c r="L1093" i="1"/>
  <c r="K1093" i="1"/>
  <c r="J1093" i="1"/>
  <c r="I1093" i="1"/>
  <c r="H1093" i="1"/>
  <c r="G1093" i="1"/>
  <c r="F1093" i="1"/>
  <c r="E1093" i="1"/>
  <c r="D1093" i="1"/>
  <c r="C1093" i="1"/>
  <c r="B1093" i="1"/>
  <c r="A1093" i="1"/>
  <c r="O1092" i="1"/>
  <c r="L1092" i="1"/>
  <c r="K1092" i="1"/>
  <c r="J1092" i="1"/>
  <c r="I1092" i="1"/>
  <c r="H1092" i="1"/>
  <c r="G1092" i="1"/>
  <c r="F1092" i="1"/>
  <c r="E1092" i="1"/>
  <c r="D1092" i="1"/>
  <c r="C1092" i="1"/>
  <c r="B1092" i="1"/>
  <c r="A1092" i="1"/>
  <c r="P1091" i="1"/>
  <c r="O1091" i="1"/>
  <c r="L1091" i="1"/>
  <c r="K1091" i="1"/>
  <c r="J1091" i="1"/>
  <c r="I1091" i="1"/>
  <c r="H1091" i="1"/>
  <c r="G1091" i="1"/>
  <c r="F1091" i="1"/>
  <c r="E1091" i="1"/>
  <c r="D1091" i="1"/>
  <c r="C1091" i="1"/>
  <c r="B1091" i="1"/>
  <c r="A1091" i="1"/>
  <c r="O1090" i="1"/>
  <c r="L1090" i="1"/>
  <c r="K1090" i="1"/>
  <c r="J1090" i="1"/>
  <c r="I1090" i="1"/>
  <c r="H1090" i="1"/>
  <c r="G1090" i="1"/>
  <c r="F1090" i="1"/>
  <c r="E1090" i="1"/>
  <c r="D1090" i="1"/>
  <c r="C1090" i="1"/>
  <c r="B1090" i="1"/>
  <c r="A1090" i="1"/>
  <c r="O1089" i="1"/>
  <c r="L1089" i="1"/>
  <c r="K1089" i="1"/>
  <c r="J1089" i="1"/>
  <c r="I1089" i="1"/>
  <c r="H1089" i="1"/>
  <c r="G1089" i="1"/>
  <c r="F1089" i="1"/>
  <c r="E1089" i="1"/>
  <c r="D1089" i="1"/>
  <c r="C1089" i="1"/>
  <c r="B1089" i="1"/>
  <c r="A1089" i="1"/>
  <c r="O1088" i="1"/>
  <c r="L1088" i="1"/>
  <c r="K1088" i="1"/>
  <c r="J1088" i="1"/>
  <c r="I1088" i="1"/>
  <c r="H1088" i="1"/>
  <c r="G1088" i="1"/>
  <c r="F1088" i="1"/>
  <c r="E1088" i="1"/>
  <c r="D1088" i="1"/>
  <c r="C1088" i="1"/>
  <c r="B1088" i="1"/>
  <c r="A1088" i="1"/>
  <c r="O1087" i="1"/>
  <c r="L1087" i="1"/>
  <c r="K1087" i="1"/>
  <c r="J1087" i="1"/>
  <c r="I1087" i="1"/>
  <c r="H1087" i="1"/>
  <c r="G1087" i="1"/>
  <c r="F1087" i="1"/>
  <c r="E1087" i="1"/>
  <c r="D1087" i="1"/>
  <c r="C1087" i="1"/>
  <c r="B1087" i="1"/>
  <c r="A1087" i="1"/>
  <c r="O1086" i="1"/>
  <c r="L1086" i="1"/>
  <c r="K1086" i="1"/>
  <c r="J1086" i="1"/>
  <c r="I1086" i="1"/>
  <c r="H1086" i="1"/>
  <c r="G1086" i="1"/>
  <c r="F1086" i="1"/>
  <c r="E1086" i="1"/>
  <c r="D1086" i="1"/>
  <c r="C1086" i="1"/>
  <c r="B1086" i="1"/>
  <c r="A1086" i="1"/>
  <c r="O1085" i="1"/>
  <c r="L1085" i="1"/>
  <c r="K1085" i="1"/>
  <c r="J1085" i="1"/>
  <c r="I1085" i="1"/>
  <c r="H1085" i="1"/>
  <c r="G1085" i="1"/>
  <c r="F1085" i="1"/>
  <c r="E1085" i="1"/>
  <c r="D1085" i="1"/>
  <c r="C1085" i="1"/>
  <c r="B1085" i="1"/>
  <c r="A1085" i="1"/>
  <c r="O1084" i="1"/>
  <c r="L1084" i="1"/>
  <c r="K1084" i="1"/>
  <c r="J1084" i="1"/>
  <c r="I1084" i="1"/>
  <c r="H1084" i="1"/>
  <c r="G1084" i="1"/>
  <c r="F1084" i="1"/>
  <c r="E1084" i="1"/>
  <c r="D1084" i="1"/>
  <c r="C1084" i="1"/>
  <c r="B1084" i="1"/>
  <c r="A1084" i="1"/>
  <c r="O1083" i="1"/>
  <c r="L1083" i="1"/>
  <c r="K1083" i="1"/>
  <c r="J1083" i="1"/>
  <c r="I1083" i="1"/>
  <c r="H1083" i="1"/>
  <c r="G1083" i="1"/>
  <c r="F1083" i="1"/>
  <c r="E1083" i="1"/>
  <c r="D1083" i="1"/>
  <c r="C1083" i="1"/>
  <c r="B1083" i="1"/>
  <c r="A1083" i="1"/>
  <c r="O1082" i="1"/>
  <c r="L1082" i="1"/>
  <c r="K1082" i="1"/>
  <c r="J1082" i="1"/>
  <c r="I1082" i="1"/>
  <c r="H1082" i="1"/>
  <c r="G1082" i="1"/>
  <c r="F1082" i="1"/>
  <c r="E1082" i="1"/>
  <c r="D1082" i="1"/>
  <c r="C1082" i="1"/>
  <c r="B1082" i="1"/>
  <c r="A1082" i="1"/>
  <c r="O1081" i="1"/>
  <c r="L1081" i="1"/>
  <c r="K1081" i="1"/>
  <c r="J1081" i="1"/>
  <c r="I1081" i="1"/>
  <c r="H1081" i="1"/>
  <c r="G1081" i="1"/>
  <c r="F1081" i="1"/>
  <c r="E1081" i="1"/>
  <c r="D1081" i="1"/>
  <c r="C1081" i="1"/>
  <c r="B1081" i="1"/>
  <c r="A1081" i="1"/>
  <c r="O1080" i="1"/>
  <c r="L1080" i="1"/>
  <c r="K1080" i="1"/>
  <c r="J1080" i="1"/>
  <c r="I1080" i="1"/>
  <c r="H1080" i="1"/>
  <c r="G1080" i="1"/>
  <c r="F1080" i="1"/>
  <c r="E1080" i="1"/>
  <c r="D1080" i="1"/>
  <c r="C1080" i="1"/>
  <c r="B1080" i="1"/>
  <c r="A1080" i="1"/>
  <c r="O1079" i="1"/>
  <c r="L1079" i="1"/>
  <c r="K1079" i="1"/>
  <c r="J1079" i="1"/>
  <c r="I1079" i="1"/>
  <c r="H1079" i="1"/>
  <c r="G1079" i="1"/>
  <c r="F1079" i="1"/>
  <c r="E1079" i="1"/>
  <c r="D1079" i="1"/>
  <c r="C1079" i="1"/>
  <c r="B1079" i="1"/>
  <c r="A1079" i="1"/>
  <c r="O1078" i="1"/>
  <c r="L1078" i="1"/>
  <c r="K1078" i="1"/>
  <c r="J1078" i="1"/>
  <c r="I1078" i="1"/>
  <c r="H1078" i="1"/>
  <c r="G1078" i="1"/>
  <c r="F1078" i="1"/>
  <c r="E1078" i="1"/>
  <c r="D1078" i="1"/>
  <c r="C1078" i="1"/>
  <c r="B1078" i="1"/>
  <c r="A1078" i="1"/>
  <c r="O1077" i="1"/>
  <c r="L1077" i="1"/>
  <c r="K1077" i="1"/>
  <c r="J1077" i="1"/>
  <c r="I1077" i="1"/>
  <c r="H1077" i="1"/>
  <c r="G1077" i="1"/>
  <c r="F1077" i="1"/>
  <c r="E1077" i="1"/>
  <c r="D1077" i="1"/>
  <c r="C1077" i="1"/>
  <c r="B1077" i="1"/>
  <c r="A1077" i="1"/>
  <c r="O1076" i="1"/>
  <c r="L1076" i="1"/>
  <c r="K1076" i="1"/>
  <c r="J1076" i="1"/>
  <c r="I1076" i="1"/>
  <c r="H1076" i="1"/>
  <c r="G1076" i="1"/>
  <c r="F1076" i="1"/>
  <c r="E1076" i="1"/>
  <c r="D1076" i="1"/>
  <c r="C1076" i="1"/>
  <c r="B1076" i="1"/>
  <c r="A1076" i="1"/>
  <c r="O1075" i="1"/>
  <c r="L1075" i="1"/>
  <c r="K1075" i="1"/>
  <c r="J1075" i="1"/>
  <c r="I1075" i="1"/>
  <c r="H1075" i="1"/>
  <c r="G1075" i="1"/>
  <c r="F1075" i="1"/>
  <c r="E1075" i="1"/>
  <c r="D1075" i="1"/>
  <c r="C1075" i="1"/>
  <c r="B1075" i="1"/>
  <c r="A1075" i="1"/>
  <c r="O1074" i="1"/>
  <c r="L1074" i="1"/>
  <c r="K1074" i="1"/>
  <c r="J1074" i="1"/>
  <c r="I1074" i="1"/>
  <c r="H1074" i="1"/>
  <c r="G1074" i="1"/>
  <c r="F1074" i="1"/>
  <c r="E1074" i="1"/>
  <c r="D1074" i="1"/>
  <c r="C1074" i="1"/>
  <c r="B1074" i="1"/>
  <c r="A1074" i="1"/>
  <c r="O1073" i="1"/>
  <c r="L1073" i="1"/>
  <c r="K1073" i="1"/>
  <c r="J1073" i="1"/>
  <c r="I1073" i="1"/>
  <c r="H1073" i="1"/>
  <c r="G1073" i="1"/>
  <c r="F1073" i="1"/>
  <c r="E1073" i="1"/>
  <c r="D1073" i="1"/>
  <c r="C1073" i="1"/>
  <c r="B1073" i="1"/>
  <c r="A1073" i="1"/>
  <c r="O1072" i="1"/>
  <c r="L1072" i="1"/>
  <c r="K1072" i="1"/>
  <c r="J1072" i="1"/>
  <c r="I1072" i="1"/>
  <c r="H1072" i="1"/>
  <c r="G1072" i="1"/>
  <c r="F1072" i="1"/>
  <c r="E1072" i="1"/>
  <c r="D1072" i="1"/>
  <c r="C1072" i="1"/>
  <c r="B1072" i="1"/>
  <c r="A1072" i="1"/>
  <c r="O1071" i="1"/>
  <c r="L1071" i="1"/>
  <c r="K1071" i="1"/>
  <c r="J1071" i="1"/>
  <c r="I1071" i="1"/>
  <c r="H1071" i="1"/>
  <c r="G1071" i="1"/>
  <c r="F1071" i="1"/>
  <c r="E1071" i="1"/>
  <c r="D1071" i="1"/>
  <c r="C1071" i="1"/>
  <c r="B1071" i="1"/>
  <c r="A1071" i="1"/>
  <c r="O1070" i="1"/>
  <c r="L1070" i="1"/>
  <c r="K1070" i="1"/>
  <c r="J1070" i="1"/>
  <c r="I1070" i="1"/>
  <c r="H1070" i="1"/>
  <c r="G1070" i="1"/>
  <c r="F1070" i="1"/>
  <c r="E1070" i="1"/>
  <c r="D1070" i="1"/>
  <c r="C1070" i="1"/>
  <c r="B1070" i="1"/>
  <c r="A1070" i="1"/>
  <c r="O1069" i="1"/>
  <c r="L1069" i="1"/>
  <c r="K1069" i="1"/>
  <c r="J1069" i="1"/>
  <c r="I1069" i="1"/>
  <c r="H1069" i="1"/>
  <c r="G1069" i="1"/>
  <c r="F1069" i="1"/>
  <c r="E1069" i="1"/>
  <c r="D1069" i="1"/>
  <c r="C1069" i="1"/>
  <c r="B1069" i="1"/>
  <c r="A1069" i="1"/>
  <c r="P1068" i="1"/>
  <c r="O1068" i="1"/>
  <c r="L1068" i="1"/>
  <c r="K1068" i="1"/>
  <c r="J1068" i="1"/>
  <c r="I1068" i="1"/>
  <c r="H1068" i="1"/>
  <c r="G1068" i="1"/>
  <c r="F1068" i="1"/>
  <c r="E1068" i="1"/>
  <c r="D1068" i="1"/>
  <c r="C1068" i="1"/>
  <c r="B1068" i="1"/>
  <c r="A1068" i="1"/>
  <c r="O1067" i="1"/>
  <c r="L1067" i="1"/>
  <c r="K1067" i="1"/>
  <c r="J1067" i="1"/>
  <c r="I1067" i="1"/>
  <c r="H1067" i="1"/>
  <c r="G1067" i="1"/>
  <c r="F1067" i="1"/>
  <c r="E1067" i="1"/>
  <c r="D1067" i="1"/>
  <c r="C1067" i="1"/>
  <c r="B1067" i="1"/>
  <c r="A1067" i="1"/>
  <c r="O1066" i="1"/>
  <c r="L1066" i="1"/>
  <c r="K1066" i="1"/>
  <c r="J1066" i="1"/>
  <c r="I1066" i="1"/>
  <c r="H1066" i="1"/>
  <c r="G1066" i="1"/>
  <c r="F1066" i="1"/>
  <c r="E1066" i="1"/>
  <c r="D1066" i="1"/>
  <c r="C1066" i="1"/>
  <c r="B1066" i="1"/>
  <c r="A1066" i="1"/>
  <c r="O1065" i="1"/>
  <c r="L1065" i="1"/>
  <c r="K1065" i="1"/>
  <c r="J1065" i="1"/>
  <c r="I1065" i="1"/>
  <c r="H1065" i="1"/>
  <c r="G1065" i="1"/>
  <c r="F1065" i="1"/>
  <c r="E1065" i="1"/>
  <c r="D1065" i="1"/>
  <c r="C1065" i="1"/>
  <c r="B1065" i="1"/>
  <c r="A1065" i="1"/>
  <c r="O1064" i="1"/>
  <c r="L1064" i="1"/>
  <c r="K1064" i="1"/>
  <c r="J1064" i="1"/>
  <c r="I1064" i="1"/>
  <c r="H1064" i="1"/>
  <c r="G1064" i="1"/>
  <c r="F1064" i="1"/>
  <c r="E1064" i="1"/>
  <c r="D1064" i="1"/>
  <c r="C1064" i="1"/>
  <c r="B1064" i="1"/>
  <c r="A1064" i="1"/>
  <c r="O1063" i="1"/>
  <c r="L1063" i="1"/>
  <c r="K1063" i="1"/>
  <c r="J1063" i="1"/>
  <c r="I1063" i="1"/>
  <c r="H1063" i="1"/>
  <c r="G1063" i="1"/>
  <c r="F1063" i="1"/>
  <c r="E1063" i="1"/>
  <c r="D1063" i="1"/>
  <c r="C1063" i="1"/>
  <c r="B1063" i="1"/>
  <c r="A1063" i="1"/>
  <c r="O1062" i="1"/>
  <c r="L1062" i="1"/>
  <c r="K1062" i="1"/>
  <c r="J1062" i="1"/>
  <c r="I1062" i="1"/>
  <c r="H1062" i="1"/>
  <c r="G1062" i="1"/>
  <c r="F1062" i="1"/>
  <c r="E1062" i="1"/>
  <c r="D1062" i="1"/>
  <c r="C1062" i="1"/>
  <c r="B1062" i="1"/>
  <c r="A1062" i="1"/>
  <c r="O1061" i="1"/>
  <c r="L1061" i="1"/>
  <c r="K1061" i="1"/>
  <c r="J1061" i="1"/>
  <c r="I1061" i="1"/>
  <c r="H1061" i="1"/>
  <c r="G1061" i="1"/>
  <c r="F1061" i="1"/>
  <c r="E1061" i="1"/>
  <c r="D1061" i="1"/>
  <c r="C1061" i="1"/>
  <c r="B1061" i="1"/>
  <c r="A1061" i="1"/>
  <c r="O1060" i="1"/>
  <c r="L1060" i="1"/>
  <c r="K1060" i="1"/>
  <c r="J1060" i="1"/>
  <c r="I1060" i="1"/>
  <c r="H1060" i="1"/>
  <c r="G1060" i="1"/>
  <c r="F1060" i="1"/>
  <c r="E1060" i="1"/>
  <c r="D1060" i="1"/>
  <c r="C1060" i="1"/>
  <c r="B1060" i="1"/>
  <c r="A1060" i="1"/>
  <c r="O1059" i="1"/>
  <c r="L1059" i="1"/>
  <c r="K1059" i="1"/>
  <c r="J1059" i="1"/>
  <c r="I1059" i="1"/>
  <c r="H1059" i="1"/>
  <c r="G1059" i="1"/>
  <c r="F1059" i="1"/>
  <c r="E1059" i="1"/>
  <c r="D1059" i="1"/>
  <c r="C1059" i="1"/>
  <c r="B1059" i="1"/>
  <c r="A1059" i="1"/>
  <c r="O1058" i="1"/>
  <c r="L1058" i="1"/>
  <c r="K1058" i="1"/>
  <c r="J1058" i="1"/>
  <c r="I1058" i="1"/>
  <c r="H1058" i="1"/>
  <c r="G1058" i="1"/>
  <c r="F1058" i="1"/>
  <c r="E1058" i="1"/>
  <c r="D1058" i="1"/>
  <c r="C1058" i="1"/>
  <c r="B1058" i="1"/>
  <c r="A1058" i="1"/>
  <c r="O1057" i="1"/>
  <c r="L1057" i="1"/>
  <c r="K1057" i="1"/>
  <c r="J1057" i="1"/>
  <c r="I1057" i="1"/>
  <c r="H1057" i="1"/>
  <c r="G1057" i="1"/>
  <c r="F1057" i="1"/>
  <c r="E1057" i="1"/>
  <c r="D1057" i="1"/>
  <c r="C1057" i="1"/>
  <c r="B1057" i="1"/>
  <c r="A1057" i="1"/>
  <c r="O1056" i="1"/>
  <c r="L1056" i="1"/>
  <c r="K1056" i="1"/>
  <c r="J1056" i="1"/>
  <c r="I1056" i="1"/>
  <c r="H1056" i="1"/>
  <c r="G1056" i="1"/>
  <c r="F1056" i="1"/>
  <c r="E1056" i="1"/>
  <c r="D1056" i="1"/>
  <c r="C1056" i="1"/>
  <c r="B1056" i="1"/>
  <c r="A1056" i="1"/>
  <c r="P1055" i="1"/>
  <c r="O1055" i="1"/>
  <c r="L1055" i="1"/>
  <c r="K1055" i="1"/>
  <c r="J1055" i="1"/>
  <c r="I1055" i="1"/>
  <c r="H1055" i="1"/>
  <c r="G1055" i="1"/>
  <c r="F1055" i="1"/>
  <c r="E1055" i="1"/>
  <c r="D1055" i="1"/>
  <c r="C1055" i="1"/>
  <c r="B1055" i="1"/>
  <c r="A1055" i="1"/>
  <c r="O1054" i="1"/>
  <c r="L1054" i="1"/>
  <c r="K1054" i="1"/>
  <c r="J1054" i="1"/>
  <c r="I1054" i="1"/>
  <c r="H1054" i="1"/>
  <c r="G1054" i="1"/>
  <c r="F1054" i="1"/>
  <c r="E1054" i="1"/>
  <c r="D1054" i="1"/>
  <c r="C1054" i="1"/>
  <c r="B1054" i="1"/>
  <c r="A1054" i="1"/>
  <c r="P1053" i="1"/>
  <c r="O1053" i="1"/>
  <c r="L1053" i="1"/>
  <c r="K1053" i="1"/>
  <c r="J1053" i="1"/>
  <c r="I1053" i="1"/>
  <c r="H1053" i="1"/>
  <c r="G1053" i="1"/>
  <c r="F1053" i="1"/>
  <c r="E1053" i="1"/>
  <c r="D1053" i="1"/>
  <c r="C1053" i="1"/>
  <c r="B1053" i="1"/>
  <c r="A1053" i="1"/>
  <c r="O1052" i="1"/>
  <c r="L1052" i="1"/>
  <c r="K1052" i="1"/>
  <c r="J1052" i="1"/>
  <c r="I1052" i="1"/>
  <c r="H1052" i="1"/>
  <c r="G1052" i="1"/>
  <c r="F1052" i="1"/>
  <c r="E1052" i="1"/>
  <c r="D1052" i="1"/>
  <c r="C1052" i="1"/>
  <c r="B1052" i="1"/>
  <c r="A1052" i="1"/>
  <c r="O1051" i="1"/>
  <c r="L1051" i="1"/>
  <c r="K1051" i="1"/>
  <c r="J1051" i="1"/>
  <c r="I1051" i="1"/>
  <c r="H1051" i="1"/>
  <c r="G1051" i="1"/>
  <c r="F1051" i="1"/>
  <c r="E1051" i="1"/>
  <c r="D1051" i="1"/>
  <c r="C1051" i="1"/>
  <c r="B1051" i="1"/>
  <c r="A1051" i="1"/>
  <c r="O1050" i="1"/>
  <c r="L1050" i="1"/>
  <c r="K1050" i="1"/>
  <c r="J1050" i="1"/>
  <c r="I1050" i="1"/>
  <c r="H1050" i="1"/>
  <c r="G1050" i="1"/>
  <c r="F1050" i="1"/>
  <c r="E1050" i="1"/>
  <c r="D1050" i="1"/>
  <c r="C1050" i="1"/>
  <c r="B1050" i="1"/>
  <c r="A1050" i="1"/>
  <c r="O1049" i="1"/>
  <c r="L1049" i="1"/>
  <c r="K1049" i="1"/>
  <c r="J1049" i="1"/>
  <c r="I1049" i="1"/>
  <c r="H1049" i="1"/>
  <c r="G1049" i="1"/>
  <c r="F1049" i="1"/>
  <c r="E1049" i="1"/>
  <c r="D1049" i="1"/>
  <c r="C1049" i="1"/>
  <c r="B1049" i="1"/>
  <c r="A1049" i="1"/>
  <c r="O1048" i="1"/>
  <c r="L1048" i="1"/>
  <c r="K1048" i="1"/>
  <c r="J1048" i="1"/>
  <c r="I1048" i="1"/>
  <c r="H1048" i="1"/>
  <c r="G1048" i="1"/>
  <c r="F1048" i="1"/>
  <c r="E1048" i="1"/>
  <c r="D1048" i="1"/>
  <c r="C1048" i="1"/>
  <c r="B1048" i="1"/>
  <c r="A1048" i="1"/>
  <c r="O1047" i="1"/>
  <c r="L1047" i="1"/>
  <c r="K1047" i="1"/>
  <c r="J1047" i="1"/>
  <c r="I1047" i="1"/>
  <c r="H1047" i="1"/>
  <c r="G1047" i="1"/>
  <c r="F1047" i="1"/>
  <c r="E1047" i="1"/>
  <c r="D1047" i="1"/>
  <c r="C1047" i="1"/>
  <c r="B1047" i="1"/>
  <c r="A1047" i="1"/>
  <c r="O1046" i="1"/>
  <c r="L1046" i="1"/>
  <c r="K1046" i="1"/>
  <c r="J1046" i="1"/>
  <c r="I1046" i="1"/>
  <c r="H1046" i="1"/>
  <c r="G1046" i="1"/>
  <c r="F1046" i="1"/>
  <c r="E1046" i="1"/>
  <c r="D1046" i="1"/>
  <c r="C1046" i="1"/>
  <c r="B1046" i="1"/>
  <c r="A1046" i="1"/>
  <c r="O1045" i="1"/>
  <c r="L1045" i="1"/>
  <c r="K1045" i="1"/>
  <c r="J1045" i="1"/>
  <c r="I1045" i="1"/>
  <c r="H1045" i="1"/>
  <c r="G1045" i="1"/>
  <c r="F1045" i="1"/>
  <c r="E1045" i="1"/>
  <c r="D1045" i="1"/>
  <c r="C1045" i="1"/>
  <c r="B1045" i="1"/>
  <c r="A1045" i="1"/>
  <c r="O1044" i="1"/>
  <c r="L1044" i="1"/>
  <c r="K1044" i="1"/>
  <c r="J1044" i="1"/>
  <c r="I1044" i="1"/>
  <c r="H1044" i="1"/>
  <c r="G1044" i="1"/>
  <c r="F1044" i="1"/>
  <c r="E1044" i="1"/>
  <c r="D1044" i="1"/>
  <c r="C1044" i="1"/>
  <c r="B1044" i="1"/>
  <c r="A1044" i="1"/>
  <c r="O1043" i="1"/>
  <c r="L1043" i="1"/>
  <c r="K1043" i="1"/>
  <c r="J1043" i="1"/>
  <c r="I1043" i="1"/>
  <c r="H1043" i="1"/>
  <c r="G1043" i="1"/>
  <c r="F1043" i="1"/>
  <c r="E1043" i="1"/>
  <c r="D1043" i="1"/>
  <c r="C1043" i="1"/>
  <c r="B1043" i="1"/>
  <c r="A1043" i="1"/>
  <c r="O1042" i="1"/>
  <c r="L1042" i="1"/>
  <c r="K1042" i="1"/>
  <c r="J1042" i="1"/>
  <c r="I1042" i="1"/>
  <c r="H1042" i="1"/>
  <c r="G1042" i="1"/>
  <c r="F1042" i="1"/>
  <c r="E1042" i="1"/>
  <c r="D1042" i="1"/>
  <c r="C1042" i="1"/>
  <c r="B1042" i="1"/>
  <c r="A1042" i="1"/>
  <c r="O1041" i="1"/>
  <c r="L1041" i="1"/>
  <c r="K1041" i="1"/>
  <c r="J1041" i="1"/>
  <c r="I1041" i="1"/>
  <c r="H1041" i="1"/>
  <c r="G1041" i="1"/>
  <c r="F1041" i="1"/>
  <c r="E1041" i="1"/>
  <c r="D1041" i="1"/>
  <c r="C1041" i="1"/>
  <c r="B1041" i="1"/>
  <c r="A1041" i="1"/>
  <c r="O1040" i="1"/>
  <c r="L1040" i="1"/>
  <c r="K1040" i="1"/>
  <c r="J1040" i="1"/>
  <c r="I1040" i="1"/>
  <c r="H1040" i="1"/>
  <c r="G1040" i="1"/>
  <c r="F1040" i="1"/>
  <c r="E1040" i="1"/>
  <c r="D1040" i="1"/>
  <c r="C1040" i="1"/>
  <c r="B1040" i="1"/>
  <c r="A1040" i="1"/>
  <c r="O1039" i="1"/>
  <c r="L1039" i="1"/>
  <c r="K1039" i="1"/>
  <c r="J1039" i="1"/>
  <c r="I1039" i="1"/>
  <c r="H1039" i="1"/>
  <c r="G1039" i="1"/>
  <c r="F1039" i="1"/>
  <c r="E1039" i="1"/>
  <c r="D1039" i="1"/>
  <c r="C1039" i="1"/>
  <c r="B1039" i="1"/>
  <c r="A1039" i="1"/>
  <c r="O1038" i="1"/>
  <c r="L1038" i="1"/>
  <c r="K1038" i="1"/>
  <c r="J1038" i="1"/>
  <c r="I1038" i="1"/>
  <c r="H1038" i="1"/>
  <c r="G1038" i="1"/>
  <c r="F1038" i="1"/>
  <c r="E1038" i="1"/>
  <c r="D1038" i="1"/>
  <c r="C1038" i="1"/>
  <c r="B1038" i="1"/>
  <c r="A1038" i="1"/>
  <c r="O1037" i="1"/>
  <c r="L1037" i="1"/>
  <c r="K1037" i="1"/>
  <c r="J1037" i="1"/>
  <c r="I1037" i="1"/>
  <c r="H1037" i="1"/>
  <c r="G1037" i="1"/>
  <c r="F1037" i="1"/>
  <c r="E1037" i="1"/>
  <c r="D1037" i="1"/>
  <c r="C1037" i="1"/>
  <c r="B1037" i="1"/>
  <c r="A1037" i="1"/>
  <c r="O1036" i="1"/>
  <c r="L1036" i="1"/>
  <c r="K1036" i="1"/>
  <c r="J1036" i="1"/>
  <c r="I1036" i="1"/>
  <c r="H1036" i="1"/>
  <c r="G1036" i="1"/>
  <c r="F1036" i="1"/>
  <c r="E1036" i="1"/>
  <c r="D1036" i="1"/>
  <c r="C1036" i="1"/>
  <c r="B1036" i="1"/>
  <c r="A1036" i="1"/>
  <c r="O1035" i="1"/>
  <c r="L1035" i="1"/>
  <c r="K1035" i="1"/>
  <c r="J1035" i="1"/>
  <c r="I1035" i="1"/>
  <c r="H1035" i="1"/>
  <c r="G1035" i="1"/>
  <c r="F1035" i="1"/>
  <c r="E1035" i="1"/>
  <c r="D1035" i="1"/>
  <c r="C1035" i="1"/>
  <c r="B1035" i="1"/>
  <c r="A1035" i="1"/>
  <c r="O1034" i="1"/>
  <c r="L1034" i="1"/>
  <c r="K1034" i="1"/>
  <c r="J1034" i="1"/>
  <c r="I1034" i="1"/>
  <c r="H1034" i="1"/>
  <c r="G1034" i="1"/>
  <c r="F1034" i="1"/>
  <c r="E1034" i="1"/>
  <c r="D1034" i="1"/>
  <c r="C1034" i="1"/>
  <c r="B1034" i="1"/>
  <c r="A1034" i="1"/>
  <c r="O1033" i="1"/>
  <c r="L1033" i="1"/>
  <c r="K1033" i="1"/>
  <c r="J1033" i="1"/>
  <c r="I1033" i="1"/>
  <c r="H1033" i="1"/>
  <c r="G1033" i="1"/>
  <c r="F1033" i="1"/>
  <c r="E1033" i="1"/>
  <c r="D1033" i="1"/>
  <c r="C1033" i="1"/>
  <c r="B1033" i="1"/>
  <c r="A1033" i="1"/>
  <c r="O1032" i="1"/>
  <c r="L1032" i="1"/>
  <c r="K1032" i="1"/>
  <c r="J1032" i="1"/>
  <c r="I1032" i="1"/>
  <c r="H1032" i="1"/>
  <c r="G1032" i="1"/>
  <c r="F1032" i="1"/>
  <c r="E1032" i="1"/>
  <c r="D1032" i="1"/>
  <c r="C1032" i="1"/>
  <c r="B1032" i="1"/>
  <c r="A1032" i="1"/>
  <c r="O1031" i="1"/>
  <c r="L1031" i="1"/>
  <c r="K1031" i="1"/>
  <c r="J1031" i="1"/>
  <c r="I1031" i="1"/>
  <c r="H1031" i="1"/>
  <c r="G1031" i="1"/>
  <c r="F1031" i="1"/>
  <c r="E1031" i="1"/>
  <c r="D1031" i="1"/>
  <c r="C1031" i="1"/>
  <c r="B1031" i="1"/>
  <c r="A1031" i="1"/>
  <c r="O1030" i="1"/>
  <c r="L1030" i="1"/>
  <c r="K1030" i="1"/>
  <c r="J1030" i="1"/>
  <c r="I1030" i="1"/>
  <c r="H1030" i="1"/>
  <c r="G1030" i="1"/>
  <c r="F1030" i="1"/>
  <c r="E1030" i="1"/>
  <c r="D1030" i="1"/>
  <c r="C1030" i="1"/>
  <c r="B1030" i="1"/>
  <c r="A1030" i="1"/>
  <c r="O1029" i="1"/>
  <c r="L1029" i="1"/>
  <c r="K1029" i="1"/>
  <c r="J1029" i="1"/>
  <c r="I1029" i="1"/>
  <c r="H1029" i="1"/>
  <c r="G1029" i="1"/>
  <c r="F1029" i="1"/>
  <c r="E1029" i="1"/>
  <c r="D1029" i="1"/>
  <c r="C1029" i="1"/>
  <c r="B1029" i="1"/>
  <c r="A1029" i="1"/>
  <c r="O1028" i="1"/>
  <c r="L1028" i="1"/>
  <c r="K1028" i="1"/>
  <c r="J1028" i="1"/>
  <c r="I1028" i="1"/>
  <c r="H1028" i="1"/>
  <c r="G1028" i="1"/>
  <c r="F1028" i="1"/>
  <c r="E1028" i="1"/>
  <c r="D1028" i="1"/>
  <c r="C1028" i="1"/>
  <c r="B1028" i="1"/>
  <c r="A1028" i="1"/>
  <c r="O1027" i="1"/>
  <c r="L1027" i="1"/>
  <c r="K1027" i="1"/>
  <c r="J1027" i="1"/>
  <c r="I1027" i="1"/>
  <c r="H1027" i="1"/>
  <c r="G1027" i="1"/>
  <c r="F1027" i="1"/>
  <c r="E1027" i="1"/>
  <c r="D1027" i="1"/>
  <c r="C1027" i="1"/>
  <c r="B1027" i="1"/>
  <c r="A1027" i="1"/>
  <c r="O1026" i="1"/>
  <c r="L1026" i="1"/>
  <c r="K1026" i="1"/>
  <c r="J1026" i="1"/>
  <c r="I1026" i="1"/>
  <c r="H1026" i="1"/>
  <c r="G1026" i="1"/>
  <c r="F1026" i="1"/>
  <c r="E1026" i="1"/>
  <c r="D1026" i="1"/>
  <c r="C1026" i="1"/>
  <c r="B1026" i="1"/>
  <c r="A1026" i="1"/>
  <c r="O1025" i="1"/>
  <c r="L1025" i="1"/>
  <c r="K1025" i="1"/>
  <c r="J1025" i="1"/>
  <c r="I1025" i="1"/>
  <c r="H1025" i="1"/>
  <c r="G1025" i="1"/>
  <c r="F1025" i="1"/>
  <c r="E1025" i="1"/>
  <c r="D1025" i="1"/>
  <c r="C1025" i="1"/>
  <c r="B1025" i="1"/>
  <c r="A1025" i="1"/>
  <c r="O1024" i="1"/>
  <c r="L1024" i="1"/>
  <c r="K1024" i="1"/>
  <c r="J1024" i="1"/>
  <c r="I1024" i="1"/>
  <c r="H1024" i="1"/>
  <c r="G1024" i="1"/>
  <c r="F1024" i="1"/>
  <c r="E1024" i="1"/>
  <c r="D1024" i="1"/>
  <c r="C1024" i="1"/>
  <c r="B1024" i="1"/>
  <c r="A1024" i="1"/>
  <c r="O1023" i="1"/>
  <c r="L1023" i="1"/>
  <c r="K1023" i="1"/>
  <c r="J1023" i="1"/>
  <c r="I1023" i="1"/>
  <c r="H1023" i="1"/>
  <c r="G1023" i="1"/>
  <c r="F1023" i="1"/>
  <c r="E1023" i="1"/>
  <c r="D1023" i="1"/>
  <c r="C1023" i="1"/>
  <c r="B1023" i="1"/>
  <c r="A1023" i="1"/>
  <c r="O1022" i="1"/>
  <c r="L1022" i="1"/>
  <c r="K1022" i="1"/>
  <c r="J1022" i="1"/>
  <c r="I1022" i="1"/>
  <c r="H1022" i="1"/>
  <c r="G1022" i="1"/>
  <c r="F1022" i="1"/>
  <c r="E1022" i="1"/>
  <c r="D1022" i="1"/>
  <c r="C1022" i="1"/>
  <c r="B1022" i="1"/>
  <c r="A1022" i="1"/>
  <c r="O1021" i="1"/>
  <c r="L1021" i="1"/>
  <c r="K1021" i="1"/>
  <c r="J1021" i="1"/>
  <c r="I1021" i="1"/>
  <c r="H1021" i="1"/>
  <c r="G1021" i="1"/>
  <c r="F1021" i="1"/>
  <c r="E1021" i="1"/>
  <c r="D1021" i="1"/>
  <c r="C1021" i="1"/>
  <c r="B1021" i="1"/>
  <c r="A1021" i="1"/>
  <c r="O1020" i="1"/>
  <c r="L1020" i="1"/>
  <c r="K1020" i="1"/>
  <c r="J1020" i="1"/>
  <c r="I1020" i="1"/>
  <c r="H1020" i="1"/>
  <c r="G1020" i="1"/>
  <c r="F1020" i="1"/>
  <c r="E1020" i="1"/>
  <c r="D1020" i="1"/>
  <c r="C1020" i="1"/>
  <c r="B1020" i="1"/>
  <c r="A1020" i="1"/>
  <c r="O1019" i="1"/>
  <c r="L1019" i="1"/>
  <c r="K1019" i="1"/>
  <c r="J1019" i="1"/>
  <c r="I1019" i="1"/>
  <c r="H1019" i="1"/>
  <c r="G1019" i="1"/>
  <c r="F1019" i="1"/>
  <c r="E1019" i="1"/>
  <c r="D1019" i="1"/>
  <c r="C1019" i="1"/>
  <c r="B1019" i="1"/>
  <c r="A1019" i="1"/>
  <c r="P1018" i="1"/>
  <c r="O1018" i="1"/>
  <c r="L1018" i="1"/>
  <c r="K1018" i="1"/>
  <c r="J1018" i="1"/>
  <c r="I1018" i="1"/>
  <c r="H1018" i="1"/>
  <c r="G1018" i="1"/>
  <c r="F1018" i="1"/>
  <c r="E1018" i="1"/>
  <c r="D1018" i="1"/>
  <c r="C1018" i="1"/>
  <c r="B1018" i="1"/>
  <c r="A1018" i="1"/>
  <c r="O1017" i="1"/>
  <c r="L1017" i="1"/>
  <c r="K1017" i="1"/>
  <c r="J1017" i="1"/>
  <c r="I1017" i="1"/>
  <c r="H1017" i="1"/>
  <c r="G1017" i="1"/>
  <c r="F1017" i="1"/>
  <c r="E1017" i="1"/>
  <c r="D1017" i="1"/>
  <c r="C1017" i="1"/>
  <c r="B1017" i="1"/>
  <c r="A1017" i="1"/>
  <c r="O1016" i="1"/>
  <c r="L1016" i="1"/>
  <c r="K1016" i="1"/>
  <c r="J1016" i="1"/>
  <c r="I1016" i="1"/>
  <c r="H1016" i="1"/>
  <c r="G1016" i="1"/>
  <c r="F1016" i="1"/>
  <c r="E1016" i="1"/>
  <c r="D1016" i="1"/>
  <c r="C1016" i="1"/>
  <c r="B1016" i="1"/>
  <c r="A1016" i="1"/>
  <c r="O1015" i="1"/>
  <c r="L1015" i="1"/>
  <c r="K1015" i="1"/>
  <c r="J1015" i="1"/>
  <c r="I1015" i="1"/>
  <c r="H1015" i="1"/>
  <c r="G1015" i="1"/>
  <c r="F1015" i="1"/>
  <c r="E1015" i="1"/>
  <c r="D1015" i="1"/>
  <c r="C1015" i="1"/>
  <c r="B1015" i="1"/>
  <c r="A1015" i="1"/>
  <c r="O1014" i="1"/>
  <c r="L1014" i="1"/>
  <c r="K1014" i="1"/>
  <c r="J1014" i="1"/>
  <c r="I1014" i="1"/>
  <c r="H1014" i="1"/>
  <c r="G1014" i="1"/>
  <c r="F1014" i="1"/>
  <c r="E1014" i="1"/>
  <c r="D1014" i="1"/>
  <c r="C1014" i="1"/>
  <c r="B1014" i="1"/>
  <c r="A1014" i="1"/>
  <c r="O1013" i="1"/>
  <c r="L1013" i="1"/>
  <c r="K1013" i="1"/>
  <c r="J1013" i="1"/>
  <c r="I1013" i="1"/>
  <c r="H1013" i="1"/>
  <c r="G1013" i="1"/>
  <c r="F1013" i="1"/>
  <c r="E1013" i="1"/>
  <c r="D1013" i="1"/>
  <c r="C1013" i="1"/>
  <c r="B1013" i="1"/>
  <c r="A1013" i="1"/>
  <c r="O1012" i="1"/>
  <c r="L1012" i="1"/>
  <c r="K1012" i="1"/>
  <c r="J1012" i="1"/>
  <c r="I1012" i="1"/>
  <c r="H1012" i="1"/>
  <c r="G1012" i="1"/>
  <c r="F1012" i="1"/>
  <c r="E1012" i="1"/>
  <c r="D1012" i="1"/>
  <c r="C1012" i="1"/>
  <c r="B1012" i="1"/>
  <c r="A1012" i="1"/>
  <c r="O1011" i="1"/>
  <c r="L1011" i="1"/>
  <c r="K1011" i="1"/>
  <c r="J1011" i="1"/>
  <c r="I1011" i="1"/>
  <c r="H1011" i="1"/>
  <c r="G1011" i="1"/>
  <c r="F1011" i="1"/>
  <c r="E1011" i="1"/>
  <c r="D1011" i="1"/>
  <c r="C1011" i="1"/>
  <c r="B1011" i="1"/>
  <c r="A1011" i="1"/>
  <c r="O1010" i="1"/>
  <c r="L1010" i="1"/>
  <c r="K1010" i="1"/>
  <c r="J1010" i="1"/>
  <c r="I1010" i="1"/>
  <c r="H1010" i="1"/>
  <c r="G1010" i="1"/>
  <c r="F1010" i="1"/>
  <c r="E1010" i="1"/>
  <c r="D1010" i="1"/>
  <c r="C1010" i="1"/>
  <c r="B1010" i="1"/>
  <c r="A1010" i="1"/>
  <c r="O1009" i="1"/>
  <c r="L1009" i="1"/>
  <c r="K1009" i="1"/>
  <c r="J1009" i="1"/>
  <c r="I1009" i="1"/>
  <c r="H1009" i="1"/>
  <c r="G1009" i="1"/>
  <c r="F1009" i="1"/>
  <c r="E1009" i="1"/>
  <c r="D1009" i="1"/>
  <c r="C1009" i="1"/>
  <c r="B1009" i="1"/>
  <c r="A1009" i="1"/>
  <c r="O1008" i="1"/>
  <c r="L1008" i="1"/>
  <c r="K1008" i="1"/>
  <c r="J1008" i="1"/>
  <c r="I1008" i="1"/>
  <c r="H1008" i="1"/>
  <c r="G1008" i="1"/>
  <c r="F1008" i="1"/>
  <c r="E1008" i="1"/>
  <c r="D1008" i="1"/>
  <c r="C1008" i="1"/>
  <c r="B1008" i="1"/>
  <c r="A1008" i="1"/>
  <c r="O1007" i="1"/>
  <c r="L1007" i="1"/>
  <c r="K1007" i="1"/>
  <c r="J1007" i="1"/>
  <c r="I1007" i="1"/>
  <c r="H1007" i="1"/>
  <c r="G1007" i="1"/>
  <c r="F1007" i="1"/>
  <c r="E1007" i="1"/>
  <c r="D1007" i="1"/>
  <c r="C1007" i="1"/>
  <c r="B1007" i="1"/>
  <c r="A1007" i="1"/>
  <c r="O1006" i="1"/>
  <c r="L1006" i="1"/>
  <c r="K1006" i="1"/>
  <c r="J1006" i="1"/>
  <c r="I1006" i="1"/>
  <c r="H1006" i="1"/>
  <c r="G1006" i="1"/>
  <c r="F1006" i="1"/>
  <c r="E1006" i="1"/>
  <c r="D1006" i="1"/>
  <c r="C1006" i="1"/>
  <c r="B1006" i="1"/>
  <c r="A1006" i="1"/>
  <c r="O1005" i="1"/>
  <c r="L1005" i="1"/>
  <c r="K1005" i="1"/>
  <c r="J1005" i="1"/>
  <c r="I1005" i="1"/>
  <c r="H1005" i="1"/>
  <c r="G1005" i="1"/>
  <c r="F1005" i="1"/>
  <c r="E1005" i="1"/>
  <c r="D1005" i="1"/>
  <c r="C1005" i="1"/>
  <c r="B1005" i="1"/>
  <c r="A1005" i="1"/>
  <c r="O1004" i="1"/>
  <c r="L1004" i="1"/>
  <c r="K1004" i="1"/>
  <c r="J1004" i="1"/>
  <c r="I1004" i="1"/>
  <c r="H1004" i="1"/>
  <c r="G1004" i="1"/>
  <c r="F1004" i="1"/>
  <c r="E1004" i="1"/>
  <c r="D1004" i="1"/>
  <c r="C1004" i="1"/>
  <c r="B1004" i="1"/>
  <c r="A1004" i="1"/>
  <c r="O1003" i="1"/>
  <c r="L1003" i="1"/>
  <c r="K1003" i="1"/>
  <c r="J1003" i="1"/>
  <c r="I1003" i="1"/>
  <c r="H1003" i="1"/>
  <c r="G1003" i="1"/>
  <c r="F1003" i="1"/>
  <c r="E1003" i="1"/>
  <c r="D1003" i="1"/>
  <c r="C1003" i="1"/>
  <c r="B1003" i="1"/>
  <c r="A1003" i="1"/>
  <c r="O1002" i="1"/>
  <c r="L1002" i="1"/>
  <c r="K1002" i="1"/>
  <c r="J1002" i="1"/>
  <c r="I1002" i="1"/>
  <c r="H1002" i="1"/>
  <c r="G1002" i="1"/>
  <c r="F1002" i="1"/>
  <c r="E1002" i="1"/>
  <c r="D1002" i="1"/>
  <c r="C1002" i="1"/>
  <c r="B1002" i="1"/>
  <c r="A1002" i="1"/>
  <c r="O1001" i="1"/>
  <c r="L1001" i="1"/>
  <c r="K1001" i="1"/>
  <c r="J1001" i="1"/>
  <c r="I1001" i="1"/>
  <c r="H1001" i="1"/>
  <c r="G1001" i="1"/>
  <c r="F1001" i="1"/>
  <c r="E1001" i="1"/>
  <c r="D1001" i="1"/>
  <c r="C1001" i="1"/>
  <c r="B1001" i="1"/>
  <c r="A1001" i="1"/>
  <c r="O1000" i="1"/>
  <c r="L1000" i="1"/>
  <c r="K1000" i="1"/>
  <c r="J1000" i="1"/>
  <c r="I1000" i="1"/>
  <c r="H1000" i="1"/>
  <c r="G1000" i="1"/>
  <c r="F1000" i="1"/>
  <c r="E1000" i="1"/>
  <c r="D1000" i="1"/>
  <c r="C1000" i="1"/>
  <c r="B1000" i="1"/>
  <c r="A1000" i="1"/>
  <c r="O999" i="1"/>
  <c r="L999" i="1"/>
  <c r="K999" i="1"/>
  <c r="J999" i="1"/>
  <c r="I999" i="1"/>
  <c r="H999" i="1"/>
  <c r="G999" i="1"/>
  <c r="F999" i="1"/>
  <c r="E999" i="1"/>
  <c r="D999" i="1"/>
  <c r="C999" i="1"/>
  <c r="B999" i="1"/>
  <c r="A999" i="1"/>
  <c r="O998" i="1"/>
  <c r="L998" i="1"/>
  <c r="K998" i="1"/>
  <c r="J998" i="1"/>
  <c r="I998" i="1"/>
  <c r="H998" i="1"/>
  <c r="G998" i="1"/>
  <c r="F998" i="1"/>
  <c r="E998" i="1"/>
  <c r="D998" i="1"/>
  <c r="C998" i="1"/>
  <c r="B998" i="1"/>
  <c r="A998" i="1"/>
  <c r="O997" i="1"/>
  <c r="L997" i="1"/>
  <c r="K997" i="1"/>
  <c r="J997" i="1"/>
  <c r="I997" i="1"/>
  <c r="H997" i="1"/>
  <c r="G997" i="1"/>
  <c r="F997" i="1"/>
  <c r="E997" i="1"/>
  <c r="D997" i="1"/>
  <c r="C997" i="1"/>
  <c r="B997" i="1"/>
  <c r="A997" i="1"/>
  <c r="O996" i="1"/>
  <c r="L996" i="1"/>
  <c r="K996" i="1"/>
  <c r="J996" i="1"/>
  <c r="I996" i="1"/>
  <c r="H996" i="1"/>
  <c r="G996" i="1"/>
  <c r="F996" i="1"/>
  <c r="E996" i="1"/>
  <c r="D996" i="1"/>
  <c r="C996" i="1"/>
  <c r="B996" i="1"/>
  <c r="A996" i="1"/>
  <c r="O995" i="1"/>
  <c r="L995" i="1"/>
  <c r="K995" i="1"/>
  <c r="J995" i="1"/>
  <c r="I995" i="1"/>
  <c r="H995" i="1"/>
  <c r="G995" i="1"/>
  <c r="F995" i="1"/>
  <c r="E995" i="1"/>
  <c r="D995" i="1"/>
  <c r="C995" i="1"/>
  <c r="B995" i="1"/>
  <c r="A995" i="1"/>
  <c r="O994" i="1"/>
  <c r="L994" i="1"/>
  <c r="K994" i="1"/>
  <c r="J994" i="1"/>
  <c r="I994" i="1"/>
  <c r="H994" i="1"/>
  <c r="G994" i="1"/>
  <c r="F994" i="1"/>
  <c r="E994" i="1"/>
  <c r="D994" i="1"/>
  <c r="C994" i="1"/>
  <c r="B994" i="1"/>
  <c r="A994" i="1"/>
  <c r="O993" i="1"/>
  <c r="L993" i="1"/>
  <c r="K993" i="1"/>
  <c r="J993" i="1"/>
  <c r="I993" i="1"/>
  <c r="H993" i="1"/>
  <c r="G993" i="1"/>
  <c r="F993" i="1"/>
  <c r="E993" i="1"/>
  <c r="D993" i="1"/>
  <c r="C993" i="1"/>
  <c r="B993" i="1"/>
  <c r="A993" i="1"/>
  <c r="O992" i="1"/>
  <c r="L992" i="1"/>
  <c r="K992" i="1"/>
  <c r="J992" i="1"/>
  <c r="I992" i="1"/>
  <c r="H992" i="1"/>
  <c r="G992" i="1"/>
  <c r="F992" i="1"/>
  <c r="E992" i="1"/>
  <c r="D992" i="1"/>
  <c r="C992" i="1"/>
  <c r="B992" i="1"/>
  <c r="A992" i="1"/>
  <c r="O991" i="1"/>
  <c r="L991" i="1"/>
  <c r="K991" i="1"/>
  <c r="J991" i="1"/>
  <c r="I991" i="1"/>
  <c r="H991" i="1"/>
  <c r="G991" i="1"/>
  <c r="F991" i="1"/>
  <c r="E991" i="1"/>
  <c r="D991" i="1"/>
  <c r="C991" i="1"/>
  <c r="B991" i="1"/>
  <c r="A991" i="1"/>
  <c r="O990" i="1"/>
  <c r="L990" i="1"/>
  <c r="K990" i="1"/>
  <c r="J990" i="1"/>
  <c r="I990" i="1"/>
  <c r="H990" i="1"/>
  <c r="G990" i="1"/>
  <c r="F990" i="1"/>
  <c r="E990" i="1"/>
  <c r="D990" i="1"/>
  <c r="C990" i="1"/>
  <c r="B990" i="1"/>
  <c r="A990" i="1"/>
  <c r="O989" i="1"/>
  <c r="L989" i="1"/>
  <c r="K989" i="1"/>
  <c r="J989" i="1"/>
  <c r="I989" i="1"/>
  <c r="H989" i="1"/>
  <c r="G989" i="1"/>
  <c r="F989" i="1"/>
  <c r="E989" i="1"/>
  <c r="D989" i="1"/>
  <c r="C989" i="1"/>
  <c r="B989" i="1"/>
  <c r="A989" i="1"/>
  <c r="O988" i="1"/>
  <c r="L988" i="1"/>
  <c r="K988" i="1"/>
  <c r="J988" i="1"/>
  <c r="I988" i="1"/>
  <c r="H988" i="1"/>
  <c r="G988" i="1"/>
  <c r="F988" i="1"/>
  <c r="E988" i="1"/>
  <c r="D988" i="1"/>
  <c r="C988" i="1"/>
  <c r="B988" i="1"/>
  <c r="A988" i="1"/>
  <c r="O987" i="1"/>
  <c r="L987" i="1"/>
  <c r="K987" i="1"/>
  <c r="J987" i="1"/>
  <c r="I987" i="1"/>
  <c r="H987" i="1"/>
  <c r="G987" i="1"/>
  <c r="F987" i="1"/>
  <c r="E987" i="1"/>
  <c r="D987" i="1"/>
  <c r="C987" i="1"/>
  <c r="B987" i="1"/>
  <c r="A987" i="1"/>
  <c r="O986" i="1"/>
  <c r="L986" i="1"/>
  <c r="K986" i="1"/>
  <c r="J986" i="1"/>
  <c r="I986" i="1"/>
  <c r="H986" i="1"/>
  <c r="G986" i="1"/>
  <c r="F986" i="1"/>
  <c r="E986" i="1"/>
  <c r="D986" i="1"/>
  <c r="C986" i="1"/>
  <c r="B986" i="1"/>
  <c r="A986" i="1"/>
  <c r="O985" i="1"/>
  <c r="L985" i="1"/>
  <c r="K985" i="1"/>
  <c r="J985" i="1"/>
  <c r="I985" i="1"/>
  <c r="H985" i="1"/>
  <c r="G985" i="1"/>
  <c r="F985" i="1"/>
  <c r="E985" i="1"/>
  <c r="D985" i="1"/>
  <c r="C985" i="1"/>
  <c r="B985" i="1"/>
  <c r="A985" i="1"/>
  <c r="O984" i="1"/>
  <c r="L984" i="1"/>
  <c r="K984" i="1"/>
  <c r="J984" i="1"/>
  <c r="I984" i="1"/>
  <c r="H984" i="1"/>
  <c r="G984" i="1"/>
  <c r="F984" i="1"/>
  <c r="E984" i="1"/>
  <c r="D984" i="1"/>
  <c r="C984" i="1"/>
  <c r="B984" i="1"/>
  <c r="A984" i="1"/>
  <c r="O983" i="1"/>
  <c r="L983" i="1"/>
  <c r="K983" i="1"/>
  <c r="J983" i="1"/>
  <c r="I983" i="1"/>
  <c r="H983" i="1"/>
  <c r="G983" i="1"/>
  <c r="F983" i="1"/>
  <c r="E983" i="1"/>
  <c r="D983" i="1"/>
  <c r="C983" i="1"/>
  <c r="B983" i="1"/>
  <c r="A983" i="1"/>
  <c r="O982" i="1"/>
  <c r="L982" i="1"/>
  <c r="K982" i="1"/>
  <c r="J982" i="1"/>
  <c r="I982" i="1"/>
  <c r="H982" i="1"/>
  <c r="G982" i="1"/>
  <c r="F982" i="1"/>
  <c r="E982" i="1"/>
  <c r="D982" i="1"/>
  <c r="C982" i="1"/>
  <c r="B982" i="1"/>
  <c r="A982" i="1"/>
  <c r="O981" i="1"/>
  <c r="L981" i="1"/>
  <c r="K981" i="1"/>
  <c r="J981" i="1"/>
  <c r="I981" i="1"/>
  <c r="H981" i="1"/>
  <c r="G981" i="1"/>
  <c r="F981" i="1"/>
  <c r="E981" i="1"/>
  <c r="D981" i="1"/>
  <c r="C981" i="1"/>
  <c r="B981" i="1"/>
  <c r="A981" i="1"/>
  <c r="O980" i="1"/>
  <c r="L980" i="1"/>
  <c r="K980" i="1"/>
  <c r="J980" i="1"/>
  <c r="I980" i="1"/>
  <c r="H980" i="1"/>
  <c r="G980" i="1"/>
  <c r="F980" i="1"/>
  <c r="E980" i="1"/>
  <c r="D980" i="1"/>
  <c r="C980" i="1"/>
  <c r="B980" i="1"/>
  <c r="A980" i="1"/>
  <c r="O979" i="1"/>
  <c r="L979" i="1"/>
  <c r="K979" i="1"/>
  <c r="J979" i="1"/>
  <c r="I979" i="1"/>
  <c r="H979" i="1"/>
  <c r="G979" i="1"/>
  <c r="F979" i="1"/>
  <c r="E979" i="1"/>
  <c r="D979" i="1"/>
  <c r="C979" i="1"/>
  <c r="B979" i="1"/>
  <c r="A979" i="1"/>
  <c r="O978" i="1"/>
  <c r="L978" i="1"/>
  <c r="K978" i="1"/>
  <c r="J978" i="1"/>
  <c r="I978" i="1"/>
  <c r="H978" i="1"/>
  <c r="G978" i="1"/>
  <c r="F978" i="1"/>
  <c r="E978" i="1"/>
  <c r="D978" i="1"/>
  <c r="C978" i="1"/>
  <c r="B978" i="1"/>
  <c r="A978" i="1"/>
  <c r="O977" i="1"/>
  <c r="L977" i="1"/>
  <c r="K977" i="1"/>
  <c r="J977" i="1"/>
  <c r="I977" i="1"/>
  <c r="H977" i="1"/>
  <c r="G977" i="1"/>
  <c r="F977" i="1"/>
  <c r="E977" i="1"/>
  <c r="D977" i="1"/>
  <c r="C977" i="1"/>
  <c r="B977" i="1"/>
  <c r="A977" i="1"/>
  <c r="O976" i="1"/>
  <c r="L976" i="1"/>
  <c r="K976" i="1"/>
  <c r="J976" i="1"/>
  <c r="I976" i="1"/>
  <c r="H976" i="1"/>
  <c r="G976" i="1"/>
  <c r="F976" i="1"/>
  <c r="E976" i="1"/>
  <c r="D976" i="1"/>
  <c r="C976" i="1"/>
  <c r="B976" i="1"/>
  <c r="A976" i="1"/>
  <c r="O975" i="1"/>
  <c r="L975" i="1"/>
  <c r="K975" i="1"/>
  <c r="J975" i="1"/>
  <c r="I975" i="1"/>
  <c r="H975" i="1"/>
  <c r="G975" i="1"/>
  <c r="F975" i="1"/>
  <c r="E975" i="1"/>
  <c r="D975" i="1"/>
  <c r="C975" i="1"/>
  <c r="B975" i="1"/>
  <c r="A975" i="1"/>
  <c r="O974" i="1"/>
  <c r="L974" i="1"/>
  <c r="K974" i="1"/>
  <c r="J974" i="1"/>
  <c r="I974" i="1"/>
  <c r="H974" i="1"/>
  <c r="G974" i="1"/>
  <c r="F974" i="1"/>
  <c r="E974" i="1"/>
  <c r="D974" i="1"/>
  <c r="C974" i="1"/>
  <c r="B974" i="1"/>
  <c r="A974" i="1"/>
  <c r="O973" i="1"/>
  <c r="L973" i="1"/>
  <c r="K973" i="1"/>
  <c r="J973" i="1"/>
  <c r="I973" i="1"/>
  <c r="H973" i="1"/>
  <c r="G973" i="1"/>
  <c r="F973" i="1"/>
  <c r="E973" i="1"/>
  <c r="D973" i="1"/>
  <c r="C973" i="1"/>
  <c r="B973" i="1"/>
  <c r="A973" i="1"/>
  <c r="O972" i="1"/>
  <c r="L972" i="1"/>
  <c r="K972" i="1"/>
  <c r="J972" i="1"/>
  <c r="I972" i="1"/>
  <c r="H972" i="1"/>
  <c r="G972" i="1"/>
  <c r="F972" i="1"/>
  <c r="E972" i="1"/>
  <c r="D972" i="1"/>
  <c r="C972" i="1"/>
  <c r="B972" i="1"/>
  <c r="A972" i="1"/>
  <c r="O971" i="1"/>
  <c r="L971" i="1"/>
  <c r="K971" i="1"/>
  <c r="J971" i="1"/>
  <c r="I971" i="1"/>
  <c r="H971" i="1"/>
  <c r="G971" i="1"/>
  <c r="F971" i="1"/>
  <c r="E971" i="1"/>
  <c r="D971" i="1"/>
  <c r="C971" i="1"/>
  <c r="B971" i="1"/>
  <c r="A971" i="1"/>
  <c r="O970" i="1"/>
  <c r="L970" i="1"/>
  <c r="K970" i="1"/>
  <c r="J970" i="1"/>
  <c r="I970" i="1"/>
  <c r="H970" i="1"/>
  <c r="G970" i="1"/>
  <c r="F970" i="1"/>
  <c r="E970" i="1"/>
  <c r="D970" i="1"/>
  <c r="C970" i="1"/>
  <c r="B970" i="1"/>
  <c r="A970" i="1"/>
  <c r="O969" i="1"/>
  <c r="L969" i="1"/>
  <c r="K969" i="1"/>
  <c r="J969" i="1"/>
  <c r="I969" i="1"/>
  <c r="H969" i="1"/>
  <c r="G969" i="1"/>
  <c r="F969" i="1"/>
  <c r="E969" i="1"/>
  <c r="D969" i="1"/>
  <c r="C969" i="1"/>
  <c r="B969" i="1"/>
  <c r="A969" i="1"/>
  <c r="O968" i="1"/>
  <c r="L968" i="1"/>
  <c r="K968" i="1"/>
  <c r="J968" i="1"/>
  <c r="I968" i="1"/>
  <c r="H968" i="1"/>
  <c r="G968" i="1"/>
  <c r="F968" i="1"/>
  <c r="E968" i="1"/>
  <c r="D968" i="1"/>
  <c r="C968" i="1"/>
  <c r="B968" i="1"/>
  <c r="A968" i="1"/>
  <c r="O967" i="1"/>
  <c r="L967" i="1"/>
  <c r="K967" i="1"/>
  <c r="J967" i="1"/>
  <c r="I967" i="1"/>
  <c r="H967" i="1"/>
  <c r="G967" i="1"/>
  <c r="F967" i="1"/>
  <c r="E967" i="1"/>
  <c r="D967" i="1"/>
  <c r="C967" i="1"/>
  <c r="B967" i="1"/>
  <c r="A967" i="1"/>
  <c r="O966" i="1"/>
  <c r="L966" i="1"/>
  <c r="K966" i="1"/>
  <c r="J966" i="1"/>
  <c r="I966" i="1"/>
  <c r="H966" i="1"/>
  <c r="G966" i="1"/>
  <c r="F966" i="1"/>
  <c r="E966" i="1"/>
  <c r="D966" i="1"/>
  <c r="C966" i="1"/>
  <c r="B966" i="1"/>
  <c r="A966" i="1"/>
  <c r="O965" i="1"/>
  <c r="L965" i="1"/>
  <c r="K965" i="1"/>
  <c r="J965" i="1"/>
  <c r="I965" i="1"/>
  <c r="H965" i="1"/>
  <c r="G965" i="1"/>
  <c r="F965" i="1"/>
  <c r="E965" i="1"/>
  <c r="D965" i="1"/>
  <c r="C965" i="1"/>
  <c r="B965" i="1"/>
  <c r="A965" i="1"/>
  <c r="O964" i="1"/>
  <c r="L964" i="1"/>
  <c r="K964" i="1"/>
  <c r="J964" i="1"/>
  <c r="I964" i="1"/>
  <c r="H964" i="1"/>
  <c r="G964" i="1"/>
  <c r="F964" i="1"/>
  <c r="E964" i="1"/>
  <c r="D964" i="1"/>
  <c r="C964" i="1"/>
  <c r="B964" i="1"/>
  <c r="A964" i="1"/>
  <c r="O963" i="1"/>
  <c r="L963" i="1"/>
  <c r="K963" i="1"/>
  <c r="J963" i="1"/>
  <c r="I963" i="1"/>
  <c r="H963" i="1"/>
  <c r="G963" i="1"/>
  <c r="F963" i="1"/>
  <c r="E963" i="1"/>
  <c r="D963" i="1"/>
  <c r="C963" i="1"/>
  <c r="B963" i="1"/>
  <c r="A963" i="1"/>
  <c r="O962" i="1"/>
  <c r="L962" i="1"/>
  <c r="K962" i="1"/>
  <c r="J962" i="1"/>
  <c r="I962" i="1"/>
  <c r="H962" i="1"/>
  <c r="G962" i="1"/>
  <c r="F962" i="1"/>
  <c r="E962" i="1"/>
  <c r="D962" i="1"/>
  <c r="C962" i="1"/>
  <c r="B962" i="1"/>
  <c r="A962" i="1"/>
  <c r="P961" i="1"/>
  <c r="O961" i="1"/>
  <c r="L961" i="1"/>
  <c r="K961" i="1"/>
  <c r="J961" i="1"/>
  <c r="I961" i="1"/>
  <c r="H961" i="1"/>
  <c r="G961" i="1"/>
  <c r="F961" i="1"/>
  <c r="E961" i="1"/>
  <c r="D961" i="1"/>
  <c r="C961" i="1"/>
  <c r="B961" i="1"/>
  <c r="A961" i="1"/>
  <c r="O960" i="1"/>
  <c r="L960" i="1"/>
  <c r="K960" i="1"/>
  <c r="J960" i="1"/>
  <c r="I960" i="1"/>
  <c r="H960" i="1"/>
  <c r="G960" i="1"/>
  <c r="F960" i="1"/>
  <c r="E960" i="1"/>
  <c r="D960" i="1"/>
  <c r="C960" i="1"/>
  <c r="B960" i="1"/>
  <c r="A960" i="1"/>
  <c r="O959" i="1"/>
  <c r="L959" i="1"/>
  <c r="K959" i="1"/>
  <c r="J959" i="1"/>
  <c r="I959" i="1"/>
  <c r="H959" i="1"/>
  <c r="G959" i="1"/>
  <c r="F959" i="1"/>
  <c r="E959" i="1"/>
  <c r="D959" i="1"/>
  <c r="C959" i="1"/>
  <c r="B959" i="1"/>
  <c r="A959" i="1"/>
  <c r="O958" i="1"/>
  <c r="L958" i="1"/>
  <c r="K958" i="1"/>
  <c r="J958" i="1"/>
  <c r="I958" i="1"/>
  <c r="H958" i="1"/>
  <c r="G958" i="1"/>
  <c r="F958" i="1"/>
  <c r="E958" i="1"/>
  <c r="D958" i="1"/>
  <c r="C958" i="1"/>
  <c r="B958" i="1"/>
  <c r="A958" i="1"/>
  <c r="O957" i="1"/>
  <c r="L957" i="1"/>
  <c r="K957" i="1"/>
  <c r="J957" i="1"/>
  <c r="I957" i="1"/>
  <c r="H957" i="1"/>
  <c r="G957" i="1"/>
  <c r="F957" i="1"/>
  <c r="E957" i="1"/>
  <c r="D957" i="1"/>
  <c r="C957" i="1"/>
  <c r="B957" i="1"/>
  <c r="A957" i="1"/>
  <c r="O956" i="1"/>
  <c r="L956" i="1"/>
  <c r="K956" i="1"/>
  <c r="J956" i="1"/>
  <c r="I956" i="1"/>
  <c r="H956" i="1"/>
  <c r="G956" i="1"/>
  <c r="F956" i="1"/>
  <c r="E956" i="1"/>
  <c r="D956" i="1"/>
  <c r="C956" i="1"/>
  <c r="B956" i="1"/>
  <c r="A956" i="1"/>
  <c r="O955" i="1"/>
  <c r="L955" i="1"/>
  <c r="K955" i="1"/>
  <c r="J955" i="1"/>
  <c r="I955" i="1"/>
  <c r="H955" i="1"/>
  <c r="G955" i="1"/>
  <c r="F955" i="1"/>
  <c r="E955" i="1"/>
  <c r="D955" i="1"/>
  <c r="C955" i="1"/>
  <c r="B955" i="1"/>
  <c r="A955" i="1"/>
  <c r="O954" i="1"/>
  <c r="L954" i="1"/>
  <c r="K954" i="1"/>
  <c r="J954" i="1"/>
  <c r="I954" i="1"/>
  <c r="H954" i="1"/>
  <c r="G954" i="1"/>
  <c r="F954" i="1"/>
  <c r="E954" i="1"/>
  <c r="D954" i="1"/>
  <c r="C954" i="1"/>
  <c r="B954" i="1"/>
  <c r="A954" i="1"/>
  <c r="O953" i="1"/>
  <c r="L953" i="1"/>
  <c r="K953" i="1"/>
  <c r="J953" i="1"/>
  <c r="I953" i="1"/>
  <c r="H953" i="1"/>
  <c r="G953" i="1"/>
  <c r="F953" i="1"/>
  <c r="E953" i="1"/>
  <c r="D953" i="1"/>
  <c r="C953" i="1"/>
  <c r="B953" i="1"/>
  <c r="A953" i="1"/>
  <c r="O952" i="1"/>
  <c r="L952" i="1"/>
  <c r="K952" i="1"/>
  <c r="J952" i="1"/>
  <c r="I952" i="1"/>
  <c r="H952" i="1"/>
  <c r="G952" i="1"/>
  <c r="F952" i="1"/>
  <c r="E952" i="1"/>
  <c r="D952" i="1"/>
  <c r="C952" i="1"/>
  <c r="B952" i="1"/>
  <c r="A952" i="1"/>
  <c r="O951" i="1"/>
  <c r="L951" i="1"/>
  <c r="K951" i="1"/>
  <c r="J951" i="1"/>
  <c r="I951" i="1"/>
  <c r="H951" i="1"/>
  <c r="G951" i="1"/>
  <c r="F951" i="1"/>
  <c r="E951" i="1"/>
  <c r="D951" i="1"/>
  <c r="C951" i="1"/>
  <c r="B951" i="1"/>
  <c r="A951" i="1"/>
  <c r="O950" i="1"/>
  <c r="L950" i="1"/>
  <c r="K950" i="1"/>
  <c r="J950" i="1"/>
  <c r="I950" i="1"/>
  <c r="H950" i="1"/>
  <c r="G950" i="1"/>
  <c r="F950" i="1"/>
  <c r="E950" i="1"/>
  <c r="D950" i="1"/>
  <c r="C950" i="1"/>
  <c r="B950" i="1"/>
  <c r="A950" i="1"/>
  <c r="O949" i="1"/>
  <c r="L949" i="1"/>
  <c r="K949" i="1"/>
  <c r="J949" i="1"/>
  <c r="I949" i="1"/>
  <c r="H949" i="1"/>
  <c r="G949" i="1"/>
  <c r="F949" i="1"/>
  <c r="E949" i="1"/>
  <c r="D949" i="1"/>
  <c r="C949" i="1"/>
  <c r="B949" i="1"/>
  <c r="A949" i="1"/>
  <c r="O948" i="1"/>
  <c r="L948" i="1"/>
  <c r="K948" i="1"/>
  <c r="J948" i="1"/>
  <c r="I948" i="1"/>
  <c r="H948" i="1"/>
  <c r="G948" i="1"/>
  <c r="F948" i="1"/>
  <c r="E948" i="1"/>
  <c r="D948" i="1"/>
  <c r="C948" i="1"/>
  <c r="B948" i="1"/>
  <c r="A948" i="1"/>
  <c r="O947" i="1"/>
  <c r="L947" i="1"/>
  <c r="K947" i="1"/>
  <c r="J947" i="1"/>
  <c r="I947" i="1"/>
  <c r="H947" i="1"/>
  <c r="G947" i="1"/>
  <c r="F947" i="1"/>
  <c r="E947" i="1"/>
  <c r="D947" i="1"/>
  <c r="C947" i="1"/>
  <c r="B947" i="1"/>
  <c r="A947" i="1"/>
  <c r="O946" i="1"/>
  <c r="L946" i="1"/>
  <c r="K946" i="1"/>
  <c r="J946" i="1"/>
  <c r="I946" i="1"/>
  <c r="H946" i="1"/>
  <c r="G946" i="1"/>
  <c r="F946" i="1"/>
  <c r="E946" i="1"/>
  <c r="D946" i="1"/>
  <c r="C946" i="1"/>
  <c r="B946" i="1"/>
  <c r="A946" i="1"/>
  <c r="P945" i="1"/>
  <c r="O945" i="1"/>
  <c r="L945" i="1"/>
  <c r="K945" i="1"/>
  <c r="J945" i="1"/>
  <c r="I945" i="1"/>
  <c r="H945" i="1"/>
  <c r="G945" i="1"/>
  <c r="F945" i="1"/>
  <c r="E945" i="1"/>
  <c r="D945" i="1"/>
  <c r="C945" i="1"/>
  <c r="B945" i="1"/>
  <c r="A945" i="1"/>
  <c r="P944" i="1"/>
  <c r="O944" i="1"/>
  <c r="L944" i="1"/>
  <c r="K944" i="1"/>
  <c r="J944" i="1"/>
  <c r="I944" i="1"/>
  <c r="H944" i="1"/>
  <c r="G944" i="1"/>
  <c r="F944" i="1"/>
  <c r="E944" i="1"/>
  <c r="D944" i="1"/>
  <c r="C944" i="1"/>
  <c r="B944" i="1"/>
  <c r="A944" i="1"/>
  <c r="P943" i="1"/>
  <c r="O943" i="1"/>
  <c r="L943" i="1"/>
  <c r="K943" i="1"/>
  <c r="J943" i="1"/>
  <c r="I943" i="1"/>
  <c r="H943" i="1"/>
  <c r="G943" i="1"/>
  <c r="F943" i="1"/>
  <c r="E943" i="1"/>
  <c r="D943" i="1"/>
  <c r="C943" i="1"/>
  <c r="B943" i="1"/>
  <c r="A943" i="1"/>
  <c r="O942" i="1"/>
  <c r="L942" i="1"/>
  <c r="K942" i="1"/>
  <c r="J942" i="1"/>
  <c r="I942" i="1"/>
  <c r="H942" i="1"/>
  <c r="G942" i="1"/>
  <c r="F942" i="1"/>
  <c r="E942" i="1"/>
  <c r="D942" i="1"/>
  <c r="C942" i="1"/>
  <c r="B942" i="1"/>
  <c r="A942" i="1"/>
  <c r="O941" i="1"/>
  <c r="L941" i="1"/>
  <c r="K941" i="1"/>
  <c r="J941" i="1"/>
  <c r="I941" i="1"/>
  <c r="H941" i="1"/>
  <c r="G941" i="1"/>
  <c r="F941" i="1"/>
  <c r="E941" i="1"/>
  <c r="D941" i="1"/>
  <c r="C941" i="1"/>
  <c r="B941" i="1"/>
  <c r="A941" i="1"/>
  <c r="O940" i="1"/>
  <c r="L940" i="1"/>
  <c r="K940" i="1"/>
  <c r="J940" i="1"/>
  <c r="I940" i="1"/>
  <c r="H940" i="1"/>
  <c r="G940" i="1"/>
  <c r="F940" i="1"/>
  <c r="E940" i="1"/>
  <c r="D940" i="1"/>
  <c r="C940" i="1"/>
  <c r="B940" i="1"/>
  <c r="A940" i="1"/>
  <c r="O939" i="1"/>
  <c r="L939" i="1"/>
  <c r="K939" i="1"/>
  <c r="J939" i="1"/>
  <c r="I939" i="1"/>
  <c r="H939" i="1"/>
  <c r="G939" i="1"/>
  <c r="F939" i="1"/>
  <c r="E939" i="1"/>
  <c r="D939" i="1"/>
  <c r="C939" i="1"/>
  <c r="B939" i="1"/>
  <c r="A939" i="1"/>
  <c r="O938" i="1"/>
  <c r="L938" i="1"/>
  <c r="K938" i="1"/>
  <c r="J938" i="1"/>
  <c r="I938" i="1"/>
  <c r="H938" i="1"/>
  <c r="G938" i="1"/>
  <c r="F938" i="1"/>
  <c r="E938" i="1"/>
  <c r="D938" i="1"/>
  <c r="C938" i="1"/>
  <c r="B938" i="1"/>
  <c r="A938" i="1"/>
  <c r="P937" i="1"/>
  <c r="O937" i="1"/>
  <c r="L937" i="1"/>
  <c r="K937" i="1"/>
  <c r="J937" i="1"/>
  <c r="I937" i="1"/>
  <c r="H937" i="1"/>
  <c r="G937" i="1"/>
  <c r="F937" i="1"/>
  <c r="E937" i="1"/>
  <c r="D937" i="1"/>
  <c r="C937" i="1"/>
  <c r="B937" i="1"/>
  <c r="A937" i="1"/>
  <c r="O936" i="1"/>
  <c r="L936" i="1"/>
  <c r="K936" i="1"/>
  <c r="J936" i="1"/>
  <c r="I936" i="1"/>
  <c r="H936" i="1"/>
  <c r="G936" i="1"/>
  <c r="F936" i="1"/>
  <c r="E936" i="1"/>
  <c r="D936" i="1"/>
  <c r="C936" i="1"/>
  <c r="B936" i="1"/>
  <c r="A936" i="1"/>
  <c r="O935" i="1"/>
  <c r="L935" i="1"/>
  <c r="K935" i="1"/>
  <c r="J935" i="1"/>
  <c r="I935" i="1"/>
  <c r="H935" i="1"/>
  <c r="G935" i="1"/>
  <c r="F935" i="1"/>
  <c r="E935" i="1"/>
  <c r="D935" i="1"/>
  <c r="C935" i="1"/>
  <c r="B935" i="1"/>
  <c r="A935" i="1"/>
  <c r="O934" i="1"/>
  <c r="L934" i="1"/>
  <c r="K934" i="1"/>
  <c r="J934" i="1"/>
  <c r="I934" i="1"/>
  <c r="H934" i="1"/>
  <c r="G934" i="1"/>
  <c r="F934" i="1"/>
  <c r="E934" i="1"/>
  <c r="D934" i="1"/>
  <c r="C934" i="1"/>
  <c r="B934" i="1"/>
  <c r="A934" i="1"/>
  <c r="O933" i="1"/>
  <c r="L933" i="1"/>
  <c r="K933" i="1"/>
  <c r="J933" i="1"/>
  <c r="I933" i="1"/>
  <c r="H933" i="1"/>
  <c r="G933" i="1"/>
  <c r="F933" i="1"/>
  <c r="E933" i="1"/>
  <c r="D933" i="1"/>
  <c r="C933" i="1"/>
  <c r="B933" i="1"/>
  <c r="A933" i="1"/>
  <c r="O932" i="1"/>
  <c r="L932" i="1"/>
  <c r="K932" i="1"/>
  <c r="J932" i="1"/>
  <c r="I932" i="1"/>
  <c r="H932" i="1"/>
  <c r="G932" i="1"/>
  <c r="F932" i="1"/>
  <c r="E932" i="1"/>
  <c r="D932" i="1"/>
  <c r="C932" i="1"/>
  <c r="B932" i="1"/>
  <c r="A932" i="1"/>
  <c r="O931" i="1"/>
  <c r="L931" i="1"/>
  <c r="K931" i="1"/>
  <c r="J931" i="1"/>
  <c r="I931" i="1"/>
  <c r="H931" i="1"/>
  <c r="G931" i="1"/>
  <c r="F931" i="1"/>
  <c r="E931" i="1"/>
  <c r="D931" i="1"/>
  <c r="C931" i="1"/>
  <c r="B931" i="1"/>
  <c r="A931" i="1"/>
  <c r="O930" i="1"/>
  <c r="L930" i="1"/>
  <c r="K930" i="1"/>
  <c r="J930" i="1"/>
  <c r="I930" i="1"/>
  <c r="H930" i="1"/>
  <c r="G930" i="1"/>
  <c r="F930" i="1"/>
  <c r="E930" i="1"/>
  <c r="D930" i="1"/>
  <c r="C930" i="1"/>
  <c r="B930" i="1"/>
  <c r="A930" i="1"/>
  <c r="O929" i="1"/>
  <c r="L929" i="1"/>
  <c r="K929" i="1"/>
  <c r="J929" i="1"/>
  <c r="I929" i="1"/>
  <c r="H929" i="1"/>
  <c r="G929" i="1"/>
  <c r="F929" i="1"/>
  <c r="E929" i="1"/>
  <c r="D929" i="1"/>
  <c r="C929" i="1"/>
  <c r="B929" i="1"/>
  <c r="A929" i="1"/>
  <c r="O928" i="1"/>
  <c r="L928" i="1"/>
  <c r="K928" i="1"/>
  <c r="J928" i="1"/>
  <c r="I928" i="1"/>
  <c r="H928" i="1"/>
  <c r="G928" i="1"/>
  <c r="F928" i="1"/>
  <c r="E928" i="1"/>
  <c r="D928" i="1"/>
  <c r="C928" i="1"/>
  <c r="B928" i="1"/>
  <c r="A928" i="1"/>
  <c r="O927" i="1"/>
  <c r="L927" i="1"/>
  <c r="K927" i="1"/>
  <c r="J927" i="1"/>
  <c r="I927" i="1"/>
  <c r="H927" i="1"/>
  <c r="G927" i="1"/>
  <c r="F927" i="1"/>
  <c r="E927" i="1"/>
  <c r="D927" i="1"/>
  <c r="C927" i="1"/>
  <c r="B927" i="1"/>
  <c r="A927" i="1"/>
  <c r="O926" i="1"/>
  <c r="L926" i="1"/>
  <c r="K926" i="1"/>
  <c r="J926" i="1"/>
  <c r="I926" i="1"/>
  <c r="H926" i="1"/>
  <c r="G926" i="1"/>
  <c r="F926" i="1"/>
  <c r="E926" i="1"/>
  <c r="D926" i="1"/>
  <c r="C926" i="1"/>
  <c r="B926" i="1"/>
  <c r="A926" i="1"/>
  <c r="O925" i="1"/>
  <c r="L925" i="1"/>
  <c r="K925" i="1"/>
  <c r="J925" i="1"/>
  <c r="I925" i="1"/>
  <c r="H925" i="1"/>
  <c r="G925" i="1"/>
  <c r="F925" i="1"/>
  <c r="E925" i="1"/>
  <c r="D925" i="1"/>
  <c r="C925" i="1"/>
  <c r="B925" i="1"/>
  <c r="A925" i="1"/>
  <c r="O924" i="1"/>
  <c r="L924" i="1"/>
  <c r="K924" i="1"/>
  <c r="J924" i="1"/>
  <c r="I924" i="1"/>
  <c r="H924" i="1"/>
  <c r="G924" i="1"/>
  <c r="F924" i="1"/>
  <c r="E924" i="1"/>
  <c r="D924" i="1"/>
  <c r="C924" i="1"/>
  <c r="B924" i="1"/>
  <c r="A924" i="1"/>
  <c r="O923" i="1"/>
  <c r="L923" i="1"/>
  <c r="K923" i="1"/>
  <c r="J923" i="1"/>
  <c r="I923" i="1"/>
  <c r="H923" i="1"/>
  <c r="G923" i="1"/>
  <c r="F923" i="1"/>
  <c r="E923" i="1"/>
  <c r="D923" i="1"/>
  <c r="C923" i="1"/>
  <c r="B923" i="1"/>
  <c r="A923" i="1"/>
  <c r="O922" i="1"/>
  <c r="L922" i="1"/>
  <c r="K922" i="1"/>
  <c r="J922" i="1"/>
  <c r="I922" i="1"/>
  <c r="H922" i="1"/>
  <c r="G922" i="1"/>
  <c r="F922" i="1"/>
  <c r="E922" i="1"/>
  <c r="D922" i="1"/>
  <c r="C922" i="1"/>
  <c r="B922" i="1"/>
  <c r="A922" i="1"/>
  <c r="O921" i="1"/>
  <c r="L921" i="1"/>
  <c r="K921" i="1"/>
  <c r="J921" i="1"/>
  <c r="I921" i="1"/>
  <c r="H921" i="1"/>
  <c r="G921" i="1"/>
  <c r="F921" i="1"/>
  <c r="E921" i="1"/>
  <c r="D921" i="1"/>
  <c r="C921" i="1"/>
  <c r="B921" i="1"/>
  <c r="A921" i="1"/>
  <c r="O920" i="1"/>
  <c r="L920" i="1"/>
  <c r="K920" i="1"/>
  <c r="J920" i="1"/>
  <c r="I920" i="1"/>
  <c r="H920" i="1"/>
  <c r="G920" i="1"/>
  <c r="F920" i="1"/>
  <c r="E920" i="1"/>
  <c r="D920" i="1"/>
  <c r="C920" i="1"/>
  <c r="B920" i="1"/>
  <c r="A920" i="1"/>
  <c r="O919" i="1"/>
  <c r="L919" i="1"/>
  <c r="K919" i="1"/>
  <c r="J919" i="1"/>
  <c r="I919" i="1"/>
  <c r="H919" i="1"/>
  <c r="G919" i="1"/>
  <c r="F919" i="1"/>
  <c r="E919" i="1"/>
  <c r="D919" i="1"/>
  <c r="C919" i="1"/>
  <c r="B919" i="1"/>
  <c r="A919" i="1"/>
  <c r="O918" i="1"/>
  <c r="L918" i="1"/>
  <c r="K918" i="1"/>
  <c r="J918" i="1"/>
  <c r="I918" i="1"/>
  <c r="H918" i="1"/>
  <c r="G918" i="1"/>
  <c r="F918" i="1"/>
  <c r="E918" i="1"/>
  <c r="D918" i="1"/>
  <c r="C918" i="1"/>
  <c r="B918" i="1"/>
  <c r="A918" i="1"/>
  <c r="O917" i="1"/>
  <c r="L917" i="1"/>
  <c r="K917" i="1"/>
  <c r="J917" i="1"/>
  <c r="I917" i="1"/>
  <c r="H917" i="1"/>
  <c r="G917" i="1"/>
  <c r="F917" i="1"/>
  <c r="E917" i="1"/>
  <c r="D917" i="1"/>
  <c r="C917" i="1"/>
  <c r="B917" i="1"/>
  <c r="A917" i="1"/>
  <c r="O916" i="1"/>
  <c r="L916" i="1"/>
  <c r="K916" i="1"/>
  <c r="J916" i="1"/>
  <c r="I916" i="1"/>
  <c r="H916" i="1"/>
  <c r="G916" i="1"/>
  <c r="F916" i="1"/>
  <c r="E916" i="1"/>
  <c r="D916" i="1"/>
  <c r="C916" i="1"/>
  <c r="B916" i="1"/>
  <c r="A916" i="1"/>
  <c r="O915" i="1"/>
  <c r="L915" i="1"/>
  <c r="K915" i="1"/>
  <c r="J915" i="1"/>
  <c r="I915" i="1"/>
  <c r="H915" i="1"/>
  <c r="G915" i="1"/>
  <c r="F915" i="1"/>
  <c r="E915" i="1"/>
  <c r="D915" i="1"/>
  <c r="C915" i="1"/>
  <c r="B915" i="1"/>
  <c r="A915" i="1"/>
  <c r="O914" i="1"/>
  <c r="L914" i="1"/>
  <c r="K914" i="1"/>
  <c r="J914" i="1"/>
  <c r="I914" i="1"/>
  <c r="H914" i="1"/>
  <c r="G914" i="1"/>
  <c r="F914" i="1"/>
  <c r="E914" i="1"/>
  <c r="D914" i="1"/>
  <c r="C914" i="1"/>
  <c r="B914" i="1"/>
  <c r="A914" i="1"/>
  <c r="O913" i="1"/>
  <c r="L913" i="1"/>
  <c r="K913" i="1"/>
  <c r="J913" i="1"/>
  <c r="I913" i="1"/>
  <c r="H913" i="1"/>
  <c r="G913" i="1"/>
  <c r="F913" i="1"/>
  <c r="E913" i="1"/>
  <c r="D913" i="1"/>
  <c r="C913" i="1"/>
  <c r="B913" i="1"/>
  <c r="A913" i="1"/>
  <c r="O912" i="1"/>
  <c r="L912" i="1"/>
  <c r="K912" i="1"/>
  <c r="J912" i="1"/>
  <c r="I912" i="1"/>
  <c r="H912" i="1"/>
  <c r="G912" i="1"/>
  <c r="F912" i="1"/>
  <c r="E912" i="1"/>
  <c r="D912" i="1"/>
  <c r="C912" i="1"/>
  <c r="B912" i="1"/>
  <c r="A912" i="1"/>
  <c r="O911" i="1"/>
  <c r="L911" i="1"/>
  <c r="K911" i="1"/>
  <c r="J911" i="1"/>
  <c r="I911" i="1"/>
  <c r="H911" i="1"/>
  <c r="G911" i="1"/>
  <c r="F911" i="1"/>
  <c r="E911" i="1"/>
  <c r="D911" i="1"/>
  <c r="C911" i="1"/>
  <c r="B911" i="1"/>
  <c r="A911" i="1"/>
  <c r="O910" i="1"/>
  <c r="L910" i="1"/>
  <c r="K910" i="1"/>
  <c r="J910" i="1"/>
  <c r="I910" i="1"/>
  <c r="H910" i="1"/>
  <c r="G910" i="1"/>
  <c r="F910" i="1"/>
  <c r="E910" i="1"/>
  <c r="D910" i="1"/>
  <c r="C910" i="1"/>
  <c r="B910" i="1"/>
  <c r="A910" i="1"/>
  <c r="O909" i="1"/>
  <c r="L909" i="1"/>
  <c r="K909" i="1"/>
  <c r="J909" i="1"/>
  <c r="I909" i="1"/>
  <c r="H909" i="1"/>
  <c r="G909" i="1"/>
  <c r="F909" i="1"/>
  <c r="E909" i="1"/>
  <c r="D909" i="1"/>
  <c r="C909" i="1"/>
  <c r="B909" i="1"/>
  <c r="A909" i="1"/>
  <c r="O908" i="1"/>
  <c r="L908" i="1"/>
  <c r="K908" i="1"/>
  <c r="J908" i="1"/>
  <c r="I908" i="1"/>
  <c r="H908" i="1"/>
  <c r="G908" i="1"/>
  <c r="F908" i="1"/>
  <c r="E908" i="1"/>
  <c r="D908" i="1"/>
  <c r="C908" i="1"/>
  <c r="B908" i="1"/>
  <c r="A908" i="1"/>
  <c r="O907" i="1"/>
  <c r="L907" i="1"/>
  <c r="K907" i="1"/>
  <c r="J907" i="1"/>
  <c r="I907" i="1"/>
  <c r="H907" i="1"/>
  <c r="G907" i="1"/>
  <c r="F907" i="1"/>
  <c r="E907" i="1"/>
  <c r="D907" i="1"/>
  <c r="C907" i="1"/>
  <c r="B907" i="1"/>
  <c r="A907" i="1"/>
  <c r="O906" i="1"/>
  <c r="L906" i="1"/>
  <c r="K906" i="1"/>
  <c r="J906" i="1"/>
  <c r="I906" i="1"/>
  <c r="H906" i="1"/>
  <c r="G906" i="1"/>
  <c r="F906" i="1"/>
  <c r="E906" i="1"/>
  <c r="D906" i="1"/>
  <c r="C906" i="1"/>
  <c r="B906" i="1"/>
  <c r="A906" i="1"/>
  <c r="O905" i="1"/>
  <c r="L905" i="1"/>
  <c r="K905" i="1"/>
  <c r="J905" i="1"/>
  <c r="I905" i="1"/>
  <c r="H905" i="1"/>
  <c r="G905" i="1"/>
  <c r="F905" i="1"/>
  <c r="E905" i="1"/>
  <c r="D905" i="1"/>
  <c r="C905" i="1"/>
  <c r="B905" i="1"/>
  <c r="A905" i="1"/>
  <c r="O904" i="1"/>
  <c r="L904" i="1"/>
  <c r="K904" i="1"/>
  <c r="J904" i="1"/>
  <c r="I904" i="1"/>
  <c r="H904" i="1"/>
  <c r="G904" i="1"/>
  <c r="F904" i="1"/>
  <c r="E904" i="1"/>
  <c r="D904" i="1"/>
  <c r="C904" i="1"/>
  <c r="B904" i="1"/>
  <c r="A904" i="1"/>
  <c r="O903" i="1"/>
  <c r="L903" i="1"/>
  <c r="K903" i="1"/>
  <c r="J903" i="1"/>
  <c r="I903" i="1"/>
  <c r="H903" i="1"/>
  <c r="G903" i="1"/>
  <c r="F903" i="1"/>
  <c r="E903" i="1"/>
  <c r="D903" i="1"/>
  <c r="C903" i="1"/>
  <c r="B903" i="1"/>
  <c r="A903" i="1"/>
  <c r="O902" i="1"/>
  <c r="L902" i="1"/>
  <c r="K902" i="1"/>
  <c r="J902" i="1"/>
  <c r="I902" i="1"/>
  <c r="H902" i="1"/>
  <c r="G902" i="1"/>
  <c r="F902" i="1"/>
  <c r="E902" i="1"/>
  <c r="D902" i="1"/>
  <c r="C902" i="1"/>
  <c r="B902" i="1"/>
  <c r="A902" i="1"/>
  <c r="O901" i="1"/>
  <c r="L901" i="1"/>
  <c r="K901" i="1"/>
  <c r="J901" i="1"/>
  <c r="I901" i="1"/>
  <c r="H901" i="1"/>
  <c r="G901" i="1"/>
  <c r="F901" i="1"/>
  <c r="E901" i="1"/>
  <c r="D901" i="1"/>
  <c r="C901" i="1"/>
  <c r="B901" i="1"/>
  <c r="A901" i="1"/>
  <c r="O900" i="1"/>
  <c r="L900" i="1"/>
  <c r="K900" i="1"/>
  <c r="J900" i="1"/>
  <c r="I900" i="1"/>
  <c r="H900" i="1"/>
  <c r="G900" i="1"/>
  <c r="F900" i="1"/>
  <c r="E900" i="1"/>
  <c r="D900" i="1"/>
  <c r="C900" i="1"/>
  <c r="B900" i="1"/>
  <c r="A900" i="1"/>
  <c r="O899" i="1"/>
  <c r="L899" i="1"/>
  <c r="K899" i="1"/>
  <c r="J899" i="1"/>
  <c r="I899" i="1"/>
  <c r="H899" i="1"/>
  <c r="G899" i="1"/>
  <c r="F899" i="1"/>
  <c r="E899" i="1"/>
  <c r="D899" i="1"/>
  <c r="C899" i="1"/>
  <c r="B899" i="1"/>
  <c r="A899" i="1"/>
  <c r="O898" i="1"/>
  <c r="L898" i="1"/>
  <c r="K898" i="1"/>
  <c r="J898" i="1"/>
  <c r="I898" i="1"/>
  <c r="H898" i="1"/>
  <c r="G898" i="1"/>
  <c r="F898" i="1"/>
  <c r="E898" i="1"/>
  <c r="D898" i="1"/>
  <c r="C898" i="1"/>
  <c r="B898" i="1"/>
  <c r="A898" i="1"/>
  <c r="O897" i="1"/>
  <c r="L897" i="1"/>
  <c r="K897" i="1"/>
  <c r="J897" i="1"/>
  <c r="I897" i="1"/>
  <c r="H897" i="1"/>
  <c r="G897" i="1"/>
  <c r="F897" i="1"/>
  <c r="E897" i="1"/>
  <c r="D897" i="1"/>
  <c r="C897" i="1"/>
  <c r="B897" i="1"/>
  <c r="A897" i="1"/>
  <c r="O896" i="1"/>
  <c r="L896" i="1"/>
  <c r="K896" i="1"/>
  <c r="J896" i="1"/>
  <c r="I896" i="1"/>
  <c r="H896" i="1"/>
  <c r="G896" i="1"/>
  <c r="F896" i="1"/>
  <c r="E896" i="1"/>
  <c r="D896" i="1"/>
  <c r="C896" i="1"/>
  <c r="B896" i="1"/>
  <c r="A896" i="1"/>
  <c r="O895" i="1"/>
  <c r="L895" i="1"/>
  <c r="K895" i="1"/>
  <c r="J895" i="1"/>
  <c r="I895" i="1"/>
  <c r="H895" i="1"/>
  <c r="G895" i="1"/>
  <c r="F895" i="1"/>
  <c r="E895" i="1"/>
  <c r="D895" i="1"/>
  <c r="C895" i="1"/>
  <c r="B895" i="1"/>
  <c r="A895" i="1"/>
  <c r="O894" i="1"/>
  <c r="L894" i="1"/>
  <c r="K894" i="1"/>
  <c r="J894" i="1"/>
  <c r="I894" i="1"/>
  <c r="H894" i="1"/>
  <c r="G894" i="1"/>
  <c r="F894" i="1"/>
  <c r="E894" i="1"/>
  <c r="D894" i="1"/>
  <c r="C894" i="1"/>
  <c r="B894" i="1"/>
  <c r="A894" i="1"/>
  <c r="O893" i="1"/>
  <c r="L893" i="1"/>
  <c r="K893" i="1"/>
  <c r="J893" i="1"/>
  <c r="I893" i="1"/>
  <c r="H893" i="1"/>
  <c r="G893" i="1"/>
  <c r="F893" i="1"/>
  <c r="E893" i="1"/>
  <c r="D893" i="1"/>
  <c r="C893" i="1"/>
  <c r="B893" i="1"/>
  <c r="A893" i="1"/>
  <c r="O892" i="1"/>
  <c r="L892" i="1"/>
  <c r="K892" i="1"/>
  <c r="J892" i="1"/>
  <c r="I892" i="1"/>
  <c r="H892" i="1"/>
  <c r="G892" i="1"/>
  <c r="F892" i="1"/>
  <c r="E892" i="1"/>
  <c r="D892" i="1"/>
  <c r="C892" i="1"/>
  <c r="B892" i="1"/>
  <c r="A892" i="1"/>
  <c r="O891" i="1"/>
  <c r="L891" i="1"/>
  <c r="K891" i="1"/>
  <c r="J891" i="1"/>
  <c r="I891" i="1"/>
  <c r="H891" i="1"/>
  <c r="G891" i="1"/>
  <c r="F891" i="1"/>
  <c r="E891" i="1"/>
  <c r="D891" i="1"/>
  <c r="C891" i="1"/>
  <c r="B891" i="1"/>
  <c r="A891" i="1"/>
  <c r="O890" i="1"/>
  <c r="L890" i="1"/>
  <c r="K890" i="1"/>
  <c r="J890" i="1"/>
  <c r="I890" i="1"/>
  <c r="H890" i="1"/>
  <c r="G890" i="1"/>
  <c r="F890" i="1"/>
  <c r="E890" i="1"/>
  <c r="D890" i="1"/>
  <c r="C890" i="1"/>
  <c r="B890" i="1"/>
  <c r="A890" i="1"/>
  <c r="O889" i="1"/>
  <c r="L889" i="1"/>
  <c r="K889" i="1"/>
  <c r="J889" i="1"/>
  <c r="I889" i="1"/>
  <c r="H889" i="1"/>
  <c r="G889" i="1"/>
  <c r="F889" i="1"/>
  <c r="E889" i="1"/>
  <c r="D889" i="1"/>
  <c r="C889" i="1"/>
  <c r="B889" i="1"/>
  <c r="A889" i="1"/>
  <c r="O888" i="1"/>
  <c r="L888" i="1"/>
  <c r="K888" i="1"/>
  <c r="J888" i="1"/>
  <c r="I888" i="1"/>
  <c r="H888" i="1"/>
  <c r="G888" i="1"/>
  <c r="F888" i="1"/>
  <c r="E888" i="1"/>
  <c r="D888" i="1"/>
  <c r="C888" i="1"/>
  <c r="B888" i="1"/>
  <c r="A888" i="1"/>
  <c r="O887" i="1"/>
  <c r="L887" i="1"/>
  <c r="K887" i="1"/>
  <c r="J887" i="1"/>
  <c r="I887" i="1"/>
  <c r="H887" i="1"/>
  <c r="G887" i="1"/>
  <c r="F887" i="1"/>
  <c r="E887" i="1"/>
  <c r="D887" i="1"/>
  <c r="C887" i="1"/>
  <c r="B887" i="1"/>
  <c r="A887" i="1"/>
  <c r="O886" i="1"/>
  <c r="L886" i="1"/>
  <c r="K886" i="1"/>
  <c r="J886" i="1"/>
  <c r="I886" i="1"/>
  <c r="H886" i="1"/>
  <c r="G886" i="1"/>
  <c r="F886" i="1"/>
  <c r="E886" i="1"/>
  <c r="D886" i="1"/>
  <c r="C886" i="1"/>
  <c r="B886" i="1"/>
  <c r="A886" i="1"/>
  <c r="O885" i="1"/>
  <c r="L885" i="1"/>
  <c r="K885" i="1"/>
  <c r="J885" i="1"/>
  <c r="I885" i="1"/>
  <c r="H885" i="1"/>
  <c r="G885" i="1"/>
  <c r="F885" i="1"/>
  <c r="E885" i="1"/>
  <c r="D885" i="1"/>
  <c r="C885" i="1"/>
  <c r="B885" i="1"/>
  <c r="A885" i="1"/>
  <c r="O884" i="1"/>
  <c r="L884" i="1"/>
  <c r="K884" i="1"/>
  <c r="J884" i="1"/>
  <c r="I884" i="1"/>
  <c r="H884" i="1"/>
  <c r="G884" i="1"/>
  <c r="F884" i="1"/>
  <c r="E884" i="1"/>
  <c r="D884" i="1"/>
  <c r="C884" i="1"/>
  <c r="B884" i="1"/>
  <c r="A884" i="1"/>
  <c r="O883" i="1"/>
  <c r="L883" i="1"/>
  <c r="K883" i="1"/>
  <c r="J883" i="1"/>
  <c r="I883" i="1"/>
  <c r="H883" i="1"/>
  <c r="G883" i="1"/>
  <c r="F883" i="1"/>
  <c r="E883" i="1"/>
  <c r="D883" i="1"/>
  <c r="C883" i="1"/>
  <c r="B883" i="1"/>
  <c r="A883" i="1"/>
  <c r="O882" i="1"/>
  <c r="L882" i="1"/>
  <c r="K882" i="1"/>
  <c r="J882" i="1"/>
  <c r="I882" i="1"/>
  <c r="H882" i="1"/>
  <c r="G882" i="1"/>
  <c r="F882" i="1"/>
  <c r="E882" i="1"/>
  <c r="D882" i="1"/>
  <c r="C882" i="1"/>
  <c r="B882" i="1"/>
  <c r="A882" i="1"/>
  <c r="O881" i="1"/>
  <c r="L881" i="1"/>
  <c r="K881" i="1"/>
  <c r="J881" i="1"/>
  <c r="I881" i="1"/>
  <c r="H881" i="1"/>
  <c r="G881" i="1"/>
  <c r="F881" i="1"/>
  <c r="E881" i="1"/>
  <c r="D881" i="1"/>
  <c r="C881" i="1"/>
  <c r="B881" i="1"/>
  <c r="A881" i="1"/>
  <c r="O880" i="1"/>
  <c r="L880" i="1"/>
  <c r="K880" i="1"/>
  <c r="J880" i="1"/>
  <c r="I880" i="1"/>
  <c r="H880" i="1"/>
  <c r="G880" i="1"/>
  <c r="F880" i="1"/>
  <c r="E880" i="1"/>
  <c r="D880" i="1"/>
  <c r="C880" i="1"/>
  <c r="B880" i="1"/>
  <c r="A880" i="1"/>
  <c r="O879" i="1"/>
  <c r="L879" i="1"/>
  <c r="K879" i="1"/>
  <c r="J879" i="1"/>
  <c r="I879" i="1"/>
  <c r="H879" i="1"/>
  <c r="G879" i="1"/>
  <c r="F879" i="1"/>
  <c r="E879" i="1"/>
  <c r="D879" i="1"/>
  <c r="C879" i="1"/>
  <c r="B879" i="1"/>
  <c r="A879" i="1"/>
  <c r="O878" i="1"/>
  <c r="L878" i="1"/>
  <c r="K878" i="1"/>
  <c r="J878" i="1"/>
  <c r="I878" i="1"/>
  <c r="H878" i="1"/>
  <c r="G878" i="1"/>
  <c r="F878" i="1"/>
  <c r="E878" i="1"/>
  <c r="D878" i="1"/>
  <c r="C878" i="1"/>
  <c r="B878" i="1"/>
  <c r="A878" i="1"/>
  <c r="O877" i="1"/>
  <c r="L877" i="1"/>
  <c r="K877" i="1"/>
  <c r="J877" i="1"/>
  <c r="I877" i="1"/>
  <c r="H877" i="1"/>
  <c r="G877" i="1"/>
  <c r="F877" i="1"/>
  <c r="E877" i="1"/>
  <c r="D877" i="1"/>
  <c r="C877" i="1"/>
  <c r="B877" i="1"/>
  <c r="A877" i="1"/>
  <c r="O876" i="1"/>
  <c r="L876" i="1"/>
  <c r="K876" i="1"/>
  <c r="J876" i="1"/>
  <c r="I876" i="1"/>
  <c r="H876" i="1"/>
  <c r="G876" i="1"/>
  <c r="F876" i="1"/>
  <c r="E876" i="1"/>
  <c r="D876" i="1"/>
  <c r="C876" i="1"/>
  <c r="B876" i="1"/>
  <c r="A876" i="1"/>
  <c r="O875" i="1"/>
  <c r="L875" i="1"/>
  <c r="K875" i="1"/>
  <c r="J875" i="1"/>
  <c r="I875" i="1"/>
  <c r="H875" i="1"/>
  <c r="G875" i="1"/>
  <c r="F875" i="1"/>
  <c r="E875" i="1"/>
  <c r="D875" i="1"/>
  <c r="C875" i="1"/>
  <c r="B875" i="1"/>
  <c r="A875" i="1"/>
  <c r="O874" i="1"/>
  <c r="L874" i="1"/>
  <c r="K874" i="1"/>
  <c r="J874" i="1"/>
  <c r="I874" i="1"/>
  <c r="H874" i="1"/>
  <c r="G874" i="1"/>
  <c r="F874" i="1"/>
  <c r="E874" i="1"/>
  <c r="D874" i="1"/>
  <c r="C874" i="1"/>
  <c r="B874" i="1"/>
  <c r="A874" i="1"/>
  <c r="O873" i="1"/>
  <c r="L873" i="1"/>
  <c r="K873" i="1"/>
  <c r="J873" i="1"/>
  <c r="I873" i="1"/>
  <c r="H873" i="1"/>
  <c r="G873" i="1"/>
  <c r="F873" i="1"/>
  <c r="E873" i="1"/>
  <c r="D873" i="1"/>
  <c r="C873" i="1"/>
  <c r="B873" i="1"/>
  <c r="A873" i="1"/>
  <c r="O872" i="1"/>
  <c r="L872" i="1"/>
  <c r="K872" i="1"/>
  <c r="J872" i="1"/>
  <c r="I872" i="1"/>
  <c r="H872" i="1"/>
  <c r="G872" i="1"/>
  <c r="F872" i="1"/>
  <c r="E872" i="1"/>
  <c r="D872" i="1"/>
  <c r="C872" i="1"/>
  <c r="B872" i="1"/>
  <c r="A872" i="1"/>
  <c r="O871" i="1"/>
  <c r="L871" i="1"/>
  <c r="K871" i="1"/>
  <c r="J871" i="1"/>
  <c r="I871" i="1"/>
  <c r="H871" i="1"/>
  <c r="G871" i="1"/>
  <c r="F871" i="1"/>
  <c r="E871" i="1"/>
  <c r="D871" i="1"/>
  <c r="C871" i="1"/>
  <c r="B871" i="1"/>
  <c r="A871" i="1"/>
  <c r="O870" i="1"/>
  <c r="L870" i="1"/>
  <c r="K870" i="1"/>
  <c r="J870" i="1"/>
  <c r="I870" i="1"/>
  <c r="H870" i="1"/>
  <c r="G870" i="1"/>
  <c r="F870" i="1"/>
  <c r="E870" i="1"/>
  <c r="D870" i="1"/>
  <c r="C870" i="1"/>
  <c r="B870" i="1"/>
  <c r="A870" i="1"/>
  <c r="O869" i="1"/>
  <c r="L869" i="1"/>
  <c r="K869" i="1"/>
  <c r="J869" i="1"/>
  <c r="I869" i="1"/>
  <c r="H869" i="1"/>
  <c r="G869" i="1"/>
  <c r="F869" i="1"/>
  <c r="E869" i="1"/>
  <c r="D869" i="1"/>
  <c r="C869" i="1"/>
  <c r="B869" i="1"/>
  <c r="A869" i="1"/>
  <c r="O868" i="1"/>
  <c r="L868" i="1"/>
  <c r="K868" i="1"/>
  <c r="J868" i="1"/>
  <c r="I868" i="1"/>
  <c r="H868" i="1"/>
  <c r="G868" i="1"/>
  <c r="F868" i="1"/>
  <c r="E868" i="1"/>
  <c r="D868" i="1"/>
  <c r="C868" i="1"/>
  <c r="B868" i="1"/>
  <c r="A868" i="1"/>
  <c r="O867" i="1"/>
  <c r="L867" i="1"/>
  <c r="K867" i="1"/>
  <c r="J867" i="1"/>
  <c r="I867" i="1"/>
  <c r="H867" i="1"/>
  <c r="G867" i="1"/>
  <c r="F867" i="1"/>
  <c r="E867" i="1"/>
  <c r="D867" i="1"/>
  <c r="C867" i="1"/>
  <c r="B867" i="1"/>
  <c r="A867" i="1"/>
  <c r="O866" i="1"/>
  <c r="L866" i="1"/>
  <c r="K866" i="1"/>
  <c r="J866" i="1"/>
  <c r="I866" i="1"/>
  <c r="H866" i="1"/>
  <c r="G866" i="1"/>
  <c r="F866" i="1"/>
  <c r="E866" i="1"/>
  <c r="D866" i="1"/>
  <c r="C866" i="1"/>
  <c r="B866" i="1"/>
  <c r="A866" i="1"/>
  <c r="O865" i="1"/>
  <c r="L865" i="1"/>
  <c r="K865" i="1"/>
  <c r="J865" i="1"/>
  <c r="I865" i="1"/>
  <c r="H865" i="1"/>
  <c r="G865" i="1"/>
  <c r="F865" i="1"/>
  <c r="E865" i="1"/>
  <c r="D865" i="1"/>
  <c r="C865" i="1"/>
  <c r="B865" i="1"/>
  <c r="A865" i="1"/>
  <c r="O864" i="1"/>
  <c r="L864" i="1"/>
  <c r="K864" i="1"/>
  <c r="J864" i="1"/>
  <c r="I864" i="1"/>
  <c r="H864" i="1"/>
  <c r="G864" i="1"/>
  <c r="F864" i="1"/>
  <c r="E864" i="1"/>
  <c r="D864" i="1"/>
  <c r="C864" i="1"/>
  <c r="B864" i="1"/>
  <c r="A864" i="1"/>
  <c r="O863" i="1"/>
  <c r="L863" i="1"/>
  <c r="K863" i="1"/>
  <c r="J863" i="1"/>
  <c r="I863" i="1"/>
  <c r="H863" i="1"/>
  <c r="G863" i="1"/>
  <c r="F863" i="1"/>
  <c r="E863" i="1"/>
  <c r="D863" i="1"/>
  <c r="C863" i="1"/>
  <c r="B863" i="1"/>
  <c r="A863" i="1"/>
  <c r="O862" i="1"/>
  <c r="L862" i="1"/>
  <c r="K862" i="1"/>
  <c r="J862" i="1"/>
  <c r="I862" i="1"/>
  <c r="H862" i="1"/>
  <c r="G862" i="1"/>
  <c r="F862" i="1"/>
  <c r="E862" i="1"/>
  <c r="D862" i="1"/>
  <c r="C862" i="1"/>
  <c r="B862" i="1"/>
  <c r="A862" i="1"/>
  <c r="O861" i="1"/>
  <c r="L861" i="1"/>
  <c r="K861" i="1"/>
  <c r="J861" i="1"/>
  <c r="I861" i="1"/>
  <c r="H861" i="1"/>
  <c r="G861" i="1"/>
  <c r="F861" i="1"/>
  <c r="E861" i="1"/>
  <c r="D861" i="1"/>
  <c r="C861" i="1"/>
  <c r="B861" i="1"/>
  <c r="A861" i="1"/>
  <c r="O860" i="1"/>
  <c r="L860" i="1"/>
  <c r="K860" i="1"/>
  <c r="J860" i="1"/>
  <c r="I860" i="1"/>
  <c r="H860" i="1"/>
  <c r="G860" i="1"/>
  <c r="F860" i="1"/>
  <c r="E860" i="1"/>
  <c r="D860" i="1"/>
  <c r="C860" i="1"/>
  <c r="B860" i="1"/>
  <c r="A860" i="1"/>
  <c r="O859" i="1"/>
  <c r="L859" i="1"/>
  <c r="K859" i="1"/>
  <c r="J859" i="1"/>
  <c r="I859" i="1"/>
  <c r="H859" i="1"/>
  <c r="G859" i="1"/>
  <c r="F859" i="1"/>
  <c r="E859" i="1"/>
  <c r="D859" i="1"/>
  <c r="C859" i="1"/>
  <c r="B859" i="1"/>
  <c r="A859" i="1"/>
  <c r="O858" i="1"/>
  <c r="L858" i="1"/>
  <c r="K858" i="1"/>
  <c r="J858" i="1"/>
  <c r="I858" i="1"/>
  <c r="H858" i="1"/>
  <c r="G858" i="1"/>
  <c r="F858" i="1"/>
  <c r="E858" i="1"/>
  <c r="D858" i="1"/>
  <c r="C858" i="1"/>
  <c r="B858" i="1"/>
  <c r="A858" i="1"/>
  <c r="O857" i="1"/>
  <c r="L857" i="1"/>
  <c r="K857" i="1"/>
  <c r="J857" i="1"/>
  <c r="I857" i="1"/>
  <c r="H857" i="1"/>
  <c r="G857" i="1"/>
  <c r="F857" i="1"/>
  <c r="E857" i="1"/>
  <c r="D857" i="1"/>
  <c r="C857" i="1"/>
  <c r="B857" i="1"/>
  <c r="A857" i="1"/>
  <c r="O856" i="1"/>
  <c r="L856" i="1"/>
  <c r="K856" i="1"/>
  <c r="J856" i="1"/>
  <c r="I856" i="1"/>
  <c r="H856" i="1"/>
  <c r="G856" i="1"/>
  <c r="F856" i="1"/>
  <c r="E856" i="1"/>
  <c r="D856" i="1"/>
  <c r="C856" i="1"/>
  <c r="B856" i="1"/>
  <c r="A856" i="1"/>
  <c r="O855" i="1"/>
  <c r="L855" i="1"/>
  <c r="K855" i="1"/>
  <c r="J855" i="1"/>
  <c r="I855" i="1"/>
  <c r="H855" i="1"/>
  <c r="G855" i="1"/>
  <c r="F855" i="1"/>
  <c r="E855" i="1"/>
  <c r="D855" i="1"/>
  <c r="C855" i="1"/>
  <c r="B855" i="1"/>
  <c r="A855" i="1"/>
  <c r="O854" i="1"/>
  <c r="L854" i="1"/>
  <c r="K854" i="1"/>
  <c r="J854" i="1"/>
  <c r="I854" i="1"/>
  <c r="H854" i="1"/>
  <c r="G854" i="1"/>
  <c r="F854" i="1"/>
  <c r="E854" i="1"/>
  <c r="D854" i="1"/>
  <c r="C854" i="1"/>
  <c r="B854" i="1"/>
  <c r="A854" i="1"/>
  <c r="P853" i="1"/>
  <c r="O853" i="1"/>
  <c r="L853" i="1"/>
  <c r="K853" i="1"/>
  <c r="J853" i="1"/>
  <c r="I853" i="1"/>
  <c r="H853" i="1"/>
  <c r="G853" i="1"/>
  <c r="F853" i="1"/>
  <c r="E853" i="1"/>
  <c r="D853" i="1"/>
  <c r="C853" i="1"/>
  <c r="B853" i="1"/>
  <c r="A853" i="1"/>
  <c r="O852" i="1"/>
  <c r="L852" i="1"/>
  <c r="K852" i="1"/>
  <c r="J852" i="1"/>
  <c r="I852" i="1"/>
  <c r="H852" i="1"/>
  <c r="G852" i="1"/>
  <c r="F852" i="1"/>
  <c r="E852" i="1"/>
  <c r="D852" i="1"/>
  <c r="C852" i="1"/>
  <c r="B852" i="1"/>
  <c r="A852" i="1"/>
  <c r="O851" i="1"/>
  <c r="L851" i="1"/>
  <c r="K851" i="1"/>
  <c r="J851" i="1"/>
  <c r="I851" i="1"/>
  <c r="H851" i="1"/>
  <c r="G851" i="1"/>
  <c r="F851" i="1"/>
  <c r="E851" i="1"/>
  <c r="D851" i="1"/>
  <c r="C851" i="1"/>
  <c r="B851" i="1"/>
  <c r="A851" i="1"/>
  <c r="O850" i="1"/>
  <c r="L850" i="1"/>
  <c r="K850" i="1"/>
  <c r="J850" i="1"/>
  <c r="I850" i="1"/>
  <c r="H850" i="1"/>
  <c r="G850" i="1"/>
  <c r="F850" i="1"/>
  <c r="E850" i="1"/>
  <c r="D850" i="1"/>
  <c r="C850" i="1"/>
  <c r="B850" i="1"/>
  <c r="A850" i="1"/>
  <c r="O849" i="1"/>
  <c r="L849" i="1"/>
  <c r="K849" i="1"/>
  <c r="J849" i="1"/>
  <c r="I849" i="1"/>
  <c r="H849" i="1"/>
  <c r="G849" i="1"/>
  <c r="F849" i="1"/>
  <c r="E849" i="1"/>
  <c r="D849" i="1"/>
  <c r="C849" i="1"/>
  <c r="B849" i="1"/>
  <c r="A849" i="1"/>
  <c r="O848" i="1"/>
  <c r="L848" i="1"/>
  <c r="K848" i="1"/>
  <c r="J848" i="1"/>
  <c r="I848" i="1"/>
  <c r="H848" i="1"/>
  <c r="G848" i="1"/>
  <c r="F848" i="1"/>
  <c r="E848" i="1"/>
  <c r="D848" i="1"/>
  <c r="C848" i="1"/>
  <c r="B848" i="1"/>
  <c r="A848" i="1"/>
  <c r="O847" i="1"/>
  <c r="L847" i="1"/>
  <c r="K847" i="1"/>
  <c r="J847" i="1"/>
  <c r="I847" i="1"/>
  <c r="H847" i="1"/>
  <c r="G847" i="1"/>
  <c r="F847" i="1"/>
  <c r="E847" i="1"/>
  <c r="D847" i="1"/>
  <c r="C847" i="1"/>
  <c r="B847" i="1"/>
  <c r="A847" i="1"/>
  <c r="O846" i="1"/>
  <c r="L846" i="1"/>
  <c r="K846" i="1"/>
  <c r="J846" i="1"/>
  <c r="I846" i="1"/>
  <c r="H846" i="1"/>
  <c r="G846" i="1"/>
  <c r="F846" i="1"/>
  <c r="E846" i="1"/>
  <c r="D846" i="1"/>
  <c r="C846" i="1"/>
  <c r="B846" i="1"/>
  <c r="A846" i="1"/>
  <c r="O845" i="1"/>
  <c r="L845" i="1"/>
  <c r="K845" i="1"/>
  <c r="J845" i="1"/>
  <c r="I845" i="1"/>
  <c r="H845" i="1"/>
  <c r="G845" i="1"/>
  <c r="F845" i="1"/>
  <c r="E845" i="1"/>
  <c r="D845" i="1"/>
  <c r="C845" i="1"/>
  <c r="B845" i="1"/>
  <c r="A845" i="1"/>
  <c r="O844" i="1"/>
  <c r="L844" i="1"/>
  <c r="K844" i="1"/>
  <c r="J844" i="1"/>
  <c r="I844" i="1"/>
  <c r="H844" i="1"/>
  <c r="G844" i="1"/>
  <c r="F844" i="1"/>
  <c r="E844" i="1"/>
  <c r="D844" i="1"/>
  <c r="C844" i="1"/>
  <c r="B844" i="1"/>
  <c r="A844" i="1"/>
  <c r="O843" i="1"/>
  <c r="L843" i="1"/>
  <c r="K843" i="1"/>
  <c r="J843" i="1"/>
  <c r="I843" i="1"/>
  <c r="H843" i="1"/>
  <c r="G843" i="1"/>
  <c r="F843" i="1"/>
  <c r="E843" i="1"/>
  <c r="D843" i="1"/>
  <c r="C843" i="1"/>
  <c r="B843" i="1"/>
  <c r="A843" i="1"/>
  <c r="O842" i="1"/>
  <c r="L842" i="1"/>
  <c r="K842" i="1"/>
  <c r="J842" i="1"/>
  <c r="I842" i="1"/>
  <c r="H842" i="1"/>
  <c r="G842" i="1"/>
  <c r="F842" i="1"/>
  <c r="E842" i="1"/>
  <c r="D842" i="1"/>
  <c r="C842" i="1"/>
  <c r="B842" i="1"/>
  <c r="A842" i="1"/>
  <c r="O841" i="1"/>
  <c r="L841" i="1"/>
  <c r="K841" i="1"/>
  <c r="J841" i="1"/>
  <c r="I841" i="1"/>
  <c r="H841" i="1"/>
  <c r="G841" i="1"/>
  <c r="F841" i="1"/>
  <c r="E841" i="1"/>
  <c r="D841" i="1"/>
  <c r="C841" i="1"/>
  <c r="B841" i="1"/>
  <c r="A841" i="1"/>
  <c r="O840" i="1"/>
  <c r="L840" i="1"/>
  <c r="K840" i="1"/>
  <c r="J840" i="1"/>
  <c r="I840" i="1"/>
  <c r="H840" i="1"/>
  <c r="G840" i="1"/>
  <c r="F840" i="1"/>
  <c r="E840" i="1"/>
  <c r="D840" i="1"/>
  <c r="C840" i="1"/>
  <c r="B840" i="1"/>
  <c r="A840" i="1"/>
  <c r="O839" i="1"/>
  <c r="L839" i="1"/>
  <c r="K839" i="1"/>
  <c r="J839" i="1"/>
  <c r="I839" i="1"/>
  <c r="H839" i="1"/>
  <c r="G839" i="1"/>
  <c r="F839" i="1"/>
  <c r="E839" i="1"/>
  <c r="D839" i="1"/>
  <c r="C839" i="1"/>
  <c r="B839" i="1"/>
  <c r="A839" i="1"/>
  <c r="O838" i="1"/>
  <c r="L838" i="1"/>
  <c r="K838" i="1"/>
  <c r="J838" i="1"/>
  <c r="I838" i="1"/>
  <c r="H838" i="1"/>
  <c r="G838" i="1"/>
  <c r="F838" i="1"/>
  <c r="E838" i="1"/>
  <c r="D838" i="1"/>
  <c r="C838" i="1"/>
  <c r="B838" i="1"/>
  <c r="A838" i="1"/>
  <c r="O837" i="1"/>
  <c r="L837" i="1"/>
  <c r="K837" i="1"/>
  <c r="J837" i="1"/>
  <c r="I837" i="1"/>
  <c r="H837" i="1"/>
  <c r="G837" i="1"/>
  <c r="F837" i="1"/>
  <c r="E837" i="1"/>
  <c r="D837" i="1"/>
  <c r="C837" i="1"/>
  <c r="B837" i="1"/>
  <c r="A837" i="1"/>
  <c r="O836" i="1"/>
  <c r="L836" i="1"/>
  <c r="K836" i="1"/>
  <c r="J836" i="1"/>
  <c r="I836" i="1"/>
  <c r="H836" i="1"/>
  <c r="G836" i="1"/>
  <c r="F836" i="1"/>
  <c r="E836" i="1"/>
  <c r="D836" i="1"/>
  <c r="C836" i="1"/>
  <c r="B836" i="1"/>
  <c r="A836" i="1"/>
  <c r="O835" i="1"/>
  <c r="L835" i="1"/>
  <c r="K835" i="1"/>
  <c r="J835" i="1"/>
  <c r="I835" i="1"/>
  <c r="H835" i="1"/>
  <c r="G835" i="1"/>
  <c r="F835" i="1"/>
  <c r="E835" i="1"/>
  <c r="D835" i="1"/>
  <c r="C835" i="1"/>
  <c r="B835" i="1"/>
  <c r="A835" i="1"/>
  <c r="O834" i="1"/>
  <c r="L834" i="1"/>
  <c r="K834" i="1"/>
  <c r="J834" i="1"/>
  <c r="I834" i="1"/>
  <c r="H834" i="1"/>
  <c r="G834" i="1"/>
  <c r="F834" i="1"/>
  <c r="E834" i="1"/>
  <c r="D834" i="1"/>
  <c r="C834" i="1"/>
  <c r="B834" i="1"/>
  <c r="A834" i="1"/>
  <c r="O833" i="1"/>
  <c r="L833" i="1"/>
  <c r="K833" i="1"/>
  <c r="J833" i="1"/>
  <c r="I833" i="1"/>
  <c r="H833" i="1"/>
  <c r="G833" i="1"/>
  <c r="F833" i="1"/>
  <c r="E833" i="1"/>
  <c r="D833" i="1"/>
  <c r="C833" i="1"/>
  <c r="B833" i="1"/>
  <c r="A833" i="1"/>
  <c r="O832" i="1"/>
  <c r="L832" i="1"/>
  <c r="K832" i="1"/>
  <c r="J832" i="1"/>
  <c r="I832" i="1"/>
  <c r="H832" i="1"/>
  <c r="G832" i="1"/>
  <c r="F832" i="1"/>
  <c r="E832" i="1"/>
  <c r="D832" i="1"/>
  <c r="C832" i="1"/>
  <c r="B832" i="1"/>
  <c r="A832" i="1"/>
  <c r="O831" i="1"/>
  <c r="L831" i="1"/>
  <c r="K831" i="1"/>
  <c r="J831" i="1"/>
  <c r="I831" i="1"/>
  <c r="H831" i="1"/>
  <c r="G831" i="1"/>
  <c r="F831" i="1"/>
  <c r="E831" i="1"/>
  <c r="D831" i="1"/>
  <c r="C831" i="1"/>
  <c r="B831" i="1"/>
  <c r="A831" i="1"/>
  <c r="O830" i="1"/>
  <c r="L830" i="1"/>
  <c r="K830" i="1"/>
  <c r="J830" i="1"/>
  <c r="I830" i="1"/>
  <c r="H830" i="1"/>
  <c r="G830" i="1"/>
  <c r="F830" i="1"/>
  <c r="E830" i="1"/>
  <c r="D830" i="1"/>
  <c r="C830" i="1"/>
  <c r="B830" i="1"/>
  <c r="A830" i="1"/>
  <c r="O829" i="1"/>
  <c r="L829" i="1"/>
  <c r="K829" i="1"/>
  <c r="J829" i="1"/>
  <c r="I829" i="1"/>
  <c r="H829" i="1"/>
  <c r="G829" i="1"/>
  <c r="F829" i="1"/>
  <c r="E829" i="1"/>
  <c r="D829" i="1"/>
  <c r="C829" i="1"/>
  <c r="B829" i="1"/>
  <c r="A829" i="1"/>
  <c r="O828" i="1"/>
  <c r="L828" i="1"/>
  <c r="K828" i="1"/>
  <c r="J828" i="1"/>
  <c r="I828" i="1"/>
  <c r="H828" i="1"/>
  <c r="G828" i="1"/>
  <c r="F828" i="1"/>
  <c r="E828" i="1"/>
  <c r="D828" i="1"/>
  <c r="C828" i="1"/>
  <c r="B828" i="1"/>
  <c r="A828" i="1"/>
  <c r="O827" i="1"/>
  <c r="L827" i="1"/>
  <c r="K827" i="1"/>
  <c r="J827" i="1"/>
  <c r="I827" i="1"/>
  <c r="H827" i="1"/>
  <c r="G827" i="1"/>
  <c r="F827" i="1"/>
  <c r="E827" i="1"/>
  <c r="D827" i="1"/>
  <c r="C827" i="1"/>
  <c r="B827" i="1"/>
  <c r="A827" i="1"/>
  <c r="O826" i="1"/>
  <c r="L826" i="1"/>
  <c r="K826" i="1"/>
  <c r="J826" i="1"/>
  <c r="I826" i="1"/>
  <c r="H826" i="1"/>
  <c r="G826" i="1"/>
  <c r="F826" i="1"/>
  <c r="E826" i="1"/>
  <c r="D826" i="1"/>
  <c r="C826" i="1"/>
  <c r="B826" i="1"/>
  <c r="A826" i="1"/>
  <c r="O825" i="1"/>
  <c r="L825" i="1"/>
  <c r="K825" i="1"/>
  <c r="J825" i="1"/>
  <c r="I825" i="1"/>
  <c r="H825" i="1"/>
  <c r="G825" i="1"/>
  <c r="F825" i="1"/>
  <c r="E825" i="1"/>
  <c r="D825" i="1"/>
  <c r="C825" i="1"/>
  <c r="B825" i="1"/>
  <c r="A825" i="1"/>
  <c r="O824" i="1"/>
  <c r="L824" i="1"/>
  <c r="K824" i="1"/>
  <c r="J824" i="1"/>
  <c r="I824" i="1"/>
  <c r="H824" i="1"/>
  <c r="G824" i="1"/>
  <c r="F824" i="1"/>
  <c r="E824" i="1"/>
  <c r="D824" i="1"/>
  <c r="C824" i="1"/>
  <c r="B824" i="1"/>
  <c r="A824" i="1"/>
  <c r="O823" i="1"/>
  <c r="L823" i="1"/>
  <c r="K823" i="1"/>
  <c r="J823" i="1"/>
  <c r="I823" i="1"/>
  <c r="H823" i="1"/>
  <c r="G823" i="1"/>
  <c r="F823" i="1"/>
  <c r="E823" i="1"/>
  <c r="D823" i="1"/>
  <c r="C823" i="1"/>
  <c r="B823" i="1"/>
  <c r="A823" i="1"/>
  <c r="O822" i="1"/>
  <c r="L822" i="1"/>
  <c r="K822" i="1"/>
  <c r="J822" i="1"/>
  <c r="I822" i="1"/>
  <c r="H822" i="1"/>
  <c r="G822" i="1"/>
  <c r="F822" i="1"/>
  <c r="E822" i="1"/>
  <c r="D822" i="1"/>
  <c r="C822" i="1"/>
  <c r="B822" i="1"/>
  <c r="A822" i="1"/>
  <c r="O821" i="1"/>
  <c r="L821" i="1"/>
  <c r="K821" i="1"/>
  <c r="J821" i="1"/>
  <c r="I821" i="1"/>
  <c r="H821" i="1"/>
  <c r="G821" i="1"/>
  <c r="F821" i="1"/>
  <c r="E821" i="1"/>
  <c r="D821" i="1"/>
  <c r="C821" i="1"/>
  <c r="B821" i="1"/>
  <c r="A821" i="1"/>
  <c r="O820" i="1"/>
  <c r="L820" i="1"/>
  <c r="K820" i="1"/>
  <c r="J820" i="1"/>
  <c r="I820" i="1"/>
  <c r="H820" i="1"/>
  <c r="G820" i="1"/>
  <c r="F820" i="1"/>
  <c r="E820" i="1"/>
  <c r="D820" i="1"/>
  <c r="C820" i="1"/>
  <c r="B820" i="1"/>
  <c r="A820" i="1"/>
  <c r="O819" i="1"/>
  <c r="L819" i="1"/>
  <c r="K819" i="1"/>
  <c r="J819" i="1"/>
  <c r="I819" i="1"/>
  <c r="H819" i="1"/>
  <c r="G819" i="1"/>
  <c r="F819" i="1"/>
  <c r="E819" i="1"/>
  <c r="D819" i="1"/>
  <c r="C819" i="1"/>
  <c r="B819" i="1"/>
  <c r="A819" i="1"/>
  <c r="O818" i="1"/>
  <c r="L818" i="1"/>
  <c r="K818" i="1"/>
  <c r="J818" i="1"/>
  <c r="I818" i="1"/>
  <c r="H818" i="1"/>
  <c r="G818" i="1"/>
  <c r="F818" i="1"/>
  <c r="E818" i="1"/>
  <c r="D818" i="1"/>
  <c r="C818" i="1"/>
  <c r="B818" i="1"/>
  <c r="A818" i="1"/>
  <c r="O817" i="1"/>
  <c r="L817" i="1"/>
  <c r="K817" i="1"/>
  <c r="J817" i="1"/>
  <c r="I817" i="1"/>
  <c r="H817" i="1"/>
  <c r="G817" i="1"/>
  <c r="F817" i="1"/>
  <c r="E817" i="1"/>
  <c r="D817" i="1"/>
  <c r="C817" i="1"/>
  <c r="B817" i="1"/>
  <c r="A817" i="1"/>
  <c r="O816" i="1"/>
  <c r="L816" i="1"/>
  <c r="K816" i="1"/>
  <c r="J816" i="1"/>
  <c r="I816" i="1"/>
  <c r="H816" i="1"/>
  <c r="G816" i="1"/>
  <c r="F816" i="1"/>
  <c r="E816" i="1"/>
  <c r="D816" i="1"/>
  <c r="C816" i="1"/>
  <c r="B816" i="1"/>
  <c r="A816" i="1"/>
  <c r="O815" i="1"/>
  <c r="L815" i="1"/>
  <c r="K815" i="1"/>
  <c r="J815" i="1"/>
  <c r="I815" i="1"/>
  <c r="H815" i="1"/>
  <c r="G815" i="1"/>
  <c r="F815" i="1"/>
  <c r="E815" i="1"/>
  <c r="D815" i="1"/>
  <c r="C815" i="1"/>
  <c r="B815" i="1"/>
  <c r="A815" i="1"/>
  <c r="O814" i="1"/>
  <c r="L814" i="1"/>
  <c r="K814" i="1"/>
  <c r="J814" i="1"/>
  <c r="I814" i="1"/>
  <c r="H814" i="1"/>
  <c r="G814" i="1"/>
  <c r="F814" i="1"/>
  <c r="E814" i="1"/>
  <c r="D814" i="1"/>
  <c r="C814" i="1"/>
  <c r="B814" i="1"/>
  <c r="A814" i="1"/>
  <c r="O813" i="1"/>
  <c r="L813" i="1"/>
  <c r="K813" i="1"/>
  <c r="J813" i="1"/>
  <c r="I813" i="1"/>
  <c r="H813" i="1"/>
  <c r="G813" i="1"/>
  <c r="F813" i="1"/>
  <c r="E813" i="1"/>
  <c r="D813" i="1"/>
  <c r="C813" i="1"/>
  <c r="B813" i="1"/>
  <c r="A813" i="1"/>
  <c r="O812" i="1"/>
  <c r="L812" i="1"/>
  <c r="K812" i="1"/>
  <c r="J812" i="1"/>
  <c r="I812" i="1"/>
  <c r="H812" i="1"/>
  <c r="G812" i="1"/>
  <c r="F812" i="1"/>
  <c r="E812" i="1"/>
  <c r="D812" i="1"/>
  <c r="C812" i="1"/>
  <c r="B812" i="1"/>
  <c r="A812" i="1"/>
  <c r="O811" i="1"/>
  <c r="L811" i="1"/>
  <c r="K811" i="1"/>
  <c r="J811" i="1"/>
  <c r="I811" i="1"/>
  <c r="H811" i="1"/>
  <c r="G811" i="1"/>
  <c r="F811" i="1"/>
  <c r="E811" i="1"/>
  <c r="D811" i="1"/>
  <c r="C811" i="1"/>
  <c r="B811" i="1"/>
  <c r="A811" i="1"/>
  <c r="O810" i="1"/>
  <c r="L810" i="1"/>
  <c r="K810" i="1"/>
  <c r="J810" i="1"/>
  <c r="I810" i="1"/>
  <c r="H810" i="1"/>
  <c r="G810" i="1"/>
  <c r="F810" i="1"/>
  <c r="E810" i="1"/>
  <c r="D810" i="1"/>
  <c r="C810" i="1"/>
  <c r="B810" i="1"/>
  <c r="A810" i="1"/>
  <c r="O809" i="1"/>
  <c r="L809" i="1"/>
  <c r="K809" i="1"/>
  <c r="J809" i="1"/>
  <c r="I809" i="1"/>
  <c r="H809" i="1"/>
  <c r="G809" i="1"/>
  <c r="F809" i="1"/>
  <c r="E809" i="1"/>
  <c r="D809" i="1"/>
  <c r="C809" i="1"/>
  <c r="B809" i="1"/>
  <c r="A809" i="1"/>
  <c r="O808" i="1"/>
  <c r="L808" i="1"/>
  <c r="K808" i="1"/>
  <c r="J808" i="1"/>
  <c r="I808" i="1"/>
  <c r="H808" i="1"/>
  <c r="G808" i="1"/>
  <c r="F808" i="1"/>
  <c r="E808" i="1"/>
  <c r="D808" i="1"/>
  <c r="C808" i="1"/>
  <c r="B808" i="1"/>
  <c r="A808" i="1"/>
  <c r="O807" i="1"/>
  <c r="L807" i="1"/>
  <c r="K807" i="1"/>
  <c r="J807" i="1"/>
  <c r="I807" i="1"/>
  <c r="H807" i="1"/>
  <c r="G807" i="1"/>
  <c r="F807" i="1"/>
  <c r="E807" i="1"/>
  <c r="D807" i="1"/>
  <c r="C807" i="1"/>
  <c r="B807" i="1"/>
  <c r="A807" i="1"/>
  <c r="O806" i="1"/>
  <c r="L806" i="1"/>
  <c r="K806" i="1"/>
  <c r="J806" i="1"/>
  <c r="I806" i="1"/>
  <c r="H806" i="1"/>
  <c r="G806" i="1"/>
  <c r="F806" i="1"/>
  <c r="E806" i="1"/>
  <c r="D806" i="1"/>
  <c r="C806" i="1"/>
  <c r="B806" i="1"/>
  <c r="A806" i="1"/>
  <c r="O805" i="1"/>
  <c r="L805" i="1"/>
  <c r="K805" i="1"/>
  <c r="J805" i="1"/>
  <c r="I805" i="1"/>
  <c r="H805" i="1"/>
  <c r="G805" i="1"/>
  <c r="F805" i="1"/>
  <c r="E805" i="1"/>
  <c r="D805" i="1"/>
  <c r="C805" i="1"/>
  <c r="B805" i="1"/>
  <c r="A805" i="1"/>
  <c r="O804" i="1"/>
  <c r="L804" i="1"/>
  <c r="K804" i="1"/>
  <c r="J804" i="1"/>
  <c r="I804" i="1"/>
  <c r="H804" i="1"/>
  <c r="G804" i="1"/>
  <c r="F804" i="1"/>
  <c r="E804" i="1"/>
  <c r="D804" i="1"/>
  <c r="C804" i="1"/>
  <c r="B804" i="1"/>
  <c r="A804" i="1"/>
  <c r="O803" i="1"/>
  <c r="L803" i="1"/>
  <c r="K803" i="1"/>
  <c r="J803" i="1"/>
  <c r="I803" i="1"/>
  <c r="H803" i="1"/>
  <c r="G803" i="1"/>
  <c r="F803" i="1"/>
  <c r="E803" i="1"/>
  <c r="D803" i="1"/>
  <c r="C803" i="1"/>
  <c r="B803" i="1"/>
  <c r="A803" i="1"/>
  <c r="O802" i="1"/>
  <c r="L802" i="1"/>
  <c r="K802" i="1"/>
  <c r="J802" i="1"/>
  <c r="I802" i="1"/>
  <c r="H802" i="1"/>
  <c r="G802" i="1"/>
  <c r="F802" i="1"/>
  <c r="E802" i="1"/>
  <c r="D802" i="1"/>
  <c r="C802" i="1"/>
  <c r="B802" i="1"/>
  <c r="A802" i="1"/>
  <c r="O801" i="1"/>
  <c r="L801" i="1"/>
  <c r="K801" i="1"/>
  <c r="J801" i="1"/>
  <c r="I801" i="1"/>
  <c r="H801" i="1"/>
  <c r="G801" i="1"/>
  <c r="F801" i="1"/>
  <c r="E801" i="1"/>
  <c r="D801" i="1"/>
  <c r="C801" i="1"/>
  <c r="B801" i="1"/>
  <c r="A801" i="1"/>
  <c r="P800" i="1"/>
  <c r="O800" i="1"/>
  <c r="L800" i="1"/>
  <c r="K800" i="1"/>
  <c r="J800" i="1"/>
  <c r="I800" i="1"/>
  <c r="H800" i="1"/>
  <c r="G800" i="1"/>
  <c r="F800" i="1"/>
  <c r="E800" i="1"/>
  <c r="D800" i="1"/>
  <c r="C800" i="1"/>
  <c r="B800" i="1"/>
  <c r="A800" i="1"/>
  <c r="O799" i="1"/>
  <c r="L799" i="1"/>
  <c r="K799" i="1"/>
  <c r="J799" i="1"/>
  <c r="I799" i="1"/>
  <c r="H799" i="1"/>
  <c r="G799" i="1"/>
  <c r="F799" i="1"/>
  <c r="E799" i="1"/>
  <c r="D799" i="1"/>
  <c r="C799" i="1"/>
  <c r="B799" i="1"/>
  <c r="A799" i="1"/>
  <c r="O798" i="1"/>
  <c r="L798" i="1"/>
  <c r="K798" i="1"/>
  <c r="J798" i="1"/>
  <c r="I798" i="1"/>
  <c r="H798" i="1"/>
  <c r="G798" i="1"/>
  <c r="F798" i="1"/>
  <c r="E798" i="1"/>
  <c r="D798" i="1"/>
  <c r="C798" i="1"/>
  <c r="B798" i="1"/>
  <c r="A798" i="1"/>
  <c r="O797" i="1"/>
  <c r="L797" i="1"/>
  <c r="K797" i="1"/>
  <c r="J797" i="1"/>
  <c r="I797" i="1"/>
  <c r="H797" i="1"/>
  <c r="G797" i="1"/>
  <c r="F797" i="1"/>
  <c r="E797" i="1"/>
  <c r="D797" i="1"/>
  <c r="C797" i="1"/>
  <c r="B797" i="1"/>
  <c r="A797" i="1"/>
  <c r="O796" i="1"/>
  <c r="L796" i="1"/>
  <c r="K796" i="1"/>
  <c r="J796" i="1"/>
  <c r="I796" i="1"/>
  <c r="H796" i="1"/>
  <c r="G796" i="1"/>
  <c r="F796" i="1"/>
  <c r="E796" i="1"/>
  <c r="D796" i="1"/>
  <c r="C796" i="1"/>
  <c r="B796" i="1"/>
  <c r="A796" i="1"/>
  <c r="O795" i="1"/>
  <c r="L795" i="1"/>
  <c r="K795" i="1"/>
  <c r="J795" i="1"/>
  <c r="I795" i="1"/>
  <c r="H795" i="1"/>
  <c r="G795" i="1"/>
  <c r="F795" i="1"/>
  <c r="E795" i="1"/>
  <c r="D795" i="1"/>
  <c r="C795" i="1"/>
  <c r="B795" i="1"/>
  <c r="A795" i="1"/>
  <c r="O794" i="1"/>
  <c r="L794" i="1"/>
  <c r="K794" i="1"/>
  <c r="J794" i="1"/>
  <c r="I794" i="1"/>
  <c r="H794" i="1"/>
  <c r="G794" i="1"/>
  <c r="F794" i="1"/>
  <c r="E794" i="1"/>
  <c r="D794" i="1"/>
  <c r="C794" i="1"/>
  <c r="B794" i="1"/>
  <c r="A794" i="1"/>
  <c r="O793" i="1"/>
  <c r="L793" i="1"/>
  <c r="K793" i="1"/>
  <c r="J793" i="1"/>
  <c r="I793" i="1"/>
  <c r="H793" i="1"/>
  <c r="G793" i="1"/>
  <c r="F793" i="1"/>
  <c r="E793" i="1"/>
  <c r="D793" i="1"/>
  <c r="C793" i="1"/>
  <c r="B793" i="1"/>
  <c r="A793" i="1"/>
  <c r="O792" i="1"/>
  <c r="L792" i="1"/>
  <c r="K792" i="1"/>
  <c r="J792" i="1"/>
  <c r="I792" i="1"/>
  <c r="H792" i="1"/>
  <c r="G792" i="1"/>
  <c r="F792" i="1"/>
  <c r="E792" i="1"/>
  <c r="D792" i="1"/>
  <c r="C792" i="1"/>
  <c r="B792" i="1"/>
  <c r="A792" i="1"/>
  <c r="O791" i="1"/>
  <c r="L791" i="1"/>
  <c r="K791" i="1"/>
  <c r="J791" i="1"/>
  <c r="I791" i="1"/>
  <c r="H791" i="1"/>
  <c r="G791" i="1"/>
  <c r="F791" i="1"/>
  <c r="E791" i="1"/>
  <c r="D791" i="1"/>
  <c r="C791" i="1"/>
  <c r="B791" i="1"/>
  <c r="A791" i="1"/>
  <c r="O790" i="1"/>
  <c r="L790" i="1"/>
  <c r="K790" i="1"/>
  <c r="J790" i="1"/>
  <c r="I790" i="1"/>
  <c r="H790" i="1"/>
  <c r="G790" i="1"/>
  <c r="F790" i="1"/>
  <c r="E790" i="1"/>
  <c r="D790" i="1"/>
  <c r="C790" i="1"/>
  <c r="B790" i="1"/>
  <c r="A790" i="1"/>
  <c r="O789" i="1"/>
  <c r="L789" i="1"/>
  <c r="K789" i="1"/>
  <c r="J789" i="1"/>
  <c r="I789" i="1"/>
  <c r="H789" i="1"/>
  <c r="G789" i="1"/>
  <c r="F789" i="1"/>
  <c r="E789" i="1"/>
  <c r="D789" i="1"/>
  <c r="C789" i="1"/>
  <c r="B789" i="1"/>
  <c r="A789" i="1"/>
  <c r="O788" i="1"/>
  <c r="L788" i="1"/>
  <c r="K788" i="1"/>
  <c r="J788" i="1"/>
  <c r="I788" i="1"/>
  <c r="H788" i="1"/>
  <c r="G788" i="1"/>
  <c r="F788" i="1"/>
  <c r="E788" i="1"/>
  <c r="D788" i="1"/>
  <c r="C788" i="1"/>
  <c r="B788" i="1"/>
  <c r="A788" i="1"/>
  <c r="O787" i="1"/>
  <c r="L787" i="1"/>
  <c r="K787" i="1"/>
  <c r="J787" i="1"/>
  <c r="I787" i="1"/>
  <c r="H787" i="1"/>
  <c r="G787" i="1"/>
  <c r="F787" i="1"/>
  <c r="E787" i="1"/>
  <c r="D787" i="1"/>
  <c r="C787" i="1"/>
  <c r="B787" i="1"/>
  <c r="A787" i="1"/>
  <c r="O786" i="1"/>
  <c r="L786" i="1"/>
  <c r="K786" i="1"/>
  <c r="J786" i="1"/>
  <c r="I786" i="1"/>
  <c r="H786" i="1"/>
  <c r="G786" i="1"/>
  <c r="F786" i="1"/>
  <c r="E786" i="1"/>
  <c r="D786" i="1"/>
  <c r="C786" i="1"/>
  <c r="B786" i="1"/>
  <c r="A786" i="1"/>
  <c r="O785" i="1"/>
  <c r="L785" i="1"/>
  <c r="K785" i="1"/>
  <c r="J785" i="1"/>
  <c r="I785" i="1"/>
  <c r="H785" i="1"/>
  <c r="G785" i="1"/>
  <c r="F785" i="1"/>
  <c r="E785" i="1"/>
  <c r="D785" i="1"/>
  <c r="C785" i="1"/>
  <c r="B785" i="1"/>
  <c r="A785" i="1"/>
  <c r="O784" i="1"/>
  <c r="L784" i="1"/>
  <c r="K784" i="1"/>
  <c r="J784" i="1"/>
  <c r="I784" i="1"/>
  <c r="H784" i="1"/>
  <c r="G784" i="1"/>
  <c r="F784" i="1"/>
  <c r="E784" i="1"/>
  <c r="D784" i="1"/>
  <c r="C784" i="1"/>
  <c r="B784" i="1"/>
  <c r="A784" i="1"/>
  <c r="O783" i="1"/>
  <c r="L783" i="1"/>
  <c r="K783" i="1"/>
  <c r="J783" i="1"/>
  <c r="I783" i="1"/>
  <c r="H783" i="1"/>
  <c r="G783" i="1"/>
  <c r="F783" i="1"/>
  <c r="E783" i="1"/>
  <c r="D783" i="1"/>
  <c r="C783" i="1"/>
  <c r="B783" i="1"/>
  <c r="A783" i="1"/>
  <c r="O782" i="1"/>
  <c r="L782" i="1"/>
  <c r="K782" i="1"/>
  <c r="J782" i="1"/>
  <c r="I782" i="1"/>
  <c r="H782" i="1"/>
  <c r="G782" i="1"/>
  <c r="F782" i="1"/>
  <c r="E782" i="1"/>
  <c r="D782" i="1"/>
  <c r="C782" i="1"/>
  <c r="B782" i="1"/>
  <c r="A782" i="1"/>
  <c r="O781" i="1"/>
  <c r="L781" i="1"/>
  <c r="K781" i="1"/>
  <c r="J781" i="1"/>
  <c r="I781" i="1"/>
  <c r="H781" i="1"/>
  <c r="G781" i="1"/>
  <c r="F781" i="1"/>
  <c r="E781" i="1"/>
  <c r="D781" i="1"/>
  <c r="C781" i="1"/>
  <c r="B781" i="1"/>
  <c r="A781" i="1"/>
  <c r="O780" i="1"/>
  <c r="L780" i="1"/>
  <c r="K780" i="1"/>
  <c r="J780" i="1"/>
  <c r="I780" i="1"/>
  <c r="H780" i="1"/>
  <c r="G780" i="1"/>
  <c r="F780" i="1"/>
  <c r="E780" i="1"/>
  <c r="D780" i="1"/>
  <c r="C780" i="1"/>
  <c r="B780" i="1"/>
  <c r="A780" i="1"/>
  <c r="O779" i="1"/>
  <c r="L779" i="1"/>
  <c r="K779" i="1"/>
  <c r="J779" i="1"/>
  <c r="I779" i="1"/>
  <c r="H779" i="1"/>
  <c r="G779" i="1"/>
  <c r="F779" i="1"/>
  <c r="E779" i="1"/>
  <c r="D779" i="1"/>
  <c r="C779" i="1"/>
  <c r="B779" i="1"/>
  <c r="A779" i="1"/>
  <c r="O778" i="1"/>
  <c r="L778" i="1"/>
  <c r="K778" i="1"/>
  <c r="J778" i="1"/>
  <c r="I778" i="1"/>
  <c r="H778" i="1"/>
  <c r="G778" i="1"/>
  <c r="F778" i="1"/>
  <c r="E778" i="1"/>
  <c r="D778" i="1"/>
  <c r="C778" i="1"/>
  <c r="B778" i="1"/>
  <c r="A778" i="1"/>
  <c r="O777" i="1"/>
  <c r="L777" i="1"/>
  <c r="K777" i="1"/>
  <c r="J777" i="1"/>
  <c r="I777" i="1"/>
  <c r="H777" i="1"/>
  <c r="G777" i="1"/>
  <c r="F777" i="1"/>
  <c r="E777" i="1"/>
  <c r="D777" i="1"/>
  <c r="C777" i="1"/>
  <c r="B777" i="1"/>
  <c r="A777" i="1"/>
  <c r="O776" i="1"/>
  <c r="L776" i="1"/>
  <c r="K776" i="1"/>
  <c r="J776" i="1"/>
  <c r="I776" i="1"/>
  <c r="H776" i="1"/>
  <c r="G776" i="1"/>
  <c r="F776" i="1"/>
  <c r="E776" i="1"/>
  <c r="D776" i="1"/>
  <c r="C776" i="1"/>
  <c r="B776" i="1"/>
  <c r="A776" i="1"/>
  <c r="O775" i="1"/>
  <c r="L775" i="1"/>
  <c r="K775" i="1"/>
  <c r="J775" i="1"/>
  <c r="I775" i="1"/>
  <c r="H775" i="1"/>
  <c r="G775" i="1"/>
  <c r="F775" i="1"/>
  <c r="E775" i="1"/>
  <c r="D775" i="1"/>
  <c r="C775" i="1"/>
  <c r="B775" i="1"/>
  <c r="A775" i="1"/>
  <c r="O774" i="1"/>
  <c r="L774" i="1"/>
  <c r="K774" i="1"/>
  <c r="J774" i="1"/>
  <c r="I774" i="1"/>
  <c r="H774" i="1"/>
  <c r="G774" i="1"/>
  <c r="F774" i="1"/>
  <c r="E774" i="1"/>
  <c r="D774" i="1"/>
  <c r="C774" i="1"/>
  <c r="B774" i="1"/>
  <c r="A774" i="1"/>
  <c r="O773" i="1"/>
  <c r="L773" i="1"/>
  <c r="K773" i="1"/>
  <c r="J773" i="1"/>
  <c r="I773" i="1"/>
  <c r="H773" i="1"/>
  <c r="G773" i="1"/>
  <c r="F773" i="1"/>
  <c r="E773" i="1"/>
  <c r="D773" i="1"/>
  <c r="C773" i="1"/>
  <c r="B773" i="1"/>
  <c r="A773" i="1"/>
  <c r="O772" i="1"/>
  <c r="L772" i="1"/>
  <c r="K772" i="1"/>
  <c r="J772" i="1"/>
  <c r="I772" i="1"/>
  <c r="H772" i="1"/>
  <c r="G772" i="1"/>
  <c r="F772" i="1"/>
  <c r="E772" i="1"/>
  <c r="D772" i="1"/>
  <c r="C772" i="1"/>
  <c r="B772" i="1"/>
  <c r="A772" i="1"/>
  <c r="O771" i="1"/>
  <c r="L771" i="1"/>
  <c r="K771" i="1"/>
  <c r="J771" i="1"/>
  <c r="I771" i="1"/>
  <c r="H771" i="1"/>
  <c r="G771" i="1"/>
  <c r="F771" i="1"/>
  <c r="E771" i="1"/>
  <c r="D771" i="1"/>
  <c r="C771" i="1"/>
  <c r="B771" i="1"/>
  <c r="A771" i="1"/>
  <c r="O770" i="1"/>
  <c r="L770" i="1"/>
  <c r="K770" i="1"/>
  <c r="J770" i="1"/>
  <c r="I770" i="1"/>
  <c r="H770" i="1"/>
  <c r="G770" i="1"/>
  <c r="F770" i="1"/>
  <c r="E770" i="1"/>
  <c r="D770" i="1"/>
  <c r="C770" i="1"/>
  <c r="B770" i="1"/>
  <c r="A770" i="1"/>
  <c r="O769" i="1"/>
  <c r="L769" i="1"/>
  <c r="K769" i="1"/>
  <c r="J769" i="1"/>
  <c r="I769" i="1"/>
  <c r="H769" i="1"/>
  <c r="G769" i="1"/>
  <c r="F769" i="1"/>
  <c r="E769" i="1"/>
  <c r="D769" i="1"/>
  <c r="C769" i="1"/>
  <c r="B769" i="1"/>
  <c r="A769" i="1"/>
  <c r="O768" i="1"/>
  <c r="L768" i="1"/>
  <c r="K768" i="1"/>
  <c r="J768" i="1"/>
  <c r="I768" i="1"/>
  <c r="H768" i="1"/>
  <c r="G768" i="1"/>
  <c r="F768" i="1"/>
  <c r="E768" i="1"/>
  <c r="D768" i="1"/>
  <c r="C768" i="1"/>
  <c r="B768" i="1"/>
  <c r="A768" i="1"/>
  <c r="O767" i="1"/>
  <c r="L767" i="1"/>
  <c r="K767" i="1"/>
  <c r="J767" i="1"/>
  <c r="I767" i="1"/>
  <c r="H767" i="1"/>
  <c r="G767" i="1"/>
  <c r="F767" i="1"/>
  <c r="E767" i="1"/>
  <c r="D767" i="1"/>
  <c r="C767" i="1"/>
  <c r="B767" i="1"/>
  <c r="A767" i="1"/>
  <c r="O766" i="1"/>
  <c r="L766" i="1"/>
  <c r="K766" i="1"/>
  <c r="J766" i="1"/>
  <c r="I766" i="1"/>
  <c r="H766" i="1"/>
  <c r="G766" i="1"/>
  <c r="F766" i="1"/>
  <c r="E766" i="1"/>
  <c r="D766" i="1"/>
  <c r="C766" i="1"/>
  <c r="B766" i="1"/>
  <c r="A766" i="1"/>
  <c r="O765" i="1"/>
  <c r="L765" i="1"/>
  <c r="K765" i="1"/>
  <c r="J765" i="1"/>
  <c r="I765" i="1"/>
  <c r="H765" i="1"/>
  <c r="G765" i="1"/>
  <c r="F765" i="1"/>
  <c r="E765" i="1"/>
  <c r="D765" i="1"/>
  <c r="C765" i="1"/>
  <c r="B765" i="1"/>
  <c r="A765" i="1"/>
  <c r="O764" i="1"/>
  <c r="L764" i="1"/>
  <c r="K764" i="1"/>
  <c r="J764" i="1"/>
  <c r="I764" i="1"/>
  <c r="H764" i="1"/>
  <c r="G764" i="1"/>
  <c r="F764" i="1"/>
  <c r="E764" i="1"/>
  <c r="D764" i="1"/>
  <c r="C764" i="1"/>
  <c r="B764" i="1"/>
  <c r="A764" i="1"/>
  <c r="O763" i="1"/>
  <c r="L763" i="1"/>
  <c r="K763" i="1"/>
  <c r="J763" i="1"/>
  <c r="I763" i="1"/>
  <c r="H763" i="1"/>
  <c r="G763" i="1"/>
  <c r="F763" i="1"/>
  <c r="E763" i="1"/>
  <c r="D763" i="1"/>
  <c r="C763" i="1"/>
  <c r="B763" i="1"/>
  <c r="A763" i="1"/>
  <c r="O762" i="1"/>
  <c r="L762" i="1"/>
  <c r="K762" i="1"/>
  <c r="J762" i="1"/>
  <c r="I762" i="1"/>
  <c r="H762" i="1"/>
  <c r="G762" i="1"/>
  <c r="F762" i="1"/>
  <c r="E762" i="1"/>
  <c r="D762" i="1"/>
  <c r="C762" i="1"/>
  <c r="B762" i="1"/>
  <c r="A762" i="1"/>
  <c r="O761" i="1"/>
  <c r="L761" i="1"/>
  <c r="K761" i="1"/>
  <c r="J761" i="1"/>
  <c r="I761" i="1"/>
  <c r="H761" i="1"/>
  <c r="G761" i="1"/>
  <c r="F761" i="1"/>
  <c r="E761" i="1"/>
  <c r="D761" i="1"/>
  <c r="C761" i="1"/>
  <c r="B761" i="1"/>
  <c r="A761" i="1"/>
  <c r="O760" i="1"/>
  <c r="L760" i="1"/>
  <c r="K760" i="1"/>
  <c r="J760" i="1"/>
  <c r="I760" i="1"/>
  <c r="H760" i="1"/>
  <c r="G760" i="1"/>
  <c r="F760" i="1"/>
  <c r="E760" i="1"/>
  <c r="D760" i="1"/>
  <c r="C760" i="1"/>
  <c r="B760" i="1"/>
  <c r="A760" i="1"/>
  <c r="O759" i="1"/>
  <c r="L759" i="1"/>
  <c r="K759" i="1"/>
  <c r="J759" i="1"/>
  <c r="I759" i="1"/>
  <c r="H759" i="1"/>
  <c r="G759" i="1"/>
  <c r="F759" i="1"/>
  <c r="E759" i="1"/>
  <c r="D759" i="1"/>
  <c r="C759" i="1"/>
  <c r="B759" i="1"/>
  <c r="A759" i="1"/>
  <c r="O758" i="1"/>
  <c r="L758" i="1"/>
  <c r="K758" i="1"/>
  <c r="J758" i="1"/>
  <c r="I758" i="1"/>
  <c r="H758" i="1"/>
  <c r="G758" i="1"/>
  <c r="F758" i="1"/>
  <c r="E758" i="1"/>
  <c r="D758" i="1"/>
  <c r="C758" i="1"/>
  <c r="B758" i="1"/>
  <c r="A758" i="1"/>
  <c r="O757" i="1"/>
  <c r="L757" i="1"/>
  <c r="K757" i="1"/>
  <c r="J757" i="1"/>
  <c r="I757" i="1"/>
  <c r="H757" i="1"/>
  <c r="G757" i="1"/>
  <c r="F757" i="1"/>
  <c r="E757" i="1"/>
  <c r="D757" i="1"/>
  <c r="C757" i="1"/>
  <c r="B757" i="1"/>
  <c r="A757" i="1"/>
  <c r="O756" i="1"/>
  <c r="L756" i="1"/>
  <c r="K756" i="1"/>
  <c r="J756" i="1"/>
  <c r="I756" i="1"/>
  <c r="H756" i="1"/>
  <c r="G756" i="1"/>
  <c r="F756" i="1"/>
  <c r="E756" i="1"/>
  <c r="D756" i="1"/>
  <c r="C756" i="1"/>
  <c r="B756" i="1"/>
  <c r="A756" i="1"/>
  <c r="O755" i="1"/>
  <c r="L755" i="1"/>
  <c r="K755" i="1"/>
  <c r="J755" i="1"/>
  <c r="I755" i="1"/>
  <c r="H755" i="1"/>
  <c r="G755" i="1"/>
  <c r="F755" i="1"/>
  <c r="E755" i="1"/>
  <c r="D755" i="1"/>
  <c r="C755" i="1"/>
  <c r="B755" i="1"/>
  <c r="A755" i="1"/>
  <c r="O754" i="1"/>
  <c r="L754" i="1"/>
  <c r="K754" i="1"/>
  <c r="J754" i="1"/>
  <c r="I754" i="1"/>
  <c r="H754" i="1"/>
  <c r="G754" i="1"/>
  <c r="F754" i="1"/>
  <c r="E754" i="1"/>
  <c r="D754" i="1"/>
  <c r="C754" i="1"/>
  <c r="B754" i="1"/>
  <c r="A754" i="1"/>
  <c r="P753" i="1"/>
  <c r="O753" i="1"/>
  <c r="L753" i="1"/>
  <c r="K753" i="1"/>
  <c r="J753" i="1"/>
  <c r="I753" i="1"/>
  <c r="H753" i="1"/>
  <c r="G753" i="1"/>
  <c r="F753" i="1"/>
  <c r="E753" i="1"/>
  <c r="D753" i="1"/>
  <c r="C753" i="1"/>
  <c r="B753" i="1"/>
  <c r="A753" i="1"/>
  <c r="O752" i="1"/>
  <c r="L752" i="1"/>
  <c r="K752" i="1"/>
  <c r="J752" i="1"/>
  <c r="I752" i="1"/>
  <c r="H752" i="1"/>
  <c r="G752" i="1"/>
  <c r="F752" i="1"/>
  <c r="E752" i="1"/>
  <c r="D752" i="1"/>
  <c r="C752" i="1"/>
  <c r="B752" i="1"/>
  <c r="A752" i="1"/>
  <c r="P751" i="1"/>
  <c r="O751" i="1"/>
  <c r="L751" i="1"/>
  <c r="K751" i="1"/>
  <c r="J751" i="1"/>
  <c r="I751" i="1"/>
  <c r="H751" i="1"/>
  <c r="G751" i="1"/>
  <c r="F751" i="1"/>
  <c r="E751" i="1"/>
  <c r="D751" i="1"/>
  <c r="C751" i="1"/>
  <c r="B751" i="1"/>
  <c r="A751" i="1"/>
  <c r="O750" i="1"/>
  <c r="L750" i="1"/>
  <c r="K750" i="1"/>
  <c r="J750" i="1"/>
  <c r="I750" i="1"/>
  <c r="H750" i="1"/>
  <c r="G750" i="1"/>
  <c r="F750" i="1"/>
  <c r="E750" i="1"/>
  <c r="D750" i="1"/>
  <c r="C750" i="1"/>
  <c r="B750" i="1"/>
  <c r="A750" i="1"/>
  <c r="O749" i="1"/>
  <c r="L749" i="1"/>
  <c r="K749" i="1"/>
  <c r="J749" i="1"/>
  <c r="I749" i="1"/>
  <c r="H749" i="1"/>
  <c r="G749" i="1"/>
  <c r="F749" i="1"/>
  <c r="E749" i="1"/>
  <c r="D749" i="1"/>
  <c r="C749" i="1"/>
  <c r="B749" i="1"/>
  <c r="A749" i="1"/>
  <c r="O748" i="1"/>
  <c r="L748" i="1"/>
  <c r="K748" i="1"/>
  <c r="J748" i="1"/>
  <c r="I748" i="1"/>
  <c r="H748" i="1"/>
  <c r="G748" i="1"/>
  <c r="F748" i="1"/>
  <c r="E748" i="1"/>
  <c r="D748" i="1"/>
  <c r="C748" i="1"/>
  <c r="B748" i="1"/>
  <c r="A748" i="1"/>
  <c r="O747" i="1"/>
  <c r="L747" i="1"/>
  <c r="K747" i="1"/>
  <c r="J747" i="1"/>
  <c r="I747" i="1"/>
  <c r="H747" i="1"/>
  <c r="G747" i="1"/>
  <c r="F747" i="1"/>
  <c r="E747" i="1"/>
  <c r="D747" i="1"/>
  <c r="C747" i="1"/>
  <c r="B747" i="1"/>
  <c r="A747" i="1"/>
  <c r="O746" i="1"/>
  <c r="L746" i="1"/>
  <c r="K746" i="1"/>
  <c r="J746" i="1"/>
  <c r="I746" i="1"/>
  <c r="H746" i="1"/>
  <c r="G746" i="1"/>
  <c r="F746" i="1"/>
  <c r="E746" i="1"/>
  <c r="D746" i="1"/>
  <c r="C746" i="1"/>
  <c r="B746" i="1"/>
  <c r="A746" i="1"/>
  <c r="O745" i="1"/>
  <c r="L745" i="1"/>
  <c r="K745" i="1"/>
  <c r="J745" i="1"/>
  <c r="I745" i="1"/>
  <c r="H745" i="1"/>
  <c r="G745" i="1"/>
  <c r="F745" i="1"/>
  <c r="E745" i="1"/>
  <c r="D745" i="1"/>
  <c r="C745" i="1"/>
  <c r="B745" i="1"/>
  <c r="A745" i="1"/>
  <c r="O744" i="1"/>
  <c r="L744" i="1"/>
  <c r="K744" i="1"/>
  <c r="J744" i="1"/>
  <c r="I744" i="1"/>
  <c r="H744" i="1"/>
  <c r="G744" i="1"/>
  <c r="F744" i="1"/>
  <c r="E744" i="1"/>
  <c r="D744" i="1"/>
  <c r="C744" i="1"/>
  <c r="B744" i="1"/>
  <c r="A744" i="1"/>
  <c r="O743" i="1"/>
  <c r="L743" i="1"/>
  <c r="K743" i="1"/>
  <c r="J743" i="1"/>
  <c r="I743" i="1"/>
  <c r="H743" i="1"/>
  <c r="G743" i="1"/>
  <c r="F743" i="1"/>
  <c r="E743" i="1"/>
  <c r="D743" i="1"/>
  <c r="C743" i="1"/>
  <c r="B743" i="1"/>
  <c r="A743" i="1"/>
  <c r="O742" i="1"/>
  <c r="L742" i="1"/>
  <c r="K742" i="1"/>
  <c r="J742" i="1"/>
  <c r="I742" i="1"/>
  <c r="H742" i="1"/>
  <c r="G742" i="1"/>
  <c r="F742" i="1"/>
  <c r="E742" i="1"/>
  <c r="D742" i="1"/>
  <c r="C742" i="1"/>
  <c r="B742" i="1"/>
  <c r="A742" i="1"/>
  <c r="O741" i="1"/>
  <c r="L741" i="1"/>
  <c r="K741" i="1"/>
  <c r="J741" i="1"/>
  <c r="I741" i="1"/>
  <c r="H741" i="1"/>
  <c r="G741" i="1"/>
  <c r="F741" i="1"/>
  <c r="E741" i="1"/>
  <c r="D741" i="1"/>
  <c r="C741" i="1"/>
  <c r="B741" i="1"/>
  <c r="A741" i="1"/>
  <c r="O740" i="1"/>
  <c r="L740" i="1"/>
  <c r="K740" i="1"/>
  <c r="J740" i="1"/>
  <c r="I740" i="1"/>
  <c r="H740" i="1"/>
  <c r="G740" i="1"/>
  <c r="F740" i="1"/>
  <c r="E740" i="1"/>
  <c r="D740" i="1"/>
  <c r="C740" i="1"/>
  <c r="B740" i="1"/>
  <c r="A740" i="1"/>
  <c r="O739" i="1"/>
  <c r="L739" i="1"/>
  <c r="K739" i="1"/>
  <c r="J739" i="1"/>
  <c r="I739" i="1"/>
  <c r="H739" i="1"/>
  <c r="G739" i="1"/>
  <c r="F739" i="1"/>
  <c r="E739" i="1"/>
  <c r="D739" i="1"/>
  <c r="C739" i="1"/>
  <c r="B739" i="1"/>
  <c r="A739" i="1"/>
  <c r="O738" i="1"/>
  <c r="L738" i="1"/>
  <c r="K738" i="1"/>
  <c r="J738" i="1"/>
  <c r="I738" i="1"/>
  <c r="H738" i="1"/>
  <c r="G738" i="1"/>
  <c r="F738" i="1"/>
  <c r="E738" i="1"/>
  <c r="D738" i="1"/>
  <c r="C738" i="1"/>
  <c r="B738" i="1"/>
  <c r="A738" i="1"/>
  <c r="O737" i="1"/>
  <c r="L737" i="1"/>
  <c r="K737" i="1"/>
  <c r="J737" i="1"/>
  <c r="I737" i="1"/>
  <c r="H737" i="1"/>
  <c r="G737" i="1"/>
  <c r="F737" i="1"/>
  <c r="E737" i="1"/>
  <c r="D737" i="1"/>
  <c r="C737" i="1"/>
  <c r="B737" i="1"/>
  <c r="A737" i="1"/>
  <c r="O736" i="1"/>
  <c r="L736" i="1"/>
  <c r="K736" i="1"/>
  <c r="J736" i="1"/>
  <c r="I736" i="1"/>
  <c r="H736" i="1"/>
  <c r="G736" i="1"/>
  <c r="F736" i="1"/>
  <c r="E736" i="1"/>
  <c r="D736" i="1"/>
  <c r="C736" i="1"/>
  <c r="B736" i="1"/>
  <c r="A736" i="1"/>
  <c r="O735" i="1"/>
  <c r="L735" i="1"/>
  <c r="K735" i="1"/>
  <c r="J735" i="1"/>
  <c r="I735" i="1"/>
  <c r="H735" i="1"/>
  <c r="G735" i="1"/>
  <c r="F735" i="1"/>
  <c r="E735" i="1"/>
  <c r="D735" i="1"/>
  <c r="C735" i="1"/>
  <c r="B735" i="1"/>
  <c r="A735" i="1"/>
  <c r="O734" i="1"/>
  <c r="L734" i="1"/>
  <c r="K734" i="1"/>
  <c r="J734" i="1"/>
  <c r="I734" i="1"/>
  <c r="H734" i="1"/>
  <c r="G734" i="1"/>
  <c r="F734" i="1"/>
  <c r="E734" i="1"/>
  <c r="D734" i="1"/>
  <c r="C734" i="1"/>
  <c r="B734" i="1"/>
  <c r="A734" i="1"/>
  <c r="O733" i="1"/>
  <c r="L733" i="1"/>
  <c r="K733" i="1"/>
  <c r="J733" i="1"/>
  <c r="I733" i="1"/>
  <c r="H733" i="1"/>
  <c r="G733" i="1"/>
  <c r="F733" i="1"/>
  <c r="E733" i="1"/>
  <c r="D733" i="1"/>
  <c r="C733" i="1"/>
  <c r="B733" i="1"/>
  <c r="A733" i="1"/>
  <c r="O732" i="1"/>
  <c r="L732" i="1"/>
  <c r="K732" i="1"/>
  <c r="J732" i="1"/>
  <c r="I732" i="1"/>
  <c r="H732" i="1"/>
  <c r="G732" i="1"/>
  <c r="F732" i="1"/>
  <c r="E732" i="1"/>
  <c r="D732" i="1"/>
  <c r="C732" i="1"/>
  <c r="B732" i="1"/>
  <c r="A732" i="1"/>
  <c r="O731" i="1"/>
  <c r="L731" i="1"/>
  <c r="K731" i="1"/>
  <c r="J731" i="1"/>
  <c r="I731" i="1"/>
  <c r="H731" i="1"/>
  <c r="G731" i="1"/>
  <c r="F731" i="1"/>
  <c r="E731" i="1"/>
  <c r="D731" i="1"/>
  <c r="C731" i="1"/>
  <c r="B731" i="1"/>
  <c r="A731" i="1"/>
  <c r="O730" i="1"/>
  <c r="L730" i="1"/>
  <c r="K730" i="1"/>
  <c r="J730" i="1"/>
  <c r="I730" i="1"/>
  <c r="H730" i="1"/>
  <c r="G730" i="1"/>
  <c r="F730" i="1"/>
  <c r="E730" i="1"/>
  <c r="D730" i="1"/>
  <c r="C730" i="1"/>
  <c r="B730" i="1"/>
  <c r="A730" i="1"/>
  <c r="O729" i="1"/>
  <c r="L729" i="1"/>
  <c r="K729" i="1"/>
  <c r="J729" i="1"/>
  <c r="I729" i="1"/>
  <c r="H729" i="1"/>
  <c r="G729" i="1"/>
  <c r="F729" i="1"/>
  <c r="E729" i="1"/>
  <c r="D729" i="1"/>
  <c r="C729" i="1"/>
  <c r="B729" i="1"/>
  <c r="A729" i="1"/>
  <c r="O728" i="1"/>
  <c r="L728" i="1"/>
  <c r="K728" i="1"/>
  <c r="J728" i="1"/>
  <c r="I728" i="1"/>
  <c r="H728" i="1"/>
  <c r="G728" i="1"/>
  <c r="F728" i="1"/>
  <c r="E728" i="1"/>
  <c r="D728" i="1"/>
  <c r="C728" i="1"/>
  <c r="B728" i="1"/>
  <c r="A728" i="1"/>
  <c r="O727" i="1"/>
  <c r="L727" i="1"/>
  <c r="K727" i="1"/>
  <c r="J727" i="1"/>
  <c r="I727" i="1"/>
  <c r="H727" i="1"/>
  <c r="G727" i="1"/>
  <c r="F727" i="1"/>
  <c r="E727" i="1"/>
  <c r="D727" i="1"/>
  <c r="C727" i="1"/>
  <c r="B727" i="1"/>
  <c r="A727" i="1"/>
  <c r="O726" i="1"/>
  <c r="L726" i="1"/>
  <c r="K726" i="1"/>
  <c r="J726" i="1"/>
  <c r="I726" i="1"/>
  <c r="H726" i="1"/>
  <c r="G726" i="1"/>
  <c r="F726" i="1"/>
  <c r="E726" i="1"/>
  <c r="D726" i="1"/>
  <c r="C726" i="1"/>
  <c r="B726" i="1"/>
  <c r="A726" i="1"/>
  <c r="O725" i="1"/>
  <c r="L725" i="1"/>
  <c r="K725" i="1"/>
  <c r="J725" i="1"/>
  <c r="I725" i="1"/>
  <c r="H725" i="1"/>
  <c r="G725" i="1"/>
  <c r="F725" i="1"/>
  <c r="E725" i="1"/>
  <c r="D725" i="1"/>
  <c r="C725" i="1"/>
  <c r="B725" i="1"/>
  <c r="A725" i="1"/>
  <c r="P724" i="1"/>
  <c r="O724" i="1"/>
  <c r="L724" i="1"/>
  <c r="K724" i="1"/>
  <c r="J724" i="1"/>
  <c r="I724" i="1"/>
  <c r="H724" i="1"/>
  <c r="G724" i="1"/>
  <c r="F724" i="1"/>
  <c r="E724" i="1"/>
  <c r="D724" i="1"/>
  <c r="C724" i="1"/>
  <c r="B724" i="1"/>
  <c r="A724" i="1"/>
  <c r="O723" i="1"/>
  <c r="L723" i="1"/>
  <c r="K723" i="1"/>
  <c r="J723" i="1"/>
  <c r="I723" i="1"/>
  <c r="H723" i="1"/>
  <c r="G723" i="1"/>
  <c r="F723" i="1"/>
  <c r="E723" i="1"/>
  <c r="D723" i="1"/>
  <c r="C723" i="1"/>
  <c r="B723" i="1"/>
  <c r="A723" i="1"/>
  <c r="O722" i="1"/>
  <c r="L722" i="1"/>
  <c r="K722" i="1"/>
  <c r="J722" i="1"/>
  <c r="I722" i="1"/>
  <c r="H722" i="1"/>
  <c r="G722" i="1"/>
  <c r="F722" i="1"/>
  <c r="E722" i="1"/>
  <c r="D722" i="1"/>
  <c r="C722" i="1"/>
  <c r="B722" i="1"/>
  <c r="A722" i="1"/>
  <c r="O721" i="1"/>
  <c r="L721" i="1"/>
  <c r="K721" i="1"/>
  <c r="J721" i="1"/>
  <c r="I721" i="1"/>
  <c r="H721" i="1"/>
  <c r="G721" i="1"/>
  <c r="F721" i="1"/>
  <c r="E721" i="1"/>
  <c r="D721" i="1"/>
  <c r="C721" i="1"/>
  <c r="B721" i="1"/>
  <c r="A721" i="1"/>
  <c r="O720" i="1"/>
  <c r="L720" i="1"/>
  <c r="K720" i="1"/>
  <c r="J720" i="1"/>
  <c r="I720" i="1"/>
  <c r="H720" i="1"/>
  <c r="G720" i="1"/>
  <c r="F720" i="1"/>
  <c r="E720" i="1"/>
  <c r="D720" i="1"/>
  <c r="C720" i="1"/>
  <c r="B720" i="1"/>
  <c r="A720" i="1"/>
  <c r="O719" i="1"/>
  <c r="L719" i="1"/>
  <c r="K719" i="1"/>
  <c r="J719" i="1"/>
  <c r="I719" i="1"/>
  <c r="H719" i="1"/>
  <c r="G719" i="1"/>
  <c r="F719" i="1"/>
  <c r="E719" i="1"/>
  <c r="D719" i="1"/>
  <c r="C719" i="1"/>
  <c r="B719" i="1"/>
  <c r="A719" i="1"/>
  <c r="O718" i="1"/>
  <c r="L718" i="1"/>
  <c r="K718" i="1"/>
  <c r="J718" i="1"/>
  <c r="I718" i="1"/>
  <c r="H718" i="1"/>
  <c r="G718" i="1"/>
  <c r="F718" i="1"/>
  <c r="E718" i="1"/>
  <c r="D718" i="1"/>
  <c r="C718" i="1"/>
  <c r="B718" i="1"/>
  <c r="A718" i="1"/>
  <c r="O717" i="1"/>
  <c r="L717" i="1"/>
  <c r="K717" i="1"/>
  <c r="J717" i="1"/>
  <c r="I717" i="1"/>
  <c r="H717" i="1"/>
  <c r="G717" i="1"/>
  <c r="F717" i="1"/>
  <c r="E717" i="1"/>
  <c r="D717" i="1"/>
  <c r="C717" i="1"/>
  <c r="B717" i="1"/>
  <c r="A717" i="1"/>
  <c r="O716" i="1"/>
  <c r="L716" i="1"/>
  <c r="K716" i="1"/>
  <c r="J716" i="1"/>
  <c r="I716" i="1"/>
  <c r="H716" i="1"/>
  <c r="G716" i="1"/>
  <c r="F716" i="1"/>
  <c r="E716" i="1"/>
  <c r="D716" i="1"/>
  <c r="C716" i="1"/>
  <c r="B716" i="1"/>
  <c r="A716" i="1"/>
  <c r="O715" i="1"/>
  <c r="L715" i="1"/>
  <c r="K715" i="1"/>
  <c r="J715" i="1"/>
  <c r="I715" i="1"/>
  <c r="H715" i="1"/>
  <c r="G715" i="1"/>
  <c r="F715" i="1"/>
  <c r="E715" i="1"/>
  <c r="D715" i="1"/>
  <c r="C715" i="1"/>
  <c r="B715" i="1"/>
  <c r="A715" i="1"/>
  <c r="O714" i="1"/>
  <c r="L714" i="1"/>
  <c r="K714" i="1"/>
  <c r="J714" i="1"/>
  <c r="I714" i="1"/>
  <c r="H714" i="1"/>
  <c r="G714" i="1"/>
  <c r="F714" i="1"/>
  <c r="E714" i="1"/>
  <c r="D714" i="1"/>
  <c r="C714" i="1"/>
  <c r="B714" i="1"/>
  <c r="A714" i="1"/>
  <c r="O713" i="1"/>
  <c r="L713" i="1"/>
  <c r="K713" i="1"/>
  <c r="J713" i="1"/>
  <c r="I713" i="1"/>
  <c r="H713" i="1"/>
  <c r="G713" i="1"/>
  <c r="F713" i="1"/>
  <c r="E713" i="1"/>
  <c r="D713" i="1"/>
  <c r="C713" i="1"/>
  <c r="B713" i="1"/>
  <c r="A713" i="1"/>
  <c r="O712" i="1"/>
  <c r="L712" i="1"/>
  <c r="K712" i="1"/>
  <c r="J712" i="1"/>
  <c r="I712" i="1"/>
  <c r="H712" i="1"/>
  <c r="G712" i="1"/>
  <c r="F712" i="1"/>
  <c r="E712" i="1"/>
  <c r="D712" i="1"/>
  <c r="C712" i="1"/>
  <c r="B712" i="1"/>
  <c r="A712" i="1"/>
  <c r="O711" i="1"/>
  <c r="L711" i="1"/>
  <c r="K711" i="1"/>
  <c r="J711" i="1"/>
  <c r="I711" i="1"/>
  <c r="H711" i="1"/>
  <c r="G711" i="1"/>
  <c r="F711" i="1"/>
  <c r="E711" i="1"/>
  <c r="D711" i="1"/>
  <c r="C711" i="1"/>
  <c r="B711" i="1"/>
  <c r="A711" i="1"/>
  <c r="O710" i="1"/>
  <c r="L710" i="1"/>
  <c r="K710" i="1"/>
  <c r="J710" i="1"/>
  <c r="I710" i="1"/>
  <c r="H710" i="1"/>
  <c r="G710" i="1"/>
  <c r="F710" i="1"/>
  <c r="E710" i="1"/>
  <c r="D710" i="1"/>
  <c r="C710" i="1"/>
  <c r="B710" i="1"/>
  <c r="A710" i="1"/>
  <c r="O709" i="1"/>
  <c r="L709" i="1"/>
  <c r="K709" i="1"/>
  <c r="J709" i="1"/>
  <c r="I709" i="1"/>
  <c r="H709" i="1"/>
  <c r="G709" i="1"/>
  <c r="F709" i="1"/>
  <c r="E709" i="1"/>
  <c r="D709" i="1"/>
  <c r="C709" i="1"/>
  <c r="B709" i="1"/>
  <c r="A709" i="1"/>
  <c r="P708" i="1"/>
  <c r="O708" i="1"/>
  <c r="L708" i="1"/>
  <c r="K708" i="1"/>
  <c r="J708" i="1"/>
  <c r="I708" i="1"/>
  <c r="H708" i="1"/>
  <c r="G708" i="1"/>
  <c r="F708" i="1"/>
  <c r="E708" i="1"/>
  <c r="D708" i="1"/>
  <c r="C708" i="1"/>
  <c r="B708" i="1"/>
  <c r="A708" i="1"/>
  <c r="O707" i="1"/>
  <c r="L707" i="1"/>
  <c r="K707" i="1"/>
  <c r="J707" i="1"/>
  <c r="I707" i="1"/>
  <c r="H707" i="1"/>
  <c r="G707" i="1"/>
  <c r="F707" i="1"/>
  <c r="E707" i="1"/>
  <c r="D707" i="1"/>
  <c r="C707" i="1"/>
  <c r="B707" i="1"/>
  <c r="A707" i="1"/>
  <c r="O706" i="1"/>
  <c r="L706" i="1"/>
  <c r="K706" i="1"/>
  <c r="J706" i="1"/>
  <c r="I706" i="1"/>
  <c r="H706" i="1"/>
  <c r="G706" i="1"/>
  <c r="F706" i="1"/>
  <c r="E706" i="1"/>
  <c r="D706" i="1"/>
  <c r="C706" i="1"/>
  <c r="B706" i="1"/>
  <c r="A706" i="1"/>
  <c r="O705" i="1"/>
  <c r="L705" i="1"/>
  <c r="K705" i="1"/>
  <c r="J705" i="1"/>
  <c r="I705" i="1"/>
  <c r="H705" i="1"/>
  <c r="G705" i="1"/>
  <c r="F705" i="1"/>
  <c r="E705" i="1"/>
  <c r="D705" i="1"/>
  <c r="C705" i="1"/>
  <c r="B705" i="1"/>
  <c r="A705" i="1"/>
  <c r="P704" i="1"/>
  <c r="O704" i="1"/>
  <c r="L704" i="1"/>
  <c r="K704" i="1"/>
  <c r="J704" i="1"/>
  <c r="I704" i="1"/>
  <c r="H704" i="1"/>
  <c r="G704" i="1"/>
  <c r="F704" i="1"/>
  <c r="E704" i="1"/>
  <c r="D704" i="1"/>
  <c r="C704" i="1"/>
  <c r="B704" i="1"/>
  <c r="A704" i="1"/>
  <c r="O703" i="1"/>
  <c r="L703" i="1"/>
  <c r="K703" i="1"/>
  <c r="J703" i="1"/>
  <c r="I703" i="1"/>
  <c r="H703" i="1"/>
  <c r="G703" i="1"/>
  <c r="F703" i="1"/>
  <c r="E703" i="1"/>
  <c r="D703" i="1"/>
  <c r="C703" i="1"/>
  <c r="B703" i="1"/>
  <c r="A703" i="1"/>
  <c r="O702" i="1"/>
  <c r="L702" i="1"/>
  <c r="K702" i="1"/>
  <c r="J702" i="1"/>
  <c r="I702" i="1"/>
  <c r="H702" i="1"/>
  <c r="G702" i="1"/>
  <c r="F702" i="1"/>
  <c r="E702" i="1"/>
  <c r="D702" i="1"/>
  <c r="C702" i="1"/>
  <c r="B702" i="1"/>
  <c r="A702" i="1"/>
  <c r="O701" i="1"/>
  <c r="L701" i="1"/>
  <c r="K701" i="1"/>
  <c r="J701" i="1"/>
  <c r="I701" i="1"/>
  <c r="H701" i="1"/>
  <c r="G701" i="1"/>
  <c r="F701" i="1"/>
  <c r="E701" i="1"/>
  <c r="D701" i="1"/>
  <c r="C701" i="1"/>
  <c r="B701" i="1"/>
  <c r="A701" i="1"/>
  <c r="O700" i="1"/>
  <c r="L700" i="1"/>
  <c r="K700" i="1"/>
  <c r="J700" i="1"/>
  <c r="I700" i="1"/>
  <c r="H700" i="1"/>
  <c r="G700" i="1"/>
  <c r="F700" i="1"/>
  <c r="E700" i="1"/>
  <c r="D700" i="1"/>
  <c r="C700" i="1"/>
  <c r="B700" i="1"/>
  <c r="A700" i="1"/>
  <c r="O699" i="1"/>
  <c r="L699" i="1"/>
  <c r="K699" i="1"/>
  <c r="J699" i="1"/>
  <c r="I699" i="1"/>
  <c r="H699" i="1"/>
  <c r="G699" i="1"/>
  <c r="F699" i="1"/>
  <c r="E699" i="1"/>
  <c r="D699" i="1"/>
  <c r="C699" i="1"/>
  <c r="B699" i="1"/>
  <c r="A699" i="1"/>
  <c r="O698" i="1"/>
  <c r="L698" i="1"/>
  <c r="K698" i="1"/>
  <c r="J698" i="1"/>
  <c r="I698" i="1"/>
  <c r="H698" i="1"/>
  <c r="G698" i="1"/>
  <c r="F698" i="1"/>
  <c r="E698" i="1"/>
  <c r="D698" i="1"/>
  <c r="C698" i="1"/>
  <c r="B698" i="1"/>
  <c r="A698" i="1"/>
  <c r="O697" i="1"/>
  <c r="L697" i="1"/>
  <c r="K697" i="1"/>
  <c r="J697" i="1"/>
  <c r="I697" i="1"/>
  <c r="H697" i="1"/>
  <c r="G697" i="1"/>
  <c r="F697" i="1"/>
  <c r="E697" i="1"/>
  <c r="D697" i="1"/>
  <c r="C697" i="1"/>
  <c r="B697" i="1"/>
  <c r="A697" i="1"/>
  <c r="O696" i="1"/>
  <c r="L696" i="1"/>
  <c r="K696" i="1"/>
  <c r="J696" i="1"/>
  <c r="I696" i="1"/>
  <c r="H696" i="1"/>
  <c r="G696" i="1"/>
  <c r="F696" i="1"/>
  <c r="E696" i="1"/>
  <c r="D696" i="1"/>
  <c r="C696" i="1"/>
  <c r="B696" i="1"/>
  <c r="A696" i="1"/>
  <c r="O695" i="1"/>
  <c r="L695" i="1"/>
  <c r="K695" i="1"/>
  <c r="J695" i="1"/>
  <c r="I695" i="1"/>
  <c r="H695" i="1"/>
  <c r="G695" i="1"/>
  <c r="F695" i="1"/>
  <c r="E695" i="1"/>
  <c r="D695" i="1"/>
  <c r="C695" i="1"/>
  <c r="B695" i="1"/>
  <c r="A695" i="1"/>
  <c r="O694" i="1"/>
  <c r="L694" i="1"/>
  <c r="K694" i="1"/>
  <c r="J694" i="1"/>
  <c r="I694" i="1"/>
  <c r="H694" i="1"/>
  <c r="G694" i="1"/>
  <c r="F694" i="1"/>
  <c r="E694" i="1"/>
  <c r="D694" i="1"/>
  <c r="C694" i="1"/>
  <c r="B694" i="1"/>
  <c r="A694" i="1"/>
  <c r="O693" i="1"/>
  <c r="L693" i="1"/>
  <c r="K693" i="1"/>
  <c r="J693" i="1"/>
  <c r="I693" i="1"/>
  <c r="H693" i="1"/>
  <c r="G693" i="1"/>
  <c r="F693" i="1"/>
  <c r="E693" i="1"/>
  <c r="D693" i="1"/>
  <c r="C693" i="1"/>
  <c r="B693" i="1"/>
  <c r="A693" i="1"/>
  <c r="O692" i="1"/>
  <c r="L692" i="1"/>
  <c r="K692" i="1"/>
  <c r="J692" i="1"/>
  <c r="I692" i="1"/>
  <c r="H692" i="1"/>
  <c r="G692" i="1"/>
  <c r="F692" i="1"/>
  <c r="E692" i="1"/>
  <c r="D692" i="1"/>
  <c r="C692" i="1"/>
  <c r="B692" i="1"/>
  <c r="A692" i="1"/>
  <c r="P691" i="1"/>
  <c r="O691" i="1"/>
  <c r="L691" i="1"/>
  <c r="K691" i="1"/>
  <c r="J691" i="1"/>
  <c r="I691" i="1"/>
  <c r="H691" i="1"/>
  <c r="G691" i="1"/>
  <c r="F691" i="1"/>
  <c r="E691" i="1"/>
  <c r="D691" i="1"/>
  <c r="C691" i="1"/>
  <c r="B691" i="1"/>
  <c r="A691" i="1"/>
  <c r="O690" i="1"/>
  <c r="L690" i="1"/>
  <c r="K690" i="1"/>
  <c r="J690" i="1"/>
  <c r="I690" i="1"/>
  <c r="H690" i="1"/>
  <c r="G690" i="1"/>
  <c r="F690" i="1"/>
  <c r="E690" i="1"/>
  <c r="D690" i="1"/>
  <c r="C690" i="1"/>
  <c r="B690" i="1"/>
  <c r="A690" i="1"/>
  <c r="O689" i="1"/>
  <c r="L689" i="1"/>
  <c r="K689" i="1"/>
  <c r="J689" i="1"/>
  <c r="I689" i="1"/>
  <c r="H689" i="1"/>
  <c r="G689" i="1"/>
  <c r="F689" i="1"/>
  <c r="E689" i="1"/>
  <c r="D689" i="1"/>
  <c r="C689" i="1"/>
  <c r="B689" i="1"/>
  <c r="A689" i="1"/>
  <c r="O688" i="1"/>
  <c r="L688" i="1"/>
  <c r="K688" i="1"/>
  <c r="J688" i="1"/>
  <c r="I688" i="1"/>
  <c r="H688" i="1"/>
  <c r="G688" i="1"/>
  <c r="F688" i="1"/>
  <c r="E688" i="1"/>
  <c r="D688" i="1"/>
  <c r="C688" i="1"/>
  <c r="B688" i="1"/>
  <c r="A688" i="1"/>
  <c r="O687" i="1"/>
  <c r="L687" i="1"/>
  <c r="K687" i="1"/>
  <c r="J687" i="1"/>
  <c r="I687" i="1"/>
  <c r="H687" i="1"/>
  <c r="G687" i="1"/>
  <c r="F687" i="1"/>
  <c r="E687" i="1"/>
  <c r="D687" i="1"/>
  <c r="C687" i="1"/>
  <c r="B687" i="1"/>
  <c r="A687" i="1"/>
  <c r="O686" i="1"/>
  <c r="L686" i="1"/>
  <c r="K686" i="1"/>
  <c r="J686" i="1"/>
  <c r="I686" i="1"/>
  <c r="H686" i="1"/>
  <c r="G686" i="1"/>
  <c r="F686" i="1"/>
  <c r="E686" i="1"/>
  <c r="D686" i="1"/>
  <c r="C686" i="1"/>
  <c r="B686" i="1"/>
  <c r="A686" i="1"/>
  <c r="O685" i="1"/>
  <c r="L685" i="1"/>
  <c r="K685" i="1"/>
  <c r="J685" i="1"/>
  <c r="I685" i="1"/>
  <c r="H685" i="1"/>
  <c r="G685" i="1"/>
  <c r="F685" i="1"/>
  <c r="E685" i="1"/>
  <c r="D685" i="1"/>
  <c r="C685" i="1"/>
  <c r="B685" i="1"/>
  <c r="A685" i="1"/>
  <c r="P684" i="1"/>
  <c r="O684" i="1"/>
  <c r="L684" i="1"/>
  <c r="K684" i="1"/>
  <c r="J684" i="1"/>
  <c r="I684" i="1"/>
  <c r="H684" i="1"/>
  <c r="G684" i="1"/>
  <c r="F684" i="1"/>
  <c r="E684" i="1"/>
  <c r="D684" i="1"/>
  <c r="C684" i="1"/>
  <c r="B684" i="1"/>
  <c r="A684" i="1"/>
  <c r="O683" i="1"/>
  <c r="L683" i="1"/>
  <c r="K683" i="1"/>
  <c r="J683" i="1"/>
  <c r="I683" i="1"/>
  <c r="H683" i="1"/>
  <c r="G683" i="1"/>
  <c r="F683" i="1"/>
  <c r="E683" i="1"/>
  <c r="D683" i="1"/>
  <c r="C683" i="1"/>
  <c r="B683" i="1"/>
  <c r="A683" i="1"/>
  <c r="O682" i="1"/>
  <c r="L682" i="1"/>
  <c r="K682" i="1"/>
  <c r="J682" i="1"/>
  <c r="I682" i="1"/>
  <c r="H682" i="1"/>
  <c r="G682" i="1"/>
  <c r="F682" i="1"/>
  <c r="E682" i="1"/>
  <c r="D682" i="1"/>
  <c r="C682" i="1"/>
  <c r="B682" i="1"/>
  <c r="A682" i="1"/>
  <c r="O681" i="1"/>
  <c r="L681" i="1"/>
  <c r="K681" i="1"/>
  <c r="J681" i="1"/>
  <c r="I681" i="1"/>
  <c r="H681" i="1"/>
  <c r="G681" i="1"/>
  <c r="F681" i="1"/>
  <c r="E681" i="1"/>
  <c r="D681" i="1"/>
  <c r="C681" i="1"/>
  <c r="B681" i="1"/>
  <c r="A681" i="1"/>
  <c r="O680" i="1"/>
  <c r="L680" i="1"/>
  <c r="K680" i="1"/>
  <c r="J680" i="1"/>
  <c r="I680" i="1"/>
  <c r="H680" i="1"/>
  <c r="G680" i="1"/>
  <c r="F680" i="1"/>
  <c r="E680" i="1"/>
  <c r="D680" i="1"/>
  <c r="C680" i="1"/>
  <c r="B680" i="1"/>
  <c r="A680" i="1"/>
  <c r="O679" i="1"/>
  <c r="L679" i="1"/>
  <c r="K679" i="1"/>
  <c r="J679" i="1"/>
  <c r="I679" i="1"/>
  <c r="H679" i="1"/>
  <c r="G679" i="1"/>
  <c r="F679" i="1"/>
  <c r="E679" i="1"/>
  <c r="D679" i="1"/>
  <c r="C679" i="1"/>
  <c r="B679" i="1"/>
  <c r="A679" i="1"/>
  <c r="O678" i="1"/>
  <c r="L678" i="1"/>
  <c r="K678" i="1"/>
  <c r="J678" i="1"/>
  <c r="I678" i="1"/>
  <c r="H678" i="1"/>
  <c r="G678" i="1"/>
  <c r="F678" i="1"/>
  <c r="E678" i="1"/>
  <c r="D678" i="1"/>
  <c r="C678" i="1"/>
  <c r="B678" i="1"/>
  <c r="A678" i="1"/>
  <c r="O677" i="1"/>
  <c r="L677" i="1"/>
  <c r="K677" i="1"/>
  <c r="J677" i="1"/>
  <c r="I677" i="1"/>
  <c r="H677" i="1"/>
  <c r="G677" i="1"/>
  <c r="F677" i="1"/>
  <c r="E677" i="1"/>
  <c r="D677" i="1"/>
  <c r="C677" i="1"/>
  <c r="B677" i="1"/>
  <c r="A677" i="1"/>
  <c r="P676" i="1"/>
  <c r="O676" i="1"/>
  <c r="L676" i="1"/>
  <c r="K676" i="1"/>
  <c r="J676" i="1"/>
  <c r="I676" i="1"/>
  <c r="H676" i="1"/>
  <c r="G676" i="1"/>
  <c r="F676" i="1"/>
  <c r="E676" i="1"/>
  <c r="D676" i="1"/>
  <c r="C676" i="1"/>
  <c r="B676" i="1"/>
  <c r="A676" i="1"/>
  <c r="O675" i="1"/>
  <c r="L675" i="1"/>
  <c r="K675" i="1"/>
  <c r="J675" i="1"/>
  <c r="I675" i="1"/>
  <c r="H675" i="1"/>
  <c r="G675" i="1"/>
  <c r="F675" i="1"/>
  <c r="E675" i="1"/>
  <c r="D675" i="1"/>
  <c r="C675" i="1"/>
  <c r="B675" i="1"/>
  <c r="A675" i="1"/>
  <c r="O674" i="1"/>
  <c r="L674" i="1"/>
  <c r="K674" i="1"/>
  <c r="J674" i="1"/>
  <c r="I674" i="1"/>
  <c r="H674" i="1"/>
  <c r="G674" i="1"/>
  <c r="F674" i="1"/>
  <c r="E674" i="1"/>
  <c r="D674" i="1"/>
  <c r="C674" i="1"/>
  <c r="B674" i="1"/>
  <c r="A674" i="1"/>
  <c r="O673" i="1"/>
  <c r="L673" i="1"/>
  <c r="K673" i="1"/>
  <c r="J673" i="1"/>
  <c r="I673" i="1"/>
  <c r="H673" i="1"/>
  <c r="G673" i="1"/>
  <c r="F673" i="1"/>
  <c r="E673" i="1"/>
  <c r="D673" i="1"/>
  <c r="C673" i="1"/>
  <c r="B673" i="1"/>
  <c r="A673" i="1"/>
  <c r="O672" i="1"/>
  <c r="L672" i="1"/>
  <c r="K672" i="1"/>
  <c r="J672" i="1"/>
  <c r="I672" i="1"/>
  <c r="H672" i="1"/>
  <c r="G672" i="1"/>
  <c r="F672" i="1"/>
  <c r="E672" i="1"/>
  <c r="D672" i="1"/>
  <c r="C672" i="1"/>
  <c r="B672" i="1"/>
  <c r="A672" i="1"/>
  <c r="O671" i="1"/>
  <c r="L671" i="1"/>
  <c r="K671" i="1"/>
  <c r="J671" i="1"/>
  <c r="I671" i="1"/>
  <c r="H671" i="1"/>
  <c r="G671" i="1"/>
  <c r="F671" i="1"/>
  <c r="E671" i="1"/>
  <c r="D671" i="1"/>
  <c r="C671" i="1"/>
  <c r="B671" i="1"/>
  <c r="A671" i="1"/>
  <c r="O670" i="1"/>
  <c r="L670" i="1"/>
  <c r="K670" i="1"/>
  <c r="J670" i="1"/>
  <c r="I670" i="1"/>
  <c r="H670" i="1"/>
  <c r="G670" i="1"/>
  <c r="F670" i="1"/>
  <c r="E670" i="1"/>
  <c r="D670" i="1"/>
  <c r="C670" i="1"/>
  <c r="B670" i="1"/>
  <c r="A670" i="1"/>
  <c r="O669" i="1"/>
  <c r="L669" i="1"/>
  <c r="K669" i="1"/>
  <c r="J669" i="1"/>
  <c r="I669" i="1"/>
  <c r="H669" i="1"/>
  <c r="G669" i="1"/>
  <c r="F669" i="1"/>
  <c r="E669" i="1"/>
  <c r="D669" i="1"/>
  <c r="C669" i="1"/>
  <c r="B669" i="1"/>
  <c r="A669" i="1"/>
  <c r="O668" i="1"/>
  <c r="L668" i="1"/>
  <c r="K668" i="1"/>
  <c r="J668" i="1"/>
  <c r="I668" i="1"/>
  <c r="H668" i="1"/>
  <c r="G668" i="1"/>
  <c r="F668" i="1"/>
  <c r="E668" i="1"/>
  <c r="D668" i="1"/>
  <c r="C668" i="1"/>
  <c r="B668" i="1"/>
  <c r="A668" i="1"/>
  <c r="O667" i="1"/>
  <c r="L667" i="1"/>
  <c r="K667" i="1"/>
  <c r="J667" i="1"/>
  <c r="I667" i="1"/>
  <c r="H667" i="1"/>
  <c r="G667" i="1"/>
  <c r="F667" i="1"/>
  <c r="E667" i="1"/>
  <c r="D667" i="1"/>
  <c r="C667" i="1"/>
  <c r="B667" i="1"/>
  <c r="A667" i="1"/>
  <c r="O666" i="1"/>
  <c r="L666" i="1"/>
  <c r="K666" i="1"/>
  <c r="J666" i="1"/>
  <c r="I666" i="1"/>
  <c r="H666" i="1"/>
  <c r="G666" i="1"/>
  <c r="F666" i="1"/>
  <c r="E666" i="1"/>
  <c r="D666" i="1"/>
  <c r="C666" i="1"/>
  <c r="B666" i="1"/>
  <c r="A666" i="1"/>
  <c r="O665" i="1"/>
  <c r="L665" i="1"/>
  <c r="K665" i="1"/>
  <c r="J665" i="1"/>
  <c r="I665" i="1"/>
  <c r="H665" i="1"/>
  <c r="G665" i="1"/>
  <c r="F665" i="1"/>
  <c r="E665" i="1"/>
  <c r="D665" i="1"/>
  <c r="C665" i="1"/>
  <c r="B665" i="1"/>
  <c r="A665" i="1"/>
  <c r="O664" i="1"/>
  <c r="L664" i="1"/>
  <c r="K664" i="1"/>
  <c r="J664" i="1"/>
  <c r="I664" i="1"/>
  <c r="H664" i="1"/>
  <c r="G664" i="1"/>
  <c r="F664" i="1"/>
  <c r="E664" i="1"/>
  <c r="D664" i="1"/>
  <c r="C664" i="1"/>
  <c r="B664" i="1"/>
  <c r="A664" i="1"/>
  <c r="O663" i="1"/>
  <c r="L663" i="1"/>
  <c r="K663" i="1"/>
  <c r="J663" i="1"/>
  <c r="I663" i="1"/>
  <c r="H663" i="1"/>
  <c r="G663" i="1"/>
  <c r="F663" i="1"/>
  <c r="E663" i="1"/>
  <c r="D663" i="1"/>
  <c r="C663" i="1"/>
  <c r="B663" i="1"/>
  <c r="A663" i="1"/>
  <c r="P662" i="1"/>
  <c r="O662" i="1"/>
  <c r="L662" i="1"/>
  <c r="K662" i="1"/>
  <c r="J662" i="1"/>
  <c r="I662" i="1"/>
  <c r="H662" i="1"/>
  <c r="G662" i="1"/>
  <c r="F662" i="1"/>
  <c r="E662" i="1"/>
  <c r="D662" i="1"/>
  <c r="C662" i="1"/>
  <c r="B662" i="1"/>
  <c r="A662" i="1"/>
  <c r="O661" i="1"/>
  <c r="L661" i="1"/>
  <c r="K661" i="1"/>
  <c r="J661" i="1"/>
  <c r="I661" i="1"/>
  <c r="H661" i="1"/>
  <c r="G661" i="1"/>
  <c r="F661" i="1"/>
  <c r="E661" i="1"/>
  <c r="D661" i="1"/>
  <c r="C661" i="1"/>
  <c r="B661" i="1"/>
  <c r="A661" i="1"/>
  <c r="O660" i="1"/>
  <c r="L660" i="1"/>
  <c r="K660" i="1"/>
  <c r="J660" i="1"/>
  <c r="I660" i="1"/>
  <c r="H660" i="1"/>
  <c r="G660" i="1"/>
  <c r="F660" i="1"/>
  <c r="E660" i="1"/>
  <c r="D660" i="1"/>
  <c r="C660" i="1"/>
  <c r="B660" i="1"/>
  <c r="A660" i="1"/>
  <c r="O659" i="1"/>
  <c r="L659" i="1"/>
  <c r="K659" i="1"/>
  <c r="J659" i="1"/>
  <c r="I659" i="1"/>
  <c r="H659" i="1"/>
  <c r="G659" i="1"/>
  <c r="F659" i="1"/>
  <c r="E659" i="1"/>
  <c r="D659" i="1"/>
  <c r="C659" i="1"/>
  <c r="B659" i="1"/>
  <c r="A659" i="1"/>
  <c r="O658" i="1"/>
  <c r="L658" i="1"/>
  <c r="K658" i="1"/>
  <c r="J658" i="1"/>
  <c r="I658" i="1"/>
  <c r="H658" i="1"/>
  <c r="G658" i="1"/>
  <c r="F658" i="1"/>
  <c r="E658" i="1"/>
  <c r="D658" i="1"/>
  <c r="C658" i="1"/>
  <c r="B658" i="1"/>
  <c r="A658" i="1"/>
  <c r="O657" i="1"/>
  <c r="L657" i="1"/>
  <c r="K657" i="1"/>
  <c r="J657" i="1"/>
  <c r="I657" i="1"/>
  <c r="H657" i="1"/>
  <c r="G657" i="1"/>
  <c r="F657" i="1"/>
  <c r="E657" i="1"/>
  <c r="D657" i="1"/>
  <c r="C657" i="1"/>
  <c r="B657" i="1"/>
  <c r="A657" i="1"/>
  <c r="O656" i="1"/>
  <c r="L656" i="1"/>
  <c r="K656" i="1"/>
  <c r="J656" i="1"/>
  <c r="I656" i="1"/>
  <c r="H656" i="1"/>
  <c r="G656" i="1"/>
  <c r="F656" i="1"/>
  <c r="E656" i="1"/>
  <c r="D656" i="1"/>
  <c r="C656" i="1"/>
  <c r="B656" i="1"/>
  <c r="A656" i="1"/>
  <c r="O655" i="1"/>
  <c r="L655" i="1"/>
  <c r="K655" i="1"/>
  <c r="J655" i="1"/>
  <c r="I655" i="1"/>
  <c r="H655" i="1"/>
  <c r="G655" i="1"/>
  <c r="F655" i="1"/>
  <c r="E655" i="1"/>
  <c r="D655" i="1"/>
  <c r="C655" i="1"/>
  <c r="B655" i="1"/>
  <c r="A655" i="1"/>
  <c r="O654" i="1"/>
  <c r="L654" i="1"/>
  <c r="K654" i="1"/>
  <c r="J654" i="1"/>
  <c r="I654" i="1"/>
  <c r="H654" i="1"/>
  <c r="G654" i="1"/>
  <c r="F654" i="1"/>
  <c r="E654" i="1"/>
  <c r="D654" i="1"/>
  <c r="C654" i="1"/>
  <c r="B654" i="1"/>
  <c r="A654" i="1"/>
  <c r="O653" i="1"/>
  <c r="L653" i="1"/>
  <c r="K653" i="1"/>
  <c r="J653" i="1"/>
  <c r="I653" i="1"/>
  <c r="H653" i="1"/>
  <c r="G653" i="1"/>
  <c r="F653" i="1"/>
  <c r="E653" i="1"/>
  <c r="D653" i="1"/>
  <c r="C653" i="1"/>
  <c r="B653" i="1"/>
  <c r="A653" i="1"/>
  <c r="O652" i="1"/>
  <c r="L652" i="1"/>
  <c r="K652" i="1"/>
  <c r="J652" i="1"/>
  <c r="I652" i="1"/>
  <c r="H652" i="1"/>
  <c r="G652" i="1"/>
  <c r="F652" i="1"/>
  <c r="E652" i="1"/>
  <c r="D652" i="1"/>
  <c r="C652" i="1"/>
  <c r="B652" i="1"/>
  <c r="A652" i="1"/>
  <c r="O651" i="1"/>
  <c r="L651" i="1"/>
  <c r="K651" i="1"/>
  <c r="J651" i="1"/>
  <c r="I651" i="1"/>
  <c r="H651" i="1"/>
  <c r="G651" i="1"/>
  <c r="F651" i="1"/>
  <c r="E651" i="1"/>
  <c r="D651" i="1"/>
  <c r="C651" i="1"/>
  <c r="B651" i="1"/>
  <c r="A651" i="1"/>
  <c r="O650" i="1"/>
  <c r="L650" i="1"/>
  <c r="K650" i="1"/>
  <c r="J650" i="1"/>
  <c r="I650" i="1"/>
  <c r="H650" i="1"/>
  <c r="G650" i="1"/>
  <c r="F650" i="1"/>
  <c r="E650" i="1"/>
  <c r="D650" i="1"/>
  <c r="C650" i="1"/>
  <c r="B650" i="1"/>
  <c r="A650" i="1"/>
  <c r="O649" i="1"/>
  <c r="L649" i="1"/>
  <c r="K649" i="1"/>
  <c r="J649" i="1"/>
  <c r="I649" i="1"/>
  <c r="H649" i="1"/>
  <c r="G649" i="1"/>
  <c r="F649" i="1"/>
  <c r="E649" i="1"/>
  <c r="D649" i="1"/>
  <c r="C649" i="1"/>
  <c r="B649" i="1"/>
  <c r="A649" i="1"/>
  <c r="O648" i="1"/>
  <c r="L648" i="1"/>
  <c r="K648" i="1"/>
  <c r="J648" i="1"/>
  <c r="I648" i="1"/>
  <c r="H648" i="1"/>
  <c r="G648" i="1"/>
  <c r="F648" i="1"/>
  <c r="E648" i="1"/>
  <c r="D648" i="1"/>
  <c r="C648" i="1"/>
  <c r="B648" i="1"/>
  <c r="A648" i="1"/>
  <c r="O647" i="1"/>
  <c r="L647" i="1"/>
  <c r="K647" i="1"/>
  <c r="J647" i="1"/>
  <c r="I647" i="1"/>
  <c r="H647" i="1"/>
  <c r="G647" i="1"/>
  <c r="F647" i="1"/>
  <c r="E647" i="1"/>
  <c r="D647" i="1"/>
  <c r="C647" i="1"/>
  <c r="B647" i="1"/>
  <c r="A647" i="1"/>
  <c r="O646" i="1"/>
  <c r="L646" i="1"/>
  <c r="K646" i="1"/>
  <c r="J646" i="1"/>
  <c r="I646" i="1"/>
  <c r="H646" i="1"/>
  <c r="G646" i="1"/>
  <c r="F646" i="1"/>
  <c r="E646" i="1"/>
  <c r="D646" i="1"/>
  <c r="C646" i="1"/>
  <c r="B646" i="1"/>
  <c r="A646" i="1"/>
  <c r="O645" i="1"/>
  <c r="L645" i="1"/>
  <c r="K645" i="1"/>
  <c r="J645" i="1"/>
  <c r="I645" i="1"/>
  <c r="H645" i="1"/>
  <c r="G645" i="1"/>
  <c r="F645" i="1"/>
  <c r="E645" i="1"/>
  <c r="D645" i="1"/>
  <c r="C645" i="1"/>
  <c r="B645" i="1"/>
  <c r="A645" i="1"/>
  <c r="O644" i="1"/>
  <c r="L644" i="1"/>
  <c r="K644" i="1"/>
  <c r="J644" i="1"/>
  <c r="I644" i="1"/>
  <c r="H644" i="1"/>
  <c r="G644" i="1"/>
  <c r="F644" i="1"/>
  <c r="E644" i="1"/>
  <c r="D644" i="1"/>
  <c r="C644" i="1"/>
  <c r="B644" i="1"/>
  <c r="A644" i="1"/>
  <c r="O643" i="1"/>
  <c r="L643" i="1"/>
  <c r="K643" i="1"/>
  <c r="J643" i="1"/>
  <c r="I643" i="1"/>
  <c r="H643" i="1"/>
  <c r="G643" i="1"/>
  <c r="F643" i="1"/>
  <c r="E643" i="1"/>
  <c r="D643" i="1"/>
  <c r="C643" i="1"/>
  <c r="B643" i="1"/>
  <c r="A643" i="1"/>
  <c r="O642" i="1"/>
  <c r="L642" i="1"/>
  <c r="K642" i="1"/>
  <c r="J642" i="1"/>
  <c r="I642" i="1"/>
  <c r="H642" i="1"/>
  <c r="G642" i="1"/>
  <c r="F642" i="1"/>
  <c r="E642" i="1"/>
  <c r="D642" i="1"/>
  <c r="C642" i="1"/>
  <c r="B642" i="1"/>
  <c r="A642" i="1"/>
  <c r="O641" i="1"/>
  <c r="L641" i="1"/>
  <c r="K641" i="1"/>
  <c r="J641" i="1"/>
  <c r="I641" i="1"/>
  <c r="H641" i="1"/>
  <c r="G641" i="1"/>
  <c r="F641" i="1"/>
  <c r="E641" i="1"/>
  <c r="D641" i="1"/>
  <c r="C641" i="1"/>
  <c r="B641" i="1"/>
  <c r="A641" i="1"/>
  <c r="O640" i="1"/>
  <c r="L640" i="1"/>
  <c r="K640" i="1"/>
  <c r="J640" i="1"/>
  <c r="I640" i="1"/>
  <c r="H640" i="1"/>
  <c r="G640" i="1"/>
  <c r="F640" i="1"/>
  <c r="E640" i="1"/>
  <c r="D640" i="1"/>
  <c r="C640" i="1"/>
  <c r="B640" i="1"/>
  <c r="A640" i="1"/>
  <c r="O639" i="1"/>
  <c r="L639" i="1"/>
  <c r="K639" i="1"/>
  <c r="J639" i="1"/>
  <c r="I639" i="1"/>
  <c r="H639" i="1"/>
  <c r="G639" i="1"/>
  <c r="F639" i="1"/>
  <c r="E639" i="1"/>
  <c r="D639" i="1"/>
  <c r="C639" i="1"/>
  <c r="B639" i="1"/>
  <c r="A639" i="1"/>
  <c r="O638" i="1"/>
  <c r="L638" i="1"/>
  <c r="K638" i="1"/>
  <c r="J638" i="1"/>
  <c r="I638" i="1"/>
  <c r="H638" i="1"/>
  <c r="G638" i="1"/>
  <c r="F638" i="1"/>
  <c r="E638" i="1"/>
  <c r="D638" i="1"/>
  <c r="C638" i="1"/>
  <c r="B638" i="1"/>
  <c r="A638" i="1"/>
  <c r="O637" i="1"/>
  <c r="L637" i="1"/>
  <c r="K637" i="1"/>
  <c r="J637" i="1"/>
  <c r="I637" i="1"/>
  <c r="H637" i="1"/>
  <c r="G637" i="1"/>
  <c r="F637" i="1"/>
  <c r="E637" i="1"/>
  <c r="D637" i="1"/>
  <c r="C637" i="1"/>
  <c r="B637" i="1"/>
  <c r="A637" i="1"/>
  <c r="O636" i="1"/>
  <c r="L636" i="1"/>
  <c r="K636" i="1"/>
  <c r="J636" i="1"/>
  <c r="I636" i="1"/>
  <c r="H636" i="1"/>
  <c r="G636" i="1"/>
  <c r="F636" i="1"/>
  <c r="E636" i="1"/>
  <c r="D636" i="1"/>
  <c r="C636" i="1"/>
  <c r="B636" i="1"/>
  <c r="A636" i="1"/>
  <c r="O635" i="1"/>
  <c r="L635" i="1"/>
  <c r="K635" i="1"/>
  <c r="J635" i="1"/>
  <c r="I635" i="1"/>
  <c r="H635" i="1"/>
  <c r="G635" i="1"/>
  <c r="F635" i="1"/>
  <c r="E635" i="1"/>
  <c r="D635" i="1"/>
  <c r="C635" i="1"/>
  <c r="B635" i="1"/>
  <c r="A635" i="1"/>
  <c r="O634" i="1"/>
  <c r="L634" i="1"/>
  <c r="K634" i="1"/>
  <c r="J634" i="1"/>
  <c r="I634" i="1"/>
  <c r="H634" i="1"/>
  <c r="G634" i="1"/>
  <c r="F634" i="1"/>
  <c r="E634" i="1"/>
  <c r="D634" i="1"/>
  <c r="C634" i="1"/>
  <c r="B634" i="1"/>
  <c r="A634" i="1"/>
  <c r="O633" i="1"/>
  <c r="L633" i="1"/>
  <c r="K633" i="1"/>
  <c r="J633" i="1"/>
  <c r="I633" i="1"/>
  <c r="H633" i="1"/>
  <c r="G633" i="1"/>
  <c r="F633" i="1"/>
  <c r="E633" i="1"/>
  <c r="D633" i="1"/>
  <c r="C633" i="1"/>
  <c r="B633" i="1"/>
  <c r="A633" i="1"/>
  <c r="O632" i="1"/>
  <c r="L632" i="1"/>
  <c r="K632" i="1"/>
  <c r="J632" i="1"/>
  <c r="I632" i="1"/>
  <c r="H632" i="1"/>
  <c r="G632" i="1"/>
  <c r="F632" i="1"/>
  <c r="E632" i="1"/>
  <c r="D632" i="1"/>
  <c r="C632" i="1"/>
  <c r="B632" i="1"/>
  <c r="A632" i="1"/>
  <c r="O631" i="1"/>
  <c r="L631" i="1"/>
  <c r="K631" i="1"/>
  <c r="J631" i="1"/>
  <c r="I631" i="1"/>
  <c r="H631" i="1"/>
  <c r="G631" i="1"/>
  <c r="F631" i="1"/>
  <c r="E631" i="1"/>
  <c r="D631" i="1"/>
  <c r="C631" i="1"/>
  <c r="B631" i="1"/>
  <c r="A631" i="1"/>
  <c r="O630" i="1"/>
  <c r="L630" i="1"/>
  <c r="K630" i="1"/>
  <c r="J630" i="1"/>
  <c r="I630" i="1"/>
  <c r="H630" i="1"/>
  <c r="G630" i="1"/>
  <c r="F630" i="1"/>
  <c r="E630" i="1"/>
  <c r="D630" i="1"/>
  <c r="C630" i="1"/>
  <c r="B630" i="1"/>
  <c r="A630" i="1"/>
  <c r="O629" i="1"/>
  <c r="L629" i="1"/>
  <c r="K629" i="1"/>
  <c r="J629" i="1"/>
  <c r="I629" i="1"/>
  <c r="H629" i="1"/>
  <c r="G629" i="1"/>
  <c r="F629" i="1"/>
  <c r="E629" i="1"/>
  <c r="D629" i="1"/>
  <c r="C629" i="1"/>
  <c r="B629" i="1"/>
  <c r="A629" i="1"/>
  <c r="P628" i="1"/>
  <c r="O628" i="1"/>
  <c r="L628" i="1"/>
  <c r="K628" i="1"/>
  <c r="J628" i="1"/>
  <c r="I628" i="1"/>
  <c r="H628" i="1"/>
  <c r="G628" i="1"/>
  <c r="F628" i="1"/>
  <c r="E628" i="1"/>
  <c r="D628" i="1"/>
  <c r="C628" i="1"/>
  <c r="B628" i="1"/>
  <c r="A628" i="1"/>
  <c r="O627" i="1"/>
  <c r="L627" i="1"/>
  <c r="K627" i="1"/>
  <c r="J627" i="1"/>
  <c r="I627" i="1"/>
  <c r="H627" i="1"/>
  <c r="G627" i="1"/>
  <c r="F627" i="1"/>
  <c r="E627" i="1"/>
  <c r="D627" i="1"/>
  <c r="C627" i="1"/>
  <c r="B627" i="1"/>
  <c r="A627" i="1"/>
  <c r="O626" i="1"/>
  <c r="L626" i="1"/>
  <c r="K626" i="1"/>
  <c r="J626" i="1"/>
  <c r="I626" i="1"/>
  <c r="H626" i="1"/>
  <c r="G626" i="1"/>
  <c r="F626" i="1"/>
  <c r="E626" i="1"/>
  <c r="D626" i="1"/>
  <c r="C626" i="1"/>
  <c r="B626" i="1"/>
  <c r="A626" i="1"/>
  <c r="O625" i="1"/>
  <c r="L625" i="1"/>
  <c r="K625" i="1"/>
  <c r="J625" i="1"/>
  <c r="I625" i="1"/>
  <c r="H625" i="1"/>
  <c r="G625" i="1"/>
  <c r="F625" i="1"/>
  <c r="E625" i="1"/>
  <c r="D625" i="1"/>
  <c r="C625" i="1"/>
  <c r="B625" i="1"/>
  <c r="A625" i="1"/>
  <c r="O624" i="1"/>
  <c r="L624" i="1"/>
  <c r="K624" i="1"/>
  <c r="J624" i="1"/>
  <c r="I624" i="1"/>
  <c r="H624" i="1"/>
  <c r="G624" i="1"/>
  <c r="F624" i="1"/>
  <c r="E624" i="1"/>
  <c r="D624" i="1"/>
  <c r="C624" i="1"/>
  <c r="B624" i="1"/>
  <c r="A624" i="1"/>
  <c r="O623" i="1"/>
  <c r="L623" i="1"/>
  <c r="K623" i="1"/>
  <c r="J623" i="1"/>
  <c r="I623" i="1"/>
  <c r="H623" i="1"/>
  <c r="G623" i="1"/>
  <c r="F623" i="1"/>
  <c r="E623" i="1"/>
  <c r="D623" i="1"/>
  <c r="C623" i="1"/>
  <c r="B623" i="1"/>
  <c r="A623" i="1"/>
  <c r="O622" i="1"/>
  <c r="L622" i="1"/>
  <c r="K622" i="1"/>
  <c r="J622" i="1"/>
  <c r="I622" i="1"/>
  <c r="H622" i="1"/>
  <c r="G622" i="1"/>
  <c r="F622" i="1"/>
  <c r="E622" i="1"/>
  <c r="D622" i="1"/>
  <c r="C622" i="1"/>
  <c r="B622" i="1"/>
  <c r="A622" i="1"/>
  <c r="O621" i="1"/>
  <c r="L621" i="1"/>
  <c r="K621" i="1"/>
  <c r="J621" i="1"/>
  <c r="I621" i="1"/>
  <c r="H621" i="1"/>
  <c r="G621" i="1"/>
  <c r="F621" i="1"/>
  <c r="E621" i="1"/>
  <c r="D621" i="1"/>
  <c r="C621" i="1"/>
  <c r="B621" i="1"/>
  <c r="A621" i="1"/>
  <c r="O620" i="1"/>
  <c r="L620" i="1"/>
  <c r="K620" i="1"/>
  <c r="J620" i="1"/>
  <c r="I620" i="1"/>
  <c r="H620" i="1"/>
  <c r="G620" i="1"/>
  <c r="F620" i="1"/>
  <c r="E620" i="1"/>
  <c r="D620" i="1"/>
  <c r="C620" i="1"/>
  <c r="B620" i="1"/>
  <c r="A620" i="1"/>
  <c r="O619" i="1"/>
  <c r="L619" i="1"/>
  <c r="K619" i="1"/>
  <c r="J619" i="1"/>
  <c r="I619" i="1"/>
  <c r="H619" i="1"/>
  <c r="G619" i="1"/>
  <c r="F619" i="1"/>
  <c r="E619" i="1"/>
  <c r="D619" i="1"/>
  <c r="C619" i="1"/>
  <c r="B619" i="1"/>
  <c r="A619" i="1"/>
  <c r="O618" i="1"/>
  <c r="L618" i="1"/>
  <c r="K618" i="1"/>
  <c r="J618" i="1"/>
  <c r="I618" i="1"/>
  <c r="H618" i="1"/>
  <c r="G618" i="1"/>
  <c r="F618" i="1"/>
  <c r="E618" i="1"/>
  <c r="D618" i="1"/>
  <c r="C618" i="1"/>
  <c r="B618" i="1"/>
  <c r="A618" i="1"/>
  <c r="O617" i="1"/>
  <c r="L617" i="1"/>
  <c r="K617" i="1"/>
  <c r="J617" i="1"/>
  <c r="I617" i="1"/>
  <c r="H617" i="1"/>
  <c r="G617" i="1"/>
  <c r="F617" i="1"/>
  <c r="E617" i="1"/>
  <c r="D617" i="1"/>
  <c r="C617" i="1"/>
  <c r="B617" i="1"/>
  <c r="A617" i="1"/>
  <c r="O616" i="1"/>
  <c r="L616" i="1"/>
  <c r="K616" i="1"/>
  <c r="J616" i="1"/>
  <c r="I616" i="1"/>
  <c r="H616" i="1"/>
  <c r="G616" i="1"/>
  <c r="F616" i="1"/>
  <c r="E616" i="1"/>
  <c r="D616" i="1"/>
  <c r="C616" i="1"/>
  <c r="B616" i="1"/>
  <c r="A616" i="1"/>
  <c r="O615" i="1"/>
  <c r="L615" i="1"/>
  <c r="K615" i="1"/>
  <c r="J615" i="1"/>
  <c r="I615" i="1"/>
  <c r="H615" i="1"/>
  <c r="G615" i="1"/>
  <c r="F615" i="1"/>
  <c r="E615" i="1"/>
  <c r="D615" i="1"/>
  <c r="C615" i="1"/>
  <c r="B615" i="1"/>
  <c r="A615" i="1"/>
  <c r="O614" i="1"/>
  <c r="L614" i="1"/>
  <c r="K614" i="1"/>
  <c r="J614" i="1"/>
  <c r="I614" i="1"/>
  <c r="H614" i="1"/>
  <c r="G614" i="1"/>
  <c r="F614" i="1"/>
  <c r="E614" i="1"/>
  <c r="D614" i="1"/>
  <c r="C614" i="1"/>
  <c r="B614" i="1"/>
  <c r="A614" i="1"/>
  <c r="O613" i="1"/>
  <c r="L613" i="1"/>
  <c r="K613" i="1"/>
  <c r="J613" i="1"/>
  <c r="I613" i="1"/>
  <c r="H613" i="1"/>
  <c r="G613" i="1"/>
  <c r="F613" i="1"/>
  <c r="E613" i="1"/>
  <c r="D613" i="1"/>
  <c r="C613" i="1"/>
  <c r="B613" i="1"/>
  <c r="A613" i="1"/>
  <c r="O612" i="1"/>
  <c r="L612" i="1"/>
  <c r="K612" i="1"/>
  <c r="J612" i="1"/>
  <c r="I612" i="1"/>
  <c r="H612" i="1"/>
  <c r="G612" i="1"/>
  <c r="F612" i="1"/>
  <c r="E612" i="1"/>
  <c r="D612" i="1"/>
  <c r="C612" i="1"/>
  <c r="B612" i="1"/>
  <c r="A612" i="1"/>
  <c r="O611" i="1"/>
  <c r="L611" i="1"/>
  <c r="K611" i="1"/>
  <c r="J611" i="1"/>
  <c r="I611" i="1"/>
  <c r="H611" i="1"/>
  <c r="G611" i="1"/>
  <c r="F611" i="1"/>
  <c r="E611" i="1"/>
  <c r="D611" i="1"/>
  <c r="C611" i="1"/>
  <c r="B611" i="1"/>
  <c r="A611" i="1"/>
  <c r="O610" i="1"/>
  <c r="L610" i="1"/>
  <c r="K610" i="1"/>
  <c r="J610" i="1"/>
  <c r="I610" i="1"/>
  <c r="H610" i="1"/>
  <c r="G610" i="1"/>
  <c r="F610" i="1"/>
  <c r="E610" i="1"/>
  <c r="D610" i="1"/>
  <c r="C610" i="1"/>
  <c r="B610" i="1"/>
  <c r="A610" i="1"/>
  <c r="O609" i="1"/>
  <c r="L609" i="1"/>
  <c r="K609" i="1"/>
  <c r="J609" i="1"/>
  <c r="I609" i="1"/>
  <c r="H609" i="1"/>
  <c r="G609" i="1"/>
  <c r="F609" i="1"/>
  <c r="E609" i="1"/>
  <c r="D609" i="1"/>
  <c r="C609" i="1"/>
  <c r="B609" i="1"/>
  <c r="A609" i="1"/>
  <c r="O608" i="1"/>
  <c r="L608" i="1"/>
  <c r="K608" i="1"/>
  <c r="J608" i="1"/>
  <c r="I608" i="1"/>
  <c r="H608" i="1"/>
  <c r="G608" i="1"/>
  <c r="F608" i="1"/>
  <c r="E608" i="1"/>
  <c r="D608" i="1"/>
  <c r="C608" i="1"/>
  <c r="B608" i="1"/>
  <c r="A608" i="1"/>
  <c r="O607" i="1"/>
  <c r="L607" i="1"/>
  <c r="K607" i="1"/>
  <c r="J607" i="1"/>
  <c r="I607" i="1"/>
  <c r="H607" i="1"/>
  <c r="G607" i="1"/>
  <c r="F607" i="1"/>
  <c r="E607" i="1"/>
  <c r="D607" i="1"/>
  <c r="C607" i="1"/>
  <c r="B607" i="1"/>
  <c r="A607" i="1"/>
  <c r="O606" i="1"/>
  <c r="L606" i="1"/>
  <c r="K606" i="1"/>
  <c r="J606" i="1"/>
  <c r="I606" i="1"/>
  <c r="H606" i="1"/>
  <c r="G606" i="1"/>
  <c r="F606" i="1"/>
  <c r="E606" i="1"/>
  <c r="D606" i="1"/>
  <c r="C606" i="1"/>
  <c r="B606" i="1"/>
  <c r="A606" i="1"/>
  <c r="O605" i="1"/>
  <c r="L605" i="1"/>
  <c r="K605" i="1"/>
  <c r="J605" i="1"/>
  <c r="I605" i="1"/>
  <c r="H605" i="1"/>
  <c r="G605" i="1"/>
  <c r="F605" i="1"/>
  <c r="E605" i="1"/>
  <c r="D605" i="1"/>
  <c r="C605" i="1"/>
  <c r="B605" i="1"/>
  <c r="A605" i="1"/>
  <c r="O604" i="1"/>
  <c r="L604" i="1"/>
  <c r="K604" i="1"/>
  <c r="J604" i="1"/>
  <c r="I604" i="1"/>
  <c r="H604" i="1"/>
  <c r="G604" i="1"/>
  <c r="F604" i="1"/>
  <c r="E604" i="1"/>
  <c r="D604" i="1"/>
  <c r="C604" i="1"/>
  <c r="B604" i="1"/>
  <c r="A604" i="1"/>
  <c r="O603" i="1"/>
  <c r="L603" i="1"/>
  <c r="K603" i="1"/>
  <c r="J603" i="1"/>
  <c r="I603" i="1"/>
  <c r="H603" i="1"/>
  <c r="G603" i="1"/>
  <c r="F603" i="1"/>
  <c r="E603" i="1"/>
  <c r="D603" i="1"/>
  <c r="C603" i="1"/>
  <c r="B603" i="1"/>
  <c r="A603" i="1"/>
  <c r="O602" i="1"/>
  <c r="L602" i="1"/>
  <c r="K602" i="1"/>
  <c r="J602" i="1"/>
  <c r="I602" i="1"/>
  <c r="H602" i="1"/>
  <c r="G602" i="1"/>
  <c r="F602" i="1"/>
  <c r="E602" i="1"/>
  <c r="D602" i="1"/>
  <c r="C602" i="1"/>
  <c r="B602" i="1"/>
  <c r="A602" i="1"/>
  <c r="O601" i="1"/>
  <c r="L601" i="1"/>
  <c r="K601" i="1"/>
  <c r="J601" i="1"/>
  <c r="I601" i="1"/>
  <c r="H601" i="1"/>
  <c r="G601" i="1"/>
  <c r="F601" i="1"/>
  <c r="E601" i="1"/>
  <c r="D601" i="1"/>
  <c r="C601" i="1"/>
  <c r="B601" i="1"/>
  <c r="A601" i="1"/>
  <c r="O600" i="1"/>
  <c r="L600" i="1"/>
  <c r="K600" i="1"/>
  <c r="J600" i="1"/>
  <c r="I600" i="1"/>
  <c r="H600" i="1"/>
  <c r="G600" i="1"/>
  <c r="F600" i="1"/>
  <c r="E600" i="1"/>
  <c r="D600" i="1"/>
  <c r="C600" i="1"/>
  <c r="B600" i="1"/>
  <c r="A600" i="1"/>
  <c r="O599" i="1"/>
  <c r="L599" i="1"/>
  <c r="K599" i="1"/>
  <c r="J599" i="1"/>
  <c r="I599" i="1"/>
  <c r="H599" i="1"/>
  <c r="G599" i="1"/>
  <c r="F599" i="1"/>
  <c r="E599" i="1"/>
  <c r="D599" i="1"/>
  <c r="C599" i="1"/>
  <c r="B599" i="1"/>
  <c r="A599" i="1"/>
  <c r="O598" i="1"/>
  <c r="L598" i="1"/>
  <c r="K598" i="1"/>
  <c r="J598" i="1"/>
  <c r="I598" i="1"/>
  <c r="H598" i="1"/>
  <c r="G598" i="1"/>
  <c r="F598" i="1"/>
  <c r="E598" i="1"/>
  <c r="D598" i="1"/>
  <c r="C598" i="1"/>
  <c r="B598" i="1"/>
  <c r="A598" i="1"/>
  <c r="O597" i="1"/>
  <c r="L597" i="1"/>
  <c r="K597" i="1"/>
  <c r="J597" i="1"/>
  <c r="I597" i="1"/>
  <c r="H597" i="1"/>
  <c r="G597" i="1"/>
  <c r="F597" i="1"/>
  <c r="E597" i="1"/>
  <c r="D597" i="1"/>
  <c r="C597" i="1"/>
  <c r="B597" i="1"/>
  <c r="A597" i="1"/>
  <c r="O596" i="1"/>
  <c r="L596" i="1"/>
  <c r="K596" i="1"/>
  <c r="J596" i="1"/>
  <c r="I596" i="1"/>
  <c r="H596" i="1"/>
  <c r="G596" i="1"/>
  <c r="F596" i="1"/>
  <c r="E596" i="1"/>
  <c r="D596" i="1"/>
  <c r="C596" i="1"/>
  <c r="B596" i="1"/>
  <c r="A596" i="1"/>
  <c r="O595" i="1"/>
  <c r="L595" i="1"/>
  <c r="K595" i="1"/>
  <c r="J595" i="1"/>
  <c r="I595" i="1"/>
  <c r="H595" i="1"/>
  <c r="G595" i="1"/>
  <c r="F595" i="1"/>
  <c r="E595" i="1"/>
  <c r="D595" i="1"/>
  <c r="C595" i="1"/>
  <c r="B595" i="1"/>
  <c r="A595" i="1"/>
  <c r="O594" i="1"/>
  <c r="L594" i="1"/>
  <c r="K594" i="1"/>
  <c r="J594" i="1"/>
  <c r="I594" i="1"/>
  <c r="H594" i="1"/>
  <c r="G594" i="1"/>
  <c r="F594" i="1"/>
  <c r="E594" i="1"/>
  <c r="D594" i="1"/>
  <c r="C594" i="1"/>
  <c r="B594" i="1"/>
  <c r="A594" i="1"/>
  <c r="O593" i="1"/>
  <c r="L593" i="1"/>
  <c r="K593" i="1"/>
  <c r="J593" i="1"/>
  <c r="I593" i="1"/>
  <c r="H593" i="1"/>
  <c r="G593" i="1"/>
  <c r="F593" i="1"/>
  <c r="E593" i="1"/>
  <c r="D593" i="1"/>
  <c r="C593" i="1"/>
  <c r="B593" i="1"/>
  <c r="A593" i="1"/>
  <c r="O592" i="1"/>
  <c r="L592" i="1"/>
  <c r="K592" i="1"/>
  <c r="J592" i="1"/>
  <c r="I592" i="1"/>
  <c r="H592" i="1"/>
  <c r="G592" i="1"/>
  <c r="F592" i="1"/>
  <c r="E592" i="1"/>
  <c r="D592" i="1"/>
  <c r="C592" i="1"/>
  <c r="B592" i="1"/>
  <c r="A592" i="1"/>
  <c r="O591" i="1"/>
  <c r="L591" i="1"/>
  <c r="K591" i="1"/>
  <c r="J591" i="1"/>
  <c r="I591" i="1"/>
  <c r="H591" i="1"/>
  <c r="G591" i="1"/>
  <c r="F591" i="1"/>
  <c r="E591" i="1"/>
  <c r="D591" i="1"/>
  <c r="C591" i="1"/>
  <c r="B591" i="1"/>
  <c r="A591" i="1"/>
  <c r="O590" i="1"/>
  <c r="L590" i="1"/>
  <c r="K590" i="1"/>
  <c r="J590" i="1"/>
  <c r="I590" i="1"/>
  <c r="H590" i="1"/>
  <c r="G590" i="1"/>
  <c r="F590" i="1"/>
  <c r="E590" i="1"/>
  <c r="D590" i="1"/>
  <c r="C590" i="1"/>
  <c r="B590" i="1"/>
  <c r="A590" i="1"/>
  <c r="O589" i="1"/>
  <c r="L589" i="1"/>
  <c r="K589" i="1"/>
  <c r="J589" i="1"/>
  <c r="I589" i="1"/>
  <c r="H589" i="1"/>
  <c r="G589" i="1"/>
  <c r="F589" i="1"/>
  <c r="E589" i="1"/>
  <c r="D589" i="1"/>
  <c r="C589" i="1"/>
  <c r="B589" i="1"/>
  <c r="A589" i="1"/>
  <c r="O588" i="1"/>
  <c r="L588" i="1"/>
  <c r="K588" i="1"/>
  <c r="J588" i="1"/>
  <c r="I588" i="1"/>
  <c r="H588" i="1"/>
  <c r="G588" i="1"/>
  <c r="F588" i="1"/>
  <c r="E588" i="1"/>
  <c r="D588" i="1"/>
  <c r="C588" i="1"/>
  <c r="B588" i="1"/>
  <c r="A588" i="1"/>
  <c r="O587" i="1"/>
  <c r="L587" i="1"/>
  <c r="K587" i="1"/>
  <c r="J587" i="1"/>
  <c r="I587" i="1"/>
  <c r="H587" i="1"/>
  <c r="G587" i="1"/>
  <c r="F587" i="1"/>
  <c r="E587" i="1"/>
  <c r="D587" i="1"/>
  <c r="C587" i="1"/>
  <c r="B587" i="1"/>
  <c r="A587" i="1"/>
  <c r="P586" i="1"/>
  <c r="O586" i="1"/>
  <c r="L586" i="1"/>
  <c r="K586" i="1"/>
  <c r="J586" i="1"/>
  <c r="I586" i="1"/>
  <c r="H586" i="1"/>
  <c r="G586" i="1"/>
  <c r="F586" i="1"/>
  <c r="E586" i="1"/>
  <c r="D586" i="1"/>
  <c r="C586" i="1"/>
  <c r="B586" i="1"/>
  <c r="A586" i="1"/>
  <c r="P585" i="1"/>
  <c r="O585" i="1"/>
  <c r="L585" i="1"/>
  <c r="K585" i="1"/>
  <c r="J585" i="1"/>
  <c r="I585" i="1"/>
  <c r="H585" i="1"/>
  <c r="G585" i="1"/>
  <c r="F585" i="1"/>
  <c r="E585" i="1"/>
  <c r="D585" i="1"/>
  <c r="C585" i="1"/>
  <c r="B585" i="1"/>
  <c r="A585" i="1"/>
  <c r="O584" i="1"/>
  <c r="L584" i="1"/>
  <c r="K584" i="1"/>
  <c r="J584" i="1"/>
  <c r="I584" i="1"/>
  <c r="H584" i="1"/>
  <c r="G584" i="1"/>
  <c r="F584" i="1"/>
  <c r="E584" i="1"/>
  <c r="D584" i="1"/>
  <c r="C584" i="1"/>
  <c r="B584" i="1"/>
  <c r="A584" i="1"/>
  <c r="O583" i="1"/>
  <c r="L583" i="1"/>
  <c r="K583" i="1"/>
  <c r="J583" i="1"/>
  <c r="I583" i="1"/>
  <c r="H583" i="1"/>
  <c r="G583" i="1"/>
  <c r="F583" i="1"/>
  <c r="E583" i="1"/>
  <c r="D583" i="1"/>
  <c r="C583" i="1"/>
  <c r="B583" i="1"/>
  <c r="A583" i="1"/>
  <c r="O582" i="1"/>
  <c r="L582" i="1"/>
  <c r="K582" i="1"/>
  <c r="J582" i="1"/>
  <c r="I582" i="1"/>
  <c r="H582" i="1"/>
  <c r="G582" i="1"/>
  <c r="F582" i="1"/>
  <c r="E582" i="1"/>
  <c r="D582" i="1"/>
  <c r="C582" i="1"/>
  <c r="B582" i="1"/>
  <c r="A582" i="1"/>
  <c r="O581" i="1"/>
  <c r="L581" i="1"/>
  <c r="K581" i="1"/>
  <c r="J581" i="1"/>
  <c r="I581" i="1"/>
  <c r="H581" i="1"/>
  <c r="G581" i="1"/>
  <c r="F581" i="1"/>
  <c r="E581" i="1"/>
  <c r="D581" i="1"/>
  <c r="C581" i="1"/>
  <c r="B581" i="1"/>
  <c r="A581" i="1"/>
  <c r="O580" i="1"/>
  <c r="L580" i="1"/>
  <c r="K580" i="1"/>
  <c r="J580" i="1"/>
  <c r="I580" i="1"/>
  <c r="H580" i="1"/>
  <c r="G580" i="1"/>
  <c r="F580" i="1"/>
  <c r="E580" i="1"/>
  <c r="D580" i="1"/>
  <c r="C580" i="1"/>
  <c r="B580" i="1"/>
  <c r="A580" i="1"/>
  <c r="O579" i="1"/>
  <c r="L579" i="1"/>
  <c r="K579" i="1"/>
  <c r="J579" i="1"/>
  <c r="I579" i="1"/>
  <c r="H579" i="1"/>
  <c r="G579" i="1"/>
  <c r="F579" i="1"/>
  <c r="E579" i="1"/>
  <c r="D579" i="1"/>
  <c r="C579" i="1"/>
  <c r="B579" i="1"/>
  <c r="A579" i="1"/>
  <c r="O578" i="1"/>
  <c r="L578" i="1"/>
  <c r="K578" i="1"/>
  <c r="J578" i="1"/>
  <c r="I578" i="1"/>
  <c r="H578" i="1"/>
  <c r="G578" i="1"/>
  <c r="F578" i="1"/>
  <c r="E578" i="1"/>
  <c r="D578" i="1"/>
  <c r="C578" i="1"/>
  <c r="B578" i="1"/>
  <c r="A578" i="1"/>
  <c r="O577" i="1"/>
  <c r="L577" i="1"/>
  <c r="K577" i="1"/>
  <c r="J577" i="1"/>
  <c r="I577" i="1"/>
  <c r="H577" i="1"/>
  <c r="G577" i="1"/>
  <c r="F577" i="1"/>
  <c r="E577" i="1"/>
  <c r="D577" i="1"/>
  <c r="C577" i="1"/>
  <c r="B577" i="1"/>
  <c r="A577" i="1"/>
  <c r="O576" i="1"/>
  <c r="L576" i="1"/>
  <c r="K576" i="1"/>
  <c r="J576" i="1"/>
  <c r="I576" i="1"/>
  <c r="H576" i="1"/>
  <c r="G576" i="1"/>
  <c r="F576" i="1"/>
  <c r="E576" i="1"/>
  <c r="D576" i="1"/>
  <c r="C576" i="1"/>
  <c r="B576" i="1"/>
  <c r="A576" i="1"/>
  <c r="O575" i="1"/>
  <c r="L575" i="1"/>
  <c r="K575" i="1"/>
  <c r="J575" i="1"/>
  <c r="I575" i="1"/>
  <c r="H575" i="1"/>
  <c r="G575" i="1"/>
  <c r="F575" i="1"/>
  <c r="E575" i="1"/>
  <c r="D575" i="1"/>
  <c r="C575" i="1"/>
  <c r="B575" i="1"/>
  <c r="A575" i="1"/>
  <c r="O574" i="1"/>
  <c r="L574" i="1"/>
  <c r="K574" i="1"/>
  <c r="J574" i="1"/>
  <c r="I574" i="1"/>
  <c r="H574" i="1"/>
  <c r="G574" i="1"/>
  <c r="F574" i="1"/>
  <c r="E574" i="1"/>
  <c r="D574" i="1"/>
  <c r="C574" i="1"/>
  <c r="B574" i="1"/>
  <c r="A574" i="1"/>
  <c r="O573" i="1"/>
  <c r="L573" i="1"/>
  <c r="K573" i="1"/>
  <c r="J573" i="1"/>
  <c r="I573" i="1"/>
  <c r="H573" i="1"/>
  <c r="G573" i="1"/>
  <c r="F573" i="1"/>
  <c r="E573" i="1"/>
  <c r="D573" i="1"/>
  <c r="C573" i="1"/>
  <c r="B573" i="1"/>
  <c r="A573" i="1"/>
  <c r="O572" i="1"/>
  <c r="L572" i="1"/>
  <c r="K572" i="1"/>
  <c r="J572" i="1"/>
  <c r="I572" i="1"/>
  <c r="H572" i="1"/>
  <c r="G572" i="1"/>
  <c r="F572" i="1"/>
  <c r="E572" i="1"/>
  <c r="D572" i="1"/>
  <c r="C572" i="1"/>
  <c r="B572" i="1"/>
  <c r="A572" i="1"/>
  <c r="O571" i="1"/>
  <c r="L571" i="1"/>
  <c r="K571" i="1"/>
  <c r="J571" i="1"/>
  <c r="I571" i="1"/>
  <c r="H571" i="1"/>
  <c r="G571" i="1"/>
  <c r="F571" i="1"/>
  <c r="E571" i="1"/>
  <c r="D571" i="1"/>
  <c r="C571" i="1"/>
  <c r="B571" i="1"/>
  <c r="A571" i="1"/>
  <c r="O570" i="1"/>
  <c r="L570" i="1"/>
  <c r="K570" i="1"/>
  <c r="J570" i="1"/>
  <c r="I570" i="1"/>
  <c r="H570" i="1"/>
  <c r="G570" i="1"/>
  <c r="F570" i="1"/>
  <c r="E570" i="1"/>
  <c r="D570" i="1"/>
  <c r="C570" i="1"/>
  <c r="B570" i="1"/>
  <c r="A570" i="1"/>
  <c r="O569" i="1"/>
  <c r="L569" i="1"/>
  <c r="K569" i="1"/>
  <c r="J569" i="1"/>
  <c r="I569" i="1"/>
  <c r="H569" i="1"/>
  <c r="G569" i="1"/>
  <c r="F569" i="1"/>
  <c r="E569" i="1"/>
  <c r="D569" i="1"/>
  <c r="C569" i="1"/>
  <c r="B569" i="1"/>
  <c r="A569" i="1"/>
  <c r="O568" i="1"/>
  <c r="L568" i="1"/>
  <c r="K568" i="1"/>
  <c r="J568" i="1"/>
  <c r="I568" i="1"/>
  <c r="H568" i="1"/>
  <c r="G568" i="1"/>
  <c r="F568" i="1"/>
  <c r="E568" i="1"/>
  <c r="D568" i="1"/>
  <c r="C568" i="1"/>
  <c r="B568" i="1"/>
  <c r="A568" i="1"/>
  <c r="O567" i="1"/>
  <c r="L567" i="1"/>
  <c r="K567" i="1"/>
  <c r="J567" i="1"/>
  <c r="I567" i="1"/>
  <c r="H567" i="1"/>
  <c r="G567" i="1"/>
  <c r="F567" i="1"/>
  <c r="E567" i="1"/>
  <c r="D567" i="1"/>
  <c r="C567" i="1"/>
  <c r="B567" i="1"/>
  <c r="A567" i="1"/>
  <c r="O566" i="1"/>
  <c r="L566" i="1"/>
  <c r="K566" i="1"/>
  <c r="J566" i="1"/>
  <c r="I566" i="1"/>
  <c r="H566" i="1"/>
  <c r="G566" i="1"/>
  <c r="F566" i="1"/>
  <c r="E566" i="1"/>
  <c r="D566" i="1"/>
  <c r="C566" i="1"/>
  <c r="B566" i="1"/>
  <c r="A566" i="1"/>
  <c r="O565" i="1"/>
  <c r="L565" i="1"/>
  <c r="K565" i="1"/>
  <c r="J565" i="1"/>
  <c r="I565" i="1"/>
  <c r="H565" i="1"/>
  <c r="G565" i="1"/>
  <c r="F565" i="1"/>
  <c r="E565" i="1"/>
  <c r="D565" i="1"/>
  <c r="C565" i="1"/>
  <c r="B565" i="1"/>
  <c r="A565" i="1"/>
  <c r="O564" i="1"/>
  <c r="L564" i="1"/>
  <c r="K564" i="1"/>
  <c r="J564" i="1"/>
  <c r="I564" i="1"/>
  <c r="H564" i="1"/>
  <c r="G564" i="1"/>
  <c r="F564" i="1"/>
  <c r="E564" i="1"/>
  <c r="D564" i="1"/>
  <c r="C564" i="1"/>
  <c r="B564" i="1"/>
  <c r="A564" i="1"/>
  <c r="O563" i="1"/>
  <c r="L563" i="1"/>
  <c r="K563" i="1"/>
  <c r="J563" i="1"/>
  <c r="I563" i="1"/>
  <c r="H563" i="1"/>
  <c r="G563" i="1"/>
  <c r="F563" i="1"/>
  <c r="E563" i="1"/>
  <c r="D563" i="1"/>
  <c r="C563" i="1"/>
  <c r="B563" i="1"/>
  <c r="A563" i="1"/>
  <c r="O562" i="1"/>
  <c r="L562" i="1"/>
  <c r="K562" i="1"/>
  <c r="J562" i="1"/>
  <c r="I562" i="1"/>
  <c r="H562" i="1"/>
  <c r="G562" i="1"/>
  <c r="F562" i="1"/>
  <c r="E562" i="1"/>
  <c r="D562" i="1"/>
  <c r="C562" i="1"/>
  <c r="B562" i="1"/>
  <c r="A562" i="1"/>
  <c r="P561" i="1"/>
  <c r="O561" i="1"/>
  <c r="L561" i="1"/>
  <c r="K561" i="1"/>
  <c r="J561" i="1"/>
  <c r="I561" i="1"/>
  <c r="H561" i="1"/>
  <c r="G561" i="1"/>
  <c r="F561" i="1"/>
  <c r="E561" i="1"/>
  <c r="D561" i="1"/>
  <c r="C561" i="1"/>
  <c r="B561" i="1"/>
  <c r="A561" i="1"/>
  <c r="O560" i="1"/>
  <c r="L560" i="1"/>
  <c r="K560" i="1"/>
  <c r="J560" i="1"/>
  <c r="I560" i="1"/>
  <c r="H560" i="1"/>
  <c r="G560" i="1"/>
  <c r="F560" i="1"/>
  <c r="E560" i="1"/>
  <c r="D560" i="1"/>
  <c r="C560" i="1"/>
  <c r="B560" i="1"/>
  <c r="A560" i="1"/>
  <c r="O559" i="1"/>
  <c r="L559" i="1"/>
  <c r="K559" i="1"/>
  <c r="J559" i="1"/>
  <c r="I559" i="1"/>
  <c r="H559" i="1"/>
  <c r="G559" i="1"/>
  <c r="F559" i="1"/>
  <c r="E559" i="1"/>
  <c r="D559" i="1"/>
  <c r="C559" i="1"/>
  <c r="B559" i="1"/>
  <c r="A559" i="1"/>
  <c r="O558" i="1"/>
  <c r="L558" i="1"/>
  <c r="K558" i="1"/>
  <c r="J558" i="1"/>
  <c r="I558" i="1"/>
  <c r="H558" i="1"/>
  <c r="G558" i="1"/>
  <c r="F558" i="1"/>
  <c r="E558" i="1"/>
  <c r="D558" i="1"/>
  <c r="C558" i="1"/>
  <c r="B558" i="1"/>
  <c r="A558" i="1"/>
  <c r="O557" i="1"/>
  <c r="L557" i="1"/>
  <c r="K557" i="1"/>
  <c r="J557" i="1"/>
  <c r="I557" i="1"/>
  <c r="H557" i="1"/>
  <c r="G557" i="1"/>
  <c r="F557" i="1"/>
  <c r="E557" i="1"/>
  <c r="D557" i="1"/>
  <c r="C557" i="1"/>
  <c r="B557" i="1"/>
  <c r="A557" i="1"/>
  <c r="O556" i="1"/>
  <c r="L556" i="1"/>
  <c r="K556" i="1"/>
  <c r="J556" i="1"/>
  <c r="I556" i="1"/>
  <c r="H556" i="1"/>
  <c r="G556" i="1"/>
  <c r="F556" i="1"/>
  <c r="E556" i="1"/>
  <c r="D556" i="1"/>
  <c r="C556" i="1"/>
  <c r="B556" i="1"/>
  <c r="A556" i="1"/>
  <c r="O555" i="1"/>
  <c r="L555" i="1"/>
  <c r="K555" i="1"/>
  <c r="J555" i="1"/>
  <c r="I555" i="1"/>
  <c r="H555" i="1"/>
  <c r="G555" i="1"/>
  <c r="F555" i="1"/>
  <c r="E555" i="1"/>
  <c r="D555" i="1"/>
  <c r="C555" i="1"/>
  <c r="B555" i="1"/>
  <c r="A555" i="1"/>
  <c r="O554" i="1"/>
  <c r="L554" i="1"/>
  <c r="K554" i="1"/>
  <c r="J554" i="1"/>
  <c r="I554" i="1"/>
  <c r="H554" i="1"/>
  <c r="G554" i="1"/>
  <c r="F554" i="1"/>
  <c r="E554" i="1"/>
  <c r="D554" i="1"/>
  <c r="C554" i="1"/>
  <c r="B554" i="1"/>
  <c r="A554" i="1"/>
  <c r="O553" i="1"/>
  <c r="L553" i="1"/>
  <c r="K553" i="1"/>
  <c r="J553" i="1"/>
  <c r="I553" i="1"/>
  <c r="H553" i="1"/>
  <c r="G553" i="1"/>
  <c r="F553" i="1"/>
  <c r="E553" i="1"/>
  <c r="D553" i="1"/>
  <c r="C553" i="1"/>
  <c r="B553" i="1"/>
  <c r="A553" i="1"/>
  <c r="O552" i="1"/>
  <c r="L552" i="1"/>
  <c r="K552" i="1"/>
  <c r="J552" i="1"/>
  <c r="I552" i="1"/>
  <c r="H552" i="1"/>
  <c r="G552" i="1"/>
  <c r="F552" i="1"/>
  <c r="E552" i="1"/>
  <c r="D552" i="1"/>
  <c r="C552" i="1"/>
  <c r="B552" i="1"/>
  <c r="A552" i="1"/>
  <c r="O551" i="1"/>
  <c r="L551" i="1"/>
  <c r="K551" i="1"/>
  <c r="J551" i="1"/>
  <c r="I551" i="1"/>
  <c r="H551" i="1"/>
  <c r="G551" i="1"/>
  <c r="F551" i="1"/>
  <c r="E551" i="1"/>
  <c r="D551" i="1"/>
  <c r="C551" i="1"/>
  <c r="B551" i="1"/>
  <c r="A551" i="1"/>
  <c r="O550" i="1"/>
  <c r="L550" i="1"/>
  <c r="K550" i="1"/>
  <c r="J550" i="1"/>
  <c r="I550" i="1"/>
  <c r="H550" i="1"/>
  <c r="G550" i="1"/>
  <c r="F550" i="1"/>
  <c r="E550" i="1"/>
  <c r="D550" i="1"/>
  <c r="C550" i="1"/>
  <c r="B550" i="1"/>
  <c r="A550" i="1"/>
  <c r="O549" i="1"/>
  <c r="L549" i="1"/>
  <c r="K549" i="1"/>
  <c r="J549" i="1"/>
  <c r="I549" i="1"/>
  <c r="H549" i="1"/>
  <c r="G549" i="1"/>
  <c r="F549" i="1"/>
  <c r="E549" i="1"/>
  <c r="D549" i="1"/>
  <c r="C549" i="1"/>
  <c r="B549" i="1"/>
  <c r="A549" i="1"/>
  <c r="O548" i="1"/>
  <c r="L548" i="1"/>
  <c r="K548" i="1"/>
  <c r="J548" i="1"/>
  <c r="I548" i="1"/>
  <c r="H548" i="1"/>
  <c r="G548" i="1"/>
  <c r="F548" i="1"/>
  <c r="E548" i="1"/>
  <c r="D548" i="1"/>
  <c r="C548" i="1"/>
  <c r="B548" i="1"/>
  <c r="A548" i="1"/>
  <c r="O547" i="1"/>
  <c r="L547" i="1"/>
  <c r="K547" i="1"/>
  <c r="J547" i="1"/>
  <c r="I547" i="1"/>
  <c r="H547" i="1"/>
  <c r="G547" i="1"/>
  <c r="F547" i="1"/>
  <c r="E547" i="1"/>
  <c r="D547" i="1"/>
  <c r="C547" i="1"/>
  <c r="B547" i="1"/>
  <c r="A547" i="1"/>
  <c r="O546" i="1"/>
  <c r="L546" i="1"/>
  <c r="K546" i="1"/>
  <c r="J546" i="1"/>
  <c r="I546" i="1"/>
  <c r="H546" i="1"/>
  <c r="G546" i="1"/>
  <c r="F546" i="1"/>
  <c r="E546" i="1"/>
  <c r="D546" i="1"/>
  <c r="C546" i="1"/>
  <c r="B546" i="1"/>
  <c r="A546" i="1"/>
  <c r="O545" i="1"/>
  <c r="L545" i="1"/>
  <c r="K545" i="1"/>
  <c r="J545" i="1"/>
  <c r="I545" i="1"/>
  <c r="H545" i="1"/>
  <c r="G545" i="1"/>
  <c r="F545" i="1"/>
  <c r="E545" i="1"/>
  <c r="D545" i="1"/>
  <c r="C545" i="1"/>
  <c r="B545" i="1"/>
  <c r="A545" i="1"/>
  <c r="P544" i="1"/>
  <c r="O544" i="1"/>
  <c r="L544" i="1"/>
  <c r="K544" i="1"/>
  <c r="J544" i="1"/>
  <c r="I544" i="1"/>
  <c r="H544" i="1"/>
  <c r="G544" i="1"/>
  <c r="F544" i="1"/>
  <c r="E544" i="1"/>
  <c r="D544" i="1"/>
  <c r="C544" i="1"/>
  <c r="B544" i="1"/>
  <c r="A544" i="1"/>
  <c r="O543" i="1"/>
  <c r="L543" i="1"/>
  <c r="K543" i="1"/>
  <c r="J543" i="1"/>
  <c r="I543" i="1"/>
  <c r="H543" i="1"/>
  <c r="G543" i="1"/>
  <c r="F543" i="1"/>
  <c r="E543" i="1"/>
  <c r="D543" i="1"/>
  <c r="C543" i="1"/>
  <c r="B543" i="1"/>
  <c r="A543" i="1"/>
  <c r="P542" i="1"/>
  <c r="O542" i="1"/>
  <c r="L542" i="1"/>
  <c r="K542" i="1"/>
  <c r="J542" i="1"/>
  <c r="I542" i="1"/>
  <c r="H542" i="1"/>
  <c r="G542" i="1"/>
  <c r="F542" i="1"/>
  <c r="E542" i="1"/>
  <c r="D542" i="1"/>
  <c r="C542" i="1"/>
  <c r="B542" i="1"/>
  <c r="A542" i="1"/>
  <c r="O541" i="1"/>
  <c r="L541" i="1"/>
  <c r="K541" i="1"/>
  <c r="J541" i="1"/>
  <c r="I541" i="1"/>
  <c r="H541" i="1"/>
  <c r="G541" i="1"/>
  <c r="F541" i="1"/>
  <c r="E541" i="1"/>
  <c r="D541" i="1"/>
  <c r="C541" i="1"/>
  <c r="B541" i="1"/>
  <c r="A541" i="1"/>
  <c r="O540" i="1"/>
  <c r="L540" i="1"/>
  <c r="K540" i="1"/>
  <c r="J540" i="1"/>
  <c r="I540" i="1"/>
  <c r="H540" i="1"/>
  <c r="G540" i="1"/>
  <c r="F540" i="1"/>
  <c r="E540" i="1"/>
  <c r="D540" i="1"/>
  <c r="C540" i="1"/>
  <c r="B540" i="1"/>
  <c r="A540" i="1"/>
  <c r="P539" i="1"/>
  <c r="O539" i="1"/>
  <c r="L539" i="1"/>
  <c r="K539" i="1"/>
  <c r="J539" i="1"/>
  <c r="I539" i="1"/>
  <c r="H539" i="1"/>
  <c r="G539" i="1"/>
  <c r="F539" i="1"/>
  <c r="E539" i="1"/>
  <c r="D539" i="1"/>
  <c r="C539" i="1"/>
  <c r="B539" i="1"/>
  <c r="A539" i="1"/>
  <c r="O538" i="1"/>
  <c r="L538" i="1"/>
  <c r="K538" i="1"/>
  <c r="J538" i="1"/>
  <c r="I538" i="1"/>
  <c r="H538" i="1"/>
  <c r="G538" i="1"/>
  <c r="F538" i="1"/>
  <c r="E538" i="1"/>
  <c r="D538" i="1"/>
  <c r="C538" i="1"/>
  <c r="B538" i="1"/>
  <c r="A538" i="1"/>
  <c r="O537" i="1"/>
  <c r="L537" i="1"/>
  <c r="K537" i="1"/>
  <c r="J537" i="1"/>
  <c r="I537" i="1"/>
  <c r="H537" i="1"/>
  <c r="G537" i="1"/>
  <c r="F537" i="1"/>
  <c r="E537" i="1"/>
  <c r="D537" i="1"/>
  <c r="C537" i="1"/>
  <c r="B537" i="1"/>
  <c r="A537" i="1"/>
  <c r="O536" i="1"/>
  <c r="L536" i="1"/>
  <c r="K536" i="1"/>
  <c r="J536" i="1"/>
  <c r="I536" i="1"/>
  <c r="H536" i="1"/>
  <c r="G536" i="1"/>
  <c r="F536" i="1"/>
  <c r="E536" i="1"/>
  <c r="D536" i="1"/>
  <c r="C536" i="1"/>
  <c r="B536" i="1"/>
  <c r="A536" i="1"/>
  <c r="O535" i="1"/>
  <c r="L535" i="1"/>
  <c r="K535" i="1"/>
  <c r="J535" i="1"/>
  <c r="I535" i="1"/>
  <c r="H535" i="1"/>
  <c r="G535" i="1"/>
  <c r="F535" i="1"/>
  <c r="E535" i="1"/>
  <c r="D535" i="1"/>
  <c r="C535" i="1"/>
  <c r="B535" i="1"/>
  <c r="A535" i="1"/>
  <c r="O534" i="1"/>
  <c r="L534" i="1"/>
  <c r="K534" i="1"/>
  <c r="J534" i="1"/>
  <c r="I534" i="1"/>
  <c r="H534" i="1"/>
  <c r="G534" i="1"/>
  <c r="F534" i="1"/>
  <c r="E534" i="1"/>
  <c r="D534" i="1"/>
  <c r="C534" i="1"/>
  <c r="B534" i="1"/>
  <c r="A534" i="1"/>
  <c r="O533" i="1"/>
  <c r="L533" i="1"/>
  <c r="K533" i="1"/>
  <c r="J533" i="1"/>
  <c r="I533" i="1"/>
  <c r="H533" i="1"/>
  <c r="G533" i="1"/>
  <c r="F533" i="1"/>
  <c r="E533" i="1"/>
  <c r="D533" i="1"/>
  <c r="C533" i="1"/>
  <c r="B533" i="1"/>
  <c r="A533" i="1"/>
  <c r="O532" i="1"/>
  <c r="L532" i="1"/>
  <c r="K532" i="1"/>
  <c r="J532" i="1"/>
  <c r="I532" i="1"/>
  <c r="H532" i="1"/>
  <c r="G532" i="1"/>
  <c r="F532" i="1"/>
  <c r="E532" i="1"/>
  <c r="D532" i="1"/>
  <c r="C532" i="1"/>
  <c r="B532" i="1"/>
  <c r="A532" i="1"/>
  <c r="O531" i="1"/>
  <c r="L531" i="1"/>
  <c r="K531" i="1"/>
  <c r="J531" i="1"/>
  <c r="I531" i="1"/>
  <c r="H531" i="1"/>
  <c r="G531" i="1"/>
  <c r="F531" i="1"/>
  <c r="E531" i="1"/>
  <c r="D531" i="1"/>
  <c r="C531" i="1"/>
  <c r="B531" i="1"/>
  <c r="A531" i="1"/>
  <c r="O530" i="1"/>
  <c r="L530" i="1"/>
  <c r="K530" i="1"/>
  <c r="J530" i="1"/>
  <c r="I530" i="1"/>
  <c r="H530" i="1"/>
  <c r="G530" i="1"/>
  <c r="F530" i="1"/>
  <c r="E530" i="1"/>
  <c r="D530" i="1"/>
  <c r="C530" i="1"/>
  <c r="B530" i="1"/>
  <c r="A530" i="1"/>
  <c r="O529" i="1"/>
  <c r="L529" i="1"/>
  <c r="K529" i="1"/>
  <c r="J529" i="1"/>
  <c r="I529" i="1"/>
  <c r="H529" i="1"/>
  <c r="G529" i="1"/>
  <c r="F529" i="1"/>
  <c r="E529" i="1"/>
  <c r="D529" i="1"/>
  <c r="C529" i="1"/>
  <c r="B529" i="1"/>
  <c r="A529" i="1"/>
  <c r="P528" i="1"/>
  <c r="O528" i="1"/>
  <c r="L528" i="1"/>
  <c r="K528" i="1"/>
  <c r="J528" i="1"/>
  <c r="I528" i="1"/>
  <c r="H528" i="1"/>
  <c r="G528" i="1"/>
  <c r="F528" i="1"/>
  <c r="E528" i="1"/>
  <c r="D528" i="1"/>
  <c r="C528" i="1"/>
  <c r="B528" i="1"/>
  <c r="A528" i="1"/>
  <c r="O527" i="1"/>
  <c r="L527" i="1"/>
  <c r="K527" i="1"/>
  <c r="J527" i="1"/>
  <c r="I527" i="1"/>
  <c r="H527" i="1"/>
  <c r="G527" i="1"/>
  <c r="F527" i="1"/>
  <c r="E527" i="1"/>
  <c r="D527" i="1"/>
  <c r="C527" i="1"/>
  <c r="B527" i="1"/>
  <c r="A527" i="1"/>
  <c r="O526" i="1"/>
  <c r="L526" i="1"/>
  <c r="K526" i="1"/>
  <c r="J526" i="1"/>
  <c r="I526" i="1"/>
  <c r="H526" i="1"/>
  <c r="G526" i="1"/>
  <c r="F526" i="1"/>
  <c r="E526" i="1"/>
  <c r="D526" i="1"/>
  <c r="C526" i="1"/>
  <c r="B526" i="1"/>
  <c r="A526" i="1"/>
  <c r="O525" i="1"/>
  <c r="L525" i="1"/>
  <c r="K525" i="1"/>
  <c r="J525" i="1"/>
  <c r="I525" i="1"/>
  <c r="H525" i="1"/>
  <c r="G525" i="1"/>
  <c r="F525" i="1"/>
  <c r="E525" i="1"/>
  <c r="D525" i="1"/>
  <c r="C525" i="1"/>
  <c r="B525" i="1"/>
  <c r="A525" i="1"/>
  <c r="O524" i="1"/>
  <c r="L524" i="1"/>
  <c r="K524" i="1"/>
  <c r="J524" i="1"/>
  <c r="I524" i="1"/>
  <c r="H524" i="1"/>
  <c r="G524" i="1"/>
  <c r="F524" i="1"/>
  <c r="E524" i="1"/>
  <c r="D524" i="1"/>
  <c r="C524" i="1"/>
  <c r="B524" i="1"/>
  <c r="A524" i="1"/>
  <c r="O523" i="1"/>
  <c r="L523" i="1"/>
  <c r="K523" i="1"/>
  <c r="J523" i="1"/>
  <c r="I523" i="1"/>
  <c r="H523" i="1"/>
  <c r="G523" i="1"/>
  <c r="F523" i="1"/>
  <c r="E523" i="1"/>
  <c r="D523" i="1"/>
  <c r="C523" i="1"/>
  <c r="B523" i="1"/>
  <c r="A523" i="1"/>
  <c r="O522" i="1"/>
  <c r="L522" i="1"/>
  <c r="K522" i="1"/>
  <c r="J522" i="1"/>
  <c r="I522" i="1"/>
  <c r="H522" i="1"/>
  <c r="G522" i="1"/>
  <c r="F522" i="1"/>
  <c r="E522" i="1"/>
  <c r="D522" i="1"/>
  <c r="C522" i="1"/>
  <c r="B522" i="1"/>
  <c r="A522" i="1"/>
  <c r="P521" i="1"/>
  <c r="O521" i="1"/>
  <c r="L521" i="1"/>
  <c r="K521" i="1"/>
  <c r="J521" i="1"/>
  <c r="I521" i="1"/>
  <c r="H521" i="1"/>
  <c r="G521" i="1"/>
  <c r="F521" i="1"/>
  <c r="E521" i="1"/>
  <c r="D521" i="1"/>
  <c r="C521" i="1"/>
  <c r="B521" i="1"/>
  <c r="A521" i="1"/>
  <c r="O520" i="1"/>
  <c r="L520" i="1"/>
  <c r="K520" i="1"/>
  <c r="J520" i="1"/>
  <c r="I520" i="1"/>
  <c r="H520" i="1"/>
  <c r="G520" i="1"/>
  <c r="F520" i="1"/>
  <c r="E520" i="1"/>
  <c r="D520" i="1"/>
  <c r="C520" i="1"/>
  <c r="B520" i="1"/>
  <c r="A520" i="1"/>
  <c r="O519" i="1"/>
  <c r="L519" i="1"/>
  <c r="K519" i="1"/>
  <c r="J519" i="1"/>
  <c r="I519" i="1"/>
  <c r="H519" i="1"/>
  <c r="G519" i="1"/>
  <c r="F519" i="1"/>
  <c r="E519" i="1"/>
  <c r="D519" i="1"/>
  <c r="C519" i="1"/>
  <c r="B519" i="1"/>
  <c r="A519" i="1"/>
  <c r="O518" i="1"/>
  <c r="L518" i="1"/>
  <c r="K518" i="1"/>
  <c r="J518" i="1"/>
  <c r="I518" i="1"/>
  <c r="H518" i="1"/>
  <c r="G518" i="1"/>
  <c r="F518" i="1"/>
  <c r="E518" i="1"/>
  <c r="D518" i="1"/>
  <c r="C518" i="1"/>
  <c r="B518" i="1"/>
  <c r="A518" i="1"/>
  <c r="O517" i="1"/>
  <c r="L517" i="1"/>
  <c r="K517" i="1"/>
  <c r="J517" i="1"/>
  <c r="I517" i="1"/>
  <c r="H517" i="1"/>
  <c r="G517" i="1"/>
  <c r="F517" i="1"/>
  <c r="E517" i="1"/>
  <c r="D517" i="1"/>
  <c r="C517" i="1"/>
  <c r="B517" i="1"/>
  <c r="A517" i="1"/>
  <c r="O516" i="1"/>
  <c r="L516" i="1"/>
  <c r="K516" i="1"/>
  <c r="J516" i="1"/>
  <c r="I516" i="1"/>
  <c r="H516" i="1"/>
  <c r="G516" i="1"/>
  <c r="F516" i="1"/>
  <c r="E516" i="1"/>
  <c r="D516" i="1"/>
  <c r="C516" i="1"/>
  <c r="B516" i="1"/>
  <c r="A516" i="1"/>
  <c r="O515" i="1"/>
  <c r="L515" i="1"/>
  <c r="K515" i="1"/>
  <c r="J515" i="1"/>
  <c r="I515" i="1"/>
  <c r="H515" i="1"/>
  <c r="G515" i="1"/>
  <c r="F515" i="1"/>
  <c r="E515" i="1"/>
  <c r="D515" i="1"/>
  <c r="C515" i="1"/>
  <c r="B515" i="1"/>
  <c r="A515" i="1"/>
  <c r="O514" i="1"/>
  <c r="L514" i="1"/>
  <c r="K514" i="1"/>
  <c r="J514" i="1"/>
  <c r="I514" i="1"/>
  <c r="H514" i="1"/>
  <c r="G514" i="1"/>
  <c r="F514" i="1"/>
  <c r="E514" i="1"/>
  <c r="D514" i="1"/>
  <c r="C514" i="1"/>
  <c r="B514" i="1"/>
  <c r="A514" i="1"/>
  <c r="O513" i="1"/>
  <c r="L513" i="1"/>
  <c r="K513" i="1"/>
  <c r="J513" i="1"/>
  <c r="I513" i="1"/>
  <c r="H513" i="1"/>
  <c r="G513" i="1"/>
  <c r="F513" i="1"/>
  <c r="E513" i="1"/>
  <c r="D513" i="1"/>
  <c r="C513" i="1"/>
  <c r="B513" i="1"/>
  <c r="A513" i="1"/>
  <c r="O512" i="1"/>
  <c r="L512" i="1"/>
  <c r="K512" i="1"/>
  <c r="J512" i="1"/>
  <c r="I512" i="1"/>
  <c r="H512" i="1"/>
  <c r="G512" i="1"/>
  <c r="F512" i="1"/>
  <c r="E512" i="1"/>
  <c r="D512" i="1"/>
  <c r="C512" i="1"/>
  <c r="B512" i="1"/>
  <c r="A512" i="1"/>
  <c r="O511" i="1"/>
  <c r="L511" i="1"/>
  <c r="K511" i="1"/>
  <c r="J511" i="1"/>
  <c r="I511" i="1"/>
  <c r="H511" i="1"/>
  <c r="G511" i="1"/>
  <c r="F511" i="1"/>
  <c r="E511" i="1"/>
  <c r="D511" i="1"/>
  <c r="C511" i="1"/>
  <c r="B511" i="1"/>
  <c r="A511" i="1"/>
  <c r="O510" i="1"/>
  <c r="L510" i="1"/>
  <c r="K510" i="1"/>
  <c r="J510" i="1"/>
  <c r="I510" i="1"/>
  <c r="H510" i="1"/>
  <c r="G510" i="1"/>
  <c r="F510" i="1"/>
  <c r="E510" i="1"/>
  <c r="D510" i="1"/>
  <c r="C510" i="1"/>
  <c r="B510" i="1"/>
  <c r="A510" i="1"/>
  <c r="O509" i="1"/>
  <c r="L509" i="1"/>
  <c r="K509" i="1"/>
  <c r="J509" i="1"/>
  <c r="I509" i="1"/>
  <c r="H509" i="1"/>
  <c r="G509" i="1"/>
  <c r="F509" i="1"/>
  <c r="E509" i="1"/>
  <c r="D509" i="1"/>
  <c r="C509" i="1"/>
  <c r="B509" i="1"/>
  <c r="A509" i="1"/>
  <c r="O508" i="1"/>
  <c r="L508" i="1"/>
  <c r="K508" i="1"/>
  <c r="J508" i="1"/>
  <c r="I508" i="1"/>
  <c r="H508" i="1"/>
  <c r="G508" i="1"/>
  <c r="F508" i="1"/>
  <c r="E508" i="1"/>
  <c r="D508" i="1"/>
  <c r="C508" i="1"/>
  <c r="B508" i="1"/>
  <c r="A508" i="1"/>
  <c r="O507" i="1"/>
  <c r="L507" i="1"/>
  <c r="K507" i="1"/>
  <c r="J507" i="1"/>
  <c r="I507" i="1"/>
  <c r="H507" i="1"/>
  <c r="G507" i="1"/>
  <c r="F507" i="1"/>
  <c r="E507" i="1"/>
  <c r="D507" i="1"/>
  <c r="C507" i="1"/>
  <c r="B507" i="1"/>
  <c r="A507" i="1"/>
  <c r="O506" i="1"/>
  <c r="L506" i="1"/>
  <c r="K506" i="1"/>
  <c r="J506" i="1"/>
  <c r="I506" i="1"/>
  <c r="H506" i="1"/>
  <c r="G506" i="1"/>
  <c r="F506" i="1"/>
  <c r="E506" i="1"/>
  <c r="D506" i="1"/>
  <c r="C506" i="1"/>
  <c r="B506" i="1"/>
  <c r="A506" i="1"/>
  <c r="O505" i="1"/>
  <c r="L505" i="1"/>
  <c r="K505" i="1"/>
  <c r="J505" i="1"/>
  <c r="I505" i="1"/>
  <c r="H505" i="1"/>
  <c r="G505" i="1"/>
  <c r="F505" i="1"/>
  <c r="E505" i="1"/>
  <c r="D505" i="1"/>
  <c r="C505" i="1"/>
  <c r="B505" i="1"/>
  <c r="A505" i="1"/>
  <c r="O504" i="1"/>
  <c r="L504" i="1"/>
  <c r="K504" i="1"/>
  <c r="J504" i="1"/>
  <c r="I504" i="1"/>
  <c r="H504" i="1"/>
  <c r="G504" i="1"/>
  <c r="F504" i="1"/>
  <c r="E504" i="1"/>
  <c r="D504" i="1"/>
  <c r="C504" i="1"/>
  <c r="B504" i="1"/>
  <c r="A504" i="1"/>
  <c r="O503" i="1"/>
  <c r="L503" i="1"/>
  <c r="K503" i="1"/>
  <c r="J503" i="1"/>
  <c r="I503" i="1"/>
  <c r="H503" i="1"/>
  <c r="G503" i="1"/>
  <c r="F503" i="1"/>
  <c r="E503" i="1"/>
  <c r="D503" i="1"/>
  <c r="C503" i="1"/>
  <c r="B503" i="1"/>
  <c r="A503" i="1"/>
  <c r="O502" i="1"/>
  <c r="L502" i="1"/>
  <c r="K502" i="1"/>
  <c r="J502" i="1"/>
  <c r="I502" i="1"/>
  <c r="H502" i="1"/>
  <c r="G502" i="1"/>
  <c r="F502" i="1"/>
  <c r="E502" i="1"/>
  <c r="D502" i="1"/>
  <c r="C502" i="1"/>
  <c r="B502" i="1"/>
  <c r="A502" i="1"/>
  <c r="O501" i="1"/>
  <c r="L501" i="1"/>
  <c r="K501" i="1"/>
  <c r="J501" i="1"/>
  <c r="I501" i="1"/>
  <c r="H501" i="1"/>
  <c r="G501" i="1"/>
  <c r="F501" i="1"/>
  <c r="E501" i="1"/>
  <c r="D501" i="1"/>
  <c r="C501" i="1"/>
  <c r="B501" i="1"/>
  <c r="A501" i="1"/>
  <c r="O500" i="1"/>
  <c r="L500" i="1"/>
  <c r="K500" i="1"/>
  <c r="J500" i="1"/>
  <c r="I500" i="1"/>
  <c r="H500" i="1"/>
  <c r="G500" i="1"/>
  <c r="F500" i="1"/>
  <c r="E500" i="1"/>
  <c r="D500" i="1"/>
  <c r="C500" i="1"/>
  <c r="B500" i="1"/>
  <c r="A500" i="1"/>
  <c r="O499" i="1"/>
  <c r="L499" i="1"/>
  <c r="K499" i="1"/>
  <c r="J499" i="1"/>
  <c r="I499" i="1"/>
  <c r="H499" i="1"/>
  <c r="G499" i="1"/>
  <c r="F499" i="1"/>
  <c r="E499" i="1"/>
  <c r="D499" i="1"/>
  <c r="C499" i="1"/>
  <c r="B499" i="1"/>
  <c r="A499" i="1"/>
  <c r="P498" i="1"/>
  <c r="O498" i="1"/>
  <c r="L498" i="1"/>
  <c r="K498" i="1"/>
  <c r="J498" i="1"/>
  <c r="I498" i="1"/>
  <c r="H498" i="1"/>
  <c r="G498" i="1"/>
  <c r="F498" i="1"/>
  <c r="E498" i="1"/>
  <c r="D498" i="1"/>
  <c r="C498" i="1"/>
  <c r="B498" i="1"/>
  <c r="A498" i="1"/>
  <c r="O497" i="1"/>
  <c r="L497" i="1"/>
  <c r="K497" i="1"/>
  <c r="J497" i="1"/>
  <c r="I497" i="1"/>
  <c r="H497" i="1"/>
  <c r="G497" i="1"/>
  <c r="F497" i="1"/>
  <c r="E497" i="1"/>
  <c r="D497" i="1"/>
  <c r="C497" i="1"/>
  <c r="B497" i="1"/>
  <c r="A497" i="1"/>
  <c r="O496" i="1"/>
  <c r="L496" i="1"/>
  <c r="K496" i="1"/>
  <c r="J496" i="1"/>
  <c r="I496" i="1"/>
  <c r="H496" i="1"/>
  <c r="G496" i="1"/>
  <c r="F496" i="1"/>
  <c r="E496" i="1"/>
  <c r="D496" i="1"/>
  <c r="C496" i="1"/>
  <c r="B496" i="1"/>
  <c r="A496" i="1"/>
  <c r="O495" i="1"/>
  <c r="L495" i="1"/>
  <c r="K495" i="1"/>
  <c r="J495" i="1"/>
  <c r="I495" i="1"/>
  <c r="H495" i="1"/>
  <c r="G495" i="1"/>
  <c r="F495" i="1"/>
  <c r="E495" i="1"/>
  <c r="D495" i="1"/>
  <c r="C495" i="1"/>
  <c r="B495" i="1"/>
  <c r="A495" i="1"/>
  <c r="O494" i="1"/>
  <c r="L494" i="1"/>
  <c r="K494" i="1"/>
  <c r="J494" i="1"/>
  <c r="I494" i="1"/>
  <c r="H494" i="1"/>
  <c r="G494" i="1"/>
  <c r="F494" i="1"/>
  <c r="E494" i="1"/>
  <c r="D494" i="1"/>
  <c r="C494" i="1"/>
  <c r="B494" i="1"/>
  <c r="A494" i="1"/>
  <c r="O493" i="1"/>
  <c r="L493" i="1"/>
  <c r="K493" i="1"/>
  <c r="J493" i="1"/>
  <c r="I493" i="1"/>
  <c r="H493" i="1"/>
  <c r="G493" i="1"/>
  <c r="F493" i="1"/>
  <c r="E493" i="1"/>
  <c r="D493" i="1"/>
  <c r="C493" i="1"/>
  <c r="B493" i="1"/>
  <c r="A493" i="1"/>
  <c r="O492" i="1"/>
  <c r="L492" i="1"/>
  <c r="K492" i="1"/>
  <c r="J492" i="1"/>
  <c r="I492" i="1"/>
  <c r="H492" i="1"/>
  <c r="G492" i="1"/>
  <c r="F492" i="1"/>
  <c r="E492" i="1"/>
  <c r="D492" i="1"/>
  <c r="C492" i="1"/>
  <c r="B492" i="1"/>
  <c r="A492" i="1"/>
  <c r="O491" i="1"/>
  <c r="L491" i="1"/>
  <c r="K491" i="1"/>
  <c r="J491" i="1"/>
  <c r="I491" i="1"/>
  <c r="H491" i="1"/>
  <c r="G491" i="1"/>
  <c r="F491" i="1"/>
  <c r="E491" i="1"/>
  <c r="D491" i="1"/>
  <c r="C491" i="1"/>
  <c r="B491" i="1"/>
  <c r="A491" i="1"/>
  <c r="O490" i="1"/>
  <c r="L490" i="1"/>
  <c r="K490" i="1"/>
  <c r="J490" i="1"/>
  <c r="I490" i="1"/>
  <c r="H490" i="1"/>
  <c r="G490" i="1"/>
  <c r="F490" i="1"/>
  <c r="E490" i="1"/>
  <c r="D490" i="1"/>
  <c r="C490" i="1"/>
  <c r="B490" i="1"/>
  <c r="A490" i="1"/>
  <c r="P489" i="1"/>
  <c r="O489" i="1"/>
  <c r="L489" i="1"/>
  <c r="K489" i="1"/>
  <c r="J489" i="1"/>
  <c r="I489" i="1"/>
  <c r="H489" i="1"/>
  <c r="G489" i="1"/>
  <c r="F489" i="1"/>
  <c r="E489" i="1"/>
  <c r="D489" i="1"/>
  <c r="C489" i="1"/>
  <c r="B489" i="1"/>
  <c r="A489" i="1"/>
  <c r="O488" i="1"/>
  <c r="L488" i="1"/>
  <c r="K488" i="1"/>
  <c r="J488" i="1"/>
  <c r="I488" i="1"/>
  <c r="H488" i="1"/>
  <c r="G488" i="1"/>
  <c r="F488" i="1"/>
  <c r="E488" i="1"/>
  <c r="D488" i="1"/>
  <c r="C488" i="1"/>
  <c r="B488" i="1"/>
  <c r="A488" i="1"/>
  <c r="O487" i="1"/>
  <c r="L487" i="1"/>
  <c r="K487" i="1"/>
  <c r="J487" i="1"/>
  <c r="I487" i="1"/>
  <c r="H487" i="1"/>
  <c r="G487" i="1"/>
  <c r="F487" i="1"/>
  <c r="E487" i="1"/>
  <c r="D487" i="1"/>
  <c r="C487" i="1"/>
  <c r="B487" i="1"/>
  <c r="A487" i="1"/>
  <c r="O486" i="1"/>
  <c r="L486" i="1"/>
  <c r="K486" i="1"/>
  <c r="J486" i="1"/>
  <c r="I486" i="1"/>
  <c r="H486" i="1"/>
  <c r="G486" i="1"/>
  <c r="F486" i="1"/>
  <c r="E486" i="1"/>
  <c r="D486" i="1"/>
  <c r="C486" i="1"/>
  <c r="B486" i="1"/>
  <c r="A486" i="1"/>
  <c r="O485" i="1"/>
  <c r="L485" i="1"/>
  <c r="K485" i="1"/>
  <c r="J485" i="1"/>
  <c r="I485" i="1"/>
  <c r="H485" i="1"/>
  <c r="G485" i="1"/>
  <c r="F485" i="1"/>
  <c r="E485" i="1"/>
  <c r="D485" i="1"/>
  <c r="C485" i="1"/>
  <c r="B485" i="1"/>
  <c r="A485" i="1"/>
  <c r="O484" i="1"/>
  <c r="L484" i="1"/>
  <c r="K484" i="1"/>
  <c r="J484" i="1"/>
  <c r="I484" i="1"/>
  <c r="H484" i="1"/>
  <c r="G484" i="1"/>
  <c r="F484" i="1"/>
  <c r="E484" i="1"/>
  <c r="D484" i="1"/>
  <c r="C484" i="1"/>
  <c r="B484" i="1"/>
  <c r="A484" i="1"/>
  <c r="O483" i="1"/>
  <c r="L483" i="1"/>
  <c r="K483" i="1"/>
  <c r="J483" i="1"/>
  <c r="I483" i="1"/>
  <c r="H483" i="1"/>
  <c r="G483" i="1"/>
  <c r="F483" i="1"/>
  <c r="E483" i="1"/>
  <c r="D483" i="1"/>
  <c r="C483" i="1"/>
  <c r="B483" i="1"/>
  <c r="A483" i="1"/>
  <c r="O482" i="1"/>
  <c r="L482" i="1"/>
  <c r="K482" i="1"/>
  <c r="J482" i="1"/>
  <c r="I482" i="1"/>
  <c r="H482" i="1"/>
  <c r="G482" i="1"/>
  <c r="F482" i="1"/>
  <c r="E482" i="1"/>
  <c r="D482" i="1"/>
  <c r="C482" i="1"/>
  <c r="B482" i="1"/>
  <c r="A482" i="1"/>
  <c r="O481" i="1"/>
  <c r="L481" i="1"/>
  <c r="K481" i="1"/>
  <c r="J481" i="1"/>
  <c r="I481" i="1"/>
  <c r="H481" i="1"/>
  <c r="G481" i="1"/>
  <c r="F481" i="1"/>
  <c r="E481" i="1"/>
  <c r="D481" i="1"/>
  <c r="C481" i="1"/>
  <c r="B481" i="1"/>
  <c r="A481" i="1"/>
  <c r="O480" i="1"/>
  <c r="L480" i="1"/>
  <c r="K480" i="1"/>
  <c r="J480" i="1"/>
  <c r="I480" i="1"/>
  <c r="H480" i="1"/>
  <c r="G480" i="1"/>
  <c r="F480" i="1"/>
  <c r="E480" i="1"/>
  <c r="D480" i="1"/>
  <c r="C480" i="1"/>
  <c r="B480" i="1"/>
  <c r="A480" i="1"/>
  <c r="O479" i="1"/>
  <c r="L479" i="1"/>
  <c r="K479" i="1"/>
  <c r="J479" i="1"/>
  <c r="I479" i="1"/>
  <c r="H479" i="1"/>
  <c r="G479" i="1"/>
  <c r="F479" i="1"/>
  <c r="E479" i="1"/>
  <c r="D479" i="1"/>
  <c r="C479" i="1"/>
  <c r="B479" i="1"/>
  <c r="A479" i="1"/>
  <c r="O478" i="1"/>
  <c r="L478" i="1"/>
  <c r="K478" i="1"/>
  <c r="J478" i="1"/>
  <c r="I478" i="1"/>
  <c r="H478" i="1"/>
  <c r="G478" i="1"/>
  <c r="F478" i="1"/>
  <c r="E478" i="1"/>
  <c r="D478" i="1"/>
  <c r="C478" i="1"/>
  <c r="B478" i="1"/>
  <c r="A478" i="1"/>
  <c r="O477" i="1"/>
  <c r="L477" i="1"/>
  <c r="K477" i="1"/>
  <c r="J477" i="1"/>
  <c r="I477" i="1"/>
  <c r="H477" i="1"/>
  <c r="G477" i="1"/>
  <c r="F477" i="1"/>
  <c r="E477" i="1"/>
  <c r="D477" i="1"/>
  <c r="C477" i="1"/>
  <c r="B477" i="1"/>
  <c r="A477" i="1"/>
  <c r="O476" i="1"/>
  <c r="L476" i="1"/>
  <c r="K476" i="1"/>
  <c r="J476" i="1"/>
  <c r="I476" i="1"/>
  <c r="H476" i="1"/>
  <c r="G476" i="1"/>
  <c r="F476" i="1"/>
  <c r="E476" i="1"/>
  <c r="D476" i="1"/>
  <c r="C476" i="1"/>
  <c r="B476" i="1"/>
  <c r="A476" i="1"/>
  <c r="O475" i="1"/>
  <c r="L475" i="1"/>
  <c r="K475" i="1"/>
  <c r="J475" i="1"/>
  <c r="I475" i="1"/>
  <c r="H475" i="1"/>
  <c r="G475" i="1"/>
  <c r="F475" i="1"/>
  <c r="E475" i="1"/>
  <c r="D475" i="1"/>
  <c r="C475" i="1"/>
  <c r="B475" i="1"/>
  <c r="A475" i="1"/>
  <c r="O474" i="1"/>
  <c r="L474" i="1"/>
  <c r="K474" i="1"/>
  <c r="J474" i="1"/>
  <c r="I474" i="1"/>
  <c r="H474" i="1"/>
  <c r="G474" i="1"/>
  <c r="F474" i="1"/>
  <c r="E474" i="1"/>
  <c r="D474" i="1"/>
  <c r="C474" i="1"/>
  <c r="B474" i="1"/>
  <c r="A474" i="1"/>
  <c r="O473" i="1"/>
  <c r="L473" i="1"/>
  <c r="K473" i="1"/>
  <c r="J473" i="1"/>
  <c r="I473" i="1"/>
  <c r="H473" i="1"/>
  <c r="G473" i="1"/>
  <c r="F473" i="1"/>
  <c r="E473" i="1"/>
  <c r="D473" i="1"/>
  <c r="C473" i="1"/>
  <c r="B473" i="1"/>
  <c r="A473" i="1"/>
  <c r="O472" i="1"/>
  <c r="L472" i="1"/>
  <c r="K472" i="1"/>
  <c r="J472" i="1"/>
  <c r="I472" i="1"/>
  <c r="H472" i="1"/>
  <c r="G472" i="1"/>
  <c r="F472" i="1"/>
  <c r="E472" i="1"/>
  <c r="D472" i="1"/>
  <c r="C472" i="1"/>
  <c r="B472" i="1"/>
  <c r="A472" i="1"/>
  <c r="O471" i="1"/>
  <c r="L471" i="1"/>
  <c r="K471" i="1"/>
  <c r="J471" i="1"/>
  <c r="I471" i="1"/>
  <c r="H471" i="1"/>
  <c r="G471" i="1"/>
  <c r="F471" i="1"/>
  <c r="E471" i="1"/>
  <c r="D471" i="1"/>
  <c r="C471" i="1"/>
  <c r="B471" i="1"/>
  <c r="A471" i="1"/>
  <c r="O470" i="1"/>
  <c r="L470" i="1"/>
  <c r="K470" i="1"/>
  <c r="J470" i="1"/>
  <c r="I470" i="1"/>
  <c r="H470" i="1"/>
  <c r="G470" i="1"/>
  <c r="F470" i="1"/>
  <c r="E470" i="1"/>
  <c r="D470" i="1"/>
  <c r="C470" i="1"/>
  <c r="B470" i="1"/>
  <c r="A470" i="1"/>
  <c r="O469" i="1"/>
  <c r="L469" i="1"/>
  <c r="K469" i="1"/>
  <c r="J469" i="1"/>
  <c r="I469" i="1"/>
  <c r="H469" i="1"/>
  <c r="G469" i="1"/>
  <c r="F469" i="1"/>
  <c r="E469" i="1"/>
  <c r="D469" i="1"/>
  <c r="C469" i="1"/>
  <c r="B469" i="1"/>
  <c r="A469" i="1"/>
  <c r="O468" i="1"/>
  <c r="L468" i="1"/>
  <c r="K468" i="1"/>
  <c r="J468" i="1"/>
  <c r="I468" i="1"/>
  <c r="H468" i="1"/>
  <c r="G468" i="1"/>
  <c r="F468" i="1"/>
  <c r="E468" i="1"/>
  <c r="D468" i="1"/>
  <c r="C468" i="1"/>
  <c r="B468" i="1"/>
  <c r="A468" i="1"/>
  <c r="O467" i="1"/>
  <c r="L467" i="1"/>
  <c r="K467" i="1"/>
  <c r="J467" i="1"/>
  <c r="I467" i="1"/>
  <c r="H467" i="1"/>
  <c r="G467" i="1"/>
  <c r="F467" i="1"/>
  <c r="E467" i="1"/>
  <c r="D467" i="1"/>
  <c r="C467" i="1"/>
  <c r="B467" i="1"/>
  <c r="A467" i="1"/>
  <c r="O466" i="1"/>
  <c r="L466" i="1"/>
  <c r="K466" i="1"/>
  <c r="J466" i="1"/>
  <c r="I466" i="1"/>
  <c r="H466" i="1"/>
  <c r="G466" i="1"/>
  <c r="F466" i="1"/>
  <c r="E466" i="1"/>
  <c r="D466" i="1"/>
  <c r="C466" i="1"/>
  <c r="B466" i="1"/>
  <c r="A466" i="1"/>
  <c r="O465" i="1"/>
  <c r="L465" i="1"/>
  <c r="K465" i="1"/>
  <c r="J465" i="1"/>
  <c r="I465" i="1"/>
  <c r="H465" i="1"/>
  <c r="G465" i="1"/>
  <c r="F465" i="1"/>
  <c r="E465" i="1"/>
  <c r="D465" i="1"/>
  <c r="C465" i="1"/>
  <c r="B465" i="1"/>
  <c r="A465" i="1"/>
  <c r="P464" i="1"/>
  <c r="O464" i="1"/>
  <c r="L464" i="1"/>
  <c r="K464" i="1"/>
  <c r="J464" i="1"/>
  <c r="I464" i="1"/>
  <c r="H464" i="1"/>
  <c r="G464" i="1"/>
  <c r="F464" i="1"/>
  <c r="E464" i="1"/>
  <c r="D464" i="1"/>
  <c r="C464" i="1"/>
  <c r="B464" i="1"/>
  <c r="A464" i="1"/>
  <c r="O463" i="1"/>
  <c r="L463" i="1"/>
  <c r="K463" i="1"/>
  <c r="J463" i="1"/>
  <c r="I463" i="1"/>
  <c r="H463" i="1"/>
  <c r="G463" i="1"/>
  <c r="F463" i="1"/>
  <c r="E463" i="1"/>
  <c r="D463" i="1"/>
  <c r="C463" i="1"/>
  <c r="B463" i="1"/>
  <c r="A463" i="1"/>
  <c r="O462" i="1"/>
  <c r="L462" i="1"/>
  <c r="K462" i="1"/>
  <c r="J462" i="1"/>
  <c r="I462" i="1"/>
  <c r="H462" i="1"/>
  <c r="G462" i="1"/>
  <c r="F462" i="1"/>
  <c r="E462" i="1"/>
  <c r="D462" i="1"/>
  <c r="C462" i="1"/>
  <c r="B462" i="1"/>
  <c r="A462" i="1"/>
  <c r="O461" i="1"/>
  <c r="L461" i="1"/>
  <c r="K461" i="1"/>
  <c r="J461" i="1"/>
  <c r="I461" i="1"/>
  <c r="H461" i="1"/>
  <c r="G461" i="1"/>
  <c r="F461" i="1"/>
  <c r="E461" i="1"/>
  <c r="D461" i="1"/>
  <c r="C461" i="1"/>
  <c r="B461" i="1"/>
  <c r="A461" i="1"/>
  <c r="O460" i="1"/>
  <c r="L460" i="1"/>
  <c r="K460" i="1"/>
  <c r="J460" i="1"/>
  <c r="I460" i="1"/>
  <c r="H460" i="1"/>
  <c r="G460" i="1"/>
  <c r="F460" i="1"/>
  <c r="E460" i="1"/>
  <c r="D460" i="1"/>
  <c r="C460" i="1"/>
  <c r="B460" i="1"/>
  <c r="A460" i="1"/>
  <c r="O459" i="1"/>
  <c r="L459" i="1"/>
  <c r="K459" i="1"/>
  <c r="J459" i="1"/>
  <c r="I459" i="1"/>
  <c r="H459" i="1"/>
  <c r="G459" i="1"/>
  <c r="F459" i="1"/>
  <c r="E459" i="1"/>
  <c r="D459" i="1"/>
  <c r="C459" i="1"/>
  <c r="B459" i="1"/>
  <c r="A459" i="1"/>
  <c r="O458" i="1"/>
  <c r="L458" i="1"/>
  <c r="K458" i="1"/>
  <c r="J458" i="1"/>
  <c r="I458" i="1"/>
  <c r="H458" i="1"/>
  <c r="G458" i="1"/>
  <c r="F458" i="1"/>
  <c r="E458" i="1"/>
  <c r="D458" i="1"/>
  <c r="C458" i="1"/>
  <c r="B458" i="1"/>
  <c r="A458" i="1"/>
  <c r="O457" i="1"/>
  <c r="L457" i="1"/>
  <c r="K457" i="1"/>
  <c r="J457" i="1"/>
  <c r="I457" i="1"/>
  <c r="H457" i="1"/>
  <c r="G457" i="1"/>
  <c r="F457" i="1"/>
  <c r="E457" i="1"/>
  <c r="D457" i="1"/>
  <c r="C457" i="1"/>
  <c r="B457" i="1"/>
  <c r="A457" i="1"/>
  <c r="O456" i="1"/>
  <c r="L456" i="1"/>
  <c r="K456" i="1"/>
  <c r="J456" i="1"/>
  <c r="I456" i="1"/>
  <c r="H456" i="1"/>
  <c r="G456" i="1"/>
  <c r="F456" i="1"/>
  <c r="E456" i="1"/>
  <c r="D456" i="1"/>
  <c r="C456" i="1"/>
  <c r="B456" i="1"/>
  <c r="A456" i="1"/>
  <c r="O455" i="1"/>
  <c r="L455" i="1"/>
  <c r="K455" i="1"/>
  <c r="J455" i="1"/>
  <c r="I455" i="1"/>
  <c r="H455" i="1"/>
  <c r="G455" i="1"/>
  <c r="F455" i="1"/>
  <c r="E455" i="1"/>
  <c r="D455" i="1"/>
  <c r="C455" i="1"/>
  <c r="B455" i="1"/>
  <c r="A455" i="1"/>
  <c r="O454" i="1"/>
  <c r="L454" i="1"/>
  <c r="K454" i="1"/>
  <c r="J454" i="1"/>
  <c r="I454" i="1"/>
  <c r="H454" i="1"/>
  <c r="G454" i="1"/>
  <c r="F454" i="1"/>
  <c r="E454" i="1"/>
  <c r="D454" i="1"/>
  <c r="C454" i="1"/>
  <c r="B454" i="1"/>
  <c r="A454" i="1"/>
  <c r="O453" i="1"/>
  <c r="L453" i="1"/>
  <c r="K453" i="1"/>
  <c r="J453" i="1"/>
  <c r="I453" i="1"/>
  <c r="H453" i="1"/>
  <c r="G453" i="1"/>
  <c r="F453" i="1"/>
  <c r="E453" i="1"/>
  <c r="D453" i="1"/>
  <c r="C453" i="1"/>
  <c r="B453" i="1"/>
  <c r="A453" i="1"/>
  <c r="O452" i="1"/>
  <c r="L452" i="1"/>
  <c r="K452" i="1"/>
  <c r="J452" i="1"/>
  <c r="I452" i="1"/>
  <c r="H452" i="1"/>
  <c r="G452" i="1"/>
  <c r="F452" i="1"/>
  <c r="E452" i="1"/>
  <c r="D452" i="1"/>
  <c r="C452" i="1"/>
  <c r="B452" i="1"/>
  <c r="A452" i="1"/>
  <c r="O451" i="1"/>
  <c r="L451" i="1"/>
  <c r="K451" i="1"/>
  <c r="J451" i="1"/>
  <c r="I451" i="1"/>
  <c r="H451" i="1"/>
  <c r="G451" i="1"/>
  <c r="F451" i="1"/>
  <c r="E451" i="1"/>
  <c r="D451" i="1"/>
  <c r="C451" i="1"/>
  <c r="B451" i="1"/>
  <c r="A451" i="1"/>
  <c r="O450" i="1"/>
  <c r="L450" i="1"/>
  <c r="K450" i="1"/>
  <c r="J450" i="1"/>
  <c r="I450" i="1"/>
  <c r="H450" i="1"/>
  <c r="G450" i="1"/>
  <c r="F450" i="1"/>
  <c r="E450" i="1"/>
  <c r="D450" i="1"/>
  <c r="C450" i="1"/>
  <c r="B450" i="1"/>
  <c r="A450" i="1"/>
  <c r="O449" i="1"/>
  <c r="L449" i="1"/>
  <c r="K449" i="1"/>
  <c r="J449" i="1"/>
  <c r="I449" i="1"/>
  <c r="H449" i="1"/>
  <c r="G449" i="1"/>
  <c r="F449" i="1"/>
  <c r="E449" i="1"/>
  <c r="D449" i="1"/>
  <c r="C449" i="1"/>
  <c r="B449" i="1"/>
  <c r="A449" i="1"/>
  <c r="O448" i="1"/>
  <c r="L448" i="1"/>
  <c r="K448" i="1"/>
  <c r="J448" i="1"/>
  <c r="I448" i="1"/>
  <c r="H448" i="1"/>
  <c r="G448" i="1"/>
  <c r="F448" i="1"/>
  <c r="E448" i="1"/>
  <c r="D448" i="1"/>
  <c r="C448" i="1"/>
  <c r="B448" i="1"/>
  <c r="A448" i="1"/>
  <c r="O447" i="1"/>
  <c r="L447" i="1"/>
  <c r="K447" i="1"/>
  <c r="J447" i="1"/>
  <c r="I447" i="1"/>
  <c r="H447" i="1"/>
  <c r="G447" i="1"/>
  <c r="F447" i="1"/>
  <c r="E447" i="1"/>
  <c r="D447" i="1"/>
  <c r="C447" i="1"/>
  <c r="B447" i="1"/>
  <c r="A447" i="1"/>
  <c r="O446" i="1"/>
  <c r="L446" i="1"/>
  <c r="K446" i="1"/>
  <c r="J446" i="1"/>
  <c r="I446" i="1"/>
  <c r="H446" i="1"/>
  <c r="G446" i="1"/>
  <c r="F446" i="1"/>
  <c r="E446" i="1"/>
  <c r="D446" i="1"/>
  <c r="C446" i="1"/>
  <c r="B446" i="1"/>
  <c r="A446" i="1"/>
  <c r="O445" i="1"/>
  <c r="L445" i="1"/>
  <c r="K445" i="1"/>
  <c r="J445" i="1"/>
  <c r="I445" i="1"/>
  <c r="H445" i="1"/>
  <c r="G445" i="1"/>
  <c r="F445" i="1"/>
  <c r="E445" i="1"/>
  <c r="D445" i="1"/>
  <c r="C445" i="1"/>
  <c r="B445" i="1"/>
  <c r="A445" i="1"/>
  <c r="O444" i="1"/>
  <c r="L444" i="1"/>
  <c r="K444" i="1"/>
  <c r="J444" i="1"/>
  <c r="I444" i="1"/>
  <c r="H444" i="1"/>
  <c r="G444" i="1"/>
  <c r="F444" i="1"/>
  <c r="E444" i="1"/>
  <c r="D444" i="1"/>
  <c r="C444" i="1"/>
  <c r="B444" i="1"/>
  <c r="A444" i="1"/>
  <c r="P443" i="1"/>
  <c r="O443" i="1"/>
  <c r="L443" i="1"/>
  <c r="K443" i="1"/>
  <c r="J443" i="1"/>
  <c r="I443" i="1"/>
  <c r="H443" i="1"/>
  <c r="G443" i="1"/>
  <c r="F443" i="1"/>
  <c r="E443" i="1"/>
  <c r="D443" i="1"/>
  <c r="C443" i="1"/>
  <c r="B443" i="1"/>
  <c r="A443" i="1"/>
  <c r="O442" i="1"/>
  <c r="L442" i="1"/>
  <c r="K442" i="1"/>
  <c r="J442" i="1"/>
  <c r="I442" i="1"/>
  <c r="H442" i="1"/>
  <c r="G442" i="1"/>
  <c r="F442" i="1"/>
  <c r="E442" i="1"/>
  <c r="D442" i="1"/>
  <c r="C442" i="1"/>
  <c r="B442" i="1"/>
  <c r="A442" i="1"/>
  <c r="O441" i="1"/>
  <c r="L441" i="1"/>
  <c r="K441" i="1"/>
  <c r="J441" i="1"/>
  <c r="I441" i="1"/>
  <c r="H441" i="1"/>
  <c r="G441" i="1"/>
  <c r="F441" i="1"/>
  <c r="E441" i="1"/>
  <c r="D441" i="1"/>
  <c r="C441" i="1"/>
  <c r="B441" i="1"/>
  <c r="A441" i="1"/>
  <c r="O440" i="1"/>
  <c r="L440" i="1"/>
  <c r="K440" i="1"/>
  <c r="J440" i="1"/>
  <c r="I440" i="1"/>
  <c r="H440" i="1"/>
  <c r="G440" i="1"/>
  <c r="F440" i="1"/>
  <c r="E440" i="1"/>
  <c r="D440" i="1"/>
  <c r="C440" i="1"/>
  <c r="B440" i="1"/>
  <c r="A440" i="1"/>
  <c r="O439" i="1"/>
  <c r="L439" i="1"/>
  <c r="K439" i="1"/>
  <c r="J439" i="1"/>
  <c r="I439" i="1"/>
  <c r="H439" i="1"/>
  <c r="G439" i="1"/>
  <c r="F439" i="1"/>
  <c r="E439" i="1"/>
  <c r="D439" i="1"/>
  <c r="C439" i="1"/>
  <c r="B439" i="1"/>
  <c r="A439" i="1"/>
  <c r="O438" i="1"/>
  <c r="L438" i="1"/>
  <c r="K438" i="1"/>
  <c r="J438" i="1"/>
  <c r="I438" i="1"/>
  <c r="H438" i="1"/>
  <c r="G438" i="1"/>
  <c r="F438" i="1"/>
  <c r="E438" i="1"/>
  <c r="D438" i="1"/>
  <c r="C438" i="1"/>
  <c r="B438" i="1"/>
  <c r="A438" i="1"/>
  <c r="O437" i="1"/>
  <c r="L437" i="1"/>
  <c r="K437" i="1"/>
  <c r="J437" i="1"/>
  <c r="I437" i="1"/>
  <c r="H437" i="1"/>
  <c r="G437" i="1"/>
  <c r="F437" i="1"/>
  <c r="E437" i="1"/>
  <c r="D437" i="1"/>
  <c r="C437" i="1"/>
  <c r="B437" i="1"/>
  <c r="A437" i="1"/>
  <c r="O436" i="1"/>
  <c r="L436" i="1"/>
  <c r="K436" i="1"/>
  <c r="J436" i="1"/>
  <c r="I436" i="1"/>
  <c r="H436" i="1"/>
  <c r="G436" i="1"/>
  <c r="F436" i="1"/>
  <c r="E436" i="1"/>
  <c r="D436" i="1"/>
  <c r="C436" i="1"/>
  <c r="B436" i="1"/>
  <c r="A436" i="1"/>
  <c r="O435" i="1"/>
  <c r="L435" i="1"/>
  <c r="K435" i="1"/>
  <c r="J435" i="1"/>
  <c r="I435" i="1"/>
  <c r="H435" i="1"/>
  <c r="G435" i="1"/>
  <c r="F435" i="1"/>
  <c r="E435" i="1"/>
  <c r="D435" i="1"/>
  <c r="C435" i="1"/>
  <c r="B435" i="1"/>
  <c r="A435" i="1"/>
  <c r="O434" i="1"/>
  <c r="L434" i="1"/>
  <c r="K434" i="1"/>
  <c r="J434" i="1"/>
  <c r="I434" i="1"/>
  <c r="H434" i="1"/>
  <c r="G434" i="1"/>
  <c r="F434" i="1"/>
  <c r="E434" i="1"/>
  <c r="D434" i="1"/>
  <c r="C434" i="1"/>
  <c r="B434" i="1"/>
  <c r="A434" i="1"/>
  <c r="O433" i="1"/>
  <c r="L433" i="1"/>
  <c r="K433" i="1"/>
  <c r="J433" i="1"/>
  <c r="I433" i="1"/>
  <c r="H433" i="1"/>
  <c r="G433" i="1"/>
  <c r="F433" i="1"/>
  <c r="E433" i="1"/>
  <c r="D433" i="1"/>
  <c r="C433" i="1"/>
  <c r="B433" i="1"/>
  <c r="A433" i="1"/>
  <c r="O432" i="1"/>
  <c r="L432" i="1"/>
  <c r="K432" i="1"/>
  <c r="J432" i="1"/>
  <c r="I432" i="1"/>
  <c r="H432" i="1"/>
  <c r="G432" i="1"/>
  <c r="F432" i="1"/>
  <c r="E432" i="1"/>
  <c r="D432" i="1"/>
  <c r="C432" i="1"/>
  <c r="B432" i="1"/>
  <c r="A432" i="1"/>
  <c r="O431" i="1"/>
  <c r="L431" i="1"/>
  <c r="K431" i="1"/>
  <c r="J431" i="1"/>
  <c r="I431" i="1"/>
  <c r="H431" i="1"/>
  <c r="G431" i="1"/>
  <c r="F431" i="1"/>
  <c r="E431" i="1"/>
  <c r="D431" i="1"/>
  <c r="C431" i="1"/>
  <c r="B431" i="1"/>
  <c r="A431" i="1"/>
  <c r="O430" i="1"/>
  <c r="L430" i="1"/>
  <c r="K430" i="1"/>
  <c r="J430" i="1"/>
  <c r="I430" i="1"/>
  <c r="H430" i="1"/>
  <c r="G430" i="1"/>
  <c r="F430" i="1"/>
  <c r="E430" i="1"/>
  <c r="D430" i="1"/>
  <c r="C430" i="1"/>
  <c r="B430" i="1"/>
  <c r="A430" i="1"/>
  <c r="O429" i="1"/>
  <c r="L429" i="1"/>
  <c r="K429" i="1"/>
  <c r="J429" i="1"/>
  <c r="I429" i="1"/>
  <c r="H429" i="1"/>
  <c r="G429" i="1"/>
  <c r="F429" i="1"/>
  <c r="E429" i="1"/>
  <c r="D429" i="1"/>
  <c r="C429" i="1"/>
  <c r="B429" i="1"/>
  <c r="A429" i="1"/>
  <c r="O428" i="1"/>
  <c r="L428" i="1"/>
  <c r="K428" i="1"/>
  <c r="J428" i="1"/>
  <c r="I428" i="1"/>
  <c r="H428" i="1"/>
  <c r="G428" i="1"/>
  <c r="F428" i="1"/>
  <c r="E428" i="1"/>
  <c r="D428" i="1"/>
  <c r="C428" i="1"/>
  <c r="B428" i="1"/>
  <c r="A428" i="1"/>
  <c r="O427" i="1"/>
  <c r="L427" i="1"/>
  <c r="K427" i="1"/>
  <c r="J427" i="1"/>
  <c r="I427" i="1"/>
  <c r="H427" i="1"/>
  <c r="G427" i="1"/>
  <c r="F427" i="1"/>
  <c r="E427" i="1"/>
  <c r="D427" i="1"/>
  <c r="C427" i="1"/>
  <c r="B427" i="1"/>
  <c r="A427" i="1"/>
  <c r="O426" i="1"/>
  <c r="L426" i="1"/>
  <c r="K426" i="1"/>
  <c r="J426" i="1"/>
  <c r="I426" i="1"/>
  <c r="H426" i="1"/>
  <c r="G426" i="1"/>
  <c r="F426" i="1"/>
  <c r="E426" i="1"/>
  <c r="D426" i="1"/>
  <c r="C426" i="1"/>
  <c r="B426" i="1"/>
  <c r="A426" i="1"/>
  <c r="O425" i="1"/>
  <c r="L425" i="1"/>
  <c r="K425" i="1"/>
  <c r="J425" i="1"/>
  <c r="I425" i="1"/>
  <c r="H425" i="1"/>
  <c r="G425" i="1"/>
  <c r="F425" i="1"/>
  <c r="E425" i="1"/>
  <c r="D425" i="1"/>
  <c r="C425" i="1"/>
  <c r="B425" i="1"/>
  <c r="A425" i="1"/>
  <c r="P424" i="1"/>
  <c r="O424" i="1"/>
  <c r="L424" i="1"/>
  <c r="K424" i="1"/>
  <c r="J424" i="1"/>
  <c r="I424" i="1"/>
  <c r="H424" i="1"/>
  <c r="G424" i="1"/>
  <c r="F424" i="1"/>
  <c r="E424" i="1"/>
  <c r="D424" i="1"/>
  <c r="C424" i="1"/>
  <c r="B424" i="1"/>
  <c r="A424" i="1"/>
  <c r="O423" i="1"/>
  <c r="L423" i="1"/>
  <c r="K423" i="1"/>
  <c r="J423" i="1"/>
  <c r="I423" i="1"/>
  <c r="H423" i="1"/>
  <c r="G423" i="1"/>
  <c r="F423" i="1"/>
  <c r="E423" i="1"/>
  <c r="D423" i="1"/>
  <c r="C423" i="1"/>
  <c r="B423" i="1"/>
  <c r="A423" i="1"/>
  <c r="O422" i="1"/>
  <c r="L422" i="1"/>
  <c r="K422" i="1"/>
  <c r="J422" i="1"/>
  <c r="I422" i="1"/>
  <c r="H422" i="1"/>
  <c r="G422" i="1"/>
  <c r="F422" i="1"/>
  <c r="E422" i="1"/>
  <c r="D422" i="1"/>
  <c r="C422" i="1"/>
  <c r="B422" i="1"/>
  <c r="A422" i="1"/>
  <c r="O421" i="1"/>
  <c r="L421" i="1"/>
  <c r="K421" i="1"/>
  <c r="J421" i="1"/>
  <c r="I421" i="1"/>
  <c r="H421" i="1"/>
  <c r="G421" i="1"/>
  <c r="F421" i="1"/>
  <c r="E421" i="1"/>
  <c r="D421" i="1"/>
  <c r="C421" i="1"/>
  <c r="B421" i="1"/>
  <c r="A421" i="1"/>
  <c r="O420" i="1"/>
  <c r="L420" i="1"/>
  <c r="K420" i="1"/>
  <c r="J420" i="1"/>
  <c r="I420" i="1"/>
  <c r="H420" i="1"/>
  <c r="G420" i="1"/>
  <c r="F420" i="1"/>
  <c r="E420" i="1"/>
  <c r="D420" i="1"/>
  <c r="C420" i="1"/>
  <c r="B420" i="1"/>
  <c r="A420" i="1"/>
  <c r="O419" i="1"/>
  <c r="L419" i="1"/>
  <c r="K419" i="1"/>
  <c r="J419" i="1"/>
  <c r="I419" i="1"/>
  <c r="H419" i="1"/>
  <c r="G419" i="1"/>
  <c r="F419" i="1"/>
  <c r="E419" i="1"/>
  <c r="D419" i="1"/>
  <c r="C419" i="1"/>
  <c r="B419" i="1"/>
  <c r="A419" i="1"/>
  <c r="O418" i="1"/>
  <c r="L418" i="1"/>
  <c r="K418" i="1"/>
  <c r="J418" i="1"/>
  <c r="I418" i="1"/>
  <c r="H418" i="1"/>
  <c r="G418" i="1"/>
  <c r="F418" i="1"/>
  <c r="E418" i="1"/>
  <c r="D418" i="1"/>
  <c r="C418" i="1"/>
  <c r="B418" i="1"/>
  <c r="A418" i="1"/>
  <c r="O417" i="1"/>
  <c r="L417" i="1"/>
  <c r="K417" i="1"/>
  <c r="J417" i="1"/>
  <c r="I417" i="1"/>
  <c r="H417" i="1"/>
  <c r="G417" i="1"/>
  <c r="F417" i="1"/>
  <c r="E417" i="1"/>
  <c r="D417" i="1"/>
  <c r="C417" i="1"/>
  <c r="B417" i="1"/>
  <c r="A417" i="1"/>
  <c r="O416" i="1"/>
  <c r="L416" i="1"/>
  <c r="K416" i="1"/>
  <c r="J416" i="1"/>
  <c r="I416" i="1"/>
  <c r="H416" i="1"/>
  <c r="G416" i="1"/>
  <c r="F416" i="1"/>
  <c r="E416" i="1"/>
  <c r="D416" i="1"/>
  <c r="C416" i="1"/>
  <c r="B416" i="1"/>
  <c r="A416" i="1"/>
  <c r="O415" i="1"/>
  <c r="L415" i="1"/>
  <c r="K415" i="1"/>
  <c r="J415" i="1"/>
  <c r="I415" i="1"/>
  <c r="H415" i="1"/>
  <c r="G415" i="1"/>
  <c r="F415" i="1"/>
  <c r="E415" i="1"/>
  <c r="D415" i="1"/>
  <c r="C415" i="1"/>
  <c r="B415" i="1"/>
  <c r="A415" i="1"/>
  <c r="O414" i="1"/>
  <c r="L414" i="1"/>
  <c r="K414" i="1"/>
  <c r="J414" i="1"/>
  <c r="I414" i="1"/>
  <c r="H414" i="1"/>
  <c r="G414" i="1"/>
  <c r="F414" i="1"/>
  <c r="E414" i="1"/>
  <c r="D414" i="1"/>
  <c r="C414" i="1"/>
  <c r="B414" i="1"/>
  <c r="A414" i="1"/>
  <c r="O413" i="1"/>
  <c r="L413" i="1"/>
  <c r="K413" i="1"/>
  <c r="J413" i="1"/>
  <c r="I413" i="1"/>
  <c r="H413" i="1"/>
  <c r="G413" i="1"/>
  <c r="F413" i="1"/>
  <c r="E413" i="1"/>
  <c r="D413" i="1"/>
  <c r="C413" i="1"/>
  <c r="B413" i="1"/>
  <c r="A413" i="1"/>
  <c r="O412" i="1"/>
  <c r="L412" i="1"/>
  <c r="K412" i="1"/>
  <c r="J412" i="1"/>
  <c r="I412" i="1"/>
  <c r="H412" i="1"/>
  <c r="G412" i="1"/>
  <c r="F412" i="1"/>
  <c r="E412" i="1"/>
  <c r="D412" i="1"/>
  <c r="C412" i="1"/>
  <c r="B412" i="1"/>
  <c r="A412" i="1"/>
  <c r="O411" i="1"/>
  <c r="L411" i="1"/>
  <c r="K411" i="1"/>
  <c r="J411" i="1"/>
  <c r="I411" i="1"/>
  <c r="H411" i="1"/>
  <c r="G411" i="1"/>
  <c r="F411" i="1"/>
  <c r="E411" i="1"/>
  <c r="D411" i="1"/>
  <c r="C411" i="1"/>
  <c r="B411" i="1"/>
  <c r="A411" i="1"/>
  <c r="O410" i="1"/>
  <c r="L410" i="1"/>
  <c r="K410" i="1"/>
  <c r="J410" i="1"/>
  <c r="I410" i="1"/>
  <c r="H410" i="1"/>
  <c r="G410" i="1"/>
  <c r="F410" i="1"/>
  <c r="E410" i="1"/>
  <c r="D410" i="1"/>
  <c r="C410" i="1"/>
  <c r="B410" i="1"/>
  <c r="A410" i="1"/>
  <c r="O409" i="1"/>
  <c r="L409" i="1"/>
  <c r="K409" i="1"/>
  <c r="J409" i="1"/>
  <c r="I409" i="1"/>
  <c r="H409" i="1"/>
  <c r="G409" i="1"/>
  <c r="F409" i="1"/>
  <c r="E409" i="1"/>
  <c r="D409" i="1"/>
  <c r="C409" i="1"/>
  <c r="B409" i="1"/>
  <c r="A409" i="1"/>
  <c r="O408" i="1"/>
  <c r="L408" i="1"/>
  <c r="K408" i="1"/>
  <c r="J408" i="1"/>
  <c r="I408" i="1"/>
  <c r="H408" i="1"/>
  <c r="G408" i="1"/>
  <c r="F408" i="1"/>
  <c r="E408" i="1"/>
  <c r="D408" i="1"/>
  <c r="C408" i="1"/>
  <c r="B408" i="1"/>
  <c r="A408" i="1"/>
  <c r="O407" i="1"/>
  <c r="L407" i="1"/>
  <c r="K407" i="1"/>
  <c r="J407" i="1"/>
  <c r="I407" i="1"/>
  <c r="H407" i="1"/>
  <c r="G407" i="1"/>
  <c r="F407" i="1"/>
  <c r="E407" i="1"/>
  <c r="D407" i="1"/>
  <c r="C407" i="1"/>
  <c r="B407" i="1"/>
  <c r="A407" i="1"/>
  <c r="O406" i="1"/>
  <c r="L406" i="1"/>
  <c r="K406" i="1"/>
  <c r="J406" i="1"/>
  <c r="I406" i="1"/>
  <c r="H406" i="1"/>
  <c r="G406" i="1"/>
  <c r="F406" i="1"/>
  <c r="E406" i="1"/>
  <c r="D406" i="1"/>
  <c r="C406" i="1"/>
  <c r="B406" i="1"/>
  <c r="A406" i="1"/>
  <c r="O405" i="1"/>
  <c r="L405" i="1"/>
  <c r="K405" i="1"/>
  <c r="J405" i="1"/>
  <c r="I405" i="1"/>
  <c r="H405" i="1"/>
  <c r="G405" i="1"/>
  <c r="F405" i="1"/>
  <c r="E405" i="1"/>
  <c r="D405" i="1"/>
  <c r="C405" i="1"/>
  <c r="B405" i="1"/>
  <c r="A405" i="1"/>
  <c r="O404" i="1"/>
  <c r="L404" i="1"/>
  <c r="K404" i="1"/>
  <c r="J404" i="1"/>
  <c r="I404" i="1"/>
  <c r="H404" i="1"/>
  <c r="G404" i="1"/>
  <c r="F404" i="1"/>
  <c r="E404" i="1"/>
  <c r="D404" i="1"/>
  <c r="C404" i="1"/>
  <c r="B404" i="1"/>
  <c r="A404" i="1"/>
  <c r="O403" i="1"/>
  <c r="L403" i="1"/>
  <c r="K403" i="1"/>
  <c r="J403" i="1"/>
  <c r="I403" i="1"/>
  <c r="H403" i="1"/>
  <c r="G403" i="1"/>
  <c r="F403" i="1"/>
  <c r="E403" i="1"/>
  <c r="D403" i="1"/>
  <c r="C403" i="1"/>
  <c r="B403" i="1"/>
  <c r="A403" i="1"/>
  <c r="O402" i="1"/>
  <c r="L402" i="1"/>
  <c r="K402" i="1"/>
  <c r="J402" i="1"/>
  <c r="I402" i="1"/>
  <c r="H402" i="1"/>
  <c r="G402" i="1"/>
  <c r="F402" i="1"/>
  <c r="E402" i="1"/>
  <c r="D402" i="1"/>
  <c r="C402" i="1"/>
  <c r="B402" i="1"/>
  <c r="A402" i="1"/>
  <c r="O401" i="1"/>
  <c r="L401" i="1"/>
  <c r="K401" i="1"/>
  <c r="J401" i="1"/>
  <c r="I401" i="1"/>
  <c r="H401" i="1"/>
  <c r="G401" i="1"/>
  <c r="F401" i="1"/>
  <c r="E401" i="1"/>
  <c r="D401" i="1"/>
  <c r="C401" i="1"/>
  <c r="B401" i="1"/>
  <c r="A401" i="1"/>
  <c r="O400" i="1"/>
  <c r="L400" i="1"/>
  <c r="K400" i="1"/>
  <c r="J400" i="1"/>
  <c r="I400" i="1"/>
  <c r="H400" i="1"/>
  <c r="G400" i="1"/>
  <c r="F400" i="1"/>
  <c r="E400" i="1"/>
  <c r="D400" i="1"/>
  <c r="C400" i="1"/>
  <c r="B400" i="1"/>
  <c r="A400" i="1"/>
  <c r="O399" i="1"/>
  <c r="L399" i="1"/>
  <c r="K399" i="1"/>
  <c r="J399" i="1"/>
  <c r="I399" i="1"/>
  <c r="H399" i="1"/>
  <c r="G399" i="1"/>
  <c r="F399" i="1"/>
  <c r="E399" i="1"/>
  <c r="D399" i="1"/>
  <c r="C399" i="1"/>
  <c r="B399" i="1"/>
  <c r="A399" i="1"/>
  <c r="O398" i="1"/>
  <c r="L398" i="1"/>
  <c r="K398" i="1"/>
  <c r="J398" i="1"/>
  <c r="I398" i="1"/>
  <c r="H398" i="1"/>
  <c r="G398" i="1"/>
  <c r="F398" i="1"/>
  <c r="E398" i="1"/>
  <c r="D398" i="1"/>
  <c r="C398" i="1"/>
  <c r="B398" i="1"/>
  <c r="A398" i="1"/>
  <c r="O397" i="1"/>
  <c r="L397" i="1"/>
  <c r="K397" i="1"/>
  <c r="J397" i="1"/>
  <c r="I397" i="1"/>
  <c r="H397" i="1"/>
  <c r="G397" i="1"/>
  <c r="F397" i="1"/>
  <c r="E397" i="1"/>
  <c r="D397" i="1"/>
  <c r="C397" i="1"/>
  <c r="B397" i="1"/>
  <c r="A397" i="1"/>
  <c r="O396" i="1"/>
  <c r="L396" i="1"/>
  <c r="K396" i="1"/>
  <c r="J396" i="1"/>
  <c r="I396" i="1"/>
  <c r="H396" i="1"/>
  <c r="G396" i="1"/>
  <c r="F396" i="1"/>
  <c r="E396" i="1"/>
  <c r="D396" i="1"/>
  <c r="C396" i="1"/>
  <c r="B396" i="1"/>
  <c r="A396" i="1"/>
  <c r="O395" i="1"/>
  <c r="L395" i="1"/>
  <c r="K395" i="1"/>
  <c r="J395" i="1"/>
  <c r="I395" i="1"/>
  <c r="H395" i="1"/>
  <c r="G395" i="1"/>
  <c r="F395" i="1"/>
  <c r="E395" i="1"/>
  <c r="D395" i="1"/>
  <c r="C395" i="1"/>
  <c r="B395" i="1"/>
  <c r="A395" i="1"/>
  <c r="O394" i="1"/>
  <c r="L394" i="1"/>
  <c r="K394" i="1"/>
  <c r="J394" i="1"/>
  <c r="I394" i="1"/>
  <c r="H394" i="1"/>
  <c r="G394" i="1"/>
  <c r="F394" i="1"/>
  <c r="E394" i="1"/>
  <c r="D394" i="1"/>
  <c r="C394" i="1"/>
  <c r="B394" i="1"/>
  <c r="A394" i="1"/>
  <c r="O393" i="1"/>
  <c r="L393" i="1"/>
  <c r="K393" i="1"/>
  <c r="J393" i="1"/>
  <c r="I393" i="1"/>
  <c r="H393" i="1"/>
  <c r="G393" i="1"/>
  <c r="F393" i="1"/>
  <c r="E393" i="1"/>
  <c r="D393" i="1"/>
  <c r="C393" i="1"/>
  <c r="B393" i="1"/>
  <c r="A393" i="1"/>
  <c r="O392" i="1"/>
  <c r="L392" i="1"/>
  <c r="K392" i="1"/>
  <c r="J392" i="1"/>
  <c r="I392" i="1"/>
  <c r="H392" i="1"/>
  <c r="G392" i="1"/>
  <c r="F392" i="1"/>
  <c r="E392" i="1"/>
  <c r="D392" i="1"/>
  <c r="C392" i="1"/>
  <c r="B392" i="1"/>
  <c r="A392" i="1"/>
  <c r="O391" i="1"/>
  <c r="L391" i="1"/>
  <c r="K391" i="1"/>
  <c r="J391" i="1"/>
  <c r="I391" i="1"/>
  <c r="H391" i="1"/>
  <c r="G391" i="1"/>
  <c r="F391" i="1"/>
  <c r="E391" i="1"/>
  <c r="D391" i="1"/>
  <c r="C391" i="1"/>
  <c r="B391" i="1"/>
  <c r="A391" i="1"/>
  <c r="O390" i="1"/>
  <c r="L390" i="1"/>
  <c r="K390" i="1"/>
  <c r="J390" i="1"/>
  <c r="I390" i="1"/>
  <c r="H390" i="1"/>
  <c r="G390" i="1"/>
  <c r="F390" i="1"/>
  <c r="E390" i="1"/>
  <c r="D390" i="1"/>
  <c r="C390" i="1"/>
  <c r="B390" i="1"/>
  <c r="A390" i="1"/>
  <c r="O389" i="1"/>
  <c r="L389" i="1"/>
  <c r="K389" i="1"/>
  <c r="J389" i="1"/>
  <c r="I389" i="1"/>
  <c r="H389" i="1"/>
  <c r="G389" i="1"/>
  <c r="F389" i="1"/>
  <c r="E389" i="1"/>
  <c r="D389" i="1"/>
  <c r="C389" i="1"/>
  <c r="B389" i="1"/>
  <c r="A389" i="1"/>
  <c r="O388" i="1"/>
  <c r="L388" i="1"/>
  <c r="K388" i="1"/>
  <c r="J388" i="1"/>
  <c r="I388" i="1"/>
  <c r="H388" i="1"/>
  <c r="G388" i="1"/>
  <c r="F388" i="1"/>
  <c r="E388" i="1"/>
  <c r="D388" i="1"/>
  <c r="C388" i="1"/>
  <c r="B388" i="1"/>
  <c r="A388" i="1"/>
  <c r="O387" i="1"/>
  <c r="L387" i="1"/>
  <c r="K387" i="1"/>
  <c r="J387" i="1"/>
  <c r="I387" i="1"/>
  <c r="H387" i="1"/>
  <c r="G387" i="1"/>
  <c r="F387" i="1"/>
  <c r="E387" i="1"/>
  <c r="D387" i="1"/>
  <c r="C387" i="1"/>
  <c r="B387" i="1"/>
  <c r="A387" i="1"/>
  <c r="O386" i="1"/>
  <c r="L386" i="1"/>
  <c r="K386" i="1"/>
  <c r="J386" i="1"/>
  <c r="I386" i="1"/>
  <c r="H386" i="1"/>
  <c r="G386" i="1"/>
  <c r="F386" i="1"/>
  <c r="E386" i="1"/>
  <c r="D386" i="1"/>
  <c r="C386" i="1"/>
  <c r="B386" i="1"/>
  <c r="A386" i="1"/>
  <c r="O385" i="1"/>
  <c r="L385" i="1"/>
  <c r="K385" i="1"/>
  <c r="J385" i="1"/>
  <c r="I385" i="1"/>
  <c r="H385" i="1"/>
  <c r="G385" i="1"/>
  <c r="F385" i="1"/>
  <c r="E385" i="1"/>
  <c r="D385" i="1"/>
  <c r="C385" i="1"/>
  <c r="B385" i="1"/>
  <c r="A385" i="1"/>
  <c r="O384" i="1"/>
  <c r="L384" i="1"/>
  <c r="K384" i="1"/>
  <c r="J384" i="1"/>
  <c r="I384" i="1"/>
  <c r="H384" i="1"/>
  <c r="G384" i="1"/>
  <c r="F384" i="1"/>
  <c r="E384" i="1"/>
  <c r="D384" i="1"/>
  <c r="C384" i="1"/>
  <c r="B384" i="1"/>
  <c r="A384" i="1"/>
  <c r="O383" i="1"/>
  <c r="L383" i="1"/>
  <c r="K383" i="1"/>
  <c r="J383" i="1"/>
  <c r="I383" i="1"/>
  <c r="H383" i="1"/>
  <c r="G383" i="1"/>
  <c r="F383" i="1"/>
  <c r="E383" i="1"/>
  <c r="D383" i="1"/>
  <c r="C383" i="1"/>
  <c r="B383" i="1"/>
  <c r="A383" i="1"/>
  <c r="O382" i="1"/>
  <c r="L382" i="1"/>
  <c r="K382" i="1"/>
  <c r="J382" i="1"/>
  <c r="I382" i="1"/>
  <c r="H382" i="1"/>
  <c r="G382" i="1"/>
  <c r="F382" i="1"/>
  <c r="E382" i="1"/>
  <c r="D382" i="1"/>
  <c r="C382" i="1"/>
  <c r="B382" i="1"/>
  <c r="A382" i="1"/>
  <c r="O381" i="1"/>
  <c r="L381" i="1"/>
  <c r="K381" i="1"/>
  <c r="J381" i="1"/>
  <c r="I381" i="1"/>
  <c r="H381" i="1"/>
  <c r="G381" i="1"/>
  <c r="F381" i="1"/>
  <c r="E381" i="1"/>
  <c r="D381" i="1"/>
  <c r="C381" i="1"/>
  <c r="B381" i="1"/>
  <c r="A381" i="1"/>
  <c r="O380" i="1"/>
  <c r="L380" i="1"/>
  <c r="K380" i="1"/>
  <c r="J380" i="1"/>
  <c r="I380" i="1"/>
  <c r="H380" i="1"/>
  <c r="G380" i="1"/>
  <c r="F380" i="1"/>
  <c r="E380" i="1"/>
  <c r="D380" i="1"/>
  <c r="C380" i="1"/>
  <c r="B380" i="1"/>
  <c r="A380" i="1"/>
  <c r="O379" i="1"/>
  <c r="L379" i="1"/>
  <c r="K379" i="1"/>
  <c r="J379" i="1"/>
  <c r="I379" i="1"/>
  <c r="H379" i="1"/>
  <c r="G379" i="1"/>
  <c r="F379" i="1"/>
  <c r="E379" i="1"/>
  <c r="D379" i="1"/>
  <c r="C379" i="1"/>
  <c r="B379" i="1"/>
  <c r="A379" i="1"/>
  <c r="O378" i="1"/>
  <c r="L378" i="1"/>
  <c r="K378" i="1"/>
  <c r="J378" i="1"/>
  <c r="I378" i="1"/>
  <c r="H378" i="1"/>
  <c r="G378" i="1"/>
  <c r="F378" i="1"/>
  <c r="E378" i="1"/>
  <c r="D378" i="1"/>
  <c r="C378" i="1"/>
  <c r="B378" i="1"/>
  <c r="A378" i="1"/>
  <c r="O377" i="1"/>
  <c r="L377" i="1"/>
  <c r="K377" i="1"/>
  <c r="J377" i="1"/>
  <c r="I377" i="1"/>
  <c r="H377" i="1"/>
  <c r="G377" i="1"/>
  <c r="F377" i="1"/>
  <c r="E377" i="1"/>
  <c r="D377" i="1"/>
  <c r="C377" i="1"/>
  <c r="B377" i="1"/>
  <c r="A377" i="1"/>
  <c r="O376" i="1"/>
  <c r="L376" i="1"/>
  <c r="K376" i="1"/>
  <c r="J376" i="1"/>
  <c r="I376" i="1"/>
  <c r="H376" i="1"/>
  <c r="G376" i="1"/>
  <c r="F376" i="1"/>
  <c r="E376" i="1"/>
  <c r="D376" i="1"/>
  <c r="C376" i="1"/>
  <c r="B376" i="1"/>
  <c r="A376" i="1"/>
  <c r="O375" i="1"/>
  <c r="L375" i="1"/>
  <c r="K375" i="1"/>
  <c r="J375" i="1"/>
  <c r="I375" i="1"/>
  <c r="H375" i="1"/>
  <c r="G375" i="1"/>
  <c r="F375" i="1"/>
  <c r="E375" i="1"/>
  <c r="D375" i="1"/>
  <c r="C375" i="1"/>
  <c r="B375" i="1"/>
  <c r="A375" i="1"/>
  <c r="O374" i="1"/>
  <c r="L374" i="1"/>
  <c r="K374" i="1"/>
  <c r="J374" i="1"/>
  <c r="I374" i="1"/>
  <c r="H374" i="1"/>
  <c r="G374" i="1"/>
  <c r="F374" i="1"/>
  <c r="E374" i="1"/>
  <c r="D374" i="1"/>
  <c r="C374" i="1"/>
  <c r="B374" i="1"/>
  <c r="A374" i="1"/>
  <c r="O373" i="1"/>
  <c r="L373" i="1"/>
  <c r="K373" i="1"/>
  <c r="J373" i="1"/>
  <c r="I373" i="1"/>
  <c r="H373" i="1"/>
  <c r="G373" i="1"/>
  <c r="F373" i="1"/>
  <c r="E373" i="1"/>
  <c r="D373" i="1"/>
  <c r="C373" i="1"/>
  <c r="B373" i="1"/>
  <c r="A373" i="1"/>
  <c r="O372" i="1"/>
  <c r="L372" i="1"/>
  <c r="K372" i="1"/>
  <c r="J372" i="1"/>
  <c r="I372" i="1"/>
  <c r="H372" i="1"/>
  <c r="G372" i="1"/>
  <c r="F372" i="1"/>
  <c r="E372" i="1"/>
  <c r="D372" i="1"/>
  <c r="C372" i="1"/>
  <c r="B372" i="1"/>
  <c r="A372" i="1"/>
  <c r="O371" i="1"/>
  <c r="L371" i="1"/>
  <c r="K371" i="1"/>
  <c r="J371" i="1"/>
  <c r="I371" i="1"/>
  <c r="H371" i="1"/>
  <c r="G371" i="1"/>
  <c r="F371" i="1"/>
  <c r="E371" i="1"/>
  <c r="D371" i="1"/>
  <c r="C371" i="1"/>
  <c r="B371" i="1"/>
  <c r="A371" i="1"/>
  <c r="O370" i="1"/>
  <c r="L370" i="1"/>
  <c r="K370" i="1"/>
  <c r="J370" i="1"/>
  <c r="I370" i="1"/>
  <c r="H370" i="1"/>
  <c r="G370" i="1"/>
  <c r="F370" i="1"/>
  <c r="E370" i="1"/>
  <c r="D370" i="1"/>
  <c r="C370" i="1"/>
  <c r="B370" i="1"/>
  <c r="A370" i="1"/>
  <c r="O369" i="1"/>
  <c r="L369" i="1"/>
  <c r="K369" i="1"/>
  <c r="J369" i="1"/>
  <c r="I369" i="1"/>
  <c r="H369" i="1"/>
  <c r="G369" i="1"/>
  <c r="F369" i="1"/>
  <c r="E369" i="1"/>
  <c r="D369" i="1"/>
  <c r="C369" i="1"/>
  <c r="B369" i="1"/>
  <c r="A369" i="1"/>
  <c r="O368" i="1"/>
  <c r="L368" i="1"/>
  <c r="K368" i="1"/>
  <c r="J368" i="1"/>
  <c r="I368" i="1"/>
  <c r="H368" i="1"/>
  <c r="G368" i="1"/>
  <c r="F368" i="1"/>
  <c r="E368" i="1"/>
  <c r="D368" i="1"/>
  <c r="C368" i="1"/>
  <c r="B368" i="1"/>
  <c r="A368" i="1"/>
  <c r="O367" i="1"/>
  <c r="L367" i="1"/>
  <c r="K367" i="1"/>
  <c r="J367" i="1"/>
  <c r="I367" i="1"/>
  <c r="H367" i="1"/>
  <c r="G367" i="1"/>
  <c r="F367" i="1"/>
  <c r="E367" i="1"/>
  <c r="D367" i="1"/>
  <c r="C367" i="1"/>
  <c r="B367" i="1"/>
  <c r="A367" i="1"/>
  <c r="O366" i="1"/>
  <c r="L366" i="1"/>
  <c r="K366" i="1"/>
  <c r="J366" i="1"/>
  <c r="I366" i="1"/>
  <c r="H366" i="1"/>
  <c r="G366" i="1"/>
  <c r="F366" i="1"/>
  <c r="E366" i="1"/>
  <c r="D366" i="1"/>
  <c r="C366" i="1"/>
  <c r="B366" i="1"/>
  <c r="A366" i="1"/>
  <c r="O365" i="1"/>
  <c r="L365" i="1"/>
  <c r="K365" i="1"/>
  <c r="J365" i="1"/>
  <c r="I365" i="1"/>
  <c r="H365" i="1"/>
  <c r="G365" i="1"/>
  <c r="F365" i="1"/>
  <c r="E365" i="1"/>
  <c r="D365" i="1"/>
  <c r="C365" i="1"/>
  <c r="B365" i="1"/>
  <c r="A365" i="1"/>
  <c r="O364" i="1"/>
  <c r="L364" i="1"/>
  <c r="K364" i="1"/>
  <c r="J364" i="1"/>
  <c r="I364" i="1"/>
  <c r="H364" i="1"/>
  <c r="G364" i="1"/>
  <c r="F364" i="1"/>
  <c r="E364" i="1"/>
  <c r="D364" i="1"/>
  <c r="C364" i="1"/>
  <c r="B364" i="1"/>
  <c r="A364" i="1"/>
  <c r="O363" i="1"/>
  <c r="L363" i="1"/>
  <c r="K363" i="1"/>
  <c r="J363" i="1"/>
  <c r="I363" i="1"/>
  <c r="H363" i="1"/>
  <c r="G363" i="1"/>
  <c r="F363" i="1"/>
  <c r="E363" i="1"/>
  <c r="D363" i="1"/>
  <c r="C363" i="1"/>
  <c r="B363" i="1"/>
  <c r="A363" i="1"/>
  <c r="O362" i="1"/>
  <c r="L362" i="1"/>
  <c r="K362" i="1"/>
  <c r="J362" i="1"/>
  <c r="I362" i="1"/>
  <c r="H362" i="1"/>
  <c r="G362" i="1"/>
  <c r="F362" i="1"/>
  <c r="E362" i="1"/>
  <c r="D362" i="1"/>
  <c r="C362" i="1"/>
  <c r="B362" i="1"/>
  <c r="A362" i="1"/>
  <c r="O361" i="1"/>
  <c r="L361" i="1"/>
  <c r="K361" i="1"/>
  <c r="J361" i="1"/>
  <c r="I361" i="1"/>
  <c r="H361" i="1"/>
  <c r="G361" i="1"/>
  <c r="F361" i="1"/>
  <c r="E361" i="1"/>
  <c r="D361" i="1"/>
  <c r="C361" i="1"/>
  <c r="B361" i="1"/>
  <c r="A361" i="1"/>
  <c r="O360" i="1"/>
  <c r="L360" i="1"/>
  <c r="K360" i="1"/>
  <c r="J360" i="1"/>
  <c r="I360" i="1"/>
  <c r="H360" i="1"/>
  <c r="G360" i="1"/>
  <c r="F360" i="1"/>
  <c r="E360" i="1"/>
  <c r="D360" i="1"/>
  <c r="C360" i="1"/>
  <c r="B360" i="1"/>
  <c r="A360" i="1"/>
  <c r="O359" i="1"/>
  <c r="L359" i="1"/>
  <c r="K359" i="1"/>
  <c r="J359" i="1"/>
  <c r="I359" i="1"/>
  <c r="H359" i="1"/>
  <c r="G359" i="1"/>
  <c r="F359" i="1"/>
  <c r="E359" i="1"/>
  <c r="D359" i="1"/>
  <c r="C359" i="1"/>
  <c r="B359" i="1"/>
  <c r="A359" i="1"/>
  <c r="O358" i="1"/>
  <c r="L358" i="1"/>
  <c r="K358" i="1"/>
  <c r="J358" i="1"/>
  <c r="I358" i="1"/>
  <c r="H358" i="1"/>
  <c r="G358" i="1"/>
  <c r="F358" i="1"/>
  <c r="E358" i="1"/>
  <c r="D358" i="1"/>
  <c r="C358" i="1"/>
  <c r="B358" i="1"/>
  <c r="A358" i="1"/>
  <c r="O357" i="1"/>
  <c r="L357" i="1"/>
  <c r="K357" i="1"/>
  <c r="J357" i="1"/>
  <c r="I357" i="1"/>
  <c r="H357" i="1"/>
  <c r="G357" i="1"/>
  <c r="F357" i="1"/>
  <c r="E357" i="1"/>
  <c r="D357" i="1"/>
  <c r="C357" i="1"/>
  <c r="B357" i="1"/>
  <c r="A357" i="1"/>
  <c r="O356" i="1"/>
  <c r="L356" i="1"/>
  <c r="K356" i="1"/>
  <c r="J356" i="1"/>
  <c r="I356" i="1"/>
  <c r="H356" i="1"/>
  <c r="G356" i="1"/>
  <c r="F356" i="1"/>
  <c r="E356" i="1"/>
  <c r="D356" i="1"/>
  <c r="C356" i="1"/>
  <c r="B356" i="1"/>
  <c r="A356" i="1"/>
  <c r="O355" i="1"/>
  <c r="L355" i="1"/>
  <c r="K355" i="1"/>
  <c r="J355" i="1"/>
  <c r="I355" i="1"/>
  <c r="H355" i="1"/>
  <c r="G355" i="1"/>
  <c r="F355" i="1"/>
  <c r="E355" i="1"/>
  <c r="D355" i="1"/>
  <c r="C355" i="1"/>
  <c r="B355" i="1"/>
  <c r="A355" i="1"/>
  <c r="O354" i="1"/>
  <c r="L354" i="1"/>
  <c r="K354" i="1"/>
  <c r="J354" i="1"/>
  <c r="I354" i="1"/>
  <c r="H354" i="1"/>
  <c r="G354" i="1"/>
  <c r="F354" i="1"/>
  <c r="E354" i="1"/>
  <c r="D354" i="1"/>
  <c r="C354" i="1"/>
  <c r="B354" i="1"/>
  <c r="A354" i="1"/>
  <c r="O353" i="1"/>
  <c r="L353" i="1"/>
  <c r="K353" i="1"/>
  <c r="J353" i="1"/>
  <c r="I353" i="1"/>
  <c r="H353" i="1"/>
  <c r="G353" i="1"/>
  <c r="F353" i="1"/>
  <c r="E353" i="1"/>
  <c r="D353" i="1"/>
  <c r="C353" i="1"/>
  <c r="B353" i="1"/>
  <c r="A353" i="1"/>
  <c r="O352" i="1"/>
  <c r="L352" i="1"/>
  <c r="K352" i="1"/>
  <c r="J352" i="1"/>
  <c r="I352" i="1"/>
  <c r="H352" i="1"/>
  <c r="G352" i="1"/>
  <c r="F352" i="1"/>
  <c r="E352" i="1"/>
  <c r="D352" i="1"/>
  <c r="C352" i="1"/>
  <c r="B352" i="1"/>
  <c r="A352" i="1"/>
  <c r="O351" i="1"/>
  <c r="L351" i="1"/>
  <c r="K351" i="1"/>
  <c r="J351" i="1"/>
  <c r="I351" i="1"/>
  <c r="H351" i="1"/>
  <c r="G351" i="1"/>
  <c r="F351" i="1"/>
  <c r="E351" i="1"/>
  <c r="D351" i="1"/>
  <c r="C351" i="1"/>
  <c r="B351" i="1"/>
  <c r="A351" i="1"/>
  <c r="O350" i="1"/>
  <c r="L350" i="1"/>
  <c r="K350" i="1"/>
  <c r="J350" i="1"/>
  <c r="I350" i="1"/>
  <c r="H350" i="1"/>
  <c r="G350" i="1"/>
  <c r="F350" i="1"/>
  <c r="E350" i="1"/>
  <c r="D350" i="1"/>
  <c r="C350" i="1"/>
  <c r="B350" i="1"/>
  <c r="A350" i="1"/>
  <c r="O349" i="1"/>
  <c r="L349" i="1"/>
  <c r="K349" i="1"/>
  <c r="J349" i="1"/>
  <c r="I349" i="1"/>
  <c r="H349" i="1"/>
  <c r="G349" i="1"/>
  <c r="F349" i="1"/>
  <c r="E349" i="1"/>
  <c r="D349" i="1"/>
  <c r="C349" i="1"/>
  <c r="B349" i="1"/>
  <c r="A349" i="1"/>
  <c r="O348" i="1"/>
  <c r="L348" i="1"/>
  <c r="K348" i="1"/>
  <c r="J348" i="1"/>
  <c r="I348" i="1"/>
  <c r="H348" i="1"/>
  <c r="G348" i="1"/>
  <c r="F348" i="1"/>
  <c r="E348" i="1"/>
  <c r="D348" i="1"/>
  <c r="C348" i="1"/>
  <c r="B348" i="1"/>
  <c r="A348" i="1"/>
  <c r="O347" i="1"/>
  <c r="L347" i="1"/>
  <c r="K347" i="1"/>
  <c r="J347" i="1"/>
  <c r="I347" i="1"/>
  <c r="H347" i="1"/>
  <c r="G347" i="1"/>
  <c r="F347" i="1"/>
  <c r="E347" i="1"/>
  <c r="D347" i="1"/>
  <c r="C347" i="1"/>
  <c r="B347" i="1"/>
  <c r="A347" i="1"/>
  <c r="O346" i="1"/>
  <c r="L346" i="1"/>
  <c r="K346" i="1"/>
  <c r="J346" i="1"/>
  <c r="I346" i="1"/>
  <c r="H346" i="1"/>
  <c r="G346" i="1"/>
  <c r="F346" i="1"/>
  <c r="E346" i="1"/>
  <c r="D346" i="1"/>
  <c r="C346" i="1"/>
  <c r="B346" i="1"/>
  <c r="A346" i="1"/>
  <c r="O345" i="1"/>
  <c r="L345" i="1"/>
  <c r="K345" i="1"/>
  <c r="J345" i="1"/>
  <c r="I345" i="1"/>
  <c r="H345" i="1"/>
  <c r="G345" i="1"/>
  <c r="F345" i="1"/>
  <c r="E345" i="1"/>
  <c r="D345" i="1"/>
  <c r="C345" i="1"/>
  <c r="B345" i="1"/>
  <c r="A345" i="1"/>
  <c r="O344" i="1"/>
  <c r="L344" i="1"/>
  <c r="K344" i="1"/>
  <c r="J344" i="1"/>
  <c r="I344" i="1"/>
  <c r="H344" i="1"/>
  <c r="G344" i="1"/>
  <c r="F344" i="1"/>
  <c r="E344" i="1"/>
  <c r="D344" i="1"/>
  <c r="C344" i="1"/>
  <c r="B344" i="1"/>
  <c r="A344" i="1"/>
  <c r="O343" i="1"/>
  <c r="L343" i="1"/>
  <c r="K343" i="1"/>
  <c r="J343" i="1"/>
  <c r="I343" i="1"/>
  <c r="H343" i="1"/>
  <c r="G343" i="1"/>
  <c r="F343" i="1"/>
  <c r="E343" i="1"/>
  <c r="D343" i="1"/>
  <c r="C343" i="1"/>
  <c r="B343" i="1"/>
  <c r="A343" i="1"/>
  <c r="O342" i="1"/>
  <c r="L342" i="1"/>
  <c r="K342" i="1"/>
  <c r="J342" i="1"/>
  <c r="I342" i="1"/>
  <c r="H342" i="1"/>
  <c r="G342" i="1"/>
  <c r="F342" i="1"/>
  <c r="E342" i="1"/>
  <c r="D342" i="1"/>
  <c r="C342" i="1"/>
  <c r="B342" i="1"/>
  <c r="A342" i="1"/>
  <c r="O341" i="1"/>
  <c r="L341" i="1"/>
  <c r="K341" i="1"/>
  <c r="J341" i="1"/>
  <c r="I341" i="1"/>
  <c r="H341" i="1"/>
  <c r="G341" i="1"/>
  <c r="F341" i="1"/>
  <c r="E341" i="1"/>
  <c r="D341" i="1"/>
  <c r="C341" i="1"/>
  <c r="B341" i="1"/>
  <c r="A341" i="1"/>
  <c r="O340" i="1"/>
  <c r="L340" i="1"/>
  <c r="K340" i="1"/>
  <c r="J340" i="1"/>
  <c r="I340" i="1"/>
  <c r="H340" i="1"/>
  <c r="G340" i="1"/>
  <c r="F340" i="1"/>
  <c r="E340" i="1"/>
  <c r="D340" i="1"/>
  <c r="C340" i="1"/>
  <c r="B340" i="1"/>
  <c r="A340" i="1"/>
  <c r="O339" i="1"/>
  <c r="L339" i="1"/>
  <c r="K339" i="1"/>
  <c r="J339" i="1"/>
  <c r="I339" i="1"/>
  <c r="H339" i="1"/>
  <c r="G339" i="1"/>
  <c r="F339" i="1"/>
  <c r="E339" i="1"/>
  <c r="D339" i="1"/>
  <c r="C339" i="1"/>
  <c r="B339" i="1"/>
  <c r="A339" i="1"/>
  <c r="O338" i="1"/>
  <c r="L338" i="1"/>
  <c r="K338" i="1"/>
  <c r="J338" i="1"/>
  <c r="I338" i="1"/>
  <c r="H338" i="1"/>
  <c r="G338" i="1"/>
  <c r="F338" i="1"/>
  <c r="E338" i="1"/>
  <c r="D338" i="1"/>
  <c r="C338" i="1"/>
  <c r="B338" i="1"/>
  <c r="A338" i="1"/>
  <c r="O337" i="1"/>
  <c r="L337" i="1"/>
  <c r="K337" i="1"/>
  <c r="J337" i="1"/>
  <c r="I337" i="1"/>
  <c r="H337" i="1"/>
  <c r="G337" i="1"/>
  <c r="F337" i="1"/>
  <c r="E337" i="1"/>
  <c r="D337" i="1"/>
  <c r="C337" i="1"/>
  <c r="B337" i="1"/>
  <c r="A337" i="1"/>
  <c r="O336" i="1"/>
  <c r="L336" i="1"/>
  <c r="K336" i="1"/>
  <c r="J336" i="1"/>
  <c r="I336" i="1"/>
  <c r="H336" i="1"/>
  <c r="G336" i="1"/>
  <c r="F336" i="1"/>
  <c r="E336" i="1"/>
  <c r="D336" i="1"/>
  <c r="C336" i="1"/>
  <c r="B336" i="1"/>
  <c r="A336" i="1"/>
  <c r="O335" i="1"/>
  <c r="L335" i="1"/>
  <c r="K335" i="1"/>
  <c r="J335" i="1"/>
  <c r="I335" i="1"/>
  <c r="H335" i="1"/>
  <c r="G335" i="1"/>
  <c r="F335" i="1"/>
  <c r="E335" i="1"/>
  <c r="D335" i="1"/>
  <c r="C335" i="1"/>
  <c r="B335" i="1"/>
  <c r="A335" i="1"/>
  <c r="O334" i="1"/>
  <c r="L334" i="1"/>
  <c r="K334" i="1"/>
  <c r="J334" i="1"/>
  <c r="I334" i="1"/>
  <c r="H334" i="1"/>
  <c r="G334" i="1"/>
  <c r="F334" i="1"/>
  <c r="E334" i="1"/>
  <c r="D334" i="1"/>
  <c r="C334" i="1"/>
  <c r="B334" i="1"/>
  <c r="A334" i="1"/>
  <c r="O333" i="1"/>
  <c r="L333" i="1"/>
  <c r="K333" i="1"/>
  <c r="J333" i="1"/>
  <c r="I333" i="1"/>
  <c r="H333" i="1"/>
  <c r="G333" i="1"/>
  <c r="F333" i="1"/>
  <c r="E333" i="1"/>
  <c r="D333" i="1"/>
  <c r="C333" i="1"/>
  <c r="B333" i="1"/>
  <c r="A333" i="1"/>
  <c r="O332" i="1"/>
  <c r="L332" i="1"/>
  <c r="K332" i="1"/>
  <c r="J332" i="1"/>
  <c r="I332" i="1"/>
  <c r="H332" i="1"/>
  <c r="G332" i="1"/>
  <c r="F332" i="1"/>
  <c r="E332" i="1"/>
  <c r="D332" i="1"/>
  <c r="C332" i="1"/>
  <c r="B332" i="1"/>
  <c r="A332" i="1"/>
  <c r="O331" i="1"/>
  <c r="L331" i="1"/>
  <c r="K331" i="1"/>
  <c r="J331" i="1"/>
  <c r="I331" i="1"/>
  <c r="H331" i="1"/>
  <c r="G331" i="1"/>
  <c r="F331" i="1"/>
  <c r="E331" i="1"/>
  <c r="D331" i="1"/>
  <c r="C331" i="1"/>
  <c r="B331" i="1"/>
  <c r="A331" i="1"/>
  <c r="O330" i="1"/>
  <c r="L330" i="1"/>
  <c r="K330" i="1"/>
  <c r="J330" i="1"/>
  <c r="I330" i="1"/>
  <c r="H330" i="1"/>
  <c r="G330" i="1"/>
  <c r="F330" i="1"/>
  <c r="E330" i="1"/>
  <c r="D330" i="1"/>
  <c r="C330" i="1"/>
  <c r="B330" i="1"/>
  <c r="A330" i="1"/>
  <c r="O329" i="1"/>
  <c r="L329" i="1"/>
  <c r="K329" i="1"/>
  <c r="J329" i="1"/>
  <c r="I329" i="1"/>
  <c r="H329" i="1"/>
  <c r="G329" i="1"/>
  <c r="F329" i="1"/>
  <c r="E329" i="1"/>
  <c r="D329" i="1"/>
  <c r="C329" i="1"/>
  <c r="B329" i="1"/>
  <c r="A329" i="1"/>
  <c r="O328" i="1"/>
  <c r="L328" i="1"/>
  <c r="K328" i="1"/>
  <c r="J328" i="1"/>
  <c r="I328" i="1"/>
  <c r="H328" i="1"/>
  <c r="G328" i="1"/>
  <c r="F328" i="1"/>
  <c r="E328" i="1"/>
  <c r="D328" i="1"/>
  <c r="C328" i="1"/>
  <c r="B328" i="1"/>
  <c r="A328" i="1"/>
  <c r="O327" i="1"/>
  <c r="L327" i="1"/>
  <c r="K327" i="1"/>
  <c r="J327" i="1"/>
  <c r="I327" i="1"/>
  <c r="H327" i="1"/>
  <c r="G327" i="1"/>
  <c r="F327" i="1"/>
  <c r="E327" i="1"/>
  <c r="D327" i="1"/>
  <c r="C327" i="1"/>
  <c r="B327" i="1"/>
  <c r="A327" i="1"/>
  <c r="O326" i="1"/>
  <c r="L326" i="1"/>
  <c r="K326" i="1"/>
  <c r="J326" i="1"/>
  <c r="I326" i="1"/>
  <c r="H326" i="1"/>
  <c r="G326" i="1"/>
  <c r="F326" i="1"/>
  <c r="E326" i="1"/>
  <c r="D326" i="1"/>
  <c r="C326" i="1"/>
  <c r="B326" i="1"/>
  <c r="A326" i="1"/>
  <c r="O325" i="1"/>
  <c r="L325" i="1"/>
  <c r="K325" i="1"/>
  <c r="J325" i="1"/>
  <c r="I325" i="1"/>
  <c r="H325" i="1"/>
  <c r="G325" i="1"/>
  <c r="F325" i="1"/>
  <c r="E325" i="1"/>
  <c r="D325" i="1"/>
  <c r="C325" i="1"/>
  <c r="B325" i="1"/>
  <c r="A325" i="1"/>
  <c r="O324" i="1"/>
  <c r="L324" i="1"/>
  <c r="K324" i="1"/>
  <c r="J324" i="1"/>
  <c r="I324" i="1"/>
  <c r="H324" i="1"/>
  <c r="G324" i="1"/>
  <c r="F324" i="1"/>
  <c r="E324" i="1"/>
  <c r="D324" i="1"/>
  <c r="C324" i="1"/>
  <c r="B324" i="1"/>
  <c r="A324" i="1"/>
  <c r="O323" i="1"/>
  <c r="L323" i="1"/>
  <c r="K323" i="1"/>
  <c r="J323" i="1"/>
  <c r="I323" i="1"/>
  <c r="H323" i="1"/>
  <c r="G323" i="1"/>
  <c r="F323" i="1"/>
  <c r="E323" i="1"/>
  <c r="D323" i="1"/>
  <c r="C323" i="1"/>
  <c r="B323" i="1"/>
  <c r="A323" i="1"/>
  <c r="O322" i="1"/>
  <c r="L322" i="1"/>
  <c r="K322" i="1"/>
  <c r="J322" i="1"/>
  <c r="I322" i="1"/>
  <c r="H322" i="1"/>
  <c r="G322" i="1"/>
  <c r="F322" i="1"/>
  <c r="E322" i="1"/>
  <c r="D322" i="1"/>
  <c r="C322" i="1"/>
  <c r="B322" i="1"/>
  <c r="A322" i="1"/>
  <c r="O321" i="1"/>
  <c r="L321" i="1"/>
  <c r="K321" i="1"/>
  <c r="J321" i="1"/>
  <c r="I321" i="1"/>
  <c r="H321" i="1"/>
  <c r="G321" i="1"/>
  <c r="F321" i="1"/>
  <c r="E321" i="1"/>
  <c r="D321" i="1"/>
  <c r="C321" i="1"/>
  <c r="B321" i="1"/>
  <c r="A321" i="1"/>
  <c r="O320" i="1"/>
  <c r="L320" i="1"/>
  <c r="K320" i="1"/>
  <c r="J320" i="1"/>
  <c r="I320" i="1"/>
  <c r="H320" i="1"/>
  <c r="G320" i="1"/>
  <c r="F320" i="1"/>
  <c r="E320" i="1"/>
  <c r="D320" i="1"/>
  <c r="C320" i="1"/>
  <c r="B320" i="1"/>
  <c r="A320" i="1"/>
  <c r="O319" i="1"/>
  <c r="L319" i="1"/>
  <c r="K319" i="1"/>
  <c r="J319" i="1"/>
  <c r="I319" i="1"/>
  <c r="H319" i="1"/>
  <c r="G319" i="1"/>
  <c r="F319" i="1"/>
  <c r="E319" i="1"/>
  <c r="D319" i="1"/>
  <c r="C319" i="1"/>
  <c r="B319" i="1"/>
  <c r="A319" i="1"/>
  <c r="O318" i="1"/>
  <c r="L318" i="1"/>
  <c r="K318" i="1"/>
  <c r="J318" i="1"/>
  <c r="I318" i="1"/>
  <c r="H318" i="1"/>
  <c r="G318" i="1"/>
  <c r="F318" i="1"/>
  <c r="E318" i="1"/>
  <c r="D318" i="1"/>
  <c r="C318" i="1"/>
  <c r="B318" i="1"/>
  <c r="A318" i="1"/>
  <c r="O317" i="1"/>
  <c r="L317" i="1"/>
  <c r="K317" i="1"/>
  <c r="J317" i="1"/>
  <c r="I317" i="1"/>
  <c r="H317" i="1"/>
  <c r="G317" i="1"/>
  <c r="F317" i="1"/>
  <c r="E317" i="1"/>
  <c r="D317" i="1"/>
  <c r="C317" i="1"/>
  <c r="B317" i="1"/>
  <c r="A317" i="1"/>
  <c r="O316" i="1"/>
  <c r="L316" i="1"/>
  <c r="K316" i="1"/>
  <c r="J316" i="1"/>
  <c r="I316" i="1"/>
  <c r="H316" i="1"/>
  <c r="G316" i="1"/>
  <c r="F316" i="1"/>
  <c r="E316" i="1"/>
  <c r="D316" i="1"/>
  <c r="C316" i="1"/>
  <c r="B316" i="1"/>
  <c r="A316" i="1"/>
  <c r="O315" i="1"/>
  <c r="L315" i="1"/>
  <c r="K315" i="1"/>
  <c r="J315" i="1"/>
  <c r="I315" i="1"/>
  <c r="H315" i="1"/>
  <c r="G315" i="1"/>
  <c r="F315" i="1"/>
  <c r="E315" i="1"/>
  <c r="D315" i="1"/>
  <c r="C315" i="1"/>
  <c r="B315" i="1"/>
  <c r="A315" i="1"/>
  <c r="O314" i="1"/>
  <c r="L314" i="1"/>
  <c r="K314" i="1"/>
  <c r="J314" i="1"/>
  <c r="I314" i="1"/>
  <c r="H314" i="1"/>
  <c r="G314" i="1"/>
  <c r="F314" i="1"/>
  <c r="E314" i="1"/>
  <c r="D314" i="1"/>
  <c r="C314" i="1"/>
  <c r="B314" i="1"/>
  <c r="A314" i="1"/>
  <c r="O313" i="1"/>
  <c r="L313" i="1"/>
  <c r="K313" i="1"/>
  <c r="J313" i="1"/>
  <c r="I313" i="1"/>
  <c r="H313" i="1"/>
  <c r="G313" i="1"/>
  <c r="F313" i="1"/>
  <c r="E313" i="1"/>
  <c r="D313" i="1"/>
  <c r="C313" i="1"/>
  <c r="B313" i="1"/>
  <c r="A313" i="1"/>
  <c r="O312" i="1"/>
  <c r="L312" i="1"/>
  <c r="K312" i="1"/>
  <c r="J312" i="1"/>
  <c r="I312" i="1"/>
  <c r="H312" i="1"/>
  <c r="G312" i="1"/>
  <c r="F312" i="1"/>
  <c r="E312" i="1"/>
  <c r="D312" i="1"/>
  <c r="C312" i="1"/>
  <c r="B312" i="1"/>
  <c r="A312" i="1"/>
  <c r="O311" i="1"/>
  <c r="L311" i="1"/>
  <c r="K311" i="1"/>
  <c r="J311" i="1"/>
  <c r="I311" i="1"/>
  <c r="H311" i="1"/>
  <c r="G311" i="1"/>
  <c r="F311" i="1"/>
  <c r="E311" i="1"/>
  <c r="D311" i="1"/>
  <c r="C311" i="1"/>
  <c r="B311" i="1"/>
  <c r="A311" i="1"/>
  <c r="O310" i="1"/>
  <c r="L310" i="1"/>
  <c r="K310" i="1"/>
  <c r="J310" i="1"/>
  <c r="I310" i="1"/>
  <c r="H310" i="1"/>
  <c r="G310" i="1"/>
  <c r="F310" i="1"/>
  <c r="E310" i="1"/>
  <c r="D310" i="1"/>
  <c r="C310" i="1"/>
  <c r="B310" i="1"/>
  <c r="A310" i="1"/>
  <c r="O309" i="1"/>
  <c r="L309" i="1"/>
  <c r="K309" i="1"/>
  <c r="J309" i="1"/>
  <c r="I309" i="1"/>
  <c r="H309" i="1"/>
  <c r="G309" i="1"/>
  <c r="F309" i="1"/>
  <c r="E309" i="1"/>
  <c r="D309" i="1"/>
  <c r="C309" i="1"/>
  <c r="B309" i="1"/>
  <c r="A309" i="1"/>
  <c r="P308" i="1"/>
  <c r="O308" i="1"/>
  <c r="L308" i="1"/>
  <c r="K308" i="1"/>
  <c r="J308" i="1"/>
  <c r="I308" i="1"/>
  <c r="H308" i="1"/>
  <c r="G308" i="1"/>
  <c r="F308" i="1"/>
  <c r="E308" i="1"/>
  <c r="D308" i="1"/>
  <c r="C308" i="1"/>
  <c r="B308" i="1"/>
  <c r="A308" i="1"/>
  <c r="P307" i="1"/>
  <c r="O307" i="1"/>
  <c r="L307" i="1"/>
  <c r="K307" i="1"/>
  <c r="J307" i="1"/>
  <c r="I307" i="1"/>
  <c r="H307" i="1"/>
  <c r="G307" i="1"/>
  <c r="F307" i="1"/>
  <c r="E307" i="1"/>
  <c r="D307" i="1"/>
  <c r="C307" i="1"/>
  <c r="B307" i="1"/>
  <c r="A307" i="1"/>
  <c r="O306" i="1"/>
  <c r="L306" i="1"/>
  <c r="K306" i="1"/>
  <c r="J306" i="1"/>
  <c r="I306" i="1"/>
  <c r="H306" i="1"/>
  <c r="G306" i="1"/>
  <c r="F306" i="1"/>
  <c r="E306" i="1"/>
  <c r="D306" i="1"/>
  <c r="C306" i="1"/>
  <c r="B306" i="1"/>
  <c r="A306" i="1"/>
  <c r="O305" i="1"/>
  <c r="L305" i="1"/>
  <c r="K305" i="1"/>
  <c r="J305" i="1"/>
  <c r="I305" i="1"/>
  <c r="H305" i="1"/>
  <c r="G305" i="1"/>
  <c r="F305" i="1"/>
  <c r="E305" i="1"/>
  <c r="D305" i="1"/>
  <c r="C305" i="1"/>
  <c r="B305" i="1"/>
  <c r="A305" i="1"/>
  <c r="O304" i="1"/>
  <c r="L304" i="1"/>
  <c r="K304" i="1"/>
  <c r="J304" i="1"/>
  <c r="I304" i="1"/>
  <c r="H304" i="1"/>
  <c r="G304" i="1"/>
  <c r="F304" i="1"/>
  <c r="E304" i="1"/>
  <c r="D304" i="1"/>
  <c r="C304" i="1"/>
  <c r="B304" i="1"/>
  <c r="A304" i="1"/>
  <c r="O303" i="1"/>
  <c r="L303" i="1"/>
  <c r="K303" i="1"/>
  <c r="J303" i="1"/>
  <c r="I303" i="1"/>
  <c r="H303" i="1"/>
  <c r="G303" i="1"/>
  <c r="F303" i="1"/>
  <c r="E303" i="1"/>
  <c r="D303" i="1"/>
  <c r="C303" i="1"/>
  <c r="B303" i="1"/>
  <c r="A303" i="1"/>
  <c r="O302" i="1"/>
  <c r="L302" i="1"/>
  <c r="K302" i="1"/>
  <c r="J302" i="1"/>
  <c r="I302" i="1"/>
  <c r="H302" i="1"/>
  <c r="G302" i="1"/>
  <c r="F302" i="1"/>
  <c r="E302" i="1"/>
  <c r="D302" i="1"/>
  <c r="C302" i="1"/>
  <c r="B302" i="1"/>
  <c r="A302" i="1"/>
  <c r="O301" i="1"/>
  <c r="L301" i="1"/>
  <c r="K301" i="1"/>
  <c r="J301" i="1"/>
  <c r="I301" i="1"/>
  <c r="H301" i="1"/>
  <c r="G301" i="1"/>
  <c r="F301" i="1"/>
  <c r="E301" i="1"/>
  <c r="D301" i="1"/>
  <c r="C301" i="1"/>
  <c r="B301" i="1"/>
  <c r="A301" i="1"/>
  <c r="P300" i="1"/>
  <c r="O300" i="1"/>
  <c r="L300" i="1"/>
  <c r="K300" i="1"/>
  <c r="J300" i="1"/>
  <c r="I300" i="1"/>
  <c r="H300" i="1"/>
  <c r="G300" i="1"/>
  <c r="F300" i="1"/>
  <c r="E300" i="1"/>
  <c r="D300" i="1"/>
  <c r="C300" i="1"/>
  <c r="B300" i="1"/>
  <c r="A300" i="1"/>
  <c r="P299" i="1"/>
  <c r="O299" i="1"/>
  <c r="L299" i="1"/>
  <c r="K299" i="1"/>
  <c r="J299" i="1"/>
  <c r="I299" i="1"/>
  <c r="H299" i="1"/>
  <c r="G299" i="1"/>
  <c r="F299" i="1"/>
  <c r="E299" i="1"/>
  <c r="D299" i="1"/>
  <c r="C299" i="1"/>
  <c r="B299" i="1"/>
  <c r="A299" i="1"/>
  <c r="O298" i="1"/>
  <c r="L298" i="1"/>
  <c r="K298" i="1"/>
  <c r="J298" i="1"/>
  <c r="I298" i="1"/>
  <c r="H298" i="1"/>
  <c r="G298" i="1"/>
  <c r="F298" i="1"/>
  <c r="E298" i="1"/>
  <c r="D298" i="1"/>
  <c r="C298" i="1"/>
  <c r="B298" i="1"/>
  <c r="A298" i="1"/>
  <c r="O297" i="1"/>
  <c r="L297" i="1"/>
  <c r="K297" i="1"/>
  <c r="J297" i="1"/>
  <c r="I297" i="1"/>
  <c r="H297" i="1"/>
  <c r="G297" i="1"/>
  <c r="F297" i="1"/>
  <c r="E297" i="1"/>
  <c r="D297" i="1"/>
  <c r="C297" i="1"/>
  <c r="B297" i="1"/>
  <c r="A297" i="1"/>
  <c r="P296" i="1"/>
  <c r="O296" i="1"/>
  <c r="L296" i="1"/>
  <c r="K296" i="1"/>
  <c r="J296" i="1"/>
  <c r="I296" i="1"/>
  <c r="H296" i="1"/>
  <c r="G296" i="1"/>
  <c r="F296" i="1"/>
  <c r="E296" i="1"/>
  <c r="D296" i="1"/>
  <c r="C296" i="1"/>
  <c r="B296" i="1"/>
  <c r="A296" i="1"/>
  <c r="O295" i="1"/>
  <c r="L295" i="1"/>
  <c r="K295" i="1"/>
  <c r="J295" i="1"/>
  <c r="I295" i="1"/>
  <c r="H295" i="1"/>
  <c r="G295" i="1"/>
  <c r="F295" i="1"/>
  <c r="E295" i="1"/>
  <c r="D295" i="1"/>
  <c r="C295" i="1"/>
  <c r="B295" i="1"/>
  <c r="A295" i="1"/>
  <c r="O294" i="1"/>
  <c r="L294" i="1"/>
  <c r="K294" i="1"/>
  <c r="J294" i="1"/>
  <c r="I294" i="1"/>
  <c r="H294" i="1"/>
  <c r="G294" i="1"/>
  <c r="F294" i="1"/>
  <c r="E294" i="1"/>
  <c r="D294" i="1"/>
  <c r="C294" i="1"/>
  <c r="B294" i="1"/>
  <c r="A294" i="1"/>
  <c r="O293" i="1"/>
  <c r="L293" i="1"/>
  <c r="K293" i="1"/>
  <c r="J293" i="1"/>
  <c r="I293" i="1"/>
  <c r="H293" i="1"/>
  <c r="G293" i="1"/>
  <c r="F293" i="1"/>
  <c r="E293" i="1"/>
  <c r="D293" i="1"/>
  <c r="C293" i="1"/>
  <c r="B293" i="1"/>
  <c r="A293" i="1"/>
  <c r="O292" i="1"/>
  <c r="L292" i="1"/>
  <c r="K292" i="1"/>
  <c r="J292" i="1"/>
  <c r="I292" i="1"/>
  <c r="H292" i="1"/>
  <c r="G292" i="1"/>
  <c r="F292" i="1"/>
  <c r="E292" i="1"/>
  <c r="D292" i="1"/>
  <c r="C292" i="1"/>
  <c r="B292" i="1"/>
  <c r="A292" i="1"/>
  <c r="O291" i="1"/>
  <c r="L291" i="1"/>
  <c r="K291" i="1"/>
  <c r="J291" i="1"/>
  <c r="I291" i="1"/>
  <c r="H291" i="1"/>
  <c r="G291" i="1"/>
  <c r="F291" i="1"/>
  <c r="E291" i="1"/>
  <c r="D291" i="1"/>
  <c r="C291" i="1"/>
  <c r="B291" i="1"/>
  <c r="A291" i="1"/>
  <c r="O290" i="1"/>
  <c r="L290" i="1"/>
  <c r="K290" i="1"/>
  <c r="J290" i="1"/>
  <c r="I290" i="1"/>
  <c r="H290" i="1"/>
  <c r="G290" i="1"/>
  <c r="F290" i="1"/>
  <c r="E290" i="1"/>
  <c r="D290" i="1"/>
  <c r="C290" i="1"/>
  <c r="B290" i="1"/>
  <c r="A290" i="1"/>
  <c r="O289" i="1"/>
  <c r="L289" i="1"/>
  <c r="K289" i="1"/>
  <c r="J289" i="1"/>
  <c r="I289" i="1"/>
  <c r="H289" i="1"/>
  <c r="G289" i="1"/>
  <c r="F289" i="1"/>
  <c r="E289" i="1"/>
  <c r="D289" i="1"/>
  <c r="C289" i="1"/>
  <c r="B289" i="1"/>
  <c r="A289" i="1"/>
  <c r="O288" i="1"/>
  <c r="L288" i="1"/>
  <c r="K288" i="1"/>
  <c r="J288" i="1"/>
  <c r="I288" i="1"/>
  <c r="H288" i="1"/>
  <c r="G288" i="1"/>
  <c r="F288" i="1"/>
  <c r="E288" i="1"/>
  <c r="D288" i="1"/>
  <c r="C288" i="1"/>
  <c r="B288" i="1"/>
  <c r="A288" i="1"/>
  <c r="O287" i="1"/>
  <c r="L287" i="1"/>
  <c r="K287" i="1"/>
  <c r="J287" i="1"/>
  <c r="I287" i="1"/>
  <c r="H287" i="1"/>
  <c r="G287" i="1"/>
  <c r="F287" i="1"/>
  <c r="E287" i="1"/>
  <c r="D287" i="1"/>
  <c r="C287" i="1"/>
  <c r="B287" i="1"/>
  <c r="A287" i="1"/>
  <c r="O286" i="1"/>
  <c r="L286" i="1"/>
  <c r="K286" i="1"/>
  <c r="J286" i="1"/>
  <c r="I286" i="1"/>
  <c r="H286" i="1"/>
  <c r="G286" i="1"/>
  <c r="F286" i="1"/>
  <c r="E286" i="1"/>
  <c r="D286" i="1"/>
  <c r="C286" i="1"/>
  <c r="B286" i="1"/>
  <c r="A286" i="1"/>
  <c r="P285" i="1"/>
  <c r="O285" i="1"/>
  <c r="L285" i="1"/>
  <c r="K285" i="1"/>
  <c r="J285" i="1"/>
  <c r="I285" i="1"/>
  <c r="H285" i="1"/>
  <c r="G285" i="1"/>
  <c r="F285" i="1"/>
  <c r="E285" i="1"/>
  <c r="D285" i="1"/>
  <c r="C285" i="1"/>
  <c r="B285" i="1"/>
  <c r="A285" i="1"/>
  <c r="O284" i="1"/>
  <c r="L284" i="1"/>
  <c r="K284" i="1"/>
  <c r="J284" i="1"/>
  <c r="I284" i="1"/>
  <c r="H284" i="1"/>
  <c r="G284" i="1"/>
  <c r="F284" i="1"/>
  <c r="E284" i="1"/>
  <c r="D284" i="1"/>
  <c r="C284" i="1"/>
  <c r="B284" i="1"/>
  <c r="A284" i="1"/>
  <c r="O283" i="1"/>
  <c r="L283" i="1"/>
  <c r="K283" i="1"/>
  <c r="J283" i="1"/>
  <c r="I283" i="1"/>
  <c r="H283" i="1"/>
  <c r="G283" i="1"/>
  <c r="F283" i="1"/>
  <c r="E283" i="1"/>
  <c r="D283" i="1"/>
  <c r="C283" i="1"/>
  <c r="B283" i="1"/>
  <c r="A283" i="1"/>
  <c r="O282" i="1"/>
  <c r="L282" i="1"/>
  <c r="K282" i="1"/>
  <c r="J282" i="1"/>
  <c r="I282" i="1"/>
  <c r="H282" i="1"/>
  <c r="G282" i="1"/>
  <c r="F282" i="1"/>
  <c r="E282" i="1"/>
  <c r="D282" i="1"/>
  <c r="C282" i="1"/>
  <c r="B282" i="1"/>
  <c r="A282" i="1"/>
  <c r="P281" i="1"/>
  <c r="O281" i="1"/>
  <c r="L281" i="1"/>
  <c r="K281" i="1"/>
  <c r="J281" i="1"/>
  <c r="I281" i="1"/>
  <c r="H281" i="1"/>
  <c r="G281" i="1"/>
  <c r="F281" i="1"/>
  <c r="E281" i="1"/>
  <c r="D281" i="1"/>
  <c r="C281" i="1"/>
  <c r="B281" i="1"/>
  <c r="A281" i="1"/>
  <c r="O280" i="1"/>
  <c r="L280" i="1"/>
  <c r="K280" i="1"/>
  <c r="J280" i="1"/>
  <c r="I280" i="1"/>
  <c r="H280" i="1"/>
  <c r="G280" i="1"/>
  <c r="F280" i="1"/>
  <c r="E280" i="1"/>
  <c r="D280" i="1"/>
  <c r="C280" i="1"/>
  <c r="B280" i="1"/>
  <c r="A280" i="1"/>
  <c r="P279" i="1"/>
  <c r="O279" i="1"/>
  <c r="L279" i="1"/>
  <c r="K279" i="1"/>
  <c r="J279" i="1"/>
  <c r="I279" i="1"/>
  <c r="H279" i="1"/>
  <c r="G279" i="1"/>
  <c r="F279" i="1"/>
  <c r="E279" i="1"/>
  <c r="D279" i="1"/>
  <c r="C279" i="1"/>
  <c r="B279" i="1"/>
  <c r="A279" i="1"/>
  <c r="O278" i="1"/>
  <c r="L278" i="1"/>
  <c r="K278" i="1"/>
  <c r="J278" i="1"/>
  <c r="I278" i="1"/>
  <c r="H278" i="1"/>
  <c r="G278" i="1"/>
  <c r="F278" i="1"/>
  <c r="E278" i="1"/>
  <c r="D278" i="1"/>
  <c r="C278" i="1"/>
  <c r="B278" i="1"/>
  <c r="A278" i="1"/>
  <c r="O277" i="1"/>
  <c r="L277" i="1"/>
  <c r="K277" i="1"/>
  <c r="J277" i="1"/>
  <c r="I277" i="1"/>
  <c r="H277" i="1"/>
  <c r="G277" i="1"/>
  <c r="F277" i="1"/>
  <c r="E277" i="1"/>
  <c r="D277" i="1"/>
  <c r="C277" i="1"/>
  <c r="B277" i="1"/>
  <c r="A277" i="1"/>
  <c r="O276" i="1"/>
  <c r="L276" i="1"/>
  <c r="K276" i="1"/>
  <c r="J276" i="1"/>
  <c r="I276" i="1"/>
  <c r="H276" i="1"/>
  <c r="G276" i="1"/>
  <c r="F276" i="1"/>
  <c r="E276" i="1"/>
  <c r="D276" i="1"/>
  <c r="C276" i="1"/>
  <c r="B276" i="1"/>
  <c r="A276" i="1"/>
  <c r="O275" i="1"/>
  <c r="L275" i="1"/>
  <c r="K275" i="1"/>
  <c r="J275" i="1"/>
  <c r="I275" i="1"/>
  <c r="H275" i="1"/>
  <c r="G275" i="1"/>
  <c r="F275" i="1"/>
  <c r="E275" i="1"/>
  <c r="D275" i="1"/>
  <c r="C275" i="1"/>
  <c r="B275" i="1"/>
  <c r="A275" i="1"/>
  <c r="O274" i="1"/>
  <c r="L274" i="1"/>
  <c r="K274" i="1"/>
  <c r="J274" i="1"/>
  <c r="I274" i="1"/>
  <c r="H274" i="1"/>
  <c r="G274" i="1"/>
  <c r="F274" i="1"/>
  <c r="E274" i="1"/>
  <c r="D274" i="1"/>
  <c r="C274" i="1"/>
  <c r="B274" i="1"/>
  <c r="A274" i="1"/>
  <c r="O273" i="1"/>
  <c r="L273" i="1"/>
  <c r="K273" i="1"/>
  <c r="J273" i="1"/>
  <c r="I273" i="1"/>
  <c r="H273" i="1"/>
  <c r="G273" i="1"/>
  <c r="F273" i="1"/>
  <c r="E273" i="1"/>
  <c r="D273" i="1"/>
  <c r="C273" i="1"/>
  <c r="B273" i="1"/>
  <c r="A273" i="1"/>
  <c r="O272" i="1"/>
  <c r="L272" i="1"/>
  <c r="K272" i="1"/>
  <c r="J272" i="1"/>
  <c r="I272" i="1"/>
  <c r="H272" i="1"/>
  <c r="G272" i="1"/>
  <c r="F272" i="1"/>
  <c r="E272" i="1"/>
  <c r="D272" i="1"/>
  <c r="C272" i="1"/>
  <c r="B272" i="1"/>
  <c r="A272" i="1"/>
  <c r="O271" i="1"/>
  <c r="L271" i="1"/>
  <c r="K271" i="1"/>
  <c r="J271" i="1"/>
  <c r="I271" i="1"/>
  <c r="H271" i="1"/>
  <c r="G271" i="1"/>
  <c r="F271" i="1"/>
  <c r="E271" i="1"/>
  <c r="D271" i="1"/>
  <c r="C271" i="1"/>
  <c r="B271" i="1"/>
  <c r="A271" i="1"/>
  <c r="P270" i="1"/>
  <c r="O270" i="1"/>
  <c r="L270" i="1"/>
  <c r="K270" i="1"/>
  <c r="J270" i="1"/>
  <c r="I270" i="1"/>
  <c r="H270" i="1"/>
  <c r="G270" i="1"/>
  <c r="F270" i="1"/>
  <c r="E270" i="1"/>
  <c r="D270" i="1"/>
  <c r="C270" i="1"/>
  <c r="B270" i="1"/>
  <c r="A270" i="1"/>
  <c r="O269" i="1"/>
  <c r="L269" i="1"/>
  <c r="K269" i="1"/>
  <c r="J269" i="1"/>
  <c r="I269" i="1"/>
  <c r="H269" i="1"/>
  <c r="G269" i="1"/>
  <c r="F269" i="1"/>
  <c r="E269" i="1"/>
  <c r="D269" i="1"/>
  <c r="C269" i="1"/>
  <c r="B269" i="1"/>
  <c r="A269" i="1"/>
  <c r="O268" i="1"/>
  <c r="L268" i="1"/>
  <c r="K268" i="1"/>
  <c r="J268" i="1"/>
  <c r="I268" i="1"/>
  <c r="H268" i="1"/>
  <c r="G268" i="1"/>
  <c r="F268" i="1"/>
  <c r="E268" i="1"/>
  <c r="D268" i="1"/>
  <c r="C268" i="1"/>
  <c r="B268" i="1"/>
  <c r="A268" i="1"/>
  <c r="O267" i="1"/>
  <c r="L267" i="1"/>
  <c r="K267" i="1"/>
  <c r="J267" i="1"/>
  <c r="I267" i="1"/>
  <c r="H267" i="1"/>
  <c r="G267" i="1"/>
  <c r="F267" i="1"/>
  <c r="E267" i="1"/>
  <c r="D267" i="1"/>
  <c r="C267" i="1"/>
  <c r="B267" i="1"/>
  <c r="A267" i="1"/>
  <c r="O266" i="1"/>
  <c r="L266" i="1"/>
  <c r="K266" i="1"/>
  <c r="J266" i="1"/>
  <c r="I266" i="1"/>
  <c r="H266" i="1"/>
  <c r="G266" i="1"/>
  <c r="F266" i="1"/>
  <c r="E266" i="1"/>
  <c r="D266" i="1"/>
  <c r="C266" i="1"/>
  <c r="B266" i="1"/>
  <c r="A266" i="1"/>
  <c r="O265" i="1"/>
  <c r="L265" i="1"/>
  <c r="K265" i="1"/>
  <c r="J265" i="1"/>
  <c r="I265" i="1"/>
  <c r="H265" i="1"/>
  <c r="G265" i="1"/>
  <c r="F265" i="1"/>
  <c r="E265" i="1"/>
  <c r="D265" i="1"/>
  <c r="C265" i="1"/>
  <c r="B265" i="1"/>
  <c r="A265" i="1"/>
  <c r="O264" i="1"/>
  <c r="L264" i="1"/>
  <c r="K264" i="1"/>
  <c r="J264" i="1"/>
  <c r="I264" i="1"/>
  <c r="H264" i="1"/>
  <c r="G264" i="1"/>
  <c r="F264" i="1"/>
  <c r="E264" i="1"/>
  <c r="D264" i="1"/>
  <c r="C264" i="1"/>
  <c r="B264" i="1"/>
  <c r="A264" i="1"/>
  <c r="O263" i="1"/>
  <c r="L263" i="1"/>
  <c r="K263" i="1"/>
  <c r="J263" i="1"/>
  <c r="I263" i="1"/>
  <c r="H263" i="1"/>
  <c r="G263" i="1"/>
  <c r="F263" i="1"/>
  <c r="E263" i="1"/>
  <c r="D263" i="1"/>
  <c r="C263" i="1"/>
  <c r="B263" i="1"/>
  <c r="A263" i="1"/>
  <c r="O262" i="1"/>
  <c r="L262" i="1"/>
  <c r="K262" i="1"/>
  <c r="J262" i="1"/>
  <c r="I262" i="1"/>
  <c r="H262" i="1"/>
  <c r="G262" i="1"/>
  <c r="F262" i="1"/>
  <c r="E262" i="1"/>
  <c r="D262" i="1"/>
  <c r="C262" i="1"/>
  <c r="B262" i="1"/>
  <c r="A262" i="1"/>
  <c r="O261" i="1"/>
  <c r="L261" i="1"/>
  <c r="K261" i="1"/>
  <c r="J261" i="1"/>
  <c r="I261" i="1"/>
  <c r="H261" i="1"/>
  <c r="G261" i="1"/>
  <c r="F261" i="1"/>
  <c r="E261" i="1"/>
  <c r="D261" i="1"/>
  <c r="C261" i="1"/>
  <c r="B261" i="1"/>
  <c r="A261" i="1"/>
  <c r="O260" i="1"/>
  <c r="L260" i="1"/>
  <c r="K260" i="1"/>
  <c r="J260" i="1"/>
  <c r="I260" i="1"/>
  <c r="H260" i="1"/>
  <c r="G260" i="1"/>
  <c r="F260" i="1"/>
  <c r="E260" i="1"/>
  <c r="D260" i="1"/>
  <c r="C260" i="1"/>
  <c r="B260" i="1"/>
  <c r="A260" i="1"/>
  <c r="O259" i="1"/>
  <c r="L259" i="1"/>
  <c r="K259" i="1"/>
  <c r="J259" i="1"/>
  <c r="I259" i="1"/>
  <c r="H259" i="1"/>
  <c r="G259" i="1"/>
  <c r="F259" i="1"/>
  <c r="E259" i="1"/>
  <c r="D259" i="1"/>
  <c r="C259" i="1"/>
  <c r="B259" i="1"/>
  <c r="A259" i="1"/>
  <c r="O258" i="1"/>
  <c r="L258" i="1"/>
  <c r="K258" i="1"/>
  <c r="J258" i="1"/>
  <c r="I258" i="1"/>
  <c r="H258" i="1"/>
  <c r="G258" i="1"/>
  <c r="F258" i="1"/>
  <c r="E258" i="1"/>
  <c r="D258" i="1"/>
  <c r="C258" i="1"/>
  <c r="B258" i="1"/>
  <c r="A258" i="1"/>
  <c r="O257" i="1"/>
  <c r="L257" i="1"/>
  <c r="K257" i="1"/>
  <c r="J257" i="1"/>
  <c r="I257" i="1"/>
  <c r="H257" i="1"/>
  <c r="G257" i="1"/>
  <c r="F257" i="1"/>
  <c r="E257" i="1"/>
  <c r="D257" i="1"/>
  <c r="C257" i="1"/>
  <c r="B257" i="1"/>
  <c r="A257" i="1"/>
  <c r="O256" i="1"/>
  <c r="L256" i="1"/>
  <c r="K256" i="1"/>
  <c r="J256" i="1"/>
  <c r="I256" i="1"/>
  <c r="H256" i="1"/>
  <c r="G256" i="1"/>
  <c r="F256" i="1"/>
  <c r="E256" i="1"/>
  <c r="D256" i="1"/>
  <c r="C256" i="1"/>
  <c r="B256" i="1"/>
  <c r="A256" i="1"/>
  <c r="P255" i="1"/>
  <c r="O255" i="1"/>
  <c r="L255" i="1"/>
  <c r="K255" i="1"/>
  <c r="J255" i="1"/>
  <c r="I255" i="1"/>
  <c r="H255" i="1"/>
  <c r="G255" i="1"/>
  <c r="F255" i="1"/>
  <c r="E255" i="1"/>
  <c r="D255" i="1"/>
  <c r="C255" i="1"/>
  <c r="B255" i="1"/>
  <c r="A255" i="1"/>
  <c r="O254" i="1"/>
  <c r="L254" i="1"/>
  <c r="K254" i="1"/>
  <c r="J254" i="1"/>
  <c r="I254" i="1"/>
  <c r="H254" i="1"/>
  <c r="G254" i="1"/>
  <c r="F254" i="1"/>
  <c r="E254" i="1"/>
  <c r="D254" i="1"/>
  <c r="C254" i="1"/>
  <c r="B254" i="1"/>
  <c r="A254" i="1"/>
  <c r="O253" i="1"/>
  <c r="L253" i="1"/>
  <c r="K253" i="1"/>
  <c r="J253" i="1"/>
  <c r="I253" i="1"/>
  <c r="H253" i="1"/>
  <c r="G253" i="1"/>
  <c r="F253" i="1"/>
  <c r="E253" i="1"/>
  <c r="D253" i="1"/>
  <c r="C253" i="1"/>
  <c r="B253" i="1"/>
  <c r="A253" i="1"/>
  <c r="O252" i="1"/>
  <c r="L252" i="1"/>
  <c r="K252" i="1"/>
  <c r="J252" i="1"/>
  <c r="I252" i="1"/>
  <c r="H252" i="1"/>
  <c r="G252" i="1"/>
  <c r="F252" i="1"/>
  <c r="E252" i="1"/>
  <c r="D252" i="1"/>
  <c r="C252" i="1"/>
  <c r="B252" i="1"/>
  <c r="A252" i="1"/>
  <c r="O251" i="1"/>
  <c r="L251" i="1"/>
  <c r="K251" i="1"/>
  <c r="J251" i="1"/>
  <c r="I251" i="1"/>
  <c r="H251" i="1"/>
  <c r="G251" i="1"/>
  <c r="F251" i="1"/>
  <c r="E251" i="1"/>
  <c r="D251" i="1"/>
  <c r="C251" i="1"/>
  <c r="B251" i="1"/>
  <c r="A251" i="1"/>
  <c r="O250" i="1"/>
  <c r="L250" i="1"/>
  <c r="K250" i="1"/>
  <c r="J250" i="1"/>
  <c r="I250" i="1"/>
  <c r="H250" i="1"/>
  <c r="G250" i="1"/>
  <c r="F250" i="1"/>
  <c r="E250" i="1"/>
  <c r="D250" i="1"/>
  <c r="C250" i="1"/>
  <c r="B250" i="1"/>
  <c r="A250" i="1"/>
  <c r="O249" i="1"/>
  <c r="L249" i="1"/>
  <c r="K249" i="1"/>
  <c r="J249" i="1"/>
  <c r="I249" i="1"/>
  <c r="H249" i="1"/>
  <c r="G249" i="1"/>
  <c r="F249" i="1"/>
  <c r="E249" i="1"/>
  <c r="D249" i="1"/>
  <c r="C249" i="1"/>
  <c r="B249" i="1"/>
  <c r="A249" i="1"/>
  <c r="O248" i="1"/>
  <c r="L248" i="1"/>
  <c r="K248" i="1"/>
  <c r="J248" i="1"/>
  <c r="I248" i="1"/>
  <c r="H248" i="1"/>
  <c r="G248" i="1"/>
  <c r="F248" i="1"/>
  <c r="E248" i="1"/>
  <c r="D248" i="1"/>
  <c r="C248" i="1"/>
  <c r="B248" i="1"/>
  <c r="A248" i="1"/>
  <c r="O247" i="1"/>
  <c r="L247" i="1"/>
  <c r="K247" i="1"/>
  <c r="J247" i="1"/>
  <c r="I247" i="1"/>
  <c r="H247" i="1"/>
  <c r="G247" i="1"/>
  <c r="F247" i="1"/>
  <c r="E247" i="1"/>
  <c r="D247" i="1"/>
  <c r="C247" i="1"/>
  <c r="B247" i="1"/>
  <c r="A247" i="1"/>
  <c r="O246" i="1"/>
  <c r="L246" i="1"/>
  <c r="K246" i="1"/>
  <c r="J246" i="1"/>
  <c r="I246" i="1"/>
  <c r="H246" i="1"/>
  <c r="G246" i="1"/>
  <c r="F246" i="1"/>
  <c r="E246" i="1"/>
  <c r="D246" i="1"/>
  <c r="C246" i="1"/>
  <c r="B246" i="1"/>
  <c r="A246" i="1"/>
  <c r="O245" i="1"/>
  <c r="L245" i="1"/>
  <c r="K245" i="1"/>
  <c r="J245" i="1"/>
  <c r="I245" i="1"/>
  <c r="H245" i="1"/>
  <c r="G245" i="1"/>
  <c r="F245" i="1"/>
  <c r="E245" i="1"/>
  <c r="D245" i="1"/>
  <c r="C245" i="1"/>
  <c r="B245" i="1"/>
  <c r="A245" i="1"/>
  <c r="O244" i="1"/>
  <c r="L244" i="1"/>
  <c r="K244" i="1"/>
  <c r="J244" i="1"/>
  <c r="I244" i="1"/>
  <c r="H244" i="1"/>
  <c r="G244" i="1"/>
  <c r="F244" i="1"/>
  <c r="E244" i="1"/>
  <c r="D244" i="1"/>
  <c r="C244" i="1"/>
  <c r="B244" i="1"/>
  <c r="A244" i="1"/>
  <c r="O243" i="1"/>
  <c r="L243" i="1"/>
  <c r="K243" i="1"/>
  <c r="J243" i="1"/>
  <c r="I243" i="1"/>
  <c r="H243" i="1"/>
  <c r="G243" i="1"/>
  <c r="F243" i="1"/>
  <c r="E243" i="1"/>
  <c r="D243" i="1"/>
  <c r="C243" i="1"/>
  <c r="B243" i="1"/>
  <c r="A243" i="1"/>
  <c r="O242" i="1"/>
  <c r="L242" i="1"/>
  <c r="K242" i="1"/>
  <c r="J242" i="1"/>
  <c r="I242" i="1"/>
  <c r="H242" i="1"/>
  <c r="G242" i="1"/>
  <c r="F242" i="1"/>
  <c r="E242" i="1"/>
  <c r="D242" i="1"/>
  <c r="C242" i="1"/>
  <c r="B242" i="1"/>
  <c r="A242" i="1"/>
  <c r="O241" i="1"/>
  <c r="L241" i="1"/>
  <c r="K241" i="1"/>
  <c r="J241" i="1"/>
  <c r="I241" i="1"/>
  <c r="H241" i="1"/>
  <c r="G241" i="1"/>
  <c r="F241" i="1"/>
  <c r="E241" i="1"/>
  <c r="D241" i="1"/>
  <c r="C241" i="1"/>
  <c r="B241" i="1"/>
  <c r="A241" i="1"/>
  <c r="O240" i="1"/>
  <c r="L240" i="1"/>
  <c r="K240" i="1"/>
  <c r="J240" i="1"/>
  <c r="I240" i="1"/>
  <c r="H240" i="1"/>
  <c r="G240" i="1"/>
  <c r="F240" i="1"/>
  <c r="E240" i="1"/>
  <c r="D240" i="1"/>
  <c r="C240" i="1"/>
  <c r="B240" i="1"/>
  <c r="A240" i="1"/>
  <c r="O239" i="1"/>
  <c r="L239" i="1"/>
  <c r="K239" i="1"/>
  <c r="J239" i="1"/>
  <c r="I239" i="1"/>
  <c r="H239" i="1"/>
  <c r="G239" i="1"/>
  <c r="F239" i="1"/>
  <c r="E239" i="1"/>
  <c r="D239" i="1"/>
  <c r="C239" i="1"/>
  <c r="B239" i="1"/>
  <c r="A239" i="1"/>
  <c r="O238" i="1"/>
  <c r="L238" i="1"/>
  <c r="K238" i="1"/>
  <c r="J238" i="1"/>
  <c r="I238" i="1"/>
  <c r="H238" i="1"/>
  <c r="G238" i="1"/>
  <c r="F238" i="1"/>
  <c r="E238" i="1"/>
  <c r="D238" i="1"/>
  <c r="C238" i="1"/>
  <c r="B238" i="1"/>
  <c r="A238" i="1"/>
  <c r="O237" i="1"/>
  <c r="L237" i="1"/>
  <c r="K237" i="1"/>
  <c r="J237" i="1"/>
  <c r="I237" i="1"/>
  <c r="H237" i="1"/>
  <c r="G237" i="1"/>
  <c r="F237" i="1"/>
  <c r="E237" i="1"/>
  <c r="D237" i="1"/>
  <c r="C237" i="1"/>
  <c r="B237" i="1"/>
  <c r="A237" i="1"/>
  <c r="O236" i="1"/>
  <c r="L236" i="1"/>
  <c r="K236" i="1"/>
  <c r="J236" i="1"/>
  <c r="I236" i="1"/>
  <c r="H236" i="1"/>
  <c r="G236" i="1"/>
  <c r="F236" i="1"/>
  <c r="E236" i="1"/>
  <c r="D236" i="1"/>
  <c r="C236" i="1"/>
  <c r="B236" i="1"/>
  <c r="A236" i="1"/>
  <c r="O235" i="1"/>
  <c r="L235" i="1"/>
  <c r="K235" i="1"/>
  <c r="J235" i="1"/>
  <c r="I235" i="1"/>
  <c r="H235" i="1"/>
  <c r="G235" i="1"/>
  <c r="F235" i="1"/>
  <c r="E235" i="1"/>
  <c r="D235" i="1"/>
  <c r="C235" i="1"/>
  <c r="B235" i="1"/>
  <c r="A235" i="1"/>
  <c r="O234" i="1"/>
  <c r="L234" i="1"/>
  <c r="K234" i="1"/>
  <c r="J234" i="1"/>
  <c r="I234" i="1"/>
  <c r="H234" i="1"/>
  <c r="G234" i="1"/>
  <c r="F234" i="1"/>
  <c r="E234" i="1"/>
  <c r="D234" i="1"/>
  <c r="C234" i="1"/>
  <c r="B234" i="1"/>
  <c r="A234" i="1"/>
  <c r="O233" i="1"/>
  <c r="L233" i="1"/>
  <c r="K233" i="1"/>
  <c r="J233" i="1"/>
  <c r="I233" i="1"/>
  <c r="H233" i="1"/>
  <c r="G233" i="1"/>
  <c r="F233" i="1"/>
  <c r="E233" i="1"/>
  <c r="D233" i="1"/>
  <c r="C233" i="1"/>
  <c r="B233" i="1"/>
  <c r="A233" i="1"/>
  <c r="O232" i="1"/>
  <c r="L232" i="1"/>
  <c r="K232" i="1"/>
  <c r="J232" i="1"/>
  <c r="I232" i="1"/>
  <c r="H232" i="1"/>
  <c r="G232" i="1"/>
  <c r="F232" i="1"/>
  <c r="E232" i="1"/>
  <c r="D232" i="1"/>
  <c r="C232" i="1"/>
  <c r="B232" i="1"/>
  <c r="A232" i="1"/>
  <c r="O231" i="1"/>
  <c r="L231" i="1"/>
  <c r="K231" i="1"/>
  <c r="J231" i="1"/>
  <c r="I231" i="1"/>
  <c r="H231" i="1"/>
  <c r="G231" i="1"/>
  <c r="F231" i="1"/>
  <c r="E231" i="1"/>
  <c r="D231" i="1"/>
  <c r="C231" i="1"/>
  <c r="B231" i="1"/>
  <c r="A231" i="1"/>
  <c r="O230" i="1"/>
  <c r="L230" i="1"/>
  <c r="K230" i="1"/>
  <c r="J230" i="1"/>
  <c r="I230" i="1"/>
  <c r="H230" i="1"/>
  <c r="G230" i="1"/>
  <c r="F230" i="1"/>
  <c r="E230" i="1"/>
  <c r="D230" i="1"/>
  <c r="C230" i="1"/>
  <c r="B230" i="1"/>
  <c r="A230" i="1"/>
  <c r="P229" i="1"/>
  <c r="O229" i="1"/>
  <c r="L229" i="1"/>
  <c r="K229" i="1"/>
  <c r="J229" i="1"/>
  <c r="I229" i="1"/>
  <c r="H229" i="1"/>
  <c r="G229" i="1"/>
  <c r="F229" i="1"/>
  <c r="E229" i="1"/>
  <c r="D229" i="1"/>
  <c r="C229" i="1"/>
  <c r="B229" i="1"/>
  <c r="A229" i="1"/>
  <c r="P228" i="1"/>
  <c r="O228" i="1"/>
  <c r="L228" i="1"/>
  <c r="K228" i="1"/>
  <c r="J228" i="1"/>
  <c r="I228" i="1"/>
  <c r="H228" i="1"/>
  <c r="G228" i="1"/>
  <c r="F228" i="1"/>
  <c r="E228" i="1"/>
  <c r="D228" i="1"/>
  <c r="C228" i="1"/>
  <c r="B228" i="1"/>
  <c r="A228" i="1"/>
  <c r="O227" i="1"/>
  <c r="L227" i="1"/>
  <c r="K227" i="1"/>
  <c r="J227" i="1"/>
  <c r="I227" i="1"/>
  <c r="H227" i="1"/>
  <c r="G227" i="1"/>
  <c r="F227" i="1"/>
  <c r="E227" i="1"/>
  <c r="D227" i="1"/>
  <c r="C227" i="1"/>
  <c r="B227" i="1"/>
  <c r="A227" i="1"/>
  <c r="P226" i="1"/>
  <c r="O226" i="1"/>
  <c r="L226" i="1"/>
  <c r="K226" i="1"/>
  <c r="J226" i="1"/>
  <c r="I226" i="1"/>
  <c r="H226" i="1"/>
  <c r="G226" i="1"/>
  <c r="F226" i="1"/>
  <c r="E226" i="1"/>
  <c r="D226" i="1"/>
  <c r="C226" i="1"/>
  <c r="B226" i="1"/>
  <c r="A226" i="1"/>
  <c r="O225" i="1"/>
  <c r="L225" i="1"/>
  <c r="K225" i="1"/>
  <c r="J225" i="1"/>
  <c r="I225" i="1"/>
  <c r="H225" i="1"/>
  <c r="G225" i="1"/>
  <c r="F225" i="1"/>
  <c r="E225" i="1"/>
  <c r="D225" i="1"/>
  <c r="C225" i="1"/>
  <c r="B225" i="1"/>
  <c r="A225" i="1"/>
  <c r="P224" i="1"/>
  <c r="O224" i="1"/>
  <c r="L224" i="1"/>
  <c r="K224" i="1"/>
  <c r="J224" i="1"/>
  <c r="I224" i="1"/>
  <c r="H224" i="1"/>
  <c r="G224" i="1"/>
  <c r="F224" i="1"/>
  <c r="E224" i="1"/>
  <c r="D224" i="1"/>
  <c r="C224" i="1"/>
  <c r="B224" i="1"/>
  <c r="A224" i="1"/>
  <c r="P223" i="1"/>
  <c r="O223" i="1"/>
  <c r="L223" i="1"/>
  <c r="K223" i="1"/>
  <c r="J223" i="1"/>
  <c r="I223" i="1"/>
  <c r="H223" i="1"/>
  <c r="G223" i="1"/>
  <c r="F223" i="1"/>
  <c r="E223" i="1"/>
  <c r="D223" i="1"/>
  <c r="C223" i="1"/>
  <c r="B223" i="1"/>
  <c r="A223" i="1"/>
  <c r="O222" i="1"/>
  <c r="L222" i="1"/>
  <c r="K222" i="1"/>
  <c r="J222" i="1"/>
  <c r="I222" i="1"/>
  <c r="H222" i="1"/>
  <c r="G222" i="1"/>
  <c r="F222" i="1"/>
  <c r="E222" i="1"/>
  <c r="D222" i="1"/>
  <c r="C222" i="1"/>
  <c r="B222" i="1"/>
  <c r="A222" i="1"/>
  <c r="O221" i="1"/>
  <c r="L221" i="1"/>
  <c r="K221" i="1"/>
  <c r="J221" i="1"/>
  <c r="I221" i="1"/>
  <c r="H221" i="1"/>
  <c r="G221" i="1"/>
  <c r="F221" i="1"/>
  <c r="E221" i="1"/>
  <c r="D221" i="1"/>
  <c r="C221" i="1"/>
  <c r="B221" i="1"/>
  <c r="A221" i="1"/>
  <c r="O220" i="1"/>
  <c r="L220" i="1"/>
  <c r="K220" i="1"/>
  <c r="J220" i="1"/>
  <c r="I220" i="1"/>
  <c r="H220" i="1"/>
  <c r="G220" i="1"/>
  <c r="F220" i="1"/>
  <c r="E220" i="1"/>
  <c r="D220" i="1"/>
  <c r="C220" i="1"/>
  <c r="B220" i="1"/>
  <c r="A220" i="1"/>
  <c r="O219" i="1"/>
  <c r="L219" i="1"/>
  <c r="K219" i="1"/>
  <c r="J219" i="1"/>
  <c r="I219" i="1"/>
  <c r="H219" i="1"/>
  <c r="G219" i="1"/>
  <c r="F219" i="1"/>
  <c r="E219" i="1"/>
  <c r="D219" i="1"/>
  <c r="C219" i="1"/>
  <c r="B219" i="1"/>
  <c r="A219" i="1"/>
  <c r="O218" i="1"/>
  <c r="L218" i="1"/>
  <c r="K218" i="1"/>
  <c r="J218" i="1"/>
  <c r="I218" i="1"/>
  <c r="H218" i="1"/>
  <c r="G218" i="1"/>
  <c r="F218" i="1"/>
  <c r="E218" i="1"/>
  <c r="D218" i="1"/>
  <c r="C218" i="1"/>
  <c r="B218" i="1"/>
  <c r="A218" i="1"/>
  <c r="O217" i="1"/>
  <c r="L217" i="1"/>
  <c r="K217" i="1"/>
  <c r="J217" i="1"/>
  <c r="I217" i="1"/>
  <c r="H217" i="1"/>
  <c r="G217" i="1"/>
  <c r="F217" i="1"/>
  <c r="E217" i="1"/>
  <c r="D217" i="1"/>
  <c r="C217" i="1"/>
  <c r="B217" i="1"/>
  <c r="A217" i="1"/>
  <c r="O216" i="1"/>
  <c r="L216" i="1"/>
  <c r="K216" i="1"/>
  <c r="J216" i="1"/>
  <c r="I216" i="1"/>
  <c r="H216" i="1"/>
  <c r="G216" i="1"/>
  <c r="F216" i="1"/>
  <c r="E216" i="1"/>
  <c r="D216" i="1"/>
  <c r="C216" i="1"/>
  <c r="B216" i="1"/>
  <c r="A216" i="1"/>
  <c r="O215" i="1"/>
  <c r="L215" i="1"/>
  <c r="K215" i="1"/>
  <c r="J215" i="1"/>
  <c r="I215" i="1"/>
  <c r="H215" i="1"/>
  <c r="G215" i="1"/>
  <c r="F215" i="1"/>
  <c r="E215" i="1"/>
  <c r="D215" i="1"/>
  <c r="C215" i="1"/>
  <c r="B215" i="1"/>
  <c r="A215" i="1"/>
  <c r="O214" i="1"/>
  <c r="L214" i="1"/>
  <c r="K214" i="1"/>
  <c r="J214" i="1"/>
  <c r="I214" i="1"/>
  <c r="H214" i="1"/>
  <c r="G214" i="1"/>
  <c r="F214" i="1"/>
  <c r="E214" i="1"/>
  <c r="D214" i="1"/>
  <c r="C214" i="1"/>
  <c r="B214" i="1"/>
  <c r="A214" i="1"/>
  <c r="O213" i="1"/>
  <c r="L213" i="1"/>
  <c r="K213" i="1"/>
  <c r="J213" i="1"/>
  <c r="I213" i="1"/>
  <c r="H213" i="1"/>
  <c r="G213" i="1"/>
  <c r="F213" i="1"/>
  <c r="E213" i="1"/>
  <c r="D213" i="1"/>
  <c r="C213" i="1"/>
  <c r="B213" i="1"/>
  <c r="A213" i="1"/>
  <c r="O212" i="1"/>
  <c r="L212" i="1"/>
  <c r="K212" i="1"/>
  <c r="J212" i="1"/>
  <c r="I212" i="1"/>
  <c r="H212" i="1"/>
  <c r="G212" i="1"/>
  <c r="F212" i="1"/>
  <c r="E212" i="1"/>
  <c r="D212" i="1"/>
  <c r="C212" i="1"/>
  <c r="B212" i="1"/>
  <c r="A212" i="1"/>
  <c r="O211" i="1"/>
  <c r="L211" i="1"/>
  <c r="K211" i="1"/>
  <c r="J211" i="1"/>
  <c r="I211" i="1"/>
  <c r="H211" i="1"/>
  <c r="G211" i="1"/>
  <c r="F211" i="1"/>
  <c r="E211" i="1"/>
  <c r="D211" i="1"/>
  <c r="C211" i="1"/>
  <c r="B211" i="1"/>
  <c r="A211" i="1"/>
  <c r="O210" i="1"/>
  <c r="L210" i="1"/>
  <c r="K210" i="1"/>
  <c r="J210" i="1"/>
  <c r="I210" i="1"/>
  <c r="H210" i="1"/>
  <c r="G210" i="1"/>
  <c r="F210" i="1"/>
  <c r="E210" i="1"/>
  <c r="D210" i="1"/>
  <c r="C210" i="1"/>
  <c r="B210" i="1"/>
  <c r="A210" i="1"/>
  <c r="O209" i="1"/>
  <c r="L209" i="1"/>
  <c r="K209" i="1"/>
  <c r="J209" i="1"/>
  <c r="I209" i="1"/>
  <c r="H209" i="1"/>
  <c r="G209" i="1"/>
  <c r="F209" i="1"/>
  <c r="E209" i="1"/>
  <c r="D209" i="1"/>
  <c r="C209" i="1"/>
  <c r="B209" i="1"/>
  <c r="A209" i="1"/>
  <c r="O208" i="1"/>
  <c r="L208" i="1"/>
  <c r="K208" i="1"/>
  <c r="J208" i="1"/>
  <c r="I208" i="1"/>
  <c r="H208" i="1"/>
  <c r="G208" i="1"/>
  <c r="F208" i="1"/>
  <c r="E208" i="1"/>
  <c r="D208" i="1"/>
  <c r="C208" i="1"/>
  <c r="B208" i="1"/>
  <c r="A208" i="1"/>
  <c r="O207" i="1"/>
  <c r="L207" i="1"/>
  <c r="K207" i="1"/>
  <c r="J207" i="1"/>
  <c r="I207" i="1"/>
  <c r="H207" i="1"/>
  <c r="G207" i="1"/>
  <c r="F207" i="1"/>
  <c r="E207" i="1"/>
  <c r="D207" i="1"/>
  <c r="C207" i="1"/>
  <c r="B207" i="1"/>
  <c r="A207" i="1"/>
  <c r="O206" i="1"/>
  <c r="L206" i="1"/>
  <c r="K206" i="1"/>
  <c r="J206" i="1"/>
  <c r="I206" i="1"/>
  <c r="H206" i="1"/>
  <c r="G206" i="1"/>
  <c r="F206" i="1"/>
  <c r="E206" i="1"/>
  <c r="D206" i="1"/>
  <c r="C206" i="1"/>
  <c r="B206" i="1"/>
  <c r="A206" i="1"/>
  <c r="O205" i="1"/>
  <c r="L205" i="1"/>
  <c r="K205" i="1"/>
  <c r="J205" i="1"/>
  <c r="I205" i="1"/>
  <c r="H205" i="1"/>
  <c r="G205" i="1"/>
  <c r="F205" i="1"/>
  <c r="E205" i="1"/>
  <c r="D205" i="1"/>
  <c r="C205" i="1"/>
  <c r="B205" i="1"/>
  <c r="A205" i="1"/>
  <c r="O204" i="1"/>
  <c r="L204" i="1"/>
  <c r="K204" i="1"/>
  <c r="J204" i="1"/>
  <c r="I204" i="1"/>
  <c r="H204" i="1"/>
  <c r="G204" i="1"/>
  <c r="F204" i="1"/>
  <c r="E204" i="1"/>
  <c r="D204" i="1"/>
  <c r="C204" i="1"/>
  <c r="B204" i="1"/>
  <c r="A204" i="1"/>
  <c r="O203" i="1"/>
  <c r="L203" i="1"/>
  <c r="K203" i="1"/>
  <c r="J203" i="1"/>
  <c r="I203" i="1"/>
  <c r="H203" i="1"/>
  <c r="G203" i="1"/>
  <c r="F203" i="1"/>
  <c r="E203" i="1"/>
  <c r="D203" i="1"/>
  <c r="C203" i="1"/>
  <c r="B203" i="1"/>
  <c r="A203" i="1"/>
  <c r="P202" i="1"/>
  <c r="O202" i="1"/>
  <c r="L202" i="1"/>
  <c r="K202" i="1"/>
  <c r="J202" i="1"/>
  <c r="I202" i="1"/>
  <c r="H202" i="1"/>
  <c r="G202" i="1"/>
  <c r="F202" i="1"/>
  <c r="E202" i="1"/>
  <c r="D202" i="1"/>
  <c r="C202" i="1"/>
  <c r="B202" i="1"/>
  <c r="A202" i="1"/>
  <c r="O201" i="1"/>
  <c r="L201" i="1"/>
  <c r="K201" i="1"/>
  <c r="J201" i="1"/>
  <c r="I201" i="1"/>
  <c r="H201" i="1"/>
  <c r="G201" i="1"/>
  <c r="F201" i="1"/>
  <c r="E201" i="1"/>
  <c r="D201" i="1"/>
  <c r="C201" i="1"/>
  <c r="B201" i="1"/>
  <c r="A201" i="1"/>
  <c r="O200" i="1"/>
  <c r="L200" i="1"/>
  <c r="K200" i="1"/>
  <c r="J200" i="1"/>
  <c r="I200" i="1"/>
  <c r="H200" i="1"/>
  <c r="G200" i="1"/>
  <c r="F200" i="1"/>
  <c r="E200" i="1"/>
  <c r="D200" i="1"/>
  <c r="C200" i="1"/>
  <c r="B200" i="1"/>
  <c r="A200" i="1"/>
  <c r="O199" i="1"/>
  <c r="L199" i="1"/>
  <c r="K199" i="1"/>
  <c r="J199" i="1"/>
  <c r="I199" i="1"/>
  <c r="H199" i="1"/>
  <c r="G199" i="1"/>
  <c r="F199" i="1"/>
  <c r="E199" i="1"/>
  <c r="D199" i="1"/>
  <c r="C199" i="1"/>
  <c r="B199" i="1"/>
  <c r="A199" i="1"/>
  <c r="O198" i="1"/>
  <c r="L198" i="1"/>
  <c r="K198" i="1"/>
  <c r="J198" i="1"/>
  <c r="I198" i="1"/>
  <c r="H198" i="1"/>
  <c r="G198" i="1"/>
  <c r="F198" i="1"/>
  <c r="E198" i="1"/>
  <c r="D198" i="1"/>
  <c r="C198" i="1"/>
  <c r="B198" i="1"/>
  <c r="A198" i="1"/>
  <c r="O197" i="1"/>
  <c r="L197" i="1"/>
  <c r="K197" i="1"/>
  <c r="J197" i="1"/>
  <c r="I197" i="1"/>
  <c r="H197" i="1"/>
  <c r="G197" i="1"/>
  <c r="F197" i="1"/>
  <c r="E197" i="1"/>
  <c r="D197" i="1"/>
  <c r="C197" i="1"/>
  <c r="B197" i="1"/>
  <c r="A197" i="1"/>
  <c r="O196" i="1"/>
  <c r="L196" i="1"/>
  <c r="K196" i="1"/>
  <c r="J196" i="1"/>
  <c r="I196" i="1"/>
  <c r="H196" i="1"/>
  <c r="G196" i="1"/>
  <c r="F196" i="1"/>
  <c r="E196" i="1"/>
  <c r="D196" i="1"/>
  <c r="C196" i="1"/>
  <c r="B196" i="1"/>
  <c r="A196" i="1"/>
  <c r="O195" i="1"/>
  <c r="L195" i="1"/>
  <c r="K195" i="1"/>
  <c r="J195" i="1"/>
  <c r="I195" i="1"/>
  <c r="H195" i="1"/>
  <c r="G195" i="1"/>
  <c r="F195" i="1"/>
  <c r="E195" i="1"/>
  <c r="D195" i="1"/>
  <c r="C195" i="1"/>
  <c r="B195" i="1"/>
  <c r="A195" i="1"/>
  <c r="O194" i="1"/>
  <c r="L194" i="1"/>
  <c r="K194" i="1"/>
  <c r="J194" i="1"/>
  <c r="I194" i="1"/>
  <c r="H194" i="1"/>
  <c r="G194" i="1"/>
  <c r="F194" i="1"/>
  <c r="E194" i="1"/>
  <c r="D194" i="1"/>
  <c r="C194" i="1"/>
  <c r="B194" i="1"/>
  <c r="A194" i="1"/>
  <c r="P193" i="1"/>
  <c r="O193" i="1"/>
  <c r="L193" i="1"/>
  <c r="K193" i="1"/>
  <c r="J193" i="1"/>
  <c r="I193" i="1"/>
  <c r="H193" i="1"/>
  <c r="G193" i="1"/>
  <c r="F193" i="1"/>
  <c r="E193" i="1"/>
  <c r="D193" i="1"/>
  <c r="C193" i="1"/>
  <c r="B193" i="1"/>
  <c r="A193" i="1"/>
  <c r="O192" i="1"/>
  <c r="L192" i="1"/>
  <c r="K192" i="1"/>
  <c r="J192" i="1"/>
  <c r="I192" i="1"/>
  <c r="H192" i="1"/>
  <c r="G192" i="1"/>
  <c r="F192" i="1"/>
  <c r="E192" i="1"/>
  <c r="D192" i="1"/>
  <c r="C192" i="1"/>
  <c r="B192" i="1"/>
  <c r="A192" i="1"/>
  <c r="O191" i="1"/>
  <c r="L191" i="1"/>
  <c r="K191" i="1"/>
  <c r="J191" i="1"/>
  <c r="I191" i="1"/>
  <c r="H191" i="1"/>
  <c r="G191" i="1"/>
  <c r="F191" i="1"/>
  <c r="E191" i="1"/>
  <c r="D191" i="1"/>
  <c r="C191" i="1"/>
  <c r="B191" i="1"/>
  <c r="A191" i="1"/>
  <c r="O190" i="1"/>
  <c r="L190" i="1"/>
  <c r="K190" i="1"/>
  <c r="J190" i="1"/>
  <c r="I190" i="1"/>
  <c r="H190" i="1"/>
  <c r="G190" i="1"/>
  <c r="F190" i="1"/>
  <c r="E190" i="1"/>
  <c r="D190" i="1"/>
  <c r="C190" i="1"/>
  <c r="B190" i="1"/>
  <c r="A190" i="1"/>
  <c r="O189" i="1"/>
  <c r="L189" i="1"/>
  <c r="K189" i="1"/>
  <c r="J189" i="1"/>
  <c r="I189" i="1"/>
  <c r="H189" i="1"/>
  <c r="G189" i="1"/>
  <c r="F189" i="1"/>
  <c r="E189" i="1"/>
  <c r="D189" i="1"/>
  <c r="C189" i="1"/>
  <c r="B189" i="1"/>
  <c r="A189" i="1"/>
  <c r="O188" i="1"/>
  <c r="L188" i="1"/>
  <c r="K188" i="1"/>
  <c r="J188" i="1"/>
  <c r="I188" i="1"/>
  <c r="H188" i="1"/>
  <c r="G188" i="1"/>
  <c r="F188" i="1"/>
  <c r="E188" i="1"/>
  <c r="D188" i="1"/>
  <c r="C188" i="1"/>
  <c r="B188" i="1"/>
  <c r="A188" i="1"/>
  <c r="O187" i="1"/>
  <c r="L187" i="1"/>
  <c r="K187" i="1"/>
  <c r="J187" i="1"/>
  <c r="I187" i="1"/>
  <c r="H187" i="1"/>
  <c r="G187" i="1"/>
  <c r="F187" i="1"/>
  <c r="E187" i="1"/>
  <c r="D187" i="1"/>
  <c r="C187" i="1"/>
  <c r="B187" i="1"/>
  <c r="A187" i="1"/>
  <c r="O186" i="1"/>
  <c r="L186" i="1"/>
  <c r="K186" i="1"/>
  <c r="J186" i="1"/>
  <c r="I186" i="1"/>
  <c r="H186" i="1"/>
  <c r="G186" i="1"/>
  <c r="F186" i="1"/>
  <c r="E186" i="1"/>
  <c r="D186" i="1"/>
  <c r="C186" i="1"/>
  <c r="B186" i="1"/>
  <c r="A186" i="1"/>
  <c r="O185" i="1"/>
  <c r="L185" i="1"/>
  <c r="K185" i="1"/>
  <c r="J185" i="1"/>
  <c r="I185" i="1"/>
  <c r="H185" i="1"/>
  <c r="G185" i="1"/>
  <c r="F185" i="1"/>
  <c r="E185" i="1"/>
  <c r="D185" i="1"/>
  <c r="C185" i="1"/>
  <c r="B185" i="1"/>
  <c r="A185" i="1"/>
  <c r="O184" i="1"/>
  <c r="L184" i="1"/>
  <c r="K184" i="1"/>
  <c r="J184" i="1"/>
  <c r="I184" i="1"/>
  <c r="H184" i="1"/>
  <c r="G184" i="1"/>
  <c r="F184" i="1"/>
  <c r="E184" i="1"/>
  <c r="D184" i="1"/>
  <c r="C184" i="1"/>
  <c r="B184" i="1"/>
  <c r="A184" i="1"/>
  <c r="O183" i="1"/>
  <c r="L183" i="1"/>
  <c r="K183" i="1"/>
  <c r="J183" i="1"/>
  <c r="I183" i="1"/>
  <c r="H183" i="1"/>
  <c r="G183" i="1"/>
  <c r="F183" i="1"/>
  <c r="E183" i="1"/>
  <c r="D183" i="1"/>
  <c r="C183" i="1"/>
  <c r="B183" i="1"/>
  <c r="A183" i="1"/>
  <c r="P182" i="1"/>
  <c r="O182" i="1"/>
  <c r="L182" i="1"/>
  <c r="K182" i="1"/>
  <c r="J182" i="1"/>
  <c r="I182" i="1"/>
  <c r="H182" i="1"/>
  <c r="G182" i="1"/>
  <c r="F182" i="1"/>
  <c r="E182" i="1"/>
  <c r="D182" i="1"/>
  <c r="C182" i="1"/>
  <c r="B182" i="1"/>
  <c r="A182" i="1"/>
  <c r="O181" i="1"/>
  <c r="L181" i="1"/>
  <c r="K181" i="1"/>
  <c r="J181" i="1"/>
  <c r="I181" i="1"/>
  <c r="H181" i="1"/>
  <c r="G181" i="1"/>
  <c r="F181" i="1"/>
  <c r="E181" i="1"/>
  <c r="D181" i="1"/>
  <c r="C181" i="1"/>
  <c r="B181" i="1"/>
  <c r="A181" i="1"/>
  <c r="P180" i="1"/>
  <c r="O180" i="1"/>
  <c r="L180" i="1"/>
  <c r="K180" i="1"/>
  <c r="J180" i="1"/>
  <c r="I180" i="1"/>
  <c r="H180" i="1"/>
  <c r="G180" i="1"/>
  <c r="F180" i="1"/>
  <c r="E180" i="1"/>
  <c r="D180" i="1"/>
  <c r="C180" i="1"/>
  <c r="B180" i="1"/>
  <c r="A180" i="1"/>
  <c r="O179" i="1"/>
  <c r="L179" i="1"/>
  <c r="K179" i="1"/>
  <c r="J179" i="1"/>
  <c r="I179" i="1"/>
  <c r="H179" i="1"/>
  <c r="G179" i="1"/>
  <c r="F179" i="1"/>
  <c r="E179" i="1"/>
  <c r="D179" i="1"/>
  <c r="C179" i="1"/>
  <c r="B179" i="1"/>
  <c r="A179" i="1"/>
  <c r="O178" i="1"/>
  <c r="L178" i="1"/>
  <c r="K178" i="1"/>
  <c r="J178" i="1"/>
  <c r="I178" i="1"/>
  <c r="H178" i="1"/>
  <c r="G178" i="1"/>
  <c r="F178" i="1"/>
  <c r="E178" i="1"/>
  <c r="D178" i="1"/>
  <c r="C178" i="1"/>
  <c r="B178" i="1"/>
  <c r="A178" i="1"/>
  <c r="O177" i="1"/>
  <c r="L177" i="1"/>
  <c r="K177" i="1"/>
  <c r="J177" i="1"/>
  <c r="I177" i="1"/>
  <c r="H177" i="1"/>
  <c r="G177" i="1"/>
  <c r="F177" i="1"/>
  <c r="E177" i="1"/>
  <c r="D177" i="1"/>
  <c r="C177" i="1"/>
  <c r="B177" i="1"/>
  <c r="A177" i="1"/>
  <c r="O176" i="1"/>
  <c r="L176" i="1"/>
  <c r="K176" i="1"/>
  <c r="J176" i="1"/>
  <c r="I176" i="1"/>
  <c r="H176" i="1"/>
  <c r="G176" i="1"/>
  <c r="F176" i="1"/>
  <c r="E176" i="1"/>
  <c r="D176" i="1"/>
  <c r="C176" i="1"/>
  <c r="B176" i="1"/>
  <c r="A176" i="1"/>
  <c r="O175" i="1"/>
  <c r="L175" i="1"/>
  <c r="K175" i="1"/>
  <c r="J175" i="1"/>
  <c r="I175" i="1"/>
  <c r="H175" i="1"/>
  <c r="G175" i="1"/>
  <c r="F175" i="1"/>
  <c r="E175" i="1"/>
  <c r="D175" i="1"/>
  <c r="C175" i="1"/>
  <c r="B175" i="1"/>
  <c r="A175" i="1"/>
  <c r="O174" i="1"/>
  <c r="L174" i="1"/>
  <c r="K174" i="1"/>
  <c r="J174" i="1"/>
  <c r="I174" i="1"/>
  <c r="H174" i="1"/>
  <c r="G174" i="1"/>
  <c r="F174" i="1"/>
  <c r="E174" i="1"/>
  <c r="D174" i="1"/>
  <c r="C174" i="1"/>
  <c r="B174" i="1"/>
  <c r="A174" i="1"/>
  <c r="O173" i="1"/>
  <c r="L173" i="1"/>
  <c r="K173" i="1"/>
  <c r="J173" i="1"/>
  <c r="I173" i="1"/>
  <c r="H173" i="1"/>
  <c r="G173" i="1"/>
  <c r="F173" i="1"/>
  <c r="E173" i="1"/>
  <c r="D173" i="1"/>
  <c r="C173" i="1"/>
  <c r="B173" i="1"/>
  <c r="A173" i="1"/>
  <c r="O172" i="1"/>
  <c r="L172" i="1"/>
  <c r="K172" i="1"/>
  <c r="J172" i="1"/>
  <c r="I172" i="1"/>
  <c r="H172" i="1"/>
  <c r="G172" i="1"/>
  <c r="F172" i="1"/>
  <c r="E172" i="1"/>
  <c r="D172" i="1"/>
  <c r="C172" i="1"/>
  <c r="B172" i="1"/>
  <c r="A172" i="1"/>
  <c r="O171" i="1"/>
  <c r="L171" i="1"/>
  <c r="K171" i="1"/>
  <c r="J171" i="1"/>
  <c r="I171" i="1"/>
  <c r="H171" i="1"/>
  <c r="G171" i="1"/>
  <c r="F171" i="1"/>
  <c r="E171" i="1"/>
  <c r="D171" i="1"/>
  <c r="C171" i="1"/>
  <c r="B171" i="1"/>
  <c r="A171" i="1"/>
  <c r="O170" i="1"/>
  <c r="L170" i="1"/>
  <c r="K170" i="1"/>
  <c r="J170" i="1"/>
  <c r="I170" i="1"/>
  <c r="H170" i="1"/>
  <c r="G170" i="1"/>
  <c r="F170" i="1"/>
  <c r="E170" i="1"/>
  <c r="D170" i="1"/>
  <c r="C170" i="1"/>
  <c r="B170" i="1"/>
  <c r="A170" i="1"/>
  <c r="O169" i="1"/>
  <c r="L169" i="1"/>
  <c r="K169" i="1"/>
  <c r="J169" i="1"/>
  <c r="I169" i="1"/>
  <c r="H169" i="1"/>
  <c r="G169" i="1"/>
  <c r="F169" i="1"/>
  <c r="E169" i="1"/>
  <c r="D169" i="1"/>
  <c r="C169" i="1"/>
  <c r="B169" i="1"/>
  <c r="A169" i="1"/>
  <c r="O168" i="1"/>
  <c r="L168" i="1"/>
  <c r="K168" i="1"/>
  <c r="J168" i="1"/>
  <c r="I168" i="1"/>
  <c r="H168" i="1"/>
  <c r="G168" i="1"/>
  <c r="F168" i="1"/>
  <c r="E168" i="1"/>
  <c r="D168" i="1"/>
  <c r="C168" i="1"/>
  <c r="B168" i="1"/>
  <c r="A168" i="1"/>
  <c r="P167" i="1"/>
  <c r="O167" i="1"/>
  <c r="L167" i="1"/>
  <c r="K167" i="1"/>
  <c r="J167" i="1"/>
  <c r="I167" i="1"/>
  <c r="H167" i="1"/>
  <c r="G167" i="1"/>
  <c r="F167" i="1"/>
  <c r="E167" i="1"/>
  <c r="D167" i="1"/>
  <c r="C167" i="1"/>
  <c r="B167" i="1"/>
  <c r="A167" i="1"/>
  <c r="O166" i="1"/>
  <c r="L166" i="1"/>
  <c r="K166" i="1"/>
  <c r="J166" i="1"/>
  <c r="I166" i="1"/>
  <c r="H166" i="1"/>
  <c r="G166" i="1"/>
  <c r="F166" i="1"/>
  <c r="E166" i="1"/>
  <c r="D166" i="1"/>
  <c r="C166" i="1"/>
  <c r="B166" i="1"/>
  <c r="A166" i="1"/>
  <c r="O165" i="1"/>
  <c r="L165" i="1"/>
  <c r="K165" i="1"/>
  <c r="J165" i="1"/>
  <c r="I165" i="1"/>
  <c r="H165" i="1"/>
  <c r="G165" i="1"/>
  <c r="F165" i="1"/>
  <c r="E165" i="1"/>
  <c r="D165" i="1"/>
  <c r="C165" i="1"/>
  <c r="B165" i="1"/>
  <c r="A165" i="1"/>
  <c r="O164" i="1"/>
  <c r="L164" i="1"/>
  <c r="K164" i="1"/>
  <c r="J164" i="1"/>
  <c r="I164" i="1"/>
  <c r="H164" i="1"/>
  <c r="G164" i="1"/>
  <c r="F164" i="1"/>
  <c r="E164" i="1"/>
  <c r="D164" i="1"/>
  <c r="C164" i="1"/>
  <c r="B164" i="1"/>
  <c r="A164" i="1"/>
  <c r="O163" i="1"/>
  <c r="L163" i="1"/>
  <c r="K163" i="1"/>
  <c r="J163" i="1"/>
  <c r="I163" i="1"/>
  <c r="H163" i="1"/>
  <c r="G163" i="1"/>
  <c r="F163" i="1"/>
  <c r="E163" i="1"/>
  <c r="D163" i="1"/>
  <c r="C163" i="1"/>
  <c r="B163" i="1"/>
  <c r="A163" i="1"/>
  <c r="O162" i="1"/>
  <c r="L162" i="1"/>
  <c r="K162" i="1"/>
  <c r="J162" i="1"/>
  <c r="I162" i="1"/>
  <c r="H162" i="1"/>
  <c r="G162" i="1"/>
  <c r="F162" i="1"/>
  <c r="E162" i="1"/>
  <c r="D162" i="1"/>
  <c r="C162" i="1"/>
  <c r="B162" i="1"/>
  <c r="A162" i="1"/>
  <c r="O161" i="1"/>
  <c r="L161" i="1"/>
  <c r="K161" i="1"/>
  <c r="J161" i="1"/>
  <c r="I161" i="1"/>
  <c r="H161" i="1"/>
  <c r="G161" i="1"/>
  <c r="F161" i="1"/>
  <c r="E161" i="1"/>
  <c r="D161" i="1"/>
  <c r="C161" i="1"/>
  <c r="B161" i="1"/>
  <c r="A161" i="1"/>
  <c r="O160" i="1"/>
  <c r="L160" i="1"/>
  <c r="K160" i="1"/>
  <c r="J160" i="1"/>
  <c r="I160" i="1"/>
  <c r="H160" i="1"/>
  <c r="G160" i="1"/>
  <c r="F160" i="1"/>
  <c r="E160" i="1"/>
  <c r="D160" i="1"/>
  <c r="C160" i="1"/>
  <c r="B160" i="1"/>
  <c r="A160" i="1"/>
  <c r="O159" i="1"/>
  <c r="L159" i="1"/>
  <c r="K159" i="1"/>
  <c r="J159" i="1"/>
  <c r="I159" i="1"/>
  <c r="H159" i="1"/>
  <c r="G159" i="1"/>
  <c r="F159" i="1"/>
  <c r="E159" i="1"/>
  <c r="D159" i="1"/>
  <c r="C159" i="1"/>
  <c r="B159" i="1"/>
  <c r="A159" i="1"/>
  <c r="O158" i="1"/>
  <c r="L158" i="1"/>
  <c r="K158" i="1"/>
  <c r="J158" i="1"/>
  <c r="I158" i="1"/>
  <c r="H158" i="1"/>
  <c r="G158" i="1"/>
  <c r="F158" i="1"/>
  <c r="E158" i="1"/>
  <c r="D158" i="1"/>
  <c r="C158" i="1"/>
  <c r="B158" i="1"/>
  <c r="A158" i="1"/>
  <c r="O157" i="1"/>
  <c r="L157" i="1"/>
  <c r="K157" i="1"/>
  <c r="J157" i="1"/>
  <c r="I157" i="1"/>
  <c r="H157" i="1"/>
  <c r="G157" i="1"/>
  <c r="F157" i="1"/>
  <c r="E157" i="1"/>
  <c r="D157" i="1"/>
  <c r="C157" i="1"/>
  <c r="B157" i="1"/>
  <c r="A157" i="1"/>
  <c r="O156" i="1"/>
  <c r="L156" i="1"/>
  <c r="K156" i="1"/>
  <c r="J156" i="1"/>
  <c r="I156" i="1"/>
  <c r="H156" i="1"/>
  <c r="G156" i="1"/>
  <c r="F156" i="1"/>
  <c r="E156" i="1"/>
  <c r="D156" i="1"/>
  <c r="C156" i="1"/>
  <c r="B156" i="1"/>
  <c r="A156" i="1"/>
  <c r="O155" i="1"/>
  <c r="L155" i="1"/>
  <c r="K155" i="1"/>
  <c r="J155" i="1"/>
  <c r="I155" i="1"/>
  <c r="H155" i="1"/>
  <c r="G155" i="1"/>
  <c r="F155" i="1"/>
  <c r="E155" i="1"/>
  <c r="D155" i="1"/>
  <c r="C155" i="1"/>
  <c r="B155" i="1"/>
  <c r="A155" i="1"/>
  <c r="O154" i="1"/>
  <c r="L154" i="1"/>
  <c r="K154" i="1"/>
  <c r="J154" i="1"/>
  <c r="I154" i="1"/>
  <c r="H154" i="1"/>
  <c r="G154" i="1"/>
  <c r="F154" i="1"/>
  <c r="E154" i="1"/>
  <c r="D154" i="1"/>
  <c r="C154" i="1"/>
  <c r="B154" i="1"/>
  <c r="A154" i="1"/>
  <c r="O153" i="1"/>
  <c r="L153" i="1"/>
  <c r="K153" i="1"/>
  <c r="J153" i="1"/>
  <c r="I153" i="1"/>
  <c r="H153" i="1"/>
  <c r="G153" i="1"/>
  <c r="F153" i="1"/>
  <c r="E153" i="1"/>
  <c r="D153" i="1"/>
  <c r="C153" i="1"/>
  <c r="B153" i="1"/>
  <c r="A153" i="1"/>
  <c r="O152" i="1"/>
  <c r="L152" i="1"/>
  <c r="K152" i="1"/>
  <c r="J152" i="1"/>
  <c r="I152" i="1"/>
  <c r="H152" i="1"/>
  <c r="G152" i="1"/>
  <c r="F152" i="1"/>
  <c r="E152" i="1"/>
  <c r="D152" i="1"/>
  <c r="C152" i="1"/>
  <c r="B152" i="1"/>
  <c r="A152" i="1"/>
  <c r="O151" i="1"/>
  <c r="L151" i="1"/>
  <c r="K151" i="1"/>
  <c r="J151" i="1"/>
  <c r="I151" i="1"/>
  <c r="H151" i="1"/>
  <c r="G151" i="1"/>
  <c r="F151" i="1"/>
  <c r="E151" i="1"/>
  <c r="D151" i="1"/>
  <c r="C151" i="1"/>
  <c r="B151" i="1"/>
  <c r="A151" i="1"/>
  <c r="O150" i="1"/>
  <c r="L150" i="1"/>
  <c r="K150" i="1"/>
  <c r="J150" i="1"/>
  <c r="I150" i="1"/>
  <c r="H150" i="1"/>
  <c r="G150" i="1"/>
  <c r="F150" i="1"/>
  <c r="E150" i="1"/>
  <c r="D150" i="1"/>
  <c r="C150" i="1"/>
  <c r="B150" i="1"/>
  <c r="A150" i="1"/>
  <c r="O149" i="1"/>
  <c r="L149" i="1"/>
  <c r="K149" i="1"/>
  <c r="J149" i="1"/>
  <c r="I149" i="1"/>
  <c r="H149" i="1"/>
  <c r="G149" i="1"/>
  <c r="F149" i="1"/>
  <c r="E149" i="1"/>
  <c r="D149" i="1"/>
  <c r="C149" i="1"/>
  <c r="B149" i="1"/>
  <c r="A149" i="1"/>
  <c r="O148" i="1"/>
  <c r="L148" i="1"/>
  <c r="K148" i="1"/>
  <c r="J148" i="1"/>
  <c r="I148" i="1"/>
  <c r="H148" i="1"/>
  <c r="G148" i="1"/>
  <c r="F148" i="1"/>
  <c r="E148" i="1"/>
  <c r="D148" i="1"/>
  <c r="C148" i="1"/>
  <c r="B148" i="1"/>
  <c r="A148" i="1"/>
  <c r="P147" i="1"/>
  <c r="O147" i="1"/>
  <c r="L147" i="1"/>
  <c r="K147" i="1"/>
  <c r="J147" i="1"/>
  <c r="I147" i="1"/>
  <c r="H147" i="1"/>
  <c r="G147" i="1"/>
  <c r="F147" i="1"/>
  <c r="E147" i="1"/>
  <c r="D147" i="1"/>
  <c r="C147" i="1"/>
  <c r="B147" i="1"/>
  <c r="A147" i="1"/>
  <c r="O146" i="1"/>
  <c r="L146" i="1"/>
  <c r="K146" i="1"/>
  <c r="J146" i="1"/>
  <c r="I146" i="1"/>
  <c r="H146" i="1"/>
  <c r="G146" i="1"/>
  <c r="F146" i="1"/>
  <c r="E146" i="1"/>
  <c r="D146" i="1"/>
  <c r="C146" i="1"/>
  <c r="B146" i="1"/>
  <c r="A146" i="1"/>
  <c r="O145" i="1"/>
  <c r="L145" i="1"/>
  <c r="K145" i="1"/>
  <c r="J145" i="1"/>
  <c r="I145" i="1"/>
  <c r="H145" i="1"/>
  <c r="G145" i="1"/>
  <c r="F145" i="1"/>
  <c r="E145" i="1"/>
  <c r="D145" i="1"/>
  <c r="C145" i="1"/>
  <c r="B145" i="1"/>
  <c r="A145" i="1"/>
  <c r="O144" i="1"/>
  <c r="L144" i="1"/>
  <c r="K144" i="1"/>
  <c r="J144" i="1"/>
  <c r="I144" i="1"/>
  <c r="H144" i="1"/>
  <c r="G144" i="1"/>
  <c r="F144" i="1"/>
  <c r="E144" i="1"/>
  <c r="D144" i="1"/>
  <c r="C144" i="1"/>
  <c r="B144" i="1"/>
  <c r="A144" i="1"/>
  <c r="O143" i="1"/>
  <c r="L143" i="1"/>
  <c r="K143" i="1"/>
  <c r="J143" i="1"/>
  <c r="I143" i="1"/>
  <c r="H143" i="1"/>
  <c r="G143" i="1"/>
  <c r="F143" i="1"/>
  <c r="E143" i="1"/>
  <c r="D143" i="1"/>
  <c r="C143" i="1"/>
  <c r="B143" i="1"/>
  <c r="A143" i="1"/>
  <c r="O142" i="1"/>
  <c r="L142" i="1"/>
  <c r="K142" i="1"/>
  <c r="J142" i="1"/>
  <c r="I142" i="1"/>
  <c r="H142" i="1"/>
  <c r="G142" i="1"/>
  <c r="F142" i="1"/>
  <c r="E142" i="1"/>
  <c r="D142" i="1"/>
  <c r="C142" i="1"/>
  <c r="B142" i="1"/>
  <c r="A142" i="1"/>
  <c r="O141" i="1"/>
  <c r="L141" i="1"/>
  <c r="K141" i="1"/>
  <c r="J141" i="1"/>
  <c r="I141" i="1"/>
  <c r="H141" i="1"/>
  <c r="G141" i="1"/>
  <c r="F141" i="1"/>
  <c r="E141" i="1"/>
  <c r="D141" i="1"/>
  <c r="C141" i="1"/>
  <c r="B141" i="1"/>
  <c r="A141" i="1"/>
  <c r="O140" i="1"/>
  <c r="L140" i="1"/>
  <c r="K140" i="1"/>
  <c r="J140" i="1"/>
  <c r="I140" i="1"/>
  <c r="H140" i="1"/>
  <c r="G140" i="1"/>
  <c r="F140" i="1"/>
  <c r="E140" i="1"/>
  <c r="D140" i="1"/>
  <c r="C140" i="1"/>
  <c r="B140" i="1"/>
  <c r="A140" i="1"/>
  <c r="O139" i="1"/>
  <c r="L139" i="1"/>
  <c r="K139" i="1"/>
  <c r="J139" i="1"/>
  <c r="I139" i="1"/>
  <c r="H139" i="1"/>
  <c r="G139" i="1"/>
  <c r="F139" i="1"/>
  <c r="E139" i="1"/>
  <c r="D139" i="1"/>
  <c r="C139" i="1"/>
  <c r="B139" i="1"/>
  <c r="A139" i="1"/>
  <c r="O138" i="1"/>
  <c r="L138" i="1"/>
  <c r="K138" i="1"/>
  <c r="J138" i="1"/>
  <c r="I138" i="1"/>
  <c r="H138" i="1"/>
  <c r="G138" i="1"/>
  <c r="F138" i="1"/>
  <c r="E138" i="1"/>
  <c r="D138" i="1"/>
  <c r="C138" i="1"/>
  <c r="B138" i="1"/>
  <c r="A138" i="1"/>
  <c r="O137" i="1"/>
  <c r="L137" i="1"/>
  <c r="K137" i="1"/>
  <c r="J137" i="1"/>
  <c r="I137" i="1"/>
  <c r="H137" i="1"/>
  <c r="G137" i="1"/>
  <c r="F137" i="1"/>
  <c r="E137" i="1"/>
  <c r="D137" i="1"/>
  <c r="C137" i="1"/>
  <c r="B137" i="1"/>
  <c r="A137" i="1"/>
  <c r="O136" i="1"/>
  <c r="L136" i="1"/>
  <c r="K136" i="1"/>
  <c r="J136" i="1"/>
  <c r="I136" i="1"/>
  <c r="H136" i="1"/>
  <c r="G136" i="1"/>
  <c r="F136" i="1"/>
  <c r="E136" i="1"/>
  <c r="D136" i="1"/>
  <c r="C136" i="1"/>
  <c r="B136" i="1"/>
  <c r="A136" i="1"/>
  <c r="O135" i="1"/>
  <c r="L135" i="1"/>
  <c r="K135" i="1"/>
  <c r="J135" i="1"/>
  <c r="I135" i="1"/>
  <c r="H135" i="1"/>
  <c r="G135" i="1"/>
  <c r="F135" i="1"/>
  <c r="E135" i="1"/>
  <c r="D135" i="1"/>
  <c r="C135" i="1"/>
  <c r="B135" i="1"/>
  <c r="A135" i="1"/>
  <c r="O134" i="1"/>
  <c r="L134" i="1"/>
  <c r="K134" i="1"/>
  <c r="J134" i="1"/>
  <c r="I134" i="1"/>
  <c r="H134" i="1"/>
  <c r="G134" i="1"/>
  <c r="F134" i="1"/>
  <c r="E134" i="1"/>
  <c r="D134" i="1"/>
  <c r="C134" i="1"/>
  <c r="B134" i="1"/>
  <c r="A134" i="1"/>
  <c r="O133" i="1"/>
  <c r="L133" i="1"/>
  <c r="K133" i="1"/>
  <c r="J133" i="1"/>
  <c r="I133" i="1"/>
  <c r="H133" i="1"/>
  <c r="G133" i="1"/>
  <c r="F133" i="1"/>
  <c r="E133" i="1"/>
  <c r="D133" i="1"/>
  <c r="C133" i="1"/>
  <c r="B133" i="1"/>
  <c r="A133" i="1"/>
  <c r="O132" i="1"/>
  <c r="L132" i="1"/>
  <c r="K132" i="1"/>
  <c r="J132" i="1"/>
  <c r="I132" i="1"/>
  <c r="H132" i="1"/>
  <c r="G132" i="1"/>
  <c r="F132" i="1"/>
  <c r="E132" i="1"/>
  <c r="D132" i="1"/>
  <c r="C132" i="1"/>
  <c r="B132" i="1"/>
  <c r="A132" i="1"/>
  <c r="O131" i="1"/>
  <c r="L131" i="1"/>
  <c r="K131" i="1"/>
  <c r="J131" i="1"/>
  <c r="I131" i="1"/>
  <c r="H131" i="1"/>
  <c r="G131" i="1"/>
  <c r="F131" i="1"/>
  <c r="E131" i="1"/>
  <c r="D131" i="1"/>
  <c r="C131" i="1"/>
  <c r="B131" i="1"/>
  <c r="A131" i="1"/>
  <c r="O130" i="1"/>
  <c r="L130" i="1"/>
  <c r="K130" i="1"/>
  <c r="J130" i="1"/>
  <c r="I130" i="1"/>
  <c r="H130" i="1"/>
  <c r="G130" i="1"/>
  <c r="F130" i="1"/>
  <c r="E130" i="1"/>
  <c r="D130" i="1"/>
  <c r="C130" i="1"/>
  <c r="B130" i="1"/>
  <c r="A130" i="1"/>
  <c r="O129" i="1"/>
  <c r="L129" i="1"/>
  <c r="K129" i="1"/>
  <c r="J129" i="1"/>
  <c r="I129" i="1"/>
  <c r="H129" i="1"/>
  <c r="G129" i="1"/>
  <c r="F129" i="1"/>
  <c r="E129" i="1"/>
  <c r="D129" i="1"/>
  <c r="C129" i="1"/>
  <c r="B129" i="1"/>
  <c r="A129" i="1"/>
  <c r="O128" i="1"/>
  <c r="L128" i="1"/>
  <c r="K128" i="1"/>
  <c r="J128" i="1"/>
  <c r="I128" i="1"/>
  <c r="H128" i="1"/>
  <c r="G128" i="1"/>
  <c r="F128" i="1"/>
  <c r="E128" i="1"/>
  <c r="D128" i="1"/>
  <c r="C128" i="1"/>
  <c r="B128" i="1"/>
  <c r="A128" i="1"/>
  <c r="O127" i="1"/>
  <c r="L127" i="1"/>
  <c r="K127" i="1"/>
  <c r="J127" i="1"/>
  <c r="I127" i="1"/>
  <c r="H127" i="1"/>
  <c r="G127" i="1"/>
  <c r="F127" i="1"/>
  <c r="E127" i="1"/>
  <c r="D127" i="1"/>
  <c r="C127" i="1"/>
  <c r="B127" i="1"/>
  <c r="A127" i="1"/>
  <c r="O126" i="1"/>
  <c r="L126" i="1"/>
  <c r="K126" i="1"/>
  <c r="J126" i="1"/>
  <c r="I126" i="1"/>
  <c r="H126" i="1"/>
  <c r="G126" i="1"/>
  <c r="F126" i="1"/>
  <c r="E126" i="1"/>
  <c r="D126" i="1"/>
  <c r="C126" i="1"/>
  <c r="B126" i="1"/>
  <c r="A126" i="1"/>
  <c r="O125" i="1"/>
  <c r="L125" i="1"/>
  <c r="K125" i="1"/>
  <c r="J125" i="1"/>
  <c r="I125" i="1"/>
  <c r="H125" i="1"/>
  <c r="G125" i="1"/>
  <c r="F125" i="1"/>
  <c r="E125" i="1"/>
  <c r="D125" i="1"/>
  <c r="C125" i="1"/>
  <c r="B125" i="1"/>
  <c r="A125" i="1"/>
  <c r="O124" i="1"/>
  <c r="L124" i="1"/>
  <c r="K124" i="1"/>
  <c r="J124" i="1"/>
  <c r="I124" i="1"/>
  <c r="H124" i="1"/>
  <c r="G124" i="1"/>
  <c r="F124" i="1"/>
  <c r="E124" i="1"/>
  <c r="D124" i="1"/>
  <c r="C124" i="1"/>
  <c r="B124" i="1"/>
  <c r="A124" i="1"/>
  <c r="O123" i="1"/>
  <c r="L123" i="1"/>
  <c r="K123" i="1"/>
  <c r="J123" i="1"/>
  <c r="I123" i="1"/>
  <c r="H123" i="1"/>
  <c r="G123" i="1"/>
  <c r="F123" i="1"/>
  <c r="E123" i="1"/>
  <c r="D123" i="1"/>
  <c r="C123" i="1"/>
  <c r="B123" i="1"/>
  <c r="A123" i="1"/>
  <c r="O122" i="1"/>
  <c r="L122" i="1"/>
  <c r="K122" i="1"/>
  <c r="J122" i="1"/>
  <c r="I122" i="1"/>
  <c r="H122" i="1"/>
  <c r="G122" i="1"/>
  <c r="F122" i="1"/>
  <c r="E122" i="1"/>
  <c r="D122" i="1"/>
  <c r="C122" i="1"/>
  <c r="B122" i="1"/>
  <c r="A122" i="1"/>
  <c r="O121" i="1"/>
  <c r="L121" i="1"/>
  <c r="K121" i="1"/>
  <c r="J121" i="1"/>
  <c r="I121" i="1"/>
  <c r="H121" i="1"/>
  <c r="G121" i="1"/>
  <c r="F121" i="1"/>
  <c r="E121" i="1"/>
  <c r="D121" i="1"/>
  <c r="C121" i="1"/>
  <c r="B121" i="1"/>
  <c r="A121" i="1"/>
  <c r="P120" i="1"/>
  <c r="O120" i="1"/>
  <c r="L120" i="1"/>
  <c r="K120" i="1"/>
  <c r="J120" i="1"/>
  <c r="I120" i="1"/>
  <c r="H120" i="1"/>
  <c r="G120" i="1"/>
  <c r="F120" i="1"/>
  <c r="E120" i="1"/>
  <c r="D120" i="1"/>
  <c r="C120" i="1"/>
  <c r="B120" i="1"/>
  <c r="A120" i="1"/>
  <c r="O119" i="1"/>
  <c r="L119" i="1"/>
  <c r="K119" i="1"/>
  <c r="J119" i="1"/>
  <c r="I119" i="1"/>
  <c r="H119" i="1"/>
  <c r="G119" i="1"/>
  <c r="F119" i="1"/>
  <c r="E119" i="1"/>
  <c r="D119" i="1"/>
  <c r="C119" i="1"/>
  <c r="B119" i="1"/>
  <c r="A119" i="1"/>
  <c r="O118" i="1"/>
  <c r="L118" i="1"/>
  <c r="K118" i="1"/>
  <c r="J118" i="1"/>
  <c r="I118" i="1"/>
  <c r="H118" i="1"/>
  <c r="G118" i="1"/>
  <c r="F118" i="1"/>
  <c r="E118" i="1"/>
  <c r="D118" i="1"/>
  <c r="C118" i="1"/>
  <c r="B118" i="1"/>
  <c r="A118" i="1"/>
  <c r="O117" i="1"/>
  <c r="L117" i="1"/>
  <c r="K117" i="1"/>
  <c r="J117" i="1"/>
  <c r="I117" i="1"/>
  <c r="H117" i="1"/>
  <c r="G117" i="1"/>
  <c r="F117" i="1"/>
  <c r="E117" i="1"/>
  <c r="D117" i="1"/>
  <c r="C117" i="1"/>
  <c r="B117" i="1"/>
  <c r="A117" i="1"/>
  <c r="O116" i="1"/>
  <c r="L116" i="1"/>
  <c r="K116" i="1"/>
  <c r="J116" i="1"/>
  <c r="I116" i="1"/>
  <c r="H116" i="1"/>
  <c r="G116" i="1"/>
  <c r="F116" i="1"/>
  <c r="E116" i="1"/>
  <c r="D116" i="1"/>
  <c r="C116" i="1"/>
  <c r="B116" i="1"/>
  <c r="A116" i="1"/>
  <c r="O115" i="1"/>
  <c r="L115" i="1"/>
  <c r="K115" i="1"/>
  <c r="J115" i="1"/>
  <c r="I115" i="1"/>
  <c r="H115" i="1"/>
  <c r="G115" i="1"/>
  <c r="F115" i="1"/>
  <c r="E115" i="1"/>
  <c r="D115" i="1"/>
  <c r="C115" i="1"/>
  <c r="B115" i="1"/>
  <c r="A115" i="1"/>
  <c r="O114" i="1"/>
  <c r="L114" i="1"/>
  <c r="K114" i="1"/>
  <c r="J114" i="1"/>
  <c r="I114" i="1"/>
  <c r="H114" i="1"/>
  <c r="G114" i="1"/>
  <c r="F114" i="1"/>
  <c r="E114" i="1"/>
  <c r="D114" i="1"/>
  <c r="C114" i="1"/>
  <c r="B114" i="1"/>
  <c r="A114" i="1"/>
  <c r="O113" i="1"/>
  <c r="L113" i="1"/>
  <c r="K113" i="1"/>
  <c r="J113" i="1"/>
  <c r="I113" i="1"/>
  <c r="H113" i="1"/>
  <c r="G113" i="1"/>
  <c r="F113" i="1"/>
  <c r="E113" i="1"/>
  <c r="D113" i="1"/>
  <c r="C113" i="1"/>
  <c r="B113" i="1"/>
  <c r="A113" i="1"/>
  <c r="O112" i="1"/>
  <c r="L112" i="1"/>
  <c r="K112" i="1"/>
  <c r="J112" i="1"/>
  <c r="I112" i="1"/>
  <c r="H112" i="1"/>
  <c r="G112" i="1"/>
  <c r="F112" i="1"/>
  <c r="E112" i="1"/>
  <c r="D112" i="1"/>
  <c r="C112" i="1"/>
  <c r="B112" i="1"/>
  <c r="A112" i="1"/>
  <c r="O111" i="1"/>
  <c r="L111" i="1"/>
  <c r="K111" i="1"/>
  <c r="J111" i="1"/>
  <c r="I111" i="1"/>
  <c r="H111" i="1"/>
  <c r="G111" i="1"/>
  <c r="F111" i="1"/>
  <c r="E111" i="1"/>
  <c r="D111" i="1"/>
  <c r="C111" i="1"/>
  <c r="B111" i="1"/>
  <c r="A111" i="1"/>
  <c r="O110" i="1"/>
  <c r="L110" i="1"/>
  <c r="K110" i="1"/>
  <c r="J110" i="1"/>
  <c r="I110" i="1"/>
  <c r="H110" i="1"/>
  <c r="G110" i="1"/>
  <c r="F110" i="1"/>
  <c r="E110" i="1"/>
  <c r="D110" i="1"/>
  <c r="C110" i="1"/>
  <c r="B110" i="1"/>
  <c r="A110" i="1"/>
  <c r="O109" i="1"/>
  <c r="L109" i="1"/>
  <c r="K109" i="1"/>
  <c r="J109" i="1"/>
  <c r="I109" i="1"/>
  <c r="H109" i="1"/>
  <c r="G109" i="1"/>
  <c r="F109" i="1"/>
  <c r="E109" i="1"/>
  <c r="D109" i="1"/>
  <c r="C109" i="1"/>
  <c r="B109" i="1"/>
  <c r="A109" i="1"/>
  <c r="O108" i="1"/>
  <c r="L108" i="1"/>
  <c r="K108" i="1"/>
  <c r="J108" i="1"/>
  <c r="I108" i="1"/>
  <c r="H108" i="1"/>
  <c r="G108" i="1"/>
  <c r="F108" i="1"/>
  <c r="E108" i="1"/>
  <c r="D108" i="1"/>
  <c r="C108" i="1"/>
  <c r="B108" i="1"/>
  <c r="A108" i="1"/>
  <c r="O107" i="1"/>
  <c r="L107" i="1"/>
  <c r="K107" i="1"/>
  <c r="J107" i="1"/>
  <c r="I107" i="1"/>
  <c r="H107" i="1"/>
  <c r="G107" i="1"/>
  <c r="F107" i="1"/>
  <c r="E107" i="1"/>
  <c r="D107" i="1"/>
  <c r="C107" i="1"/>
  <c r="B107" i="1"/>
  <c r="A107" i="1"/>
  <c r="O106" i="1"/>
  <c r="L106" i="1"/>
  <c r="K106" i="1"/>
  <c r="J106" i="1"/>
  <c r="I106" i="1"/>
  <c r="H106" i="1"/>
  <c r="G106" i="1"/>
  <c r="F106" i="1"/>
  <c r="E106" i="1"/>
  <c r="D106" i="1"/>
  <c r="C106" i="1"/>
  <c r="B106" i="1"/>
  <c r="A106" i="1"/>
  <c r="O105" i="1"/>
  <c r="L105" i="1"/>
  <c r="K105" i="1"/>
  <c r="J105" i="1"/>
  <c r="I105" i="1"/>
  <c r="H105" i="1"/>
  <c r="G105" i="1"/>
  <c r="F105" i="1"/>
  <c r="E105" i="1"/>
  <c r="D105" i="1"/>
  <c r="C105" i="1"/>
  <c r="B105" i="1"/>
  <c r="A105" i="1"/>
  <c r="O104" i="1"/>
  <c r="L104" i="1"/>
  <c r="K104" i="1"/>
  <c r="J104" i="1"/>
  <c r="I104" i="1"/>
  <c r="H104" i="1"/>
  <c r="G104" i="1"/>
  <c r="F104" i="1"/>
  <c r="E104" i="1"/>
  <c r="D104" i="1"/>
  <c r="C104" i="1"/>
  <c r="B104" i="1"/>
  <c r="A104" i="1"/>
  <c r="O103" i="1"/>
  <c r="L103" i="1"/>
  <c r="K103" i="1"/>
  <c r="J103" i="1"/>
  <c r="I103" i="1"/>
  <c r="H103" i="1"/>
  <c r="G103" i="1"/>
  <c r="F103" i="1"/>
  <c r="E103" i="1"/>
  <c r="D103" i="1"/>
  <c r="C103" i="1"/>
  <c r="B103" i="1"/>
  <c r="A103" i="1"/>
  <c r="O102" i="1"/>
  <c r="L102" i="1"/>
  <c r="K102" i="1"/>
  <c r="J102" i="1"/>
  <c r="I102" i="1"/>
  <c r="H102" i="1"/>
  <c r="G102" i="1"/>
  <c r="F102" i="1"/>
  <c r="E102" i="1"/>
  <c r="D102" i="1"/>
  <c r="C102" i="1"/>
  <c r="B102" i="1"/>
  <c r="A102" i="1"/>
  <c r="O101" i="1"/>
  <c r="L101" i="1"/>
  <c r="K101" i="1"/>
  <c r="J101" i="1"/>
  <c r="I101" i="1"/>
  <c r="H101" i="1"/>
  <c r="G101" i="1"/>
  <c r="F101" i="1"/>
  <c r="E101" i="1"/>
  <c r="D101" i="1"/>
  <c r="C101" i="1"/>
  <c r="B101" i="1"/>
  <c r="A101" i="1"/>
  <c r="O100" i="1"/>
  <c r="L100" i="1"/>
  <c r="K100" i="1"/>
  <c r="J100" i="1"/>
  <c r="I100" i="1"/>
  <c r="H100" i="1"/>
  <c r="G100" i="1"/>
  <c r="F100" i="1"/>
  <c r="E100" i="1"/>
  <c r="D100" i="1"/>
  <c r="C100" i="1"/>
  <c r="B100" i="1"/>
  <c r="A100" i="1"/>
  <c r="O99" i="1"/>
  <c r="L99" i="1"/>
  <c r="K99" i="1"/>
  <c r="J99" i="1"/>
  <c r="I99" i="1"/>
  <c r="H99" i="1"/>
  <c r="G99" i="1"/>
  <c r="F99" i="1"/>
  <c r="E99" i="1"/>
  <c r="D99" i="1"/>
  <c r="C99" i="1"/>
  <c r="B99" i="1"/>
  <c r="A99" i="1"/>
  <c r="O98" i="1"/>
  <c r="L98" i="1"/>
  <c r="K98" i="1"/>
  <c r="J98" i="1"/>
  <c r="I98" i="1"/>
  <c r="H98" i="1"/>
  <c r="G98" i="1"/>
  <c r="F98" i="1"/>
  <c r="E98" i="1"/>
  <c r="D98" i="1"/>
  <c r="C98" i="1"/>
  <c r="B98" i="1"/>
  <c r="A98" i="1"/>
  <c r="O97" i="1"/>
  <c r="L97" i="1"/>
  <c r="K97" i="1"/>
  <c r="J97" i="1"/>
  <c r="I97" i="1"/>
  <c r="H97" i="1"/>
  <c r="G97" i="1"/>
  <c r="F97" i="1"/>
  <c r="E97" i="1"/>
  <c r="D97" i="1"/>
  <c r="C97" i="1"/>
  <c r="B97" i="1"/>
  <c r="A97" i="1"/>
  <c r="O96" i="1"/>
  <c r="L96" i="1"/>
  <c r="K96" i="1"/>
  <c r="J96" i="1"/>
  <c r="I96" i="1"/>
  <c r="H96" i="1"/>
  <c r="G96" i="1"/>
  <c r="F96" i="1"/>
  <c r="E96" i="1"/>
  <c r="D96" i="1"/>
  <c r="C96" i="1"/>
  <c r="B96" i="1"/>
  <c r="A96" i="1"/>
  <c r="O95" i="1"/>
  <c r="L95" i="1"/>
  <c r="K95" i="1"/>
  <c r="J95" i="1"/>
  <c r="I95" i="1"/>
  <c r="H95" i="1"/>
  <c r="G95" i="1"/>
  <c r="F95" i="1"/>
  <c r="E95" i="1"/>
  <c r="D95" i="1"/>
  <c r="C95" i="1"/>
  <c r="B95" i="1"/>
  <c r="A95" i="1"/>
  <c r="O94" i="1"/>
  <c r="L94" i="1"/>
  <c r="K94" i="1"/>
  <c r="J94" i="1"/>
  <c r="I94" i="1"/>
  <c r="H94" i="1"/>
  <c r="G94" i="1"/>
  <c r="F94" i="1"/>
  <c r="E94" i="1"/>
  <c r="D94" i="1"/>
  <c r="C94" i="1"/>
  <c r="B94" i="1"/>
  <c r="A94" i="1"/>
  <c r="O93" i="1"/>
  <c r="L93" i="1"/>
  <c r="K93" i="1"/>
  <c r="J93" i="1"/>
  <c r="I93" i="1"/>
  <c r="H93" i="1"/>
  <c r="G93" i="1"/>
  <c r="F93" i="1"/>
  <c r="E93" i="1"/>
  <c r="D93" i="1"/>
  <c r="C93" i="1"/>
  <c r="B93" i="1"/>
  <c r="A93" i="1"/>
  <c r="O92" i="1"/>
  <c r="L92" i="1"/>
  <c r="K92" i="1"/>
  <c r="J92" i="1"/>
  <c r="I92" i="1"/>
  <c r="H92" i="1"/>
  <c r="G92" i="1"/>
  <c r="F92" i="1"/>
  <c r="E92" i="1"/>
  <c r="D92" i="1"/>
  <c r="C92" i="1"/>
  <c r="B92" i="1"/>
  <c r="A92" i="1"/>
  <c r="O91" i="1"/>
  <c r="L91" i="1"/>
  <c r="K91" i="1"/>
  <c r="J91" i="1"/>
  <c r="I91" i="1"/>
  <c r="H91" i="1"/>
  <c r="G91" i="1"/>
  <c r="F91" i="1"/>
  <c r="E91" i="1"/>
  <c r="D91" i="1"/>
  <c r="C91" i="1"/>
  <c r="B91" i="1"/>
  <c r="A91" i="1"/>
  <c r="O90" i="1"/>
  <c r="L90" i="1"/>
  <c r="K90" i="1"/>
  <c r="J90" i="1"/>
  <c r="I90" i="1"/>
  <c r="H90" i="1"/>
  <c r="G90" i="1"/>
  <c r="F90" i="1"/>
  <c r="E90" i="1"/>
  <c r="D90" i="1"/>
  <c r="C90" i="1"/>
  <c r="B90" i="1"/>
  <c r="A90" i="1"/>
  <c r="O89" i="1"/>
  <c r="L89" i="1"/>
  <c r="K89" i="1"/>
  <c r="J89" i="1"/>
  <c r="I89" i="1"/>
  <c r="H89" i="1"/>
  <c r="G89" i="1"/>
  <c r="F89" i="1"/>
  <c r="E89" i="1"/>
  <c r="D89" i="1"/>
  <c r="C89" i="1"/>
  <c r="B89" i="1"/>
  <c r="A89" i="1"/>
  <c r="O88" i="1"/>
  <c r="L88" i="1"/>
  <c r="K88" i="1"/>
  <c r="J88" i="1"/>
  <c r="I88" i="1"/>
  <c r="H88" i="1"/>
  <c r="G88" i="1"/>
  <c r="F88" i="1"/>
  <c r="E88" i="1"/>
  <c r="D88" i="1"/>
  <c r="C88" i="1"/>
  <c r="B88" i="1"/>
  <c r="A88" i="1"/>
  <c r="O87" i="1"/>
  <c r="L87" i="1"/>
  <c r="K87" i="1"/>
  <c r="J87" i="1"/>
  <c r="I87" i="1"/>
  <c r="H87" i="1"/>
  <c r="G87" i="1"/>
  <c r="F87" i="1"/>
  <c r="E87" i="1"/>
  <c r="D87" i="1"/>
  <c r="C87" i="1"/>
  <c r="B87" i="1"/>
  <c r="A87" i="1"/>
  <c r="O86" i="1"/>
  <c r="L86" i="1"/>
  <c r="K86" i="1"/>
  <c r="J86" i="1"/>
  <c r="I86" i="1"/>
  <c r="H86" i="1"/>
  <c r="G86" i="1"/>
  <c r="F86" i="1"/>
  <c r="E86" i="1"/>
  <c r="D86" i="1"/>
  <c r="C86" i="1"/>
  <c r="B86" i="1"/>
  <c r="A86" i="1"/>
  <c r="O85" i="1"/>
  <c r="L85" i="1"/>
  <c r="K85" i="1"/>
  <c r="J85" i="1"/>
  <c r="I85" i="1"/>
  <c r="H85" i="1"/>
  <c r="G85" i="1"/>
  <c r="F85" i="1"/>
  <c r="E85" i="1"/>
  <c r="D85" i="1"/>
  <c r="C85" i="1"/>
  <c r="B85" i="1"/>
  <c r="A85" i="1"/>
  <c r="O84" i="1"/>
  <c r="L84" i="1"/>
  <c r="K84" i="1"/>
  <c r="J84" i="1"/>
  <c r="I84" i="1"/>
  <c r="H84" i="1"/>
  <c r="G84" i="1"/>
  <c r="F84" i="1"/>
  <c r="E84" i="1"/>
  <c r="D84" i="1"/>
  <c r="C84" i="1"/>
  <c r="B84" i="1"/>
  <c r="A84" i="1"/>
  <c r="O83" i="1"/>
  <c r="L83" i="1"/>
  <c r="K83" i="1"/>
  <c r="J83" i="1"/>
  <c r="I83" i="1"/>
  <c r="H83" i="1"/>
  <c r="G83" i="1"/>
  <c r="F83" i="1"/>
  <c r="E83" i="1"/>
  <c r="D83" i="1"/>
  <c r="C83" i="1"/>
  <c r="B83" i="1"/>
  <c r="A83" i="1"/>
  <c r="O82" i="1"/>
  <c r="L82" i="1"/>
  <c r="K82" i="1"/>
  <c r="J82" i="1"/>
  <c r="I82" i="1"/>
  <c r="H82" i="1"/>
  <c r="G82" i="1"/>
  <c r="F82" i="1"/>
  <c r="E82" i="1"/>
  <c r="D82" i="1"/>
  <c r="C82" i="1"/>
  <c r="B82" i="1"/>
  <c r="A82" i="1"/>
  <c r="O81" i="1"/>
  <c r="L81" i="1"/>
  <c r="K81" i="1"/>
  <c r="J81" i="1"/>
  <c r="I81" i="1"/>
  <c r="H81" i="1"/>
  <c r="G81" i="1"/>
  <c r="F81" i="1"/>
  <c r="E81" i="1"/>
  <c r="D81" i="1"/>
  <c r="C81" i="1"/>
  <c r="B81" i="1"/>
  <c r="A81" i="1"/>
  <c r="O80" i="1"/>
  <c r="L80" i="1"/>
  <c r="K80" i="1"/>
  <c r="J80" i="1"/>
  <c r="I80" i="1"/>
  <c r="H80" i="1"/>
  <c r="G80" i="1"/>
  <c r="F80" i="1"/>
  <c r="E80" i="1"/>
  <c r="D80" i="1"/>
  <c r="C80" i="1"/>
  <c r="B80" i="1"/>
  <c r="A80" i="1"/>
  <c r="O79" i="1"/>
  <c r="L79" i="1"/>
  <c r="K79" i="1"/>
  <c r="J79" i="1"/>
  <c r="I79" i="1"/>
  <c r="H79" i="1"/>
  <c r="G79" i="1"/>
  <c r="F79" i="1"/>
  <c r="E79" i="1"/>
  <c r="D79" i="1"/>
  <c r="C79" i="1"/>
  <c r="B79" i="1"/>
  <c r="A79" i="1"/>
  <c r="O78" i="1"/>
  <c r="L78" i="1"/>
  <c r="K78" i="1"/>
  <c r="J78" i="1"/>
  <c r="I78" i="1"/>
  <c r="H78" i="1"/>
  <c r="G78" i="1"/>
  <c r="F78" i="1"/>
  <c r="E78" i="1"/>
  <c r="D78" i="1"/>
  <c r="C78" i="1"/>
  <c r="B78" i="1"/>
  <c r="A78" i="1"/>
  <c r="O77" i="1"/>
  <c r="L77" i="1"/>
  <c r="K77" i="1"/>
  <c r="J77" i="1"/>
  <c r="I77" i="1"/>
  <c r="H77" i="1"/>
  <c r="G77" i="1"/>
  <c r="F77" i="1"/>
  <c r="E77" i="1"/>
  <c r="D77" i="1"/>
  <c r="C77" i="1"/>
  <c r="B77" i="1"/>
  <c r="A77" i="1"/>
  <c r="P76" i="1"/>
  <c r="O76" i="1"/>
  <c r="L76" i="1"/>
  <c r="K76" i="1"/>
  <c r="J76" i="1"/>
  <c r="I76" i="1"/>
  <c r="H76" i="1"/>
  <c r="G76" i="1"/>
  <c r="F76" i="1"/>
  <c r="E76" i="1"/>
  <c r="D76" i="1"/>
  <c r="C76" i="1"/>
  <c r="B76" i="1"/>
  <c r="A76" i="1"/>
  <c r="O75" i="1"/>
  <c r="L75" i="1"/>
  <c r="K75" i="1"/>
  <c r="J75" i="1"/>
  <c r="I75" i="1"/>
  <c r="H75" i="1"/>
  <c r="G75" i="1"/>
  <c r="F75" i="1"/>
  <c r="E75" i="1"/>
  <c r="D75" i="1"/>
  <c r="C75" i="1"/>
  <c r="B75" i="1"/>
  <c r="A75" i="1"/>
  <c r="O74" i="1"/>
  <c r="L74" i="1"/>
  <c r="K74" i="1"/>
  <c r="J74" i="1"/>
  <c r="I74" i="1"/>
  <c r="H74" i="1"/>
  <c r="G74" i="1"/>
  <c r="F74" i="1"/>
  <c r="E74" i="1"/>
  <c r="D74" i="1"/>
  <c r="C74" i="1"/>
  <c r="B74" i="1"/>
  <c r="A74" i="1"/>
  <c r="O73" i="1"/>
  <c r="L73" i="1"/>
  <c r="K73" i="1"/>
  <c r="J73" i="1"/>
  <c r="I73" i="1"/>
  <c r="H73" i="1"/>
  <c r="G73" i="1"/>
  <c r="F73" i="1"/>
  <c r="E73" i="1"/>
  <c r="D73" i="1"/>
  <c r="C73" i="1"/>
  <c r="B73" i="1"/>
  <c r="A73" i="1"/>
  <c r="O72" i="1"/>
  <c r="L72" i="1"/>
  <c r="K72" i="1"/>
  <c r="J72" i="1"/>
  <c r="I72" i="1"/>
  <c r="H72" i="1"/>
  <c r="G72" i="1"/>
  <c r="F72" i="1"/>
  <c r="E72" i="1"/>
  <c r="D72" i="1"/>
  <c r="C72" i="1"/>
  <c r="B72" i="1"/>
  <c r="A72" i="1"/>
  <c r="O71" i="1"/>
  <c r="L71" i="1"/>
  <c r="K71" i="1"/>
  <c r="J71" i="1"/>
  <c r="I71" i="1"/>
  <c r="H71" i="1"/>
  <c r="G71" i="1"/>
  <c r="F71" i="1"/>
  <c r="E71" i="1"/>
  <c r="D71" i="1"/>
  <c r="C71" i="1"/>
  <c r="B71" i="1"/>
  <c r="A71" i="1"/>
  <c r="P70" i="1"/>
  <c r="O70" i="1"/>
  <c r="L70" i="1"/>
  <c r="K70" i="1"/>
  <c r="J70" i="1"/>
  <c r="I70" i="1"/>
  <c r="H70" i="1"/>
  <c r="G70" i="1"/>
  <c r="F70" i="1"/>
  <c r="E70" i="1"/>
  <c r="D70" i="1"/>
  <c r="C70" i="1"/>
  <c r="B70" i="1"/>
  <c r="A70" i="1"/>
  <c r="O69" i="1"/>
  <c r="L69" i="1"/>
  <c r="K69" i="1"/>
  <c r="J69" i="1"/>
  <c r="I69" i="1"/>
  <c r="H69" i="1"/>
  <c r="G69" i="1"/>
  <c r="F69" i="1"/>
  <c r="E69" i="1"/>
  <c r="D69" i="1"/>
  <c r="C69" i="1"/>
  <c r="B69" i="1"/>
  <c r="A69" i="1"/>
  <c r="O68" i="1"/>
  <c r="L68" i="1"/>
  <c r="K68" i="1"/>
  <c r="J68" i="1"/>
  <c r="I68" i="1"/>
  <c r="H68" i="1"/>
  <c r="G68" i="1"/>
  <c r="F68" i="1"/>
  <c r="E68" i="1"/>
  <c r="D68" i="1"/>
  <c r="C68" i="1"/>
  <c r="B68" i="1"/>
  <c r="A68" i="1"/>
  <c r="O67" i="1"/>
  <c r="L67" i="1"/>
  <c r="K67" i="1"/>
  <c r="J67" i="1"/>
  <c r="I67" i="1"/>
  <c r="H67" i="1"/>
  <c r="G67" i="1"/>
  <c r="F67" i="1"/>
  <c r="E67" i="1"/>
  <c r="D67" i="1"/>
  <c r="C67" i="1"/>
  <c r="B67" i="1"/>
  <c r="A67" i="1"/>
  <c r="O66" i="1"/>
  <c r="L66" i="1"/>
  <c r="K66" i="1"/>
  <c r="J66" i="1"/>
  <c r="I66" i="1"/>
  <c r="H66" i="1"/>
  <c r="G66" i="1"/>
  <c r="F66" i="1"/>
  <c r="E66" i="1"/>
  <c r="D66" i="1"/>
  <c r="C66" i="1"/>
  <c r="B66" i="1"/>
  <c r="A66" i="1"/>
  <c r="O65" i="1"/>
  <c r="L65" i="1"/>
  <c r="K65" i="1"/>
  <c r="J65" i="1"/>
  <c r="I65" i="1"/>
  <c r="H65" i="1"/>
  <c r="G65" i="1"/>
  <c r="F65" i="1"/>
  <c r="E65" i="1"/>
  <c r="D65" i="1"/>
  <c r="C65" i="1"/>
  <c r="B65" i="1"/>
  <c r="A65" i="1"/>
  <c r="O64" i="1"/>
  <c r="L64" i="1"/>
  <c r="K64" i="1"/>
  <c r="J64" i="1"/>
  <c r="I64" i="1"/>
  <c r="H64" i="1"/>
  <c r="G64" i="1"/>
  <c r="F64" i="1"/>
  <c r="E64" i="1"/>
  <c r="D64" i="1"/>
  <c r="C64" i="1"/>
  <c r="B64" i="1"/>
  <c r="A64" i="1"/>
  <c r="O63" i="1"/>
  <c r="L63" i="1"/>
  <c r="K63" i="1"/>
  <c r="J63" i="1"/>
  <c r="I63" i="1"/>
  <c r="H63" i="1"/>
  <c r="G63" i="1"/>
  <c r="F63" i="1"/>
  <c r="E63" i="1"/>
  <c r="D63" i="1"/>
  <c r="C63" i="1"/>
  <c r="B63" i="1"/>
  <c r="A63" i="1"/>
  <c r="O62" i="1"/>
  <c r="L62" i="1"/>
  <c r="K62" i="1"/>
  <c r="J62" i="1"/>
  <c r="I62" i="1"/>
  <c r="H62" i="1"/>
  <c r="G62" i="1"/>
  <c r="F62" i="1"/>
  <c r="E62" i="1"/>
  <c r="D62" i="1"/>
  <c r="C62" i="1"/>
  <c r="B62" i="1"/>
  <c r="A62" i="1"/>
  <c r="O61" i="1"/>
  <c r="L61" i="1"/>
  <c r="K61" i="1"/>
  <c r="J61" i="1"/>
  <c r="I61" i="1"/>
  <c r="H61" i="1"/>
  <c r="G61" i="1"/>
  <c r="F61" i="1"/>
  <c r="E61" i="1"/>
  <c r="D61" i="1"/>
  <c r="C61" i="1"/>
  <c r="B61" i="1"/>
  <c r="A61" i="1"/>
  <c r="O60" i="1"/>
  <c r="L60" i="1"/>
  <c r="K60" i="1"/>
  <c r="J60" i="1"/>
  <c r="I60" i="1"/>
  <c r="H60" i="1"/>
  <c r="G60" i="1"/>
  <c r="F60" i="1"/>
  <c r="E60" i="1"/>
  <c r="D60" i="1"/>
  <c r="C60" i="1"/>
  <c r="B60" i="1"/>
  <c r="A60" i="1"/>
  <c r="P59" i="1"/>
  <c r="O59" i="1"/>
  <c r="L59" i="1"/>
  <c r="K59" i="1"/>
  <c r="J59" i="1"/>
  <c r="I59" i="1"/>
  <c r="H59" i="1"/>
  <c r="G59" i="1"/>
  <c r="F59" i="1"/>
  <c r="E59" i="1"/>
  <c r="D59" i="1"/>
  <c r="C59" i="1"/>
  <c r="B59" i="1"/>
  <c r="A59" i="1"/>
  <c r="O58" i="1"/>
  <c r="L58" i="1"/>
  <c r="K58" i="1"/>
  <c r="J58" i="1"/>
  <c r="I58" i="1"/>
  <c r="H58" i="1"/>
  <c r="G58" i="1"/>
  <c r="F58" i="1"/>
  <c r="E58" i="1"/>
  <c r="D58" i="1"/>
  <c r="C58" i="1"/>
  <c r="B58" i="1"/>
  <c r="A58" i="1"/>
  <c r="O57" i="1"/>
  <c r="L57" i="1"/>
  <c r="K57" i="1"/>
  <c r="J57" i="1"/>
  <c r="I57" i="1"/>
  <c r="H57" i="1"/>
  <c r="G57" i="1"/>
  <c r="F57" i="1"/>
  <c r="E57" i="1"/>
  <c r="D57" i="1"/>
  <c r="C57" i="1"/>
  <c r="B57" i="1"/>
  <c r="A57" i="1"/>
  <c r="O56" i="1"/>
  <c r="L56" i="1"/>
  <c r="K56" i="1"/>
  <c r="J56" i="1"/>
  <c r="I56" i="1"/>
  <c r="H56" i="1"/>
  <c r="G56" i="1"/>
  <c r="F56" i="1"/>
  <c r="E56" i="1"/>
  <c r="D56" i="1"/>
  <c r="C56" i="1"/>
  <c r="B56" i="1"/>
  <c r="A56" i="1"/>
  <c r="O55" i="1"/>
  <c r="L55" i="1"/>
  <c r="K55" i="1"/>
  <c r="J55" i="1"/>
  <c r="I55" i="1"/>
  <c r="H55" i="1"/>
  <c r="G55" i="1"/>
  <c r="F55" i="1"/>
  <c r="E55" i="1"/>
  <c r="D55" i="1"/>
  <c r="C55" i="1"/>
  <c r="B55" i="1"/>
  <c r="A55" i="1"/>
  <c r="O54" i="1"/>
  <c r="L54" i="1"/>
  <c r="K54" i="1"/>
  <c r="J54" i="1"/>
  <c r="I54" i="1"/>
  <c r="H54" i="1"/>
  <c r="G54" i="1"/>
  <c r="F54" i="1"/>
  <c r="E54" i="1"/>
  <c r="D54" i="1"/>
  <c r="C54" i="1"/>
  <c r="B54" i="1"/>
  <c r="A54" i="1"/>
  <c r="O53" i="1"/>
  <c r="L53" i="1"/>
  <c r="K53" i="1"/>
  <c r="J53" i="1"/>
  <c r="I53" i="1"/>
  <c r="H53" i="1"/>
  <c r="G53" i="1"/>
  <c r="F53" i="1"/>
  <c r="E53" i="1"/>
  <c r="D53" i="1"/>
  <c r="C53" i="1"/>
  <c r="B53" i="1"/>
  <c r="A53" i="1"/>
  <c r="O52" i="1"/>
  <c r="L52" i="1"/>
  <c r="K52" i="1"/>
  <c r="J52" i="1"/>
  <c r="I52" i="1"/>
  <c r="H52" i="1"/>
  <c r="G52" i="1"/>
  <c r="F52" i="1"/>
  <c r="E52" i="1"/>
  <c r="D52" i="1"/>
  <c r="C52" i="1"/>
  <c r="B52" i="1"/>
  <c r="A52" i="1"/>
  <c r="O51" i="1"/>
  <c r="L51" i="1"/>
  <c r="K51" i="1"/>
  <c r="J51" i="1"/>
  <c r="I51" i="1"/>
  <c r="H51" i="1"/>
  <c r="G51" i="1"/>
  <c r="F51" i="1"/>
  <c r="E51" i="1"/>
  <c r="D51" i="1"/>
  <c r="C51" i="1"/>
  <c r="B51" i="1"/>
  <c r="A51" i="1"/>
  <c r="O50" i="1"/>
  <c r="L50" i="1"/>
  <c r="K50" i="1"/>
  <c r="J50" i="1"/>
  <c r="I50" i="1"/>
  <c r="H50" i="1"/>
  <c r="G50" i="1"/>
  <c r="F50" i="1"/>
  <c r="E50" i="1"/>
  <c r="D50" i="1"/>
  <c r="C50" i="1"/>
  <c r="B50" i="1"/>
  <c r="A50" i="1"/>
  <c r="O49" i="1"/>
  <c r="L49" i="1"/>
  <c r="K49" i="1"/>
  <c r="J49" i="1"/>
  <c r="I49" i="1"/>
  <c r="H49" i="1"/>
  <c r="G49" i="1"/>
  <c r="F49" i="1"/>
  <c r="E49" i="1"/>
  <c r="D49" i="1"/>
  <c r="C49" i="1"/>
  <c r="B49" i="1"/>
  <c r="A49" i="1"/>
  <c r="O48" i="1"/>
  <c r="L48" i="1"/>
  <c r="K48" i="1"/>
  <c r="J48" i="1"/>
  <c r="I48" i="1"/>
  <c r="H48" i="1"/>
  <c r="G48" i="1"/>
  <c r="F48" i="1"/>
  <c r="E48" i="1"/>
  <c r="D48" i="1"/>
  <c r="C48" i="1"/>
  <c r="B48" i="1"/>
  <c r="A48" i="1"/>
  <c r="O47" i="1"/>
  <c r="L47" i="1"/>
  <c r="K47" i="1"/>
  <c r="J47" i="1"/>
  <c r="I47" i="1"/>
  <c r="H47" i="1"/>
  <c r="G47" i="1"/>
  <c r="F47" i="1"/>
  <c r="E47" i="1"/>
  <c r="D47" i="1"/>
  <c r="C47" i="1"/>
  <c r="B47" i="1"/>
  <c r="A47" i="1"/>
  <c r="O46" i="1"/>
  <c r="L46" i="1"/>
  <c r="K46" i="1"/>
  <c r="J46" i="1"/>
  <c r="I46" i="1"/>
  <c r="H46" i="1"/>
  <c r="G46" i="1"/>
  <c r="F46" i="1"/>
  <c r="E46" i="1"/>
  <c r="D46" i="1"/>
  <c r="C46" i="1"/>
  <c r="B46" i="1"/>
  <c r="A46" i="1"/>
  <c r="O45" i="1"/>
  <c r="L45" i="1"/>
  <c r="K45" i="1"/>
  <c r="J45" i="1"/>
  <c r="I45" i="1"/>
  <c r="H45" i="1"/>
  <c r="G45" i="1"/>
  <c r="F45" i="1"/>
  <c r="E45" i="1"/>
  <c r="D45" i="1"/>
  <c r="C45" i="1"/>
  <c r="B45" i="1"/>
  <c r="A45" i="1"/>
  <c r="O44" i="1"/>
  <c r="L44" i="1"/>
  <c r="K44" i="1"/>
  <c r="J44" i="1"/>
  <c r="I44" i="1"/>
  <c r="H44" i="1"/>
  <c r="G44" i="1"/>
  <c r="F44" i="1"/>
  <c r="E44" i="1"/>
  <c r="D44" i="1"/>
  <c r="C44" i="1"/>
  <c r="B44" i="1"/>
  <c r="A44" i="1"/>
  <c r="O43" i="1"/>
  <c r="L43" i="1"/>
  <c r="K43" i="1"/>
  <c r="J43" i="1"/>
  <c r="I43" i="1"/>
  <c r="H43" i="1"/>
  <c r="G43" i="1"/>
  <c r="F43" i="1"/>
  <c r="E43" i="1"/>
  <c r="D43" i="1"/>
  <c r="C43" i="1"/>
  <c r="B43" i="1"/>
  <c r="A43" i="1"/>
  <c r="O42" i="1"/>
  <c r="L42" i="1"/>
  <c r="K42" i="1"/>
  <c r="J42" i="1"/>
  <c r="I42" i="1"/>
  <c r="H42" i="1"/>
  <c r="G42" i="1"/>
  <c r="F42" i="1"/>
  <c r="E42" i="1"/>
  <c r="D42" i="1"/>
  <c r="C42" i="1"/>
  <c r="B42" i="1"/>
  <c r="A42" i="1"/>
  <c r="O41" i="1"/>
  <c r="L41" i="1"/>
  <c r="K41" i="1"/>
  <c r="J41" i="1"/>
  <c r="I41" i="1"/>
  <c r="H41" i="1"/>
  <c r="G41" i="1"/>
  <c r="F41" i="1"/>
  <c r="E41" i="1"/>
  <c r="D41" i="1"/>
  <c r="C41" i="1"/>
  <c r="B41" i="1"/>
  <c r="A41" i="1"/>
  <c r="O40" i="1"/>
  <c r="L40" i="1"/>
  <c r="K40" i="1"/>
  <c r="J40" i="1"/>
  <c r="I40" i="1"/>
  <c r="H40" i="1"/>
  <c r="G40" i="1"/>
  <c r="F40" i="1"/>
  <c r="E40" i="1"/>
  <c r="D40" i="1"/>
  <c r="C40" i="1"/>
  <c r="B40" i="1"/>
  <c r="A40" i="1"/>
  <c r="O39" i="1"/>
  <c r="L39" i="1"/>
  <c r="K39" i="1"/>
  <c r="J39" i="1"/>
  <c r="I39" i="1"/>
  <c r="H39" i="1"/>
  <c r="G39" i="1"/>
  <c r="F39" i="1"/>
  <c r="E39" i="1"/>
  <c r="D39" i="1"/>
  <c r="C39" i="1"/>
  <c r="B39" i="1"/>
  <c r="A39" i="1"/>
  <c r="O38" i="1"/>
  <c r="L38" i="1"/>
  <c r="K38" i="1"/>
  <c r="J38" i="1"/>
  <c r="I38" i="1"/>
  <c r="H38" i="1"/>
  <c r="G38" i="1"/>
  <c r="F38" i="1"/>
  <c r="E38" i="1"/>
  <c r="D38" i="1"/>
  <c r="C38" i="1"/>
  <c r="B38" i="1"/>
  <c r="A38" i="1"/>
  <c r="O37" i="1"/>
  <c r="L37" i="1"/>
  <c r="K37" i="1"/>
  <c r="J37" i="1"/>
  <c r="I37" i="1"/>
  <c r="H37" i="1"/>
  <c r="G37" i="1"/>
  <c r="F37" i="1"/>
  <c r="E37" i="1"/>
  <c r="D37" i="1"/>
  <c r="C37" i="1"/>
  <c r="B37" i="1"/>
  <c r="A37" i="1"/>
  <c r="O36" i="1"/>
  <c r="L36" i="1"/>
  <c r="K36" i="1"/>
  <c r="J36" i="1"/>
  <c r="I36" i="1"/>
  <c r="H36" i="1"/>
  <c r="G36" i="1"/>
  <c r="F36" i="1"/>
  <c r="E36" i="1"/>
  <c r="D36" i="1"/>
  <c r="C36" i="1"/>
  <c r="B36" i="1"/>
  <c r="A36" i="1"/>
  <c r="O35" i="1"/>
  <c r="L35" i="1"/>
  <c r="K35" i="1"/>
  <c r="J35" i="1"/>
  <c r="I35" i="1"/>
  <c r="H35" i="1"/>
  <c r="G35" i="1"/>
  <c r="F35" i="1"/>
  <c r="E35" i="1"/>
  <c r="D35" i="1"/>
  <c r="C35" i="1"/>
  <c r="B35" i="1"/>
  <c r="A35" i="1"/>
  <c r="O34" i="1"/>
  <c r="L34" i="1"/>
  <c r="K34" i="1"/>
  <c r="J34" i="1"/>
  <c r="I34" i="1"/>
  <c r="H34" i="1"/>
  <c r="G34" i="1"/>
  <c r="F34" i="1"/>
  <c r="E34" i="1"/>
  <c r="D34" i="1"/>
  <c r="C34" i="1"/>
  <c r="B34" i="1"/>
  <c r="A34" i="1"/>
  <c r="O33" i="1"/>
  <c r="L33" i="1"/>
  <c r="K33" i="1"/>
  <c r="J33" i="1"/>
  <c r="I33" i="1"/>
  <c r="H33" i="1"/>
  <c r="G33" i="1"/>
  <c r="F33" i="1"/>
  <c r="E33" i="1"/>
  <c r="D33" i="1"/>
  <c r="C33" i="1"/>
  <c r="B33" i="1"/>
  <c r="A33" i="1"/>
  <c r="O32" i="1"/>
  <c r="L32" i="1"/>
  <c r="K32" i="1"/>
  <c r="J32" i="1"/>
  <c r="I32" i="1"/>
  <c r="H32" i="1"/>
  <c r="G32" i="1"/>
  <c r="F32" i="1"/>
  <c r="E32" i="1"/>
  <c r="D32" i="1"/>
  <c r="C32" i="1"/>
  <c r="B32" i="1"/>
  <c r="A32" i="1"/>
  <c r="O31" i="1"/>
  <c r="L31" i="1"/>
  <c r="K31" i="1"/>
  <c r="J31" i="1"/>
  <c r="I31" i="1"/>
  <c r="H31" i="1"/>
  <c r="G31" i="1"/>
  <c r="F31" i="1"/>
  <c r="E31" i="1"/>
  <c r="D31" i="1"/>
  <c r="C31" i="1"/>
  <c r="B31" i="1"/>
  <c r="A31" i="1"/>
  <c r="O30" i="1"/>
  <c r="L30" i="1"/>
  <c r="K30" i="1"/>
  <c r="J30" i="1"/>
  <c r="I30" i="1"/>
  <c r="H30" i="1"/>
  <c r="G30" i="1"/>
  <c r="F30" i="1"/>
  <c r="E30" i="1"/>
  <c r="D30" i="1"/>
  <c r="C30" i="1"/>
  <c r="B30" i="1"/>
  <c r="A30" i="1"/>
  <c r="O29" i="1"/>
  <c r="L29" i="1"/>
  <c r="K29" i="1"/>
  <c r="J29" i="1"/>
  <c r="I29" i="1"/>
  <c r="H29" i="1"/>
  <c r="G29" i="1"/>
  <c r="F29" i="1"/>
  <c r="E29" i="1"/>
  <c r="D29" i="1"/>
  <c r="C29" i="1"/>
  <c r="B29" i="1"/>
  <c r="A29" i="1"/>
  <c r="O28" i="1"/>
  <c r="L28" i="1"/>
  <c r="K28" i="1"/>
  <c r="J28" i="1"/>
  <c r="I28" i="1"/>
  <c r="H28" i="1"/>
  <c r="G28" i="1"/>
  <c r="F28" i="1"/>
  <c r="E28" i="1"/>
  <c r="D28" i="1"/>
  <c r="C28" i="1"/>
  <c r="B28" i="1"/>
  <c r="A28" i="1"/>
  <c r="O27" i="1"/>
  <c r="L27" i="1"/>
  <c r="K27" i="1"/>
  <c r="J27" i="1"/>
  <c r="I27" i="1"/>
  <c r="H27" i="1"/>
  <c r="G27" i="1"/>
  <c r="F27" i="1"/>
  <c r="E27" i="1"/>
  <c r="D27" i="1"/>
  <c r="C27" i="1"/>
  <c r="B27" i="1"/>
  <c r="A27" i="1"/>
  <c r="O26" i="1"/>
  <c r="L26" i="1"/>
  <c r="K26" i="1"/>
  <c r="J26" i="1"/>
  <c r="I26" i="1"/>
  <c r="H26" i="1"/>
  <c r="G26" i="1"/>
  <c r="F26" i="1"/>
  <c r="E26" i="1"/>
  <c r="D26" i="1"/>
  <c r="C26" i="1"/>
  <c r="B26" i="1"/>
  <c r="A26" i="1"/>
  <c r="O25" i="1"/>
  <c r="L25" i="1"/>
  <c r="K25" i="1"/>
  <c r="J25" i="1"/>
  <c r="I25" i="1"/>
  <c r="H25" i="1"/>
  <c r="G25" i="1"/>
  <c r="F25" i="1"/>
  <c r="E25" i="1"/>
  <c r="D25" i="1"/>
  <c r="C25" i="1"/>
  <c r="B25" i="1"/>
  <c r="A25" i="1"/>
  <c r="O24" i="1"/>
  <c r="L24" i="1"/>
  <c r="K24" i="1"/>
  <c r="J24" i="1"/>
  <c r="I24" i="1"/>
  <c r="H24" i="1"/>
  <c r="G24" i="1"/>
  <c r="F24" i="1"/>
  <c r="E24" i="1"/>
  <c r="D24" i="1"/>
  <c r="C24" i="1"/>
  <c r="B24" i="1"/>
  <c r="A24" i="1"/>
  <c r="O23" i="1"/>
  <c r="L23" i="1"/>
  <c r="K23" i="1"/>
  <c r="J23" i="1"/>
  <c r="I23" i="1"/>
  <c r="H23" i="1"/>
  <c r="G23" i="1"/>
  <c r="F23" i="1"/>
  <c r="E23" i="1"/>
  <c r="D23" i="1"/>
  <c r="C23" i="1"/>
  <c r="B23" i="1"/>
  <c r="A23" i="1"/>
  <c r="O22" i="1"/>
  <c r="L22" i="1"/>
  <c r="K22" i="1"/>
  <c r="J22" i="1"/>
  <c r="I22" i="1"/>
  <c r="H22" i="1"/>
  <c r="G22" i="1"/>
  <c r="F22" i="1"/>
  <c r="E22" i="1"/>
  <c r="D22" i="1"/>
  <c r="C22" i="1"/>
  <c r="B22" i="1"/>
  <c r="A22" i="1"/>
  <c r="O21" i="1"/>
  <c r="L21" i="1"/>
  <c r="K21" i="1"/>
  <c r="J21" i="1"/>
  <c r="I21" i="1"/>
  <c r="H21" i="1"/>
  <c r="G21" i="1"/>
  <c r="F21" i="1"/>
  <c r="E21" i="1"/>
  <c r="D21" i="1"/>
  <c r="C21" i="1"/>
  <c r="B21" i="1"/>
  <c r="A21" i="1"/>
  <c r="O20" i="1"/>
  <c r="L20" i="1"/>
  <c r="K20" i="1"/>
  <c r="J20" i="1"/>
  <c r="I20" i="1"/>
  <c r="H20" i="1"/>
  <c r="G20" i="1"/>
  <c r="F20" i="1"/>
  <c r="E20" i="1"/>
  <c r="D20" i="1"/>
  <c r="C20" i="1"/>
  <c r="B20" i="1"/>
  <c r="A20" i="1"/>
  <c r="O19" i="1"/>
  <c r="L19" i="1"/>
  <c r="K19" i="1"/>
  <c r="J19" i="1"/>
  <c r="I19" i="1"/>
  <c r="H19" i="1"/>
  <c r="G19" i="1"/>
  <c r="F19" i="1"/>
  <c r="E19" i="1"/>
  <c r="D19" i="1"/>
  <c r="C19" i="1"/>
  <c r="B19" i="1"/>
  <c r="A19" i="1"/>
  <c r="O18" i="1"/>
  <c r="L18" i="1"/>
  <c r="K18" i="1"/>
  <c r="J18" i="1"/>
  <c r="I18" i="1"/>
  <c r="H18" i="1"/>
  <c r="G18" i="1"/>
  <c r="F18" i="1"/>
  <c r="E18" i="1"/>
  <c r="D18" i="1"/>
  <c r="C18" i="1"/>
  <c r="B18" i="1"/>
  <c r="A18" i="1"/>
  <c r="O17" i="1"/>
  <c r="L17" i="1"/>
  <c r="K17" i="1"/>
  <c r="J17" i="1"/>
  <c r="I17" i="1"/>
  <c r="H17" i="1"/>
  <c r="G17" i="1"/>
  <c r="F17" i="1"/>
  <c r="E17" i="1"/>
  <c r="D17" i="1"/>
  <c r="C17" i="1"/>
  <c r="B17" i="1"/>
  <c r="A17" i="1"/>
  <c r="O16" i="1"/>
  <c r="L16" i="1"/>
  <c r="K16" i="1"/>
  <c r="J16" i="1"/>
  <c r="I16" i="1"/>
  <c r="H16" i="1"/>
  <c r="G16" i="1"/>
  <c r="F16" i="1"/>
  <c r="E16" i="1"/>
  <c r="D16" i="1"/>
  <c r="C16" i="1"/>
  <c r="B16" i="1"/>
  <c r="A16" i="1"/>
  <c r="O15" i="1"/>
  <c r="L15" i="1"/>
  <c r="K15" i="1"/>
  <c r="J15" i="1"/>
  <c r="I15" i="1"/>
  <c r="H15" i="1"/>
  <c r="G15" i="1"/>
  <c r="F15" i="1"/>
  <c r="E15" i="1"/>
  <c r="D15" i="1"/>
  <c r="C15" i="1"/>
  <c r="B15" i="1"/>
  <c r="A15" i="1"/>
  <c r="O14" i="1"/>
  <c r="L14" i="1"/>
  <c r="K14" i="1"/>
  <c r="J14" i="1"/>
  <c r="I14" i="1"/>
  <c r="H14" i="1"/>
  <c r="G14" i="1"/>
  <c r="F14" i="1"/>
  <c r="E14" i="1"/>
  <c r="D14" i="1"/>
  <c r="C14" i="1"/>
  <c r="B14" i="1"/>
  <c r="A14" i="1"/>
  <c r="P13" i="1"/>
  <c r="O13" i="1"/>
  <c r="L13" i="1"/>
  <c r="K13" i="1"/>
  <c r="J13" i="1"/>
  <c r="I13" i="1"/>
  <c r="H13" i="1"/>
  <c r="G13" i="1"/>
  <c r="F13" i="1"/>
  <c r="E13" i="1"/>
  <c r="D13" i="1"/>
  <c r="C13" i="1"/>
  <c r="B13" i="1"/>
  <c r="A13" i="1"/>
  <c r="O12" i="1"/>
  <c r="L12" i="1"/>
  <c r="K12" i="1"/>
  <c r="J12" i="1"/>
  <c r="I12" i="1"/>
  <c r="H12" i="1"/>
  <c r="G12" i="1"/>
  <c r="F12" i="1"/>
  <c r="E12" i="1"/>
  <c r="D12" i="1"/>
  <c r="C12" i="1"/>
  <c r="B12" i="1"/>
  <c r="A12" i="1"/>
  <c r="O11" i="1"/>
  <c r="L11" i="1"/>
  <c r="K11" i="1"/>
  <c r="J11" i="1"/>
  <c r="I11" i="1"/>
  <c r="H11" i="1"/>
  <c r="G11" i="1"/>
  <c r="F11" i="1"/>
  <c r="E11" i="1"/>
  <c r="D11" i="1"/>
  <c r="C11" i="1"/>
  <c r="B11" i="1"/>
  <c r="A11" i="1"/>
  <c r="O10" i="1"/>
  <c r="L10" i="1"/>
  <c r="K10" i="1"/>
  <c r="J10" i="1"/>
  <c r="I10" i="1"/>
  <c r="H10" i="1"/>
  <c r="G10" i="1"/>
  <c r="F10" i="1"/>
  <c r="E10" i="1"/>
  <c r="D10" i="1"/>
  <c r="C10" i="1"/>
  <c r="B10" i="1"/>
  <c r="A10" i="1"/>
  <c r="O9" i="1"/>
  <c r="L9" i="1"/>
  <c r="K9" i="1"/>
  <c r="J9" i="1"/>
  <c r="I9" i="1"/>
  <c r="H9" i="1"/>
  <c r="G9" i="1"/>
  <c r="F9" i="1"/>
  <c r="E9" i="1"/>
  <c r="D9" i="1"/>
  <c r="C9" i="1"/>
  <c r="B9" i="1"/>
  <c r="A9" i="1"/>
  <c r="O8" i="1"/>
  <c r="L8" i="1"/>
  <c r="K8" i="1"/>
  <c r="J8" i="1"/>
  <c r="I8" i="1"/>
  <c r="H8" i="1"/>
  <c r="G8" i="1"/>
  <c r="F8" i="1"/>
  <c r="E8" i="1"/>
  <c r="D8" i="1"/>
  <c r="C8" i="1"/>
  <c r="B8" i="1"/>
  <c r="A8" i="1"/>
  <c r="O7" i="1"/>
  <c r="L7" i="1"/>
  <c r="K7" i="1"/>
  <c r="J7" i="1"/>
  <c r="I7" i="1"/>
  <c r="H7" i="1"/>
  <c r="G7" i="1"/>
  <c r="F7" i="1"/>
  <c r="E7" i="1"/>
  <c r="D7" i="1"/>
  <c r="C7" i="1"/>
  <c r="B7" i="1"/>
  <c r="A7" i="1"/>
  <c r="O6" i="1"/>
  <c r="L6" i="1"/>
  <c r="K6" i="1"/>
  <c r="J6" i="1"/>
  <c r="I6" i="1"/>
  <c r="H6" i="1"/>
  <c r="G6" i="1"/>
  <c r="F6" i="1"/>
  <c r="E6" i="1"/>
  <c r="D6" i="1"/>
  <c r="C6" i="1"/>
  <c r="B6" i="1"/>
  <c r="A6" i="1"/>
  <c r="O5" i="1"/>
  <c r="L5" i="1"/>
  <c r="K5" i="1"/>
  <c r="J5" i="1"/>
  <c r="I5" i="1"/>
  <c r="H5" i="1"/>
  <c r="G5" i="1"/>
  <c r="F5" i="1"/>
  <c r="E5" i="1"/>
  <c r="D5" i="1"/>
  <c r="C5" i="1"/>
  <c r="B5" i="1"/>
  <c r="A5" i="1"/>
  <c r="O4" i="1"/>
  <c r="L4" i="1"/>
  <c r="K4" i="1"/>
  <c r="J4" i="1"/>
  <c r="I4" i="1"/>
  <c r="H4" i="1"/>
  <c r="G4" i="1"/>
  <c r="F4" i="1"/>
  <c r="E4" i="1"/>
  <c r="D4" i="1"/>
  <c r="C4" i="1"/>
  <c r="B4" i="1"/>
  <c r="A4" i="1"/>
  <c r="O3" i="1"/>
  <c r="L3" i="1"/>
  <c r="K3" i="1"/>
  <c r="J3" i="1"/>
  <c r="I3" i="1"/>
  <c r="H3" i="1"/>
  <c r="G3" i="1"/>
  <c r="F3" i="1"/>
  <c r="E3" i="1"/>
  <c r="D3" i="1"/>
  <c r="C3" i="1"/>
  <c r="B3" i="1"/>
  <c r="A3" i="1"/>
  <c r="O2" i="1"/>
  <c r="L2" i="1"/>
  <c r="K2" i="1"/>
  <c r="J2" i="1"/>
  <c r="I2" i="1"/>
  <c r="H2" i="1"/>
  <c r="G2" i="1"/>
  <c r="F2" i="1"/>
  <c r="E2" i="1"/>
  <c r="D2" i="1"/>
  <c r="C2" i="1"/>
  <c r="B2" i="1"/>
  <c r="A2" i="1"/>
  <c r="O1" i="1"/>
  <c r="M1" i="1"/>
  <c r="L1" i="1"/>
  <c r="K1" i="1"/>
  <c r="J1" i="1"/>
  <c r="F1" i="1"/>
  <c r="D1" i="1"/>
  <c r="C1" i="1"/>
  <c r="B1" i="1"/>
  <c r="A1" i="1"/>
  <c r="B70" i="2"/>
  <c r="C69" i="2"/>
  <c r="C68" i="2"/>
</calcChain>
</file>

<file path=xl/sharedStrings.xml><?xml version="1.0" encoding="utf-8"?>
<sst xmlns="http://schemas.openxmlformats.org/spreadsheetml/2006/main" count="2977" uniqueCount="89">
  <si>
    <t>Row Labels</t>
  </si>
  <si>
    <t>Female</t>
  </si>
  <si>
    <t>Grand Total</t>
  </si>
  <si>
    <t>Count of Your Gender</t>
  </si>
  <si>
    <t>People who have changed the world for better</t>
  </si>
  <si>
    <t>Social Media like LinkedIn</t>
  </si>
  <si>
    <t>People from my circle, but not family members</t>
  </si>
  <si>
    <t>Influencers who had successful careers</t>
  </si>
  <si>
    <t>My Parents</t>
  </si>
  <si>
    <t xml:space="preserve">No of Influnced </t>
  </si>
  <si>
    <t>Influncers</t>
  </si>
  <si>
    <t>Pursue Higher Education</t>
  </si>
  <si>
    <t>No way</t>
  </si>
  <si>
    <t>No</t>
  </si>
  <si>
    <t>Yes</t>
  </si>
  <si>
    <t>Will NOT work for them</t>
  </si>
  <si>
    <t>Will work for them</t>
  </si>
  <si>
    <t>How likely is that you will work for one employer for 3 years or more</t>
  </si>
  <si>
    <t>Would you work for a company whose mission is not clearly defined and publicly posted</t>
  </si>
  <si>
    <t>Response</t>
  </si>
  <si>
    <t>Count of How likely would you work for a company whose mission is not bringing social impact ?</t>
  </si>
  <si>
    <t>How likely would you work for a company whose mission is misaligned with their public actions or even their product</t>
  </si>
  <si>
    <t>Work Environment</t>
  </si>
  <si>
    <t>Count of Prepared Location</t>
  </si>
  <si>
    <t>Employer who appreciates learning and enables that environment</t>
  </si>
  <si>
    <t>Employer who pushes your limits and doesn't enables learning environment and never rewards you</t>
  </si>
  <si>
    <t>Employer who pushes your limits by enabling an learning environment, and rewards you at the end</t>
  </si>
  <si>
    <t>Employer who rewards learning and enables that environment</t>
  </si>
  <si>
    <t>Employers who appreciates learning but doesn't enables an learning environment</t>
  </si>
  <si>
    <t>)</t>
  </si>
  <si>
    <t>Work alone</t>
  </si>
  <si>
    <t>yes</t>
  </si>
  <si>
    <t>if sponsor</t>
  </si>
  <si>
    <t>If good Company I will Work</t>
  </si>
  <si>
    <t>Office</t>
  </si>
  <si>
    <t>Remote</t>
  </si>
  <si>
    <t>Remote + Travel</t>
  </si>
  <si>
    <t>Hybrid + &lt;15 in Office</t>
  </si>
  <si>
    <t>Hybrid +&gt;15 in office</t>
  </si>
  <si>
    <t>Which type of learning environment that you are most likely to work in ?</t>
  </si>
  <si>
    <t>Instructor or Expert Learning Programs</t>
  </si>
  <si>
    <t>Self Paced Learning Portals</t>
  </si>
  <si>
    <t>Learning by observing others</t>
  </si>
  <si>
    <t>Self Paced Learning Portals of the Company</t>
  </si>
  <si>
    <t>Trial and error by doing side projects within the company</t>
  </si>
  <si>
    <t>Career Field</t>
  </si>
  <si>
    <t>Instrictor</t>
  </si>
  <si>
    <t>Would you work for a company whose mission is not clearly defined and publicly posted.</t>
  </si>
  <si>
    <t>Design and Creative strategy in any company</t>
  </si>
  <si>
    <t>Business Operations in any organization</t>
  </si>
  <si>
    <t>Manage and drive End-to-End Projects or Products</t>
  </si>
  <si>
    <t>Teaching in any of the institutes/colleges/online or offline</t>
  </si>
  <si>
    <t>Design and Develop amazing software</t>
  </si>
  <si>
    <t>Build and develop a Team</t>
  </si>
  <si>
    <t>Look deeply into Data and generate insights</t>
  </si>
  <si>
    <t>Teaching in any of the institutes/online or Offline</t>
  </si>
  <si>
    <t>Entrepreneur or Start Up</t>
  </si>
  <si>
    <t>Work as a freelancer and do my thing my way</t>
  </si>
  <si>
    <t>Become a content Creator in some platform</t>
  </si>
  <si>
    <t>Work in a BPO setup for some well known client</t>
  </si>
  <si>
    <t>Aspiring Job</t>
  </si>
  <si>
    <t>Learning Prperence</t>
  </si>
  <si>
    <t>Self Learning</t>
  </si>
  <si>
    <t xml:space="preserve">Expert Learning </t>
  </si>
  <si>
    <t>Self Learning In Company</t>
  </si>
  <si>
    <t>Observing &amp;Learn</t>
  </si>
  <si>
    <t>Trial&amp; Error &amp; Learn</t>
  </si>
  <si>
    <t>Career Aspiration</t>
  </si>
  <si>
    <t>Content Creater</t>
  </si>
  <si>
    <t>Developer Team</t>
  </si>
  <si>
    <t>Business Operation</t>
  </si>
  <si>
    <t>Designing</t>
  </si>
  <si>
    <t>Designing + Developing</t>
  </si>
  <si>
    <t>Enterprenuer</t>
  </si>
  <si>
    <t>Data Analyser</t>
  </si>
  <si>
    <t>Project Manger</t>
  </si>
  <si>
    <t>Teacher</t>
  </si>
  <si>
    <t>Freelancer</t>
  </si>
  <si>
    <t>Business Processer</t>
  </si>
  <si>
    <t>Column1</t>
  </si>
  <si>
    <t>Work  &lt;67 people in team</t>
  </si>
  <si>
    <t>Work &lt;=6 People in the Team</t>
  </si>
  <si>
    <t>Work &gt;=7 People in the Team</t>
  </si>
  <si>
    <t>Work &gt;10 people in Team</t>
  </si>
  <si>
    <t>Work Alone, &lt;=6 in team</t>
  </si>
  <si>
    <t>Work alone, Work &gt;10 people in Team</t>
  </si>
  <si>
    <t>Work Setup</t>
  </si>
  <si>
    <t>Male</t>
  </si>
  <si>
    <t>Transgender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</si>
</sst>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scheme val="minor"/>
    </font>
    <font>
      <sz val="10"/>
      <color theme="5"/>
      <name val="Arial"/>
      <family val="2"/>
      <scheme val="minor"/>
    </font>
    <font>
      <sz val="10"/>
      <color rgb="FF000000"/>
      <name val="Arial"/>
      <scheme val="minor"/>
    </font>
    <font>
      <sz val="10"/>
      <color rgb="FF000000"/>
      <name val="Arial"/>
      <family val="2"/>
      <scheme val="minor"/>
    </font>
    <font>
      <b/>
      <sz val="10"/>
      <color theme="1"/>
      <name val="Arial"/>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9" fontId="3" fillId="0" borderId="0" applyFont="0" applyFill="0" applyBorder="0" applyAlignment="0" applyProtection="0"/>
  </cellStyleXfs>
  <cellXfs count="11">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2" fillId="2" borderId="0" xfId="0" applyFont="1" applyFill="1"/>
    <xf numFmtId="9" fontId="0" fillId="0" borderId="0" xfId="1" applyFont="1" applyAlignment="1"/>
    <xf numFmtId="0" fontId="4" fillId="0" borderId="0" xfId="0" applyFont="1"/>
    <xf numFmtId="0" fontId="1" fillId="2" borderId="0" xfId="0" applyFont="1" applyFill="1"/>
    <xf numFmtId="0" fontId="5" fillId="3" borderId="1" xfId="0" applyFont="1" applyFill="1" applyBorder="1" applyAlignment="1">
      <alignment horizontal="left"/>
    </xf>
    <xf numFmtId="0" fontId="0" fillId="0" borderId="0" xfId="0" applyNumberFormat="1"/>
  </cellXfs>
  <cellStyles count="2">
    <cellStyle name="Normal" xfId="0" builtinId="0"/>
    <cellStyle name="Percent" xfId="1" builtinId="5"/>
  </cellStyles>
  <dxfs count="1">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51-46E2-BBB2-241A921AC4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51-46E2-BBB2-241A921AC4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51-46E2-BBB2-241A921AC4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51-46E2-BBB2-241A921AC4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51-46E2-BBB2-241A921AC454}"/>
              </c:ext>
            </c:extLst>
          </c:dPt>
          <c:cat>
            <c:strRef>
              <c:f>Sheet2!$A$12:$A$16</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Sheet2!$B$12:$B$16</c:f>
              <c:numCache>
                <c:formatCode>General</c:formatCode>
                <c:ptCount val="5"/>
                <c:pt idx="0">
                  <c:v>315</c:v>
                </c:pt>
                <c:pt idx="1">
                  <c:v>572</c:v>
                </c:pt>
                <c:pt idx="2">
                  <c:v>288</c:v>
                </c:pt>
                <c:pt idx="3">
                  <c:v>414</c:v>
                </c:pt>
                <c:pt idx="4">
                  <c:v>164</c:v>
                </c:pt>
              </c:numCache>
            </c:numRef>
          </c:val>
          <c:extLst>
            <c:ext xmlns:c16="http://schemas.microsoft.com/office/drawing/2014/chart" uri="{C3380CC4-5D6E-409C-BE32-E72D297353CC}">
              <c16:uniqueId val="{0000000B-B343-48A5-AB53-B9F02364AC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Data.xlsx]Sheet2!PivotTable3</c:name>
    <c:fmtId val="4"/>
  </c:pivotSource>
  <c:chart>
    <c:title>
      <c:tx>
        <c:strRef>
          <c:f>Sheet2!$A$29</c:f>
          <c:strCache>
            <c:ptCount val="1"/>
            <c:pt idx="0">
              <c:v>Pursue Higher Education</c:v>
            </c:pt>
          </c:strCache>
        </c:strRef>
      </c:tx>
      <c:layout>
        <c:manualLayout>
          <c:xMode val="edge"/>
          <c:yMode val="edge"/>
          <c:x val="0.2380083709468355"/>
          <c:y val="6.1032252421706915E-2"/>
        </c:manualLayout>
      </c:layout>
      <c:overlay val="0"/>
      <c:spPr>
        <a:noFill/>
        <a:ln>
          <a:noFill/>
        </a:ln>
        <a:effectLst/>
      </c:spPr>
      <c:txPr>
        <a:bodyPr rot="0" spcFirstLastPara="1" vertOverflow="ellipsis" vert="horz" wrap="square" anchor="ctr" anchorCtr="1"/>
        <a:lstStyle/>
        <a:p>
          <a:pPr>
            <a:defRPr sz="168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rgbClr val="000000">
                <a:lumMod val="65000"/>
                <a:lumOff val="35000"/>
                <a:alpha val="75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0.12440193730963678"/>
              <c:y val="-0.1014735684692967"/>
            </c:manualLayout>
          </c:layout>
          <c:spPr>
            <a:solidFill>
              <a:srgbClr val="000000">
                <a:lumMod val="65000"/>
                <a:lumOff val="35000"/>
                <a:alpha val="75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alpha val="85000"/>
            </a:schemeClr>
          </a:solidFill>
          <a:ln w="9525" cap="flat" cmpd="sng" algn="ctr">
            <a:solidFill>
              <a:schemeClr val="lt1">
                <a:alpha val="50000"/>
              </a:schemeClr>
            </a:solidFill>
            <a:round/>
          </a:ln>
          <a:effectLst/>
        </c:spPr>
        <c:dLbl>
          <c:idx val="0"/>
          <c:layout>
            <c:manualLayout>
              <c:x val="0"/>
              <c:y val="-0.23504745858336934"/>
            </c:manualLayout>
          </c:layout>
          <c:spPr>
            <a:solidFill>
              <a:srgbClr val="000000">
                <a:lumMod val="65000"/>
                <a:lumOff val="35000"/>
                <a:alpha val="75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2.1929575360078018E-17"/>
              <c:y val="-0.2718813840577029"/>
            </c:manualLayout>
          </c:layout>
          <c:spPr>
            <a:solidFill>
              <a:srgbClr val="000000">
                <a:lumMod val="65000"/>
                <a:lumOff val="35000"/>
                <a:alpha val="75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Sheet2!$A$29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8B0C-43C9-A120-6F7DDA891D24}"/>
              </c:ext>
            </c:extLst>
          </c:dPt>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8B0C-43C9-A120-6F7DDA891D24}"/>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8B0C-43C9-A120-6F7DDA891D24}"/>
              </c:ext>
            </c:extLst>
          </c:dPt>
          <c:dLbls>
            <c:dLbl>
              <c:idx val="0"/>
              <c:layout>
                <c:manualLayout>
                  <c:x val="0"/>
                  <c:y val="-0.235047458583369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0C-43C9-A120-6F7DDA891D24}"/>
                </c:ext>
              </c:extLst>
            </c:dLbl>
            <c:dLbl>
              <c:idx val="1"/>
              <c:layout>
                <c:manualLayout>
                  <c:x val="-2.1929575360078018E-17"/>
                  <c:y val="-0.271881384057702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0C-43C9-A120-6F7DDA891D24}"/>
                </c:ext>
              </c:extLst>
            </c:dLbl>
            <c:dLbl>
              <c:idx val="2"/>
              <c:layout>
                <c:manualLayout>
                  <c:x val="-0.12440193730963678"/>
                  <c:y val="-0.10147356846929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0C-43C9-A120-6F7DDA891D24}"/>
                </c:ext>
              </c:extLst>
            </c:dLbl>
            <c:spPr>
              <a:solidFill>
                <a:srgbClr val="000000">
                  <a:lumMod val="65000"/>
                  <a:lumOff val="35000"/>
                  <a:alpha val="75000"/>
                </a:srgbClr>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dk1">
                          <a:lumMod val="50000"/>
                          <a:lumOff val="50000"/>
                        </a:schemeClr>
                      </a:solidFill>
                    </a:ln>
                    <a:effectLst/>
                  </c:spPr>
                </c15:leaderLines>
              </c:ext>
            </c:extLst>
          </c:dLbls>
          <c:cat>
            <c:strRef>
              <c:f>Sheet2!$A$29</c:f>
              <c:strCache>
                <c:ptCount val="3"/>
                <c:pt idx="0">
                  <c:v>if sponsor</c:v>
                </c:pt>
                <c:pt idx="1">
                  <c:v>No</c:v>
                </c:pt>
                <c:pt idx="2">
                  <c:v>yes</c:v>
                </c:pt>
              </c:strCache>
            </c:strRef>
          </c:cat>
          <c:val>
            <c:numRef>
              <c:f>Sheet2!$A$29</c:f>
              <c:numCache>
                <c:formatCode>General</c:formatCode>
                <c:ptCount val="3"/>
                <c:pt idx="0">
                  <c:v>391</c:v>
                </c:pt>
                <c:pt idx="1">
                  <c:v>561</c:v>
                </c:pt>
                <c:pt idx="2">
                  <c:v>801</c:v>
                </c:pt>
              </c:numCache>
            </c:numRef>
          </c:val>
          <c:extLst>
            <c:ext xmlns:c16="http://schemas.microsoft.com/office/drawing/2014/chart" uri="{C3380CC4-5D6E-409C-BE32-E72D297353CC}">
              <c16:uniqueId val="{00000007-590C-4791-B457-AB2DFE19401C}"/>
            </c:ext>
          </c:extLst>
        </c:ser>
        <c:dLbls>
          <c:showLegendKey val="0"/>
          <c:showVal val="0"/>
          <c:showCatName val="0"/>
          <c:showSerName val="0"/>
          <c:showPercent val="0"/>
          <c:showBubbleSize val="0"/>
        </c:dLbls>
        <c:gapWidth val="150"/>
        <c:overlap val="100"/>
        <c:axId val="53691951"/>
        <c:axId val="53694031"/>
      </c:barChart>
      <c:catAx>
        <c:axId val="5369195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dk1">
                    <a:lumMod val="75000"/>
                    <a:lumOff val="25000"/>
                  </a:schemeClr>
                </a:solidFill>
                <a:latin typeface="+mn-lt"/>
                <a:ea typeface="+mn-ea"/>
                <a:cs typeface="+mn-cs"/>
              </a:defRPr>
            </a:pPr>
            <a:endParaRPr lang="en-US"/>
          </a:p>
        </c:txPr>
        <c:crossAx val="53694031"/>
        <c:crosses val="autoZero"/>
        <c:auto val="1"/>
        <c:lblAlgn val="ctr"/>
        <c:lblOffset val="100"/>
        <c:noMultiLvlLbl val="0"/>
      </c:catAx>
      <c:valAx>
        <c:axId val="53694031"/>
        <c:scaling>
          <c:orientation val="minMax"/>
        </c:scaling>
        <c:delete val="1"/>
        <c:axPos val="l"/>
        <c:numFmt formatCode="General" sourceLinked="1"/>
        <c:majorTickMark val="out"/>
        <c:minorTickMark val="none"/>
        <c:tickLblPos val="nextTo"/>
        <c:crossAx val="53691951"/>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Data.xlsx]Sheet2!PivotTable4</c:name>
    <c:fmtId val="6"/>
  </c:pivotSource>
  <c:chart>
    <c:title>
      <c:tx>
        <c:strRef>
          <c:f>Sheet2!$A$46</c:f>
          <c:strCache>
            <c:ptCount val="1"/>
            <c:pt idx="0">
              <c:v>How likely is that you will work for one employer for 3 years or more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Sheet2!$A$46</c:f>
              <c:strCache>
                <c:ptCount val="3"/>
                <c:pt idx="0">
                  <c:v>No way</c:v>
                </c:pt>
                <c:pt idx="1">
                  <c:v>If good Company I will Work</c:v>
                </c:pt>
                <c:pt idx="2">
                  <c:v>Yes</c:v>
                </c:pt>
              </c:strCache>
            </c:strRef>
          </c:cat>
          <c:val>
            <c:numRef>
              <c:f>Sheet2!$A$46</c:f>
              <c:numCache>
                <c:formatCode>General</c:formatCode>
                <c:ptCount val="3"/>
                <c:pt idx="0">
                  <c:v>68</c:v>
                </c:pt>
                <c:pt idx="1">
                  <c:v>1023</c:v>
                </c:pt>
                <c:pt idx="2">
                  <c:v>639</c:v>
                </c:pt>
              </c:numCache>
            </c:numRef>
          </c:val>
          <c:extLst>
            <c:ext xmlns:c16="http://schemas.microsoft.com/office/drawing/2014/chart" uri="{C3380CC4-5D6E-409C-BE32-E72D297353CC}">
              <c16:uniqueId val="{00000001-C51F-4FC8-97A1-BB35F0793527}"/>
            </c:ext>
          </c:extLst>
        </c:ser>
        <c:dLbls>
          <c:dLblPos val="outEnd"/>
          <c:showLegendKey val="0"/>
          <c:showVal val="1"/>
          <c:showCatName val="0"/>
          <c:showSerName val="0"/>
          <c:showPercent val="0"/>
          <c:showBubbleSize val="0"/>
        </c:dLbls>
        <c:gapWidth val="219"/>
        <c:overlap val="-27"/>
        <c:axId val="24778367"/>
        <c:axId val="24770047"/>
      </c:barChart>
      <c:catAx>
        <c:axId val="24778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4770047"/>
        <c:crosses val="autoZero"/>
        <c:auto val="1"/>
        <c:lblAlgn val="ctr"/>
        <c:lblOffset val="100"/>
        <c:noMultiLvlLbl val="0"/>
      </c:catAx>
      <c:valAx>
        <c:axId val="24770047"/>
        <c:scaling>
          <c:orientation val="minMax"/>
        </c:scaling>
        <c:delete val="1"/>
        <c:axPos val="l"/>
        <c:numFmt formatCode="General" sourceLinked="1"/>
        <c:majorTickMark val="out"/>
        <c:minorTickMark val="none"/>
        <c:tickLblPos val="nextTo"/>
        <c:crossAx val="247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[GenZ - Career Aspirations Data.xlsx]Sheet2!PivotTable5</c:name>
    <c:fmtId val="10"/>
  </c:pivotSource>
  <c:chart>
    <c:title>
      <c:tx>
        <c:strRef>
          <c:f>Sheet2!$A$67</c:f>
          <c:strCache>
            <c:ptCount val="1"/>
            <c:pt idx="0">
              <c:v>Would you work for a company whose mission is not clearly defined and publicly posted</c:v>
            </c:pt>
          </c:strCache>
        </c:strRef>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pivotFmt>
      <c:pivotFmt>
        <c:idx val="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pivotFmt>
    </c:pivotFmts>
    <c:plotArea>
      <c:layout/>
      <c:pieChart>
        <c:varyColors val="1"/>
        <c:ser>
          <c:idx val="0"/>
          <c:order val="0"/>
          <c:tx>
            <c:strRef>
              <c:f>Sheet2!$A$67</c:f>
              <c:strCache>
                <c:ptCount val="1"/>
                <c:pt idx="0">
                  <c:v>Total</c:v>
                </c:pt>
              </c:strCache>
            </c:strRef>
          </c:tx>
          <c:dPt>
            <c:idx val="0"/>
            <c:bubble3D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c:spPr>
            <c:extLst>
              <c:ext xmlns:c16="http://schemas.microsoft.com/office/drawing/2014/chart" uri="{C3380CC4-5D6E-409C-BE32-E72D297353CC}">
                <c16:uniqueId val="{00000001-0B71-450F-A4B0-FD65A111E471}"/>
              </c:ext>
            </c:extLst>
          </c:dPt>
          <c:dPt>
            <c:idx val="1"/>
            <c:bubble3D val="0"/>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c:spPr>
            <c:extLst>
              <c:ext xmlns:c16="http://schemas.microsoft.com/office/drawing/2014/chart" uri="{C3380CC4-5D6E-409C-BE32-E72D297353CC}">
                <c16:uniqueId val="{00000003-0B71-450F-A4B0-FD65A111E471}"/>
              </c:ext>
            </c:extLst>
          </c:dPt>
          <c:dLbls>
            <c:spPr>
              <a:solidFill>
                <a:srgbClr val="FFFFFF"/>
              </a:solidFill>
              <a:ln>
                <a:solidFill>
                  <a:srgbClr val="000000">
                    <a:lumMod val="25000"/>
                    <a:lumOff val="75000"/>
                  </a:srgbClr>
                </a:solid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Sheet2!$A$67</c:f>
              <c:strCache>
                <c:ptCount val="2"/>
                <c:pt idx="0">
                  <c:v>No</c:v>
                </c:pt>
                <c:pt idx="1">
                  <c:v>Yes</c:v>
                </c:pt>
              </c:strCache>
            </c:strRef>
          </c:cat>
          <c:val>
            <c:numRef>
              <c:f>Sheet2!$A$67</c:f>
              <c:numCache>
                <c:formatCode>General</c:formatCode>
                <c:ptCount val="2"/>
                <c:pt idx="0">
                  <c:v>1260</c:v>
                </c:pt>
                <c:pt idx="1">
                  <c:v>493</c:v>
                </c:pt>
              </c:numCache>
            </c:numRef>
          </c:val>
          <c:extLst>
            <c:ext xmlns:c16="http://schemas.microsoft.com/office/drawing/2014/chart" uri="{C3380CC4-5D6E-409C-BE32-E72D297353CC}">
              <c16:uniqueId val="{00000005-765E-421F-B020-863963BC5BA1}"/>
            </c:ext>
          </c:extLst>
        </c:ser>
        <c:dLbls>
          <c:showLegendKey val="0"/>
          <c:showVal val="0"/>
          <c:showCatName val="0"/>
          <c:showSerName val="0"/>
          <c:showPercent val="0"/>
          <c:showBubbleSize val="0"/>
          <c:showLeaderLines val="1"/>
        </c:dLbls>
        <c:firstSliceAng val="1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Data.xlsx]Sheet2!PivotTable7</c:name>
    <c:fmtId val="2"/>
  </c:pivotSource>
  <c:chart>
    <c:title>
      <c:tx>
        <c:strRef>
          <c:f>Sheet2!$A$94</c:f>
          <c:strCache>
            <c:ptCount val="1"/>
            <c:pt idx="0">
              <c:v>Work Environment</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Sheet2!$A$94</c:f>
              <c:strCache>
                <c:ptCount val="5"/>
                <c:pt idx="0">
                  <c:v>Office</c:v>
                </c:pt>
                <c:pt idx="1">
                  <c:v>Remote</c:v>
                </c:pt>
                <c:pt idx="2">
                  <c:v>Remote + Travel</c:v>
                </c:pt>
                <c:pt idx="3">
                  <c:v>Hybrid + &lt;15 in Office</c:v>
                </c:pt>
                <c:pt idx="4">
                  <c:v>Hybrid +&gt;15 in office</c:v>
                </c:pt>
              </c:strCache>
            </c:strRef>
          </c:cat>
          <c:val>
            <c:numRef>
              <c:f>Sheet2!$A$94</c:f>
              <c:numCache>
                <c:formatCode>General</c:formatCode>
                <c:ptCount val="5"/>
                <c:pt idx="0">
                  <c:v>340</c:v>
                </c:pt>
                <c:pt idx="1">
                  <c:v>101</c:v>
                </c:pt>
                <c:pt idx="2">
                  <c:v>502</c:v>
                </c:pt>
                <c:pt idx="3">
                  <c:v>257</c:v>
                </c:pt>
                <c:pt idx="4">
                  <c:v>407</c:v>
                </c:pt>
              </c:numCache>
            </c:numRef>
          </c:val>
          <c:extLst>
            <c:ext xmlns:c16="http://schemas.microsoft.com/office/drawing/2014/chart" uri="{C3380CC4-5D6E-409C-BE32-E72D297353CC}">
              <c16:uniqueId val="{00000000-7CE3-4B58-ADE6-1ECC621BF6C7}"/>
            </c:ext>
          </c:extLst>
        </c:ser>
        <c:dLbls>
          <c:dLblPos val="outEnd"/>
          <c:showLegendKey val="0"/>
          <c:showVal val="1"/>
          <c:showCatName val="0"/>
          <c:showSerName val="0"/>
          <c:showPercent val="0"/>
          <c:showBubbleSize val="0"/>
        </c:dLbls>
        <c:gapWidth val="219"/>
        <c:overlap val="-27"/>
        <c:axId val="52198495"/>
        <c:axId val="52195167"/>
      </c:barChart>
      <c:catAx>
        <c:axId val="521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2195167"/>
        <c:crosses val="autoZero"/>
        <c:auto val="1"/>
        <c:lblAlgn val="ctr"/>
        <c:lblOffset val="100"/>
        <c:noMultiLvlLbl val="0"/>
      </c:catAx>
      <c:valAx>
        <c:axId val="52195167"/>
        <c:scaling>
          <c:orientation val="minMax"/>
        </c:scaling>
        <c:delete val="1"/>
        <c:axPos val="l"/>
        <c:numFmt formatCode="General" sourceLinked="1"/>
        <c:majorTickMark val="none"/>
        <c:minorTickMark val="none"/>
        <c:tickLblPos val="nextTo"/>
        <c:crossAx val="5219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Data.xlsx]Sheet2!PivotTable12</c:name>
    <c:fmtId val="2"/>
  </c:pivotSource>
  <c:chart>
    <c:title>
      <c:tx>
        <c:strRef>
          <c:f>Sheet2!$A$227</c:f>
          <c:strCache>
            <c:ptCount val="1"/>
            <c:pt idx="0">
              <c:v>Work Setup</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Sheet2!$A$227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Sheet2!$A$227</c:f>
              <c:strCache>
                <c:ptCount val="7"/>
                <c:pt idx="0">
                  <c:v>Work alone, Work &gt;10 people in Team</c:v>
                </c:pt>
                <c:pt idx="1">
                  <c:v>Work  &lt;67 people in team</c:v>
                </c:pt>
                <c:pt idx="2">
                  <c:v>Work alone</c:v>
                </c:pt>
                <c:pt idx="3">
                  <c:v>Work Alone, &lt;=6 in team</c:v>
                </c:pt>
                <c:pt idx="4">
                  <c:v>Work &gt;=7 People in the Team</c:v>
                </c:pt>
                <c:pt idx="5">
                  <c:v>Work &gt;10 people in Team</c:v>
                </c:pt>
                <c:pt idx="6">
                  <c:v>Work &lt;=6 People in the Team</c:v>
                </c:pt>
              </c:strCache>
            </c:strRef>
          </c:cat>
          <c:val>
            <c:numRef>
              <c:f>Sheet2!$A$227</c:f>
              <c:numCache>
                <c:formatCode>General</c:formatCode>
                <c:ptCount val="7"/>
                <c:pt idx="0">
                  <c:v>10</c:v>
                </c:pt>
                <c:pt idx="1">
                  <c:v>41</c:v>
                </c:pt>
                <c:pt idx="2">
                  <c:v>88</c:v>
                </c:pt>
                <c:pt idx="3">
                  <c:v>124</c:v>
                </c:pt>
                <c:pt idx="4">
                  <c:v>148</c:v>
                </c:pt>
                <c:pt idx="5">
                  <c:v>266</c:v>
                </c:pt>
                <c:pt idx="6">
                  <c:v>967</c:v>
                </c:pt>
              </c:numCache>
            </c:numRef>
          </c:val>
          <c:extLst>
            <c:ext xmlns:c16="http://schemas.microsoft.com/office/drawing/2014/chart" uri="{C3380CC4-5D6E-409C-BE32-E72D297353CC}">
              <c16:uniqueId val="{00000000-9344-4B93-BD64-7FA44A3A6C71}"/>
            </c:ext>
          </c:extLst>
        </c:ser>
        <c:dLbls>
          <c:dLblPos val="outEnd"/>
          <c:showLegendKey val="0"/>
          <c:showVal val="1"/>
          <c:showCatName val="0"/>
          <c:showSerName val="0"/>
          <c:showPercent val="0"/>
          <c:showBubbleSize val="0"/>
        </c:dLbls>
        <c:gapWidth val="182"/>
        <c:axId val="285295599"/>
        <c:axId val="285296015"/>
      </c:barChart>
      <c:catAx>
        <c:axId val="28529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85296015"/>
        <c:crosses val="autoZero"/>
        <c:auto val="1"/>
        <c:lblAlgn val="ctr"/>
        <c:lblOffset val="100"/>
        <c:noMultiLvlLbl val="0"/>
      </c:catAx>
      <c:valAx>
        <c:axId val="285296015"/>
        <c:scaling>
          <c:orientation val="minMax"/>
        </c:scaling>
        <c:delete val="1"/>
        <c:axPos val="b"/>
        <c:numFmt formatCode="General" sourceLinked="1"/>
        <c:majorTickMark val="none"/>
        <c:minorTickMark val="none"/>
        <c:tickLblPos val="nextTo"/>
        <c:crossAx val="28529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Data.xlsx]Sheet2!PivotTable16</c:name>
    <c:fmtId val="5"/>
  </c:pivotSource>
  <c:chart>
    <c:title>
      <c:tx>
        <c:strRef>
          <c:f>Sheet2!$A$196</c:f>
          <c:strCache>
            <c:ptCount val="1"/>
            <c:pt idx="0">
              <c:v>Career Aspiration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Sheet2!$A$196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Sheet2!$A$196</c:f>
              <c:strCache>
                <c:ptCount val="11"/>
                <c:pt idx="0">
                  <c:v>Enterprenuer</c:v>
                </c:pt>
                <c:pt idx="1">
                  <c:v>Content Creater</c:v>
                </c:pt>
                <c:pt idx="2">
                  <c:v>Business Processer</c:v>
                </c:pt>
                <c:pt idx="3">
                  <c:v>Freelancer</c:v>
                </c:pt>
                <c:pt idx="4">
                  <c:v>Data Analyser</c:v>
                </c:pt>
                <c:pt idx="5">
                  <c:v>Designing + Developing</c:v>
                </c:pt>
                <c:pt idx="6">
                  <c:v>Developer Team</c:v>
                </c:pt>
                <c:pt idx="7">
                  <c:v>Project Manger</c:v>
                </c:pt>
                <c:pt idx="8">
                  <c:v>Teacher</c:v>
                </c:pt>
                <c:pt idx="9">
                  <c:v>Business Operation</c:v>
                </c:pt>
                <c:pt idx="10">
                  <c:v>Designing</c:v>
                </c:pt>
              </c:strCache>
            </c:strRef>
          </c:cat>
          <c:val>
            <c:numRef>
              <c:f>Sheet2!$A$196</c:f>
              <c:numCache>
                <c:formatCode>General</c:formatCode>
                <c:ptCount val="11"/>
                <c:pt idx="0">
                  <c:v>1</c:v>
                </c:pt>
                <c:pt idx="1">
                  <c:v>3</c:v>
                </c:pt>
                <c:pt idx="2">
                  <c:v>3</c:v>
                </c:pt>
                <c:pt idx="3">
                  <c:v>5</c:v>
                </c:pt>
                <c:pt idx="4">
                  <c:v>10</c:v>
                </c:pt>
                <c:pt idx="5">
                  <c:v>17</c:v>
                </c:pt>
                <c:pt idx="6">
                  <c:v>36</c:v>
                </c:pt>
                <c:pt idx="7">
                  <c:v>55</c:v>
                </c:pt>
                <c:pt idx="8">
                  <c:v>83</c:v>
                </c:pt>
                <c:pt idx="9">
                  <c:v>106</c:v>
                </c:pt>
                <c:pt idx="10">
                  <c:v>226</c:v>
                </c:pt>
              </c:numCache>
            </c:numRef>
          </c:val>
          <c:extLst>
            <c:ext xmlns:c16="http://schemas.microsoft.com/office/drawing/2014/chart" uri="{C3380CC4-5D6E-409C-BE32-E72D297353CC}">
              <c16:uniqueId val="{00000000-B557-45E8-A43C-5C235F1922D6}"/>
            </c:ext>
          </c:extLst>
        </c:ser>
        <c:dLbls>
          <c:dLblPos val="outEnd"/>
          <c:showLegendKey val="0"/>
          <c:showVal val="1"/>
          <c:showCatName val="0"/>
          <c:showSerName val="0"/>
          <c:showPercent val="0"/>
          <c:showBubbleSize val="0"/>
        </c:dLbls>
        <c:gapWidth val="182"/>
        <c:axId val="564530288"/>
        <c:axId val="564519472"/>
      </c:barChart>
      <c:catAx>
        <c:axId val="56453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64519472"/>
        <c:crosses val="autoZero"/>
        <c:auto val="1"/>
        <c:lblAlgn val="ctr"/>
        <c:lblOffset val="100"/>
        <c:noMultiLvlLbl val="0"/>
      </c:catAx>
      <c:valAx>
        <c:axId val="564519472"/>
        <c:scaling>
          <c:orientation val="minMax"/>
        </c:scaling>
        <c:delete val="1"/>
        <c:axPos val="b"/>
        <c:numFmt formatCode="General" sourceLinked="1"/>
        <c:majorTickMark val="none"/>
        <c:minorTickMark val="none"/>
        <c:tickLblPos val="nextTo"/>
        <c:crossAx val="56453028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Data.xlsx]Sheet2!PivotTable11</c:name>
    <c:fmtId val="5"/>
  </c:pivotSource>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r>
              <a:rPr lang="en-US"/>
              <a:t>Learning Preparences</a:t>
            </a:r>
          </a:p>
        </c:rich>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Sheet2!$A$179:$A$183</c:f>
              <c:strCache>
                <c:ptCount val="5"/>
                <c:pt idx="0">
                  <c:v>Trial&amp; Error &amp; Learn</c:v>
                </c:pt>
                <c:pt idx="1">
                  <c:v>Observing &amp;Learn</c:v>
                </c:pt>
                <c:pt idx="2">
                  <c:v>Self Learning</c:v>
                </c:pt>
                <c:pt idx="3">
                  <c:v>Expert Learning </c:v>
                </c:pt>
                <c:pt idx="4">
                  <c:v>Self Learning In Company</c:v>
                </c:pt>
              </c:strCache>
            </c:strRef>
          </c:cat>
          <c:val>
            <c:numRef>
              <c:f>Sheet2!$B$179:$B$183</c:f>
              <c:numCache>
                <c:formatCode>General</c:formatCode>
                <c:ptCount val="5"/>
                <c:pt idx="0">
                  <c:v>12</c:v>
                </c:pt>
                <c:pt idx="1">
                  <c:v>134</c:v>
                </c:pt>
                <c:pt idx="2">
                  <c:v>189</c:v>
                </c:pt>
                <c:pt idx="3">
                  <c:v>544</c:v>
                </c:pt>
                <c:pt idx="4">
                  <c:v>874</c:v>
                </c:pt>
              </c:numCache>
            </c:numRef>
          </c:val>
          <c:extLst>
            <c:ext xmlns:c16="http://schemas.microsoft.com/office/drawing/2014/chart" uri="{C3380CC4-5D6E-409C-BE32-E72D297353CC}">
              <c16:uniqueId val="{00000000-64DF-49C8-8A3E-76189C20FD60}"/>
            </c:ext>
          </c:extLst>
        </c:ser>
        <c:dLbls>
          <c:dLblPos val="outEnd"/>
          <c:showLegendKey val="0"/>
          <c:showVal val="1"/>
          <c:showCatName val="0"/>
          <c:showSerName val="0"/>
          <c:showPercent val="0"/>
          <c:showBubbleSize val="0"/>
        </c:dLbls>
        <c:gapWidth val="182"/>
        <c:axId val="614166976"/>
        <c:axId val="614167808"/>
      </c:barChart>
      <c:catAx>
        <c:axId val="61416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14167808"/>
        <c:crosses val="autoZero"/>
        <c:auto val="1"/>
        <c:lblAlgn val="ctr"/>
        <c:lblOffset val="100"/>
        <c:noMultiLvlLbl val="0"/>
      </c:catAx>
      <c:valAx>
        <c:axId val="614167808"/>
        <c:scaling>
          <c:orientation val="minMax"/>
        </c:scaling>
        <c:delete val="1"/>
        <c:axPos val="b"/>
        <c:numFmt formatCode="General" sourceLinked="1"/>
        <c:majorTickMark val="none"/>
        <c:minorTickMark val="none"/>
        <c:tickLblPos val="nextTo"/>
        <c:crossAx val="61416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sz="14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Data.xlsx]Sheet2!PivotTable3</c:name>
    <c:fmtId val="1"/>
  </c:pivotSource>
  <c:chart>
    <c:title>
      <c:tx>
        <c:strRef>
          <c:f>Sheet2!$A$29</c:f>
          <c:strCache>
            <c:ptCount val="1"/>
            <c:pt idx="0">
              <c:v>Pursue Higher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Sheet2!$A$29</c:f>
              <c:strCache>
                <c:ptCount val="1"/>
                <c:pt idx="0">
                  <c:v>Total</c:v>
                </c:pt>
              </c:strCache>
            </c:strRef>
          </c:tx>
          <c:spPr>
            <a:solidFill>
              <a:schemeClr val="accent1"/>
            </a:solidFill>
            <a:ln>
              <a:noFill/>
            </a:ln>
            <a:effectLst/>
          </c:spPr>
          <c:invertIfNegative val="0"/>
          <c:cat>
            <c:strRef>
              <c:f>Sheet2!$A$29</c:f>
              <c:strCache>
                <c:ptCount val="3"/>
                <c:pt idx="0">
                  <c:v>if sponsor</c:v>
                </c:pt>
                <c:pt idx="1">
                  <c:v>No</c:v>
                </c:pt>
                <c:pt idx="2">
                  <c:v>yes</c:v>
                </c:pt>
              </c:strCache>
            </c:strRef>
          </c:cat>
          <c:val>
            <c:numRef>
              <c:f>Sheet2!$A$29</c:f>
              <c:numCache>
                <c:formatCode>General</c:formatCode>
                <c:ptCount val="3"/>
                <c:pt idx="0">
                  <c:v>391</c:v>
                </c:pt>
                <c:pt idx="1">
                  <c:v>561</c:v>
                </c:pt>
                <c:pt idx="2">
                  <c:v>801</c:v>
                </c:pt>
              </c:numCache>
            </c:numRef>
          </c:val>
          <c:extLst>
            <c:ext xmlns:c16="http://schemas.microsoft.com/office/drawing/2014/chart" uri="{C3380CC4-5D6E-409C-BE32-E72D297353CC}">
              <c16:uniqueId val="{00000001-E35B-4174-89F1-F5CBCD874029}"/>
            </c:ext>
          </c:extLst>
        </c:ser>
        <c:dLbls>
          <c:showLegendKey val="0"/>
          <c:showVal val="0"/>
          <c:showCatName val="0"/>
          <c:showSerName val="0"/>
          <c:showPercent val="0"/>
          <c:showBubbleSize val="0"/>
        </c:dLbls>
        <c:gapWidth val="150"/>
        <c:overlap val="100"/>
        <c:axId val="53691951"/>
        <c:axId val="53694031"/>
      </c:barChart>
      <c:catAx>
        <c:axId val="536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031"/>
        <c:crosses val="autoZero"/>
        <c:auto val="1"/>
        <c:lblAlgn val="ctr"/>
        <c:lblOffset val="100"/>
        <c:noMultiLvlLbl val="0"/>
      </c:catAx>
      <c:valAx>
        <c:axId val="5369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Data.xlsx]Sheet2!PivotTable4</c:name>
    <c:fmtId val="4"/>
  </c:pivotSource>
  <c:chart>
    <c:title>
      <c:tx>
        <c:strRef>
          <c:f>Sheet2!$A$46</c:f>
          <c:strCache>
            <c:ptCount val="1"/>
            <c:pt idx="0">
              <c:v>How likely is that you will work for one employer for 3 years or more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Sheet2!$A$46</c:f>
              <c:strCache>
                <c:ptCount val="3"/>
                <c:pt idx="0">
                  <c:v>No way</c:v>
                </c:pt>
                <c:pt idx="1">
                  <c:v>If good Company I will Work</c:v>
                </c:pt>
                <c:pt idx="2">
                  <c:v>Yes</c:v>
                </c:pt>
              </c:strCache>
            </c:strRef>
          </c:cat>
          <c:val>
            <c:numRef>
              <c:f>Sheet2!$A$46</c:f>
              <c:numCache>
                <c:formatCode>General</c:formatCode>
                <c:ptCount val="3"/>
                <c:pt idx="0">
                  <c:v>68</c:v>
                </c:pt>
                <c:pt idx="1">
                  <c:v>1023</c:v>
                </c:pt>
                <c:pt idx="2">
                  <c:v>639</c:v>
                </c:pt>
              </c:numCache>
            </c:numRef>
          </c:val>
          <c:extLst>
            <c:ext xmlns:c16="http://schemas.microsoft.com/office/drawing/2014/chart" uri="{C3380CC4-5D6E-409C-BE32-E72D297353CC}">
              <c16:uniqueId val="{00000000-0DA5-4D45-A183-9E148B270F76}"/>
            </c:ext>
          </c:extLst>
        </c:ser>
        <c:dLbls>
          <c:dLblPos val="outEnd"/>
          <c:showLegendKey val="0"/>
          <c:showVal val="1"/>
          <c:showCatName val="0"/>
          <c:showSerName val="0"/>
          <c:showPercent val="0"/>
          <c:showBubbleSize val="0"/>
        </c:dLbls>
        <c:gapWidth val="219"/>
        <c:overlap val="-27"/>
        <c:axId val="24778367"/>
        <c:axId val="24770047"/>
      </c:barChart>
      <c:catAx>
        <c:axId val="24778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70047"/>
        <c:crosses val="autoZero"/>
        <c:auto val="1"/>
        <c:lblAlgn val="ctr"/>
        <c:lblOffset val="100"/>
        <c:noMultiLvlLbl val="0"/>
      </c:catAx>
      <c:valAx>
        <c:axId val="24770047"/>
        <c:scaling>
          <c:orientation val="minMax"/>
        </c:scaling>
        <c:delete val="1"/>
        <c:axPos val="l"/>
        <c:numFmt formatCode="General" sourceLinked="1"/>
        <c:majorTickMark val="out"/>
        <c:minorTickMark val="none"/>
        <c:tickLblPos val="nextTo"/>
        <c:crossAx val="247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Data.xlsx]Sheet2!PivotTable5</c:name>
    <c:fmtId val="8"/>
  </c:pivotSource>
  <c:chart>
    <c:title>
      <c:tx>
        <c:strRef>
          <c:f>Sheet2!$A$67</c:f>
          <c:strCache>
            <c:ptCount val="1"/>
            <c:pt idx="0">
              <c:v>Would you work for a company whose mission is not clearly defined and publicly posted</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Sheet2!$A$67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6AA-4F7B-9868-1CAD0CA132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6AA-4F7B-9868-1CAD0CA13216}"/>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Sheet2!$A$67</c:f>
              <c:strCache>
                <c:ptCount val="2"/>
                <c:pt idx="0">
                  <c:v>No</c:v>
                </c:pt>
                <c:pt idx="1">
                  <c:v>Yes</c:v>
                </c:pt>
              </c:strCache>
            </c:strRef>
          </c:cat>
          <c:val>
            <c:numRef>
              <c:f>Sheet2!$A$67</c:f>
              <c:numCache>
                <c:formatCode>General</c:formatCode>
                <c:ptCount val="2"/>
                <c:pt idx="0">
                  <c:v>1260</c:v>
                </c:pt>
                <c:pt idx="1">
                  <c:v>493</c:v>
                </c:pt>
              </c:numCache>
            </c:numRef>
          </c:val>
          <c:extLst>
            <c:ext xmlns:c16="http://schemas.microsoft.com/office/drawing/2014/chart" uri="{C3380CC4-5D6E-409C-BE32-E72D297353CC}">
              <c16:uniqueId val="{00000005-C574-41EC-B539-7E92C92C08FD}"/>
            </c:ext>
          </c:extLst>
        </c:ser>
        <c:dLbls>
          <c:showLegendKey val="0"/>
          <c:showVal val="0"/>
          <c:showCatName val="0"/>
          <c:showSerName val="0"/>
          <c:showPercent val="0"/>
          <c:showBubbleSize val="0"/>
          <c:showLeaderLines val="1"/>
        </c:dLbls>
        <c:firstSliceAng val="1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Data.xlsx]Sheet2!PivotTable7</c:name>
    <c:fmtId val="0"/>
  </c:pivotSource>
  <c:chart>
    <c:title>
      <c:tx>
        <c:strRef>
          <c:f>Sheet2!$A$94</c:f>
          <c:strCache>
            <c:ptCount val="1"/>
            <c:pt idx="0">
              <c:v>Work Environment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Sheet2!$A$94</c:f>
              <c:strCache>
                <c:ptCount val="5"/>
                <c:pt idx="0">
                  <c:v>Office</c:v>
                </c:pt>
                <c:pt idx="1">
                  <c:v>Remote</c:v>
                </c:pt>
                <c:pt idx="2">
                  <c:v>Remote + Travel</c:v>
                </c:pt>
                <c:pt idx="3">
                  <c:v>Hybrid + &lt;15 in Office</c:v>
                </c:pt>
                <c:pt idx="4">
                  <c:v>Hybrid +&gt;15 in office</c:v>
                </c:pt>
              </c:strCache>
            </c:strRef>
          </c:cat>
          <c:val>
            <c:numRef>
              <c:f>Sheet2!$A$94</c:f>
              <c:numCache>
                <c:formatCode>General</c:formatCode>
                <c:ptCount val="5"/>
                <c:pt idx="0">
                  <c:v>340</c:v>
                </c:pt>
                <c:pt idx="1">
                  <c:v>101</c:v>
                </c:pt>
                <c:pt idx="2">
                  <c:v>502</c:v>
                </c:pt>
                <c:pt idx="3">
                  <c:v>257</c:v>
                </c:pt>
                <c:pt idx="4">
                  <c:v>407</c:v>
                </c:pt>
              </c:numCache>
            </c:numRef>
          </c:val>
          <c:extLst>
            <c:ext xmlns:c16="http://schemas.microsoft.com/office/drawing/2014/chart" uri="{C3380CC4-5D6E-409C-BE32-E72D297353CC}">
              <c16:uniqueId val="{00000000-E906-4E2D-8327-C350BD614B79}"/>
            </c:ext>
          </c:extLst>
        </c:ser>
        <c:dLbls>
          <c:dLblPos val="outEnd"/>
          <c:showLegendKey val="0"/>
          <c:showVal val="1"/>
          <c:showCatName val="0"/>
          <c:showSerName val="0"/>
          <c:showPercent val="0"/>
          <c:showBubbleSize val="0"/>
        </c:dLbls>
        <c:gapWidth val="219"/>
        <c:overlap val="-27"/>
        <c:axId val="52198495"/>
        <c:axId val="52195167"/>
      </c:barChart>
      <c:catAx>
        <c:axId val="521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5167"/>
        <c:crosses val="autoZero"/>
        <c:auto val="1"/>
        <c:lblAlgn val="ctr"/>
        <c:lblOffset val="100"/>
        <c:noMultiLvlLbl val="0"/>
      </c:catAx>
      <c:valAx>
        <c:axId val="52195167"/>
        <c:scaling>
          <c:orientation val="minMax"/>
        </c:scaling>
        <c:delete val="1"/>
        <c:axPos val="l"/>
        <c:numFmt formatCode="General" sourceLinked="1"/>
        <c:majorTickMark val="none"/>
        <c:minorTickMark val="none"/>
        <c:tickLblPos val="nextTo"/>
        <c:crossAx val="5219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Data.xlsx]Sheet2!PivotTable11</c:name>
    <c:fmtId val="0"/>
  </c:pivotSource>
  <c:chart>
    <c:title>
      <c:tx>
        <c:strRef>
          <c:f>Sheet2!$A$178</c:f>
          <c:strCache>
            <c:ptCount val="1"/>
            <c:pt idx="0">
              <c:v>Learning Prperence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Sheet2!$A$178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Sheet2!$A$178</c:f>
              <c:strCache>
                <c:ptCount val="5"/>
                <c:pt idx="0">
                  <c:v>Trial&amp; Error &amp; Learn</c:v>
                </c:pt>
                <c:pt idx="1">
                  <c:v>Observing &amp;Learn</c:v>
                </c:pt>
                <c:pt idx="2">
                  <c:v>Self Learning</c:v>
                </c:pt>
                <c:pt idx="3">
                  <c:v>Expert Learning </c:v>
                </c:pt>
                <c:pt idx="4">
                  <c:v>Self Learning In Company</c:v>
                </c:pt>
              </c:strCache>
            </c:strRef>
          </c:cat>
          <c:val>
            <c:numRef>
              <c:f>Sheet2!$A$178</c:f>
              <c:numCache>
                <c:formatCode>General</c:formatCode>
                <c:ptCount val="5"/>
                <c:pt idx="0">
                  <c:v>12</c:v>
                </c:pt>
                <c:pt idx="1">
                  <c:v>134</c:v>
                </c:pt>
                <c:pt idx="2">
                  <c:v>189</c:v>
                </c:pt>
                <c:pt idx="3">
                  <c:v>544</c:v>
                </c:pt>
                <c:pt idx="4">
                  <c:v>874</c:v>
                </c:pt>
              </c:numCache>
            </c:numRef>
          </c:val>
          <c:extLst>
            <c:ext xmlns:c16="http://schemas.microsoft.com/office/drawing/2014/chart" uri="{C3380CC4-5D6E-409C-BE32-E72D297353CC}">
              <c16:uniqueId val="{00000000-8B4C-4DFD-B8D8-A1CE23D8306F}"/>
            </c:ext>
          </c:extLst>
        </c:ser>
        <c:dLbls>
          <c:dLblPos val="outEnd"/>
          <c:showLegendKey val="0"/>
          <c:showVal val="1"/>
          <c:showCatName val="0"/>
          <c:showSerName val="0"/>
          <c:showPercent val="0"/>
          <c:showBubbleSize val="0"/>
        </c:dLbls>
        <c:gapWidth val="182"/>
        <c:axId val="614166976"/>
        <c:axId val="614167808"/>
      </c:barChart>
      <c:catAx>
        <c:axId val="61416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67808"/>
        <c:crosses val="autoZero"/>
        <c:auto val="1"/>
        <c:lblAlgn val="ctr"/>
        <c:lblOffset val="100"/>
        <c:noMultiLvlLbl val="0"/>
      </c:catAx>
      <c:valAx>
        <c:axId val="614167808"/>
        <c:scaling>
          <c:orientation val="minMax"/>
        </c:scaling>
        <c:delete val="1"/>
        <c:axPos val="b"/>
        <c:numFmt formatCode="General" sourceLinked="1"/>
        <c:majorTickMark val="none"/>
        <c:minorTickMark val="none"/>
        <c:tickLblPos val="nextTo"/>
        <c:crossAx val="61416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Data.xlsx]Sheet2!PivotTable16</c:name>
    <c:fmtId val="0"/>
  </c:pivotSource>
  <c:chart>
    <c:title>
      <c:tx>
        <c:strRef>
          <c:f>Sheet2!$A$196</c:f>
          <c:strCache>
            <c:ptCount val="1"/>
            <c:pt idx="0">
              <c:v>Career Aspiration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Sheet2!$A$196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Sheet2!$A$196</c:f>
              <c:strCache>
                <c:ptCount val="11"/>
                <c:pt idx="0">
                  <c:v>Enterprenuer</c:v>
                </c:pt>
                <c:pt idx="1">
                  <c:v>Content Creater</c:v>
                </c:pt>
                <c:pt idx="2">
                  <c:v>Business Processer</c:v>
                </c:pt>
                <c:pt idx="3">
                  <c:v>Freelancer</c:v>
                </c:pt>
                <c:pt idx="4">
                  <c:v>Data Analyser</c:v>
                </c:pt>
                <c:pt idx="5">
                  <c:v>Designing + Developing</c:v>
                </c:pt>
                <c:pt idx="6">
                  <c:v>Developer Team</c:v>
                </c:pt>
                <c:pt idx="7">
                  <c:v>Project Manger</c:v>
                </c:pt>
                <c:pt idx="8">
                  <c:v>Teacher</c:v>
                </c:pt>
                <c:pt idx="9">
                  <c:v>Business Operation</c:v>
                </c:pt>
                <c:pt idx="10">
                  <c:v>Designing</c:v>
                </c:pt>
              </c:strCache>
            </c:strRef>
          </c:cat>
          <c:val>
            <c:numRef>
              <c:f>Sheet2!$A$196</c:f>
              <c:numCache>
                <c:formatCode>General</c:formatCode>
                <c:ptCount val="11"/>
                <c:pt idx="0">
                  <c:v>1</c:v>
                </c:pt>
                <c:pt idx="1">
                  <c:v>3</c:v>
                </c:pt>
                <c:pt idx="2">
                  <c:v>3</c:v>
                </c:pt>
                <c:pt idx="3">
                  <c:v>5</c:v>
                </c:pt>
                <c:pt idx="4">
                  <c:v>10</c:v>
                </c:pt>
                <c:pt idx="5">
                  <c:v>17</c:v>
                </c:pt>
                <c:pt idx="6">
                  <c:v>36</c:v>
                </c:pt>
                <c:pt idx="7">
                  <c:v>55</c:v>
                </c:pt>
                <c:pt idx="8">
                  <c:v>83</c:v>
                </c:pt>
                <c:pt idx="9">
                  <c:v>106</c:v>
                </c:pt>
                <c:pt idx="10">
                  <c:v>226</c:v>
                </c:pt>
              </c:numCache>
            </c:numRef>
          </c:val>
          <c:extLst>
            <c:ext xmlns:c16="http://schemas.microsoft.com/office/drawing/2014/chart" uri="{C3380CC4-5D6E-409C-BE32-E72D297353CC}">
              <c16:uniqueId val="{00000000-85D7-49C7-8207-076633611396}"/>
            </c:ext>
          </c:extLst>
        </c:ser>
        <c:dLbls>
          <c:dLblPos val="outEnd"/>
          <c:showLegendKey val="0"/>
          <c:showVal val="1"/>
          <c:showCatName val="0"/>
          <c:showSerName val="0"/>
          <c:showPercent val="0"/>
          <c:showBubbleSize val="0"/>
        </c:dLbls>
        <c:gapWidth val="182"/>
        <c:axId val="564530288"/>
        <c:axId val="564519472"/>
      </c:barChart>
      <c:catAx>
        <c:axId val="56453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519472"/>
        <c:crosses val="autoZero"/>
        <c:auto val="1"/>
        <c:lblAlgn val="ctr"/>
        <c:lblOffset val="100"/>
        <c:noMultiLvlLbl val="0"/>
      </c:catAx>
      <c:valAx>
        <c:axId val="564519472"/>
        <c:scaling>
          <c:orientation val="minMax"/>
        </c:scaling>
        <c:delete val="1"/>
        <c:axPos val="b"/>
        <c:numFmt formatCode="General" sourceLinked="1"/>
        <c:majorTickMark val="none"/>
        <c:minorTickMark val="none"/>
        <c:tickLblPos val="nextTo"/>
        <c:crossAx val="5645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 - Career Aspirations Data.xlsx]Sheet2!PivotTable12</c:name>
    <c:fmtId val="0"/>
  </c:pivotSource>
  <c:chart>
    <c:title>
      <c:tx>
        <c:strRef>
          <c:f>Sheet2!$A$227</c:f>
          <c:strCache>
            <c:ptCount val="1"/>
            <c:pt idx="0">
              <c:v>Work Setup</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Sheet2!$A$227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Sheet2!$A$227</c:f>
              <c:strCache>
                <c:ptCount val="7"/>
                <c:pt idx="0">
                  <c:v>Work alone, Work &gt;10 people in Team</c:v>
                </c:pt>
                <c:pt idx="1">
                  <c:v>Work  &lt;67 people in team</c:v>
                </c:pt>
                <c:pt idx="2">
                  <c:v>Work alone</c:v>
                </c:pt>
                <c:pt idx="3">
                  <c:v>Work Alone, &lt;=6 in team</c:v>
                </c:pt>
                <c:pt idx="4">
                  <c:v>Work &gt;=7 People in the Team</c:v>
                </c:pt>
                <c:pt idx="5">
                  <c:v>Work &gt;10 people in Team</c:v>
                </c:pt>
                <c:pt idx="6">
                  <c:v>Work &lt;=6 People in the Team</c:v>
                </c:pt>
              </c:strCache>
            </c:strRef>
          </c:cat>
          <c:val>
            <c:numRef>
              <c:f>Sheet2!$A$227</c:f>
              <c:numCache>
                <c:formatCode>General</c:formatCode>
                <c:ptCount val="7"/>
                <c:pt idx="0">
                  <c:v>10</c:v>
                </c:pt>
                <c:pt idx="1">
                  <c:v>41</c:v>
                </c:pt>
                <c:pt idx="2">
                  <c:v>88</c:v>
                </c:pt>
                <c:pt idx="3">
                  <c:v>124</c:v>
                </c:pt>
                <c:pt idx="4">
                  <c:v>148</c:v>
                </c:pt>
                <c:pt idx="5">
                  <c:v>266</c:v>
                </c:pt>
                <c:pt idx="6">
                  <c:v>967</c:v>
                </c:pt>
              </c:numCache>
            </c:numRef>
          </c:val>
          <c:extLst>
            <c:ext xmlns:c16="http://schemas.microsoft.com/office/drawing/2014/chart" uri="{C3380CC4-5D6E-409C-BE32-E72D297353CC}">
              <c16:uniqueId val="{00000000-FF7E-46F2-8D6F-747E066C6154}"/>
            </c:ext>
          </c:extLst>
        </c:ser>
        <c:dLbls>
          <c:dLblPos val="outEnd"/>
          <c:showLegendKey val="0"/>
          <c:showVal val="1"/>
          <c:showCatName val="0"/>
          <c:showSerName val="0"/>
          <c:showPercent val="0"/>
          <c:showBubbleSize val="0"/>
        </c:dLbls>
        <c:gapWidth val="182"/>
        <c:axId val="285295599"/>
        <c:axId val="285296015"/>
      </c:barChart>
      <c:catAx>
        <c:axId val="285295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296015"/>
        <c:crosses val="autoZero"/>
        <c:auto val="1"/>
        <c:lblAlgn val="ctr"/>
        <c:lblOffset val="100"/>
        <c:noMultiLvlLbl val="0"/>
      </c:catAx>
      <c:valAx>
        <c:axId val="285296015"/>
        <c:scaling>
          <c:orientation val="minMax"/>
        </c:scaling>
        <c:delete val="1"/>
        <c:axPos val="b"/>
        <c:numFmt formatCode="General" sourceLinked="1"/>
        <c:majorTickMark val="none"/>
        <c:minorTickMark val="none"/>
        <c:tickLblPos val="nextTo"/>
        <c:crossAx val="28529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[GenZ - Career Aspirations Data.xlsx]Sheet2!PivotTable2</c:name>
    <c:fmtId val="2"/>
  </c:pivotSource>
  <c:chart>
    <c:title>
      <c:tx>
        <c:strRef>
          <c:f>Sheet2!$A$11</c:f>
          <c:strCache>
            <c:ptCount val="1"/>
            <c:pt idx="0">
              <c:v>Influncers</c:v>
            </c:pt>
          </c:strCache>
        </c:strRef>
      </c:tx>
      <c:overlay val="0"/>
      <c:spPr>
        <a:noFill/>
        <a:ln>
          <a:noFill/>
        </a:ln>
        <a:effectLst/>
      </c:spPr>
      <c:txPr>
        <a:bodyPr rot="0" spcFirstLastPara="1" vertOverflow="ellipsis" vert="horz" wrap="square" anchor="ctr" anchorCtr="1"/>
        <a:lstStyle/>
        <a:p>
          <a:pPr>
            <a:defRPr sz="168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tint val="54000"/>
            </a:schemeClr>
          </a:solidFill>
          <a:ln>
            <a:noFill/>
          </a:ln>
          <a:effectLst>
            <a:outerShdw blurRad="254000" sx="102000" sy="102000" algn="ctr" rotWithShape="0">
              <a:prstClr val="black">
                <a:alpha val="20000"/>
              </a:prstClr>
            </a:outerShdw>
          </a:effectLst>
        </c:spPr>
        <c:dLbl>
          <c:idx val="0"/>
          <c:tx>
            <c:rich>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r>
                  <a:rPr lang="en-US"/>
                  <a:t>Influncers  </a:t>
                </a:r>
                <a:fld id="{18032991-9C54-4ADD-9C8D-506FFE1F265C}" type="PERCENTAGE">
                  <a:rPr lang="en-US"/>
                  <a:pPr>
                    <a:defRPr/>
                  </a:pPr>
                  <a:t>[PERCENTAGE]</a:t>
                </a:fld>
                <a:endParaRPr lang="en-US"/>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dlblFieldTable/>
              <c15:showDataLabelsRange val="0"/>
            </c:ext>
          </c:extLst>
        </c:dLbl>
      </c:pivotFmt>
      <c:pivotFmt>
        <c:idx val="14"/>
        <c:spPr>
          <a:solidFill>
            <a:schemeClr val="accent1">
              <a:tint val="77000"/>
            </a:schemeClr>
          </a:solidFill>
          <a:ln>
            <a:noFill/>
          </a:ln>
          <a:effectLst>
            <a:outerShdw blurRad="254000" sx="102000" sy="102000" algn="ctr" rotWithShape="0">
              <a:prstClr val="black">
                <a:alpha val="20000"/>
              </a:prstClr>
            </a:outerShdw>
          </a:effectLst>
        </c:spPr>
        <c:dLbl>
          <c:idx val="0"/>
          <c:layout>
            <c:manualLayout>
              <c:x val="0.17542375742784119"/>
              <c:y val="-0.1034704380652029"/>
            </c:manualLayout>
          </c:layout>
          <c:tx>
            <c:rich>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r>
                  <a:rPr lang="en-US"/>
                  <a:t>Parents
</a:t>
                </a:r>
                <a:fld id="{1E6CA04B-F36C-4088-8307-54CC3AC3A8C8}" type="PERCENTAGE">
                  <a:rPr lang="en-US"/>
                  <a:pPr>
                    <a:defRPr/>
                  </a:pPr>
                  <a:t>[PERCENTAGE]</a:t>
                </a:fld>
                <a:endParaRPr lang="en-US"/>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dlblFieldTable/>
              <c15:showDataLabelsRange val="0"/>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r>
                  <a:rPr lang="en-US"/>
                  <a:t>Socity
</a:t>
                </a:r>
                <a:fld id="{66667DFE-9F44-4A2B-A7D3-A570EB608BCC}" type="PERCENTAGE">
                  <a:rPr lang="en-US"/>
                  <a:pPr>
                    <a:defRPr/>
                  </a:pPr>
                  <a:t>[PERCENTAGE]</a:t>
                </a:fld>
                <a:endParaRPr lang="en-US"/>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dlblFieldTable/>
              <c15:showDataLabelsRange val="0"/>
            </c:ext>
          </c:extLst>
        </c:dLbl>
      </c:pivotFmt>
      <c:pivotFmt>
        <c:idx val="16"/>
        <c:spPr>
          <a:solidFill>
            <a:schemeClr val="accent1">
              <a:shade val="76000"/>
            </a:schemeClr>
          </a:solidFill>
          <a:ln>
            <a:noFill/>
          </a:ln>
          <a:effectLst>
            <a:outerShdw blurRad="254000" sx="102000" sy="102000" algn="ctr" rotWithShape="0">
              <a:prstClr val="black">
                <a:alpha val="20000"/>
              </a:prstClr>
            </a:outerShdw>
          </a:effectLst>
        </c:spPr>
        <c:dLbl>
          <c:idx val="0"/>
          <c:layout>
            <c:manualLayout>
              <c:x val="-8.6629016013748783E-2"/>
              <c:y val="0.10051413983476851"/>
            </c:manualLayout>
          </c:layout>
          <c:tx>
            <c:rich>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r>
                  <a:rPr lang="en-US"/>
                  <a:t>Change Makers
</a:t>
                </a:r>
                <a:fld id="{E98B7A6C-F11D-406D-BBBD-1A36DEC8DE0D}" type="PERCENTAGE">
                  <a:rPr lang="en-US"/>
                  <a:pPr>
                    <a:defRPr/>
                  </a:pPr>
                  <a:t>[PERCENTAGE]</a:t>
                </a:fld>
                <a:endParaRPr lang="en-US"/>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dlblFieldTable/>
              <c15:showDataLabelsRange val="0"/>
            </c:ext>
          </c:extLst>
        </c:dLbl>
      </c:pivotFmt>
      <c:pivotFmt>
        <c:idx val="17"/>
        <c:spPr>
          <a:solidFill>
            <a:schemeClr val="accent1">
              <a:shade val="53000"/>
            </a:schemeClr>
          </a:solidFill>
          <a:ln>
            <a:noFill/>
          </a:ln>
          <a:effectLst>
            <a:outerShdw blurRad="254000" sx="102000" sy="102000" algn="ctr" rotWithShape="0">
              <a:prstClr val="black">
                <a:alpha val="20000"/>
              </a:prstClr>
            </a:outerShdw>
          </a:effectLst>
        </c:spPr>
        <c:dLbl>
          <c:idx val="0"/>
          <c:layout>
            <c:manualLayout>
              <c:x val="5.6308860408936623E-2"/>
              <c:y val="4.138817522608116E-2"/>
            </c:manualLayout>
          </c:layout>
          <c:tx>
            <c:rich>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r>
                  <a:rPr lang="en-US"/>
                  <a:t>Social Media
</a:t>
                </a:r>
                <a:fld id="{9CD6E4DA-CDF2-4304-B771-F74DC84CAE4E}" type="PERCENTAGE">
                  <a:rPr lang="en-US"/>
                  <a:pPr>
                    <a:defRPr/>
                  </a:pPr>
                  <a:t>[PERCENTAGE]</a:t>
                </a:fld>
                <a:endParaRPr lang="en-US"/>
              </a:p>
            </c:rich>
          </c:tx>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dlblFieldTable/>
              <c15:showDataLabelsRange val="0"/>
            </c:ext>
          </c:extLst>
        </c:dLbl>
      </c:pivotFmt>
    </c:pivotFmts>
    <c:plotArea>
      <c:layout/>
      <c:pieChart>
        <c:varyColors val="1"/>
        <c:ser>
          <c:idx val="0"/>
          <c:order val="0"/>
          <c:tx>
            <c:strRef>
              <c:f>Sheet2!$A$11</c:f>
              <c:strCache>
                <c:ptCount val="1"/>
                <c:pt idx="0">
                  <c:v>Total</c:v>
                </c:pt>
              </c:strCache>
            </c:strRef>
          </c:tx>
          <c:dPt>
            <c:idx val="0"/>
            <c:bubble3D val="0"/>
            <c:spPr>
              <a:solidFill>
                <a:schemeClr val="accent1">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55C-4F20-9445-795801F0A5A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55C-4F20-9445-795801F0A5A8}"/>
              </c:ext>
            </c:extLst>
          </c:dPt>
          <c:dPt>
            <c:idx val="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55C-4F20-9445-795801F0A5A8}"/>
              </c:ext>
            </c:extLst>
          </c:dPt>
          <c:dPt>
            <c:idx val="3"/>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55C-4F20-9445-795801F0A5A8}"/>
              </c:ext>
            </c:extLst>
          </c:dPt>
          <c:dPt>
            <c:idx val="4"/>
            <c:bubble3D val="0"/>
            <c:spPr>
              <a:solidFill>
                <a:schemeClr val="accent1">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55C-4F20-9445-795801F0A5A8}"/>
              </c:ext>
            </c:extLst>
          </c:dPt>
          <c:dLbls>
            <c:dLbl>
              <c:idx val="0"/>
              <c:tx>
                <c:rich>
                  <a:bodyPr/>
                  <a:lstStyle/>
                  <a:p>
                    <a:r>
                      <a:rPr lang="en-US"/>
                      <a:t>Influncers  </a:t>
                    </a:r>
                    <a:fld id="{18032991-9C54-4ADD-9C8D-506FFE1F265C}"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55C-4F20-9445-795801F0A5A8}"/>
                </c:ext>
              </c:extLst>
            </c:dLbl>
            <c:dLbl>
              <c:idx val="1"/>
              <c:layout>
                <c:manualLayout>
                  <c:x val="0.17542375742784119"/>
                  <c:y val="-0.1034704380652029"/>
                </c:manualLayout>
              </c:layout>
              <c:tx>
                <c:rich>
                  <a:bodyPr/>
                  <a:lstStyle/>
                  <a:p>
                    <a:r>
                      <a:rPr lang="en-US"/>
                      <a:t>Parents
</a:t>
                    </a:r>
                    <a:fld id="{1E6CA04B-F36C-4088-8307-54CC3AC3A8C8}"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55C-4F20-9445-795801F0A5A8}"/>
                </c:ext>
              </c:extLst>
            </c:dLbl>
            <c:dLbl>
              <c:idx val="2"/>
              <c:tx>
                <c:rich>
                  <a:bodyPr/>
                  <a:lstStyle/>
                  <a:p>
                    <a:r>
                      <a:rPr lang="en-US"/>
                      <a:t>Socity
</a:t>
                    </a:r>
                    <a:fld id="{66667DFE-9F44-4A2B-A7D3-A570EB608BCC}"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55C-4F20-9445-795801F0A5A8}"/>
                </c:ext>
              </c:extLst>
            </c:dLbl>
            <c:dLbl>
              <c:idx val="3"/>
              <c:layout>
                <c:manualLayout>
                  <c:x val="-8.6629016013748783E-2"/>
                  <c:y val="0.10051413983476851"/>
                </c:manualLayout>
              </c:layout>
              <c:tx>
                <c:rich>
                  <a:bodyPr/>
                  <a:lstStyle/>
                  <a:p>
                    <a:r>
                      <a:rPr lang="en-US"/>
                      <a:t>Change Makers
</a:t>
                    </a:r>
                    <a:fld id="{E98B7A6C-F11D-406D-BBBD-1A36DEC8DE0D}"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55C-4F20-9445-795801F0A5A8}"/>
                </c:ext>
              </c:extLst>
            </c:dLbl>
            <c:dLbl>
              <c:idx val="4"/>
              <c:layout>
                <c:manualLayout>
                  <c:x val="5.6308860408936623E-2"/>
                  <c:y val="4.138817522608116E-2"/>
                </c:manualLayout>
              </c:layout>
              <c:tx>
                <c:rich>
                  <a:bodyPr/>
                  <a:lstStyle/>
                  <a:p>
                    <a:r>
                      <a:rPr lang="en-US"/>
                      <a:t>Social Media
</a:t>
                    </a:r>
                    <a:fld id="{9CD6E4DA-CDF2-4304-B771-F74DC84CAE4E}"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255C-4F20-9445-795801F0A5A8}"/>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Sheet2!$A$11</c:f>
              <c:strCache>
                <c:ptCount val="5"/>
                <c:pt idx="0">
                  <c:v>Influencers who had successful careers</c:v>
                </c:pt>
                <c:pt idx="1">
                  <c:v>My Parents</c:v>
                </c:pt>
                <c:pt idx="2">
                  <c:v>People from my circle, but not family members</c:v>
                </c:pt>
                <c:pt idx="3">
                  <c:v>People who have changed the world for better</c:v>
                </c:pt>
                <c:pt idx="4">
                  <c:v>Social Media like LinkedIn</c:v>
                </c:pt>
              </c:strCache>
            </c:strRef>
          </c:cat>
          <c:val>
            <c:numRef>
              <c:f>Sheet2!$A$11</c:f>
              <c:numCache>
                <c:formatCode>General</c:formatCode>
                <c:ptCount val="5"/>
                <c:pt idx="0">
                  <c:v>315</c:v>
                </c:pt>
                <c:pt idx="1">
                  <c:v>572</c:v>
                </c:pt>
                <c:pt idx="2">
                  <c:v>288</c:v>
                </c:pt>
                <c:pt idx="3">
                  <c:v>414</c:v>
                </c:pt>
                <c:pt idx="4">
                  <c:v>164</c:v>
                </c:pt>
              </c:numCache>
            </c:numRef>
          </c:val>
          <c:extLst>
            <c:ext xmlns:c16="http://schemas.microsoft.com/office/drawing/2014/chart" uri="{C3380CC4-5D6E-409C-BE32-E72D297353CC}">
              <c16:uniqueId val="{0000000B-306F-4624-AC42-B21040F4527A}"/>
            </c:ext>
          </c:extLst>
        </c:ser>
        <c:dLbls>
          <c:showLegendKey val="0"/>
          <c:showVal val="0"/>
          <c:showCatName val="0"/>
          <c:showSerName val="0"/>
          <c:showPercent val="0"/>
          <c:showBubbleSize val="0"/>
          <c:showLeaderLines val="1"/>
        </c:dLbls>
        <c:firstSliceAng val="45"/>
      </c:pieChart>
      <c:spPr>
        <a:noFill/>
        <a:ln>
          <a:noFill/>
        </a:ln>
        <a:effectLst>
          <a:outerShdw blurRad="50800" dist="50800" dir="5400000" sx="94000" sy="94000" algn="ctr" rotWithShape="0">
            <a:srgbClr val="000000">
              <a:alpha val="98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a:outerShdw blurRad="50800" dist="50800" dir="5400000" sx="96000" sy="96000" algn="ctr" rotWithShape="0">
        <a:srgbClr val="000000">
          <a:alpha val="99000"/>
        </a:srgb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91440</xdr:colOff>
      <xdr:row>9</xdr:row>
      <xdr:rowOff>129540</xdr:rowOff>
    </xdr:from>
    <xdr:to>
      <xdr:col>10</xdr:col>
      <xdr:colOff>396240</xdr:colOff>
      <xdr:row>26</xdr:row>
      <xdr:rowOff>22860</xdr:rowOff>
    </xdr:to>
    <xdr:graphicFrame macro="">
      <xdr:nvGraphicFramePr>
        <xdr:cNvPr id="2" name="Chart 1">
          <a:extLst>
            <a:ext uri="{FF2B5EF4-FFF2-40B4-BE49-F238E27FC236}">
              <a16:creationId xmlns:a16="http://schemas.microsoft.com/office/drawing/2014/main" id="{ADE8F8E6-3919-48BF-857F-F146098A3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27</xdr:row>
      <xdr:rowOff>129540</xdr:rowOff>
    </xdr:from>
    <xdr:to>
      <xdr:col>10</xdr:col>
      <xdr:colOff>198120</xdr:colOff>
      <xdr:row>44</xdr:row>
      <xdr:rowOff>22860</xdr:rowOff>
    </xdr:to>
    <xdr:graphicFrame macro="">
      <xdr:nvGraphicFramePr>
        <xdr:cNvPr id="3" name="Chart 2">
          <a:extLst>
            <a:ext uri="{FF2B5EF4-FFF2-40B4-BE49-F238E27FC236}">
              <a16:creationId xmlns:a16="http://schemas.microsoft.com/office/drawing/2014/main" id="{4F4E6254-7C7D-4DAB-8D62-9F5118F1D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94463</xdr:colOff>
      <xdr:row>45</xdr:row>
      <xdr:rowOff>39044</xdr:rowOff>
    </xdr:from>
    <xdr:to>
      <xdr:col>10</xdr:col>
      <xdr:colOff>226710</xdr:colOff>
      <xdr:row>61</xdr:row>
      <xdr:rowOff>61715</xdr:rowOff>
    </xdr:to>
    <xdr:graphicFrame macro="">
      <xdr:nvGraphicFramePr>
        <xdr:cNvPr id="6" name="Chart 5">
          <a:extLst>
            <a:ext uri="{FF2B5EF4-FFF2-40B4-BE49-F238E27FC236}">
              <a16:creationId xmlns:a16="http://schemas.microsoft.com/office/drawing/2014/main" id="{C2E5AC02-AC39-44FE-B646-D8FC46D95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647517</xdr:colOff>
      <xdr:row>65</xdr:row>
      <xdr:rowOff>164994</xdr:rowOff>
    </xdr:from>
    <xdr:to>
      <xdr:col>11</xdr:col>
      <xdr:colOff>168906</xdr:colOff>
      <xdr:row>82</xdr:row>
      <xdr:rowOff>17632</xdr:rowOff>
    </xdr:to>
    <xdr:graphicFrame macro="">
      <xdr:nvGraphicFramePr>
        <xdr:cNvPr id="7" name="Chart 6">
          <a:extLst>
            <a:ext uri="{FF2B5EF4-FFF2-40B4-BE49-F238E27FC236}">
              <a16:creationId xmlns:a16="http://schemas.microsoft.com/office/drawing/2014/main" id="{4238BE9E-8373-4EA2-8A17-DBBC5C9C7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258198</xdr:colOff>
      <xdr:row>92</xdr:row>
      <xdr:rowOff>64235</xdr:rowOff>
    </xdr:from>
    <xdr:to>
      <xdr:col>11</xdr:col>
      <xdr:colOff>88231</xdr:colOff>
      <xdr:row>108</xdr:row>
      <xdr:rowOff>86906</xdr:rowOff>
    </xdr:to>
    <xdr:graphicFrame macro="">
      <xdr:nvGraphicFramePr>
        <xdr:cNvPr id="8" name="Chart 7">
          <a:extLst>
            <a:ext uri="{FF2B5EF4-FFF2-40B4-BE49-F238E27FC236}">
              <a16:creationId xmlns:a16="http://schemas.microsoft.com/office/drawing/2014/main" id="{E52765F0-680F-4A9D-9E99-854DC1C5E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376990</xdr:colOff>
      <xdr:row>177</xdr:row>
      <xdr:rowOff>160421</xdr:rowOff>
    </xdr:from>
    <xdr:to>
      <xdr:col>12</xdr:col>
      <xdr:colOff>72190</xdr:colOff>
      <xdr:row>194</xdr:row>
      <xdr:rowOff>40106</xdr:rowOff>
    </xdr:to>
    <xdr:graphicFrame macro="">
      <xdr:nvGraphicFramePr>
        <xdr:cNvPr id="5" name="Chart 4">
          <a:extLst>
            <a:ext uri="{FF2B5EF4-FFF2-40B4-BE49-F238E27FC236}">
              <a16:creationId xmlns:a16="http://schemas.microsoft.com/office/drawing/2014/main" id="{27CF2664-D044-44F7-90B2-580292529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248652</xdr:colOff>
      <xdr:row>207</xdr:row>
      <xdr:rowOff>112294</xdr:rowOff>
    </xdr:from>
    <xdr:to>
      <xdr:col>10</xdr:col>
      <xdr:colOff>385010</xdr:colOff>
      <xdr:row>223</xdr:row>
      <xdr:rowOff>160421</xdr:rowOff>
    </xdr:to>
    <xdr:graphicFrame macro="">
      <xdr:nvGraphicFramePr>
        <xdr:cNvPr id="9" name="Chart 8">
          <a:extLst>
            <a:ext uri="{FF2B5EF4-FFF2-40B4-BE49-F238E27FC236}">
              <a16:creationId xmlns:a16="http://schemas.microsoft.com/office/drawing/2014/main" id="{A3F93301-9F75-4E34-B328-E88F1E23A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1203157</xdr:colOff>
      <xdr:row>237</xdr:row>
      <xdr:rowOff>152400</xdr:rowOff>
    </xdr:from>
    <xdr:to>
      <xdr:col>9</xdr:col>
      <xdr:colOff>208546</xdr:colOff>
      <xdr:row>254</xdr:row>
      <xdr:rowOff>32084</xdr:rowOff>
    </xdr:to>
    <xdr:graphicFrame macro="">
      <xdr:nvGraphicFramePr>
        <xdr:cNvPr id="10" name="Chart 9">
          <a:extLst>
            <a:ext uri="{FF2B5EF4-FFF2-40B4-BE49-F238E27FC236}">
              <a16:creationId xmlns:a16="http://schemas.microsoft.com/office/drawing/2014/main" id="{CF102631-633B-4856-B3CE-9A0C1513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4361448</xdr:colOff>
      <xdr:row>5</xdr:row>
      <xdr:rowOff>160822</xdr:rowOff>
    </xdr:from>
    <xdr:to>
      <xdr:col>12</xdr:col>
      <xdr:colOff>6190248</xdr:colOff>
      <xdr:row>19</xdr:row>
      <xdr:rowOff>41008</xdr:rowOff>
    </xdr:to>
    <mc:AlternateContent xmlns:mc="http://schemas.openxmlformats.org/markup-compatibility/2006" xmlns:a14="http://schemas.microsoft.com/office/drawing/2010/main">
      <mc:Choice Requires="a14">
        <xdr:graphicFrame macro="">
          <xdr:nvGraphicFramePr>
            <xdr:cNvPr id="11" name="Your Gender">
              <a:extLst>
                <a:ext uri="{FF2B5EF4-FFF2-40B4-BE49-F238E27FC236}">
                  <a16:creationId xmlns:a16="http://schemas.microsoft.com/office/drawing/2014/main" id="{351FC26E-42F8-44B6-AC56-D1C4448A5E95}"/>
                </a:ext>
              </a:extLst>
            </xdr:cNvPr>
            <xdr:cNvGraphicFramePr/>
          </xdr:nvGraphicFramePr>
          <xdr:xfrm>
            <a:off x="0" y="0"/>
            <a:ext cx="0" cy="0"/>
          </xdr:xfrm>
          <a:graphic>
            <a:graphicData uri="http://schemas.microsoft.com/office/drawing/2010/slicer">
              <sle:slicer xmlns:sle="http://schemas.microsoft.com/office/drawing/2010/slicer" name="Your Gender"/>
            </a:graphicData>
          </a:graphic>
        </xdr:graphicFrame>
      </mc:Choice>
      <mc:Fallback xmlns="">
        <xdr:sp macro="" textlink="">
          <xdr:nvSpPr>
            <xdr:cNvPr id="0" name=""/>
            <xdr:cNvSpPr>
              <a:spLocks noTextEdit="1"/>
            </xdr:cNvSpPr>
          </xdr:nvSpPr>
          <xdr:spPr>
            <a:xfrm>
              <a:off x="24005006" y="1003033"/>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1625066</xdr:colOff>
      <xdr:row>13</xdr:row>
      <xdr:rowOff>103472</xdr:rowOff>
    </xdr:from>
    <xdr:to>
      <xdr:col>12</xdr:col>
      <xdr:colOff>3453866</xdr:colOff>
      <xdr:row>26</xdr:row>
      <xdr:rowOff>152099</xdr:rowOff>
    </xdr:to>
    <mc:AlternateContent xmlns:mc="http://schemas.openxmlformats.org/markup-compatibility/2006" xmlns:a14="http://schemas.microsoft.com/office/drawing/2010/main">
      <mc:Choice Requires="a14">
        <xdr:graphicFrame macro="">
          <xdr:nvGraphicFramePr>
            <xdr:cNvPr id="12" name="Which of the below factors influence the most about your career aspirations ?">
              <a:extLst>
                <a:ext uri="{FF2B5EF4-FFF2-40B4-BE49-F238E27FC236}">
                  <a16:creationId xmlns:a16="http://schemas.microsoft.com/office/drawing/2014/main" id="{E816C75C-B79D-4C57-8C7A-189F6BE1F42D}"/>
                </a:ext>
              </a:extLst>
            </xdr:cNvPr>
            <xdr:cNvGraphicFramePr/>
          </xdr:nvGraphicFramePr>
          <xdr:xfrm>
            <a:off x="0" y="0"/>
            <a:ext cx="0" cy="0"/>
          </xdr:xfrm>
          <a:graphic>
            <a:graphicData uri="http://schemas.microsoft.com/office/drawing/2010/slicer">
              <sle:slicer xmlns:sle="http://schemas.microsoft.com/office/drawing/2010/slicer" name="Which of the below factors influence the most about your career aspirations ?"/>
            </a:graphicData>
          </a:graphic>
        </xdr:graphicFrame>
      </mc:Choice>
      <mc:Fallback xmlns="">
        <xdr:sp macro="" textlink="">
          <xdr:nvSpPr>
            <xdr:cNvPr id="0" name=""/>
            <xdr:cNvSpPr>
              <a:spLocks noTextEdit="1"/>
            </xdr:cNvSpPr>
          </xdr:nvSpPr>
          <xdr:spPr>
            <a:xfrm>
              <a:off x="14763550" y="2293219"/>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38099</xdr:colOff>
      <xdr:row>67</xdr:row>
      <xdr:rowOff>63500</xdr:rowOff>
    </xdr:to>
    <xdr:sp macro="" textlink="">
      <xdr:nvSpPr>
        <xdr:cNvPr id="2" name="Rectangle 1">
          <a:extLst>
            <a:ext uri="{FF2B5EF4-FFF2-40B4-BE49-F238E27FC236}">
              <a16:creationId xmlns:a16="http://schemas.microsoft.com/office/drawing/2014/main" id="{A6D63C15-F039-4146-A2A3-508BBF3DBBF6}"/>
            </a:ext>
          </a:extLst>
        </xdr:cNvPr>
        <xdr:cNvSpPr/>
      </xdr:nvSpPr>
      <xdr:spPr>
        <a:xfrm>
          <a:off x="0" y="0"/>
          <a:ext cx="23812499" cy="111252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298727</xdr:colOff>
      <xdr:row>20</xdr:row>
      <xdr:rowOff>152400</xdr:rowOff>
    </xdr:from>
    <xdr:to>
      <xdr:col>28</xdr:col>
      <xdr:colOff>88900</xdr:colOff>
      <xdr:row>43</xdr:row>
      <xdr:rowOff>97736</xdr:rowOff>
    </xdr:to>
    <xdr:graphicFrame macro="">
      <xdr:nvGraphicFramePr>
        <xdr:cNvPr id="9" name="Chart 8">
          <a:extLst>
            <a:ext uri="{FF2B5EF4-FFF2-40B4-BE49-F238E27FC236}">
              <a16:creationId xmlns:a16="http://schemas.microsoft.com/office/drawing/2014/main" id="{4F834188-23BC-4CD2-BCBD-A8A24D969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279400</xdr:colOff>
      <xdr:row>20</xdr:row>
      <xdr:rowOff>152400</xdr:rowOff>
    </xdr:from>
    <xdr:to>
      <xdr:col>38</xdr:col>
      <xdr:colOff>444500</xdr:colOff>
      <xdr:row>43</xdr:row>
      <xdr:rowOff>76200</xdr:rowOff>
    </xdr:to>
    <xdr:graphicFrame macro="">
      <xdr:nvGraphicFramePr>
        <xdr:cNvPr id="15" name="Chart 14">
          <a:extLst>
            <a:ext uri="{FF2B5EF4-FFF2-40B4-BE49-F238E27FC236}">
              <a16:creationId xmlns:a16="http://schemas.microsoft.com/office/drawing/2014/main" id="{95C4D331-89A0-44AE-8A1E-3E7556119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21</xdr:row>
      <xdr:rowOff>25400</xdr:rowOff>
    </xdr:from>
    <xdr:to>
      <xdr:col>18</xdr:col>
      <xdr:colOff>139700</xdr:colOff>
      <xdr:row>43</xdr:row>
      <xdr:rowOff>76200</xdr:rowOff>
    </xdr:to>
    <xdr:graphicFrame macro="">
      <xdr:nvGraphicFramePr>
        <xdr:cNvPr id="14" name="Chart 13">
          <a:extLst>
            <a:ext uri="{FF2B5EF4-FFF2-40B4-BE49-F238E27FC236}">
              <a16:creationId xmlns:a16="http://schemas.microsoft.com/office/drawing/2014/main" id="{FEE394C1-77D3-44F6-8D26-CEF6D5FDA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165100</xdr:colOff>
      <xdr:row>44</xdr:row>
      <xdr:rowOff>25400</xdr:rowOff>
    </xdr:from>
    <xdr:to>
      <xdr:col>18</xdr:col>
      <xdr:colOff>127000</xdr:colOff>
      <xdr:row>66</xdr:row>
      <xdr:rowOff>88900</xdr:rowOff>
    </xdr:to>
    <xdr:graphicFrame macro="">
      <xdr:nvGraphicFramePr>
        <xdr:cNvPr id="16" name="Chart 15">
          <a:extLst>
            <a:ext uri="{FF2B5EF4-FFF2-40B4-BE49-F238E27FC236}">
              <a16:creationId xmlns:a16="http://schemas.microsoft.com/office/drawing/2014/main" id="{3BAA0BEF-7135-4F6F-9489-F477C4891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292100</xdr:colOff>
      <xdr:row>44</xdr:row>
      <xdr:rowOff>76200</xdr:rowOff>
    </xdr:from>
    <xdr:to>
      <xdr:col>38</xdr:col>
      <xdr:colOff>496100</xdr:colOff>
      <xdr:row>66</xdr:row>
      <xdr:rowOff>116000</xdr:rowOff>
    </xdr:to>
    <xdr:graphicFrame macro="">
      <xdr:nvGraphicFramePr>
        <xdr:cNvPr id="17" name="Chart 16">
          <a:extLst>
            <a:ext uri="{FF2B5EF4-FFF2-40B4-BE49-F238E27FC236}">
              <a16:creationId xmlns:a16="http://schemas.microsoft.com/office/drawing/2014/main" id="{C72A1C77-A969-4505-8146-58A1CCBA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304800</xdr:colOff>
      <xdr:row>44</xdr:row>
      <xdr:rowOff>76200</xdr:rowOff>
    </xdr:from>
    <xdr:to>
      <xdr:col>28</xdr:col>
      <xdr:colOff>127000</xdr:colOff>
      <xdr:row>66</xdr:row>
      <xdr:rowOff>101600</xdr:rowOff>
    </xdr:to>
    <xdr:graphicFrame macro="">
      <xdr:nvGraphicFramePr>
        <xdr:cNvPr id="18" name="Chart 17">
          <a:extLst>
            <a:ext uri="{FF2B5EF4-FFF2-40B4-BE49-F238E27FC236}">
              <a16:creationId xmlns:a16="http://schemas.microsoft.com/office/drawing/2014/main" id="{AD78AF25-0B95-43CE-B235-3F31A7DF7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139700</xdr:colOff>
      <xdr:row>44</xdr:row>
      <xdr:rowOff>38100</xdr:rowOff>
    </xdr:from>
    <xdr:to>
      <xdr:col>9</xdr:col>
      <xdr:colOff>12700</xdr:colOff>
      <xdr:row>66</xdr:row>
      <xdr:rowOff>101600</xdr:rowOff>
    </xdr:to>
    <xdr:graphicFrame macro="">
      <xdr:nvGraphicFramePr>
        <xdr:cNvPr id="19" name="Chart 18">
          <a:extLst>
            <a:ext uri="{FF2B5EF4-FFF2-40B4-BE49-F238E27FC236}">
              <a16:creationId xmlns:a16="http://schemas.microsoft.com/office/drawing/2014/main" id="{B1546C4A-9855-4B5F-95CC-B4989857E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139700</xdr:colOff>
      <xdr:row>21</xdr:row>
      <xdr:rowOff>12700</xdr:rowOff>
    </xdr:from>
    <xdr:to>
      <xdr:col>9</xdr:col>
      <xdr:colOff>12700</xdr:colOff>
      <xdr:row>43</xdr:row>
      <xdr:rowOff>63500</xdr:rowOff>
    </xdr:to>
    <xdr:graphicFrame macro="">
      <xdr:nvGraphicFramePr>
        <xdr:cNvPr id="20" name="Chart 19">
          <a:extLst>
            <a:ext uri="{FF2B5EF4-FFF2-40B4-BE49-F238E27FC236}">
              <a16:creationId xmlns:a16="http://schemas.microsoft.com/office/drawing/2014/main" id="{D7B4C492-0055-4A1F-A766-40F10341F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30</xdr:col>
      <xdr:colOff>533400</xdr:colOff>
      <xdr:row>1</xdr:row>
      <xdr:rowOff>139700</xdr:rowOff>
    </xdr:from>
    <xdr:to>
      <xdr:col>38</xdr:col>
      <xdr:colOff>292100</xdr:colOff>
      <xdr:row>12</xdr:row>
      <xdr:rowOff>127000</xdr:rowOff>
    </xdr:to>
    <mc:AlternateContent xmlns:mc="http://schemas.openxmlformats.org/markup-compatibility/2006" xmlns:a14="http://schemas.microsoft.com/office/drawing/2010/main">
      <mc:Choice Requires="a14">
        <xdr:graphicFrame macro="">
          <xdr:nvGraphicFramePr>
            <xdr:cNvPr id="21" name=" Influencers">
              <a:extLst>
                <a:ext uri="{FF2B5EF4-FFF2-40B4-BE49-F238E27FC236}">
                  <a16:creationId xmlns:a16="http://schemas.microsoft.com/office/drawing/2014/main" id="{877E5D18-B499-4A91-ADDC-41C673B919C1}"/>
                </a:ext>
              </a:extLst>
            </xdr:cNvPr>
            <xdr:cNvGraphicFramePr/>
          </xdr:nvGraphicFramePr>
          <xdr:xfrm>
            <a:off x="0" y="0"/>
            <a:ext cx="0" cy="0"/>
          </xdr:xfrm>
          <a:graphic>
            <a:graphicData uri="http://schemas.microsoft.com/office/drawing/2010/slicer">
              <sle:slicer xmlns:sle="http://schemas.microsoft.com/office/drawing/2010/slicer" name=" Influencers"/>
            </a:graphicData>
          </a:graphic>
        </xdr:graphicFrame>
      </mc:Choice>
      <mc:Fallback xmlns="">
        <xdr:sp macro="" textlink="">
          <xdr:nvSpPr>
            <xdr:cNvPr id="0" name=""/>
            <xdr:cNvSpPr>
              <a:spLocks noTextEdit="1"/>
            </xdr:cNvSpPr>
          </xdr:nvSpPr>
          <xdr:spPr>
            <a:xfrm>
              <a:off x="19748500" y="304800"/>
              <a:ext cx="3156226" cy="180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546100</xdr:colOff>
      <xdr:row>14</xdr:row>
      <xdr:rowOff>25401</xdr:rowOff>
    </xdr:from>
    <xdr:to>
      <xdr:col>38</xdr:col>
      <xdr:colOff>304800</xdr:colOff>
      <xdr:row>19</xdr:row>
      <xdr:rowOff>0</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535B83EF-60CA-4321-817C-1709445CC04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723100" y="2336801"/>
              <a:ext cx="3175000"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495300</xdr:colOff>
      <xdr:row>4</xdr:row>
      <xdr:rowOff>12700</xdr:rowOff>
    </xdr:from>
    <xdr:to>
      <xdr:col>22</xdr:col>
      <xdr:colOff>0</xdr:colOff>
      <xdr:row>20</xdr:row>
      <xdr:rowOff>12700</xdr:rowOff>
    </xdr:to>
    <xdr:sp macro="" textlink="">
      <xdr:nvSpPr>
        <xdr:cNvPr id="6" name="Flowchart: Alternate Process 5">
          <a:extLst>
            <a:ext uri="{FF2B5EF4-FFF2-40B4-BE49-F238E27FC236}">
              <a16:creationId xmlns:a16="http://schemas.microsoft.com/office/drawing/2014/main" id="{7BCE07C5-E4C5-470F-8592-DAF5F6E863B7}"/>
            </a:ext>
          </a:extLst>
        </xdr:cNvPr>
        <xdr:cNvSpPr/>
      </xdr:nvSpPr>
      <xdr:spPr>
        <a:xfrm>
          <a:off x="1714500" y="673100"/>
          <a:ext cx="11696700" cy="26416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N" sz="1200" b="1" i="0">
              <a:solidFill>
                <a:schemeClr val="bg1"/>
              </a:solidFill>
              <a:effectLst/>
              <a:latin typeface="+mn-lt"/>
              <a:ea typeface="+mn-ea"/>
              <a:cs typeface="+mn-cs"/>
            </a:rPr>
            <a:t>Gen Z Aspirants 76% of Will not work in a company whose mission is misaligned with their public actions &amp; 24% of aspirants work in the Company.</a:t>
          </a:r>
        </a:p>
        <a:p>
          <a:endParaRPr lang="en-IN" sz="1200" b="1" i="0">
            <a:solidFill>
              <a:schemeClr val="bg1"/>
            </a:solidFill>
            <a:effectLst/>
            <a:latin typeface="+mn-lt"/>
            <a:ea typeface="+mn-ea"/>
            <a:cs typeface="+mn-cs"/>
          </a:endParaRPr>
        </a:p>
        <a:p>
          <a:r>
            <a:rPr lang="en-IN" sz="1200" b="1" i="0">
              <a:solidFill>
                <a:schemeClr val="bg1"/>
              </a:solidFill>
              <a:effectLst/>
              <a:latin typeface="+mn-lt"/>
              <a:ea typeface="+mn-ea"/>
              <a:cs typeface="+mn-cs"/>
            </a:rPr>
            <a:t>Gen Z More Learning Preference is Self-Learning In Company (50%) &amp;  Less preference is Trial &amp; error (1%).</a:t>
          </a:r>
        </a:p>
        <a:p>
          <a:endParaRPr lang="en-IN" sz="1200" b="1" i="0">
            <a:solidFill>
              <a:schemeClr val="bg1"/>
            </a:solidFill>
            <a:effectLst/>
            <a:latin typeface="+mn-lt"/>
            <a:ea typeface="+mn-ea"/>
            <a:cs typeface="+mn-cs"/>
          </a:endParaRPr>
        </a:p>
        <a:p>
          <a:r>
            <a:rPr lang="en-IN" sz="1200" b="1" i="0">
              <a:solidFill>
                <a:schemeClr val="bg1"/>
              </a:solidFill>
              <a:effectLst/>
              <a:latin typeface="+mn-lt"/>
              <a:ea typeface="+mn-ea"/>
              <a:cs typeface="+mn-cs"/>
            </a:rPr>
            <a:t>Gen Z Aspirants are influenced by 33% by their parents and 9% by Social media about their career aspirations.</a:t>
          </a:r>
        </a:p>
        <a:p>
          <a:endParaRPr lang="en-IN" sz="1200" b="1" i="0">
            <a:solidFill>
              <a:schemeClr val="bg1"/>
            </a:solidFill>
            <a:effectLst/>
            <a:latin typeface="+mn-lt"/>
            <a:ea typeface="+mn-ea"/>
            <a:cs typeface="+mn-cs"/>
          </a:endParaRPr>
        </a:p>
        <a:p>
          <a:r>
            <a:rPr lang="en-IN" sz="1200" b="1" i="0">
              <a:solidFill>
                <a:schemeClr val="bg1"/>
              </a:solidFill>
              <a:effectLst/>
              <a:latin typeface="+mn-lt"/>
              <a:ea typeface="+mn-ea"/>
              <a:cs typeface="+mn-cs"/>
            </a:rPr>
            <a:t>Gen Z aspirants are more prepared for a career in Designing (41%) and less prepared for Entrepreneur (1%).</a:t>
          </a:r>
        </a:p>
        <a:p>
          <a:endParaRPr lang="en-IN" sz="1200" b="1" i="0">
            <a:solidFill>
              <a:schemeClr val="bg1"/>
            </a:solidFill>
            <a:effectLst/>
            <a:latin typeface="+mn-lt"/>
            <a:ea typeface="+mn-ea"/>
            <a:cs typeface="+mn-cs"/>
          </a:endParaRPr>
        </a:p>
        <a:p>
          <a:r>
            <a:rPr lang="en-IN" sz="1200" b="1" i="0">
              <a:solidFill>
                <a:schemeClr val="bg1"/>
              </a:solidFill>
              <a:effectLst/>
              <a:latin typeface="+mn-lt"/>
              <a:ea typeface="+mn-ea"/>
              <a:cs typeface="+mn-cs"/>
            </a:rPr>
            <a:t>Gen Z Aspirants are happier to pursue higher education around (45%) and other around (20%) are any sponsor who is ready to do PG.</a:t>
          </a:r>
        </a:p>
        <a:p>
          <a:endParaRPr lang="en-IN" sz="1200" b="1" i="0">
            <a:solidFill>
              <a:schemeClr val="bg1"/>
            </a:solidFill>
            <a:effectLst/>
            <a:latin typeface="+mn-lt"/>
            <a:ea typeface="+mn-ea"/>
            <a:cs typeface="+mn-cs"/>
          </a:endParaRPr>
        </a:p>
        <a:p>
          <a:r>
            <a:rPr lang="en-IN" sz="1200" b="1" i="0">
              <a:solidFill>
                <a:schemeClr val="bg1"/>
              </a:solidFill>
              <a:effectLst/>
              <a:latin typeface="+mn-lt"/>
              <a:ea typeface="+mn-ea"/>
              <a:cs typeface="+mn-cs"/>
            </a:rPr>
            <a:t>Gen Z is more prepared for Work Environment Remote Travel(31%) and less prepared is Remote(6%).</a:t>
          </a:r>
        </a:p>
        <a:p>
          <a:endParaRPr lang="en-IN" sz="1200" b="1" i="0">
            <a:solidFill>
              <a:schemeClr val="bg1"/>
            </a:solidFill>
            <a:effectLst/>
            <a:latin typeface="+mn-lt"/>
            <a:ea typeface="+mn-ea"/>
            <a:cs typeface="+mn-cs"/>
          </a:endParaRPr>
        </a:p>
        <a:p>
          <a:r>
            <a:rPr lang="en-IN" sz="1200" b="1" i="0">
              <a:solidFill>
                <a:schemeClr val="bg1"/>
              </a:solidFill>
              <a:effectLst/>
              <a:latin typeface="+mn-lt"/>
              <a:ea typeface="+mn-ea"/>
              <a:cs typeface="+mn-cs"/>
            </a:rPr>
            <a:t>Gen Z more Prepared Work Setup works with less than 6 people in the team (57%) less Prepared works alone and more than 10 people in the team (1%).</a:t>
          </a:r>
        </a:p>
        <a:p>
          <a:r>
            <a:rPr lang="en-IN" sz="1200" b="1" i="0">
              <a:solidFill>
                <a:schemeClr val="bg1"/>
              </a:solidFill>
              <a:effectLst/>
              <a:latin typeface="+mn-lt"/>
              <a:ea typeface="+mn-ea"/>
              <a:cs typeface="+mn-cs"/>
            </a:rPr>
            <a:t> </a:t>
          </a:r>
        </a:p>
        <a:p>
          <a:pPr algn="l"/>
          <a:endParaRPr lang="en-IN" sz="1100" i="0" baseline="0">
            <a:solidFill>
              <a:schemeClr val="bg1"/>
            </a:solidFill>
          </a:endParaRPr>
        </a:p>
      </xdr:txBody>
    </xdr:sp>
    <xdr:clientData/>
  </xdr:twoCellAnchor>
  <xdr:twoCellAnchor>
    <xdr:from>
      <xdr:col>6</xdr:col>
      <xdr:colOff>37548</xdr:colOff>
      <xdr:row>0</xdr:row>
      <xdr:rowOff>50800</xdr:rowOff>
    </xdr:from>
    <xdr:to>
      <xdr:col>17</xdr:col>
      <xdr:colOff>547756</xdr:colOff>
      <xdr:row>3</xdr:row>
      <xdr:rowOff>101600</xdr:rowOff>
    </xdr:to>
    <xdr:sp macro="" textlink="">
      <xdr:nvSpPr>
        <xdr:cNvPr id="3" name="Flowchart: Terminator 2">
          <a:extLst>
            <a:ext uri="{FF2B5EF4-FFF2-40B4-BE49-F238E27FC236}">
              <a16:creationId xmlns:a16="http://schemas.microsoft.com/office/drawing/2014/main" id="{0022C303-E232-422A-AAD1-AFE9338F3EBF}"/>
            </a:ext>
          </a:extLst>
        </xdr:cNvPr>
        <xdr:cNvSpPr/>
      </xdr:nvSpPr>
      <xdr:spPr>
        <a:xfrm>
          <a:off x="3695148" y="50800"/>
          <a:ext cx="7215808" cy="546100"/>
        </a:xfrm>
        <a:prstGeom prst="flowChartTerminator">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rgbClr val="002060"/>
              </a:solidFill>
            </a:rPr>
            <a:t>Gen Z</a:t>
          </a:r>
          <a:r>
            <a:rPr lang="en-IN" sz="2400" b="1" baseline="0">
              <a:solidFill>
                <a:srgbClr val="002060"/>
              </a:solidFill>
            </a:rPr>
            <a:t> - Career Aspirations Data</a:t>
          </a:r>
          <a:endParaRPr lang="en-IN" sz="2000" b="1">
            <a:solidFill>
              <a:srgbClr val="002060"/>
            </a:solidFill>
          </a:endParaRPr>
        </a:p>
      </xdr:txBody>
    </xdr:sp>
    <xdr:clientData/>
  </xdr:twoCellAnchor>
  <xdr:twoCellAnchor>
    <xdr:from>
      <xdr:col>23</xdr:col>
      <xdr:colOff>76200</xdr:colOff>
      <xdr:row>0</xdr:row>
      <xdr:rowOff>101600</xdr:rowOff>
    </xdr:from>
    <xdr:to>
      <xdr:col>30</xdr:col>
      <xdr:colOff>279400</xdr:colOff>
      <xdr:row>20</xdr:row>
      <xdr:rowOff>25400</xdr:rowOff>
    </xdr:to>
    <xdr:sp macro="" textlink="">
      <xdr:nvSpPr>
        <xdr:cNvPr id="4" name="Rectangle: Rounded Corners 3">
          <a:extLst>
            <a:ext uri="{FF2B5EF4-FFF2-40B4-BE49-F238E27FC236}">
              <a16:creationId xmlns:a16="http://schemas.microsoft.com/office/drawing/2014/main" id="{3BBF737B-2664-4586-B3AA-AF5595281FB8}"/>
            </a:ext>
          </a:extLst>
        </xdr:cNvPr>
        <xdr:cNvSpPr/>
      </xdr:nvSpPr>
      <xdr:spPr>
        <a:xfrm>
          <a:off x="14097000" y="101600"/>
          <a:ext cx="4470400" cy="3225800"/>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200996</xdr:colOff>
      <xdr:row>1</xdr:row>
      <xdr:rowOff>38100</xdr:rowOff>
    </xdr:from>
    <xdr:to>
      <xdr:col>30</xdr:col>
      <xdr:colOff>178909</xdr:colOff>
      <xdr:row>19</xdr:row>
      <xdr:rowOff>60187</xdr:rowOff>
    </xdr:to>
    <xdr:sp macro="" textlink="">
      <xdr:nvSpPr>
        <xdr:cNvPr id="11" name="Rectangle: Rounded Corners 10">
          <a:extLst>
            <a:ext uri="{FF2B5EF4-FFF2-40B4-BE49-F238E27FC236}">
              <a16:creationId xmlns:a16="http://schemas.microsoft.com/office/drawing/2014/main" id="{383FF645-A23D-4386-818A-EB5401EE2FB2}"/>
            </a:ext>
          </a:extLst>
        </xdr:cNvPr>
        <xdr:cNvSpPr/>
      </xdr:nvSpPr>
      <xdr:spPr>
        <a:xfrm>
          <a:off x="14221796" y="203200"/>
          <a:ext cx="4245113" cy="2993887"/>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800"/>
        </a:p>
      </xdr:txBody>
    </xdr:sp>
    <xdr:clientData/>
  </xdr:twoCellAnchor>
  <xdr:twoCellAnchor>
    <xdr:from>
      <xdr:col>27</xdr:col>
      <xdr:colOff>17674</xdr:colOff>
      <xdr:row>15</xdr:row>
      <xdr:rowOff>109331</xdr:rowOff>
    </xdr:from>
    <xdr:to>
      <xdr:col>29</xdr:col>
      <xdr:colOff>382108</xdr:colOff>
      <xdr:row>18</xdr:row>
      <xdr:rowOff>153506</xdr:rowOff>
    </xdr:to>
    <xdr:sp macro="" textlink="">
      <xdr:nvSpPr>
        <xdr:cNvPr id="13" name="Flowchart: Terminator 12">
          <a:extLst>
            <a:ext uri="{FF2B5EF4-FFF2-40B4-BE49-F238E27FC236}">
              <a16:creationId xmlns:a16="http://schemas.microsoft.com/office/drawing/2014/main" id="{349EF8E1-A5A5-4D74-BA7F-A42200ABAD96}"/>
            </a:ext>
          </a:extLst>
        </xdr:cNvPr>
        <xdr:cNvSpPr/>
      </xdr:nvSpPr>
      <xdr:spPr>
        <a:xfrm>
          <a:off x="16476874" y="2585831"/>
          <a:ext cx="1583634" cy="5394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711</a:t>
          </a:r>
          <a:endParaRPr lang="en-IN" sz="1100" b="1"/>
        </a:p>
      </xdr:txBody>
    </xdr:sp>
    <xdr:clientData/>
  </xdr:twoCellAnchor>
  <xdr:twoCellAnchor>
    <xdr:from>
      <xdr:col>23</xdr:col>
      <xdr:colOff>456648</xdr:colOff>
      <xdr:row>15</xdr:row>
      <xdr:rowOff>80617</xdr:rowOff>
    </xdr:from>
    <xdr:to>
      <xdr:col>26</xdr:col>
      <xdr:colOff>213691</xdr:colOff>
      <xdr:row>18</xdr:row>
      <xdr:rowOff>124792</xdr:rowOff>
    </xdr:to>
    <xdr:sp macro="" textlink="">
      <xdr:nvSpPr>
        <xdr:cNvPr id="12" name="Flowchart: Terminator 11">
          <a:extLst>
            <a:ext uri="{FF2B5EF4-FFF2-40B4-BE49-F238E27FC236}">
              <a16:creationId xmlns:a16="http://schemas.microsoft.com/office/drawing/2014/main" id="{EF3AC1CD-781D-45D3-81DE-08D1A55B7548}"/>
            </a:ext>
          </a:extLst>
        </xdr:cNvPr>
        <xdr:cNvSpPr/>
      </xdr:nvSpPr>
      <xdr:spPr>
        <a:xfrm>
          <a:off x="14477448" y="2557117"/>
          <a:ext cx="1585843" cy="5394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 1041</a:t>
          </a:r>
        </a:p>
      </xdr:txBody>
    </xdr:sp>
    <xdr:clientData/>
  </xdr:twoCellAnchor>
  <xdr:twoCellAnchor editAs="oneCell">
    <xdr:from>
      <xdr:col>23</xdr:col>
      <xdr:colOff>600762</xdr:colOff>
      <xdr:row>4</xdr:row>
      <xdr:rowOff>142460</xdr:rowOff>
    </xdr:from>
    <xdr:to>
      <xdr:col>26</xdr:col>
      <xdr:colOff>62254</xdr:colOff>
      <xdr:row>15</xdr:row>
      <xdr:rowOff>54389</xdr:rowOff>
    </xdr:to>
    <xdr:pic>
      <xdr:nvPicPr>
        <xdr:cNvPr id="8" name="Graphic 7" descr="Man wearing a hoodie">
          <a:extLst>
            <a:ext uri="{FF2B5EF4-FFF2-40B4-BE49-F238E27FC236}">
              <a16:creationId xmlns:a16="http://schemas.microsoft.com/office/drawing/2014/main" id="{50C5C771-3594-46C5-95EC-2FB0149F615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621562" y="802860"/>
          <a:ext cx="1290292" cy="1728029"/>
        </a:xfrm>
        <a:prstGeom prst="rect">
          <a:avLst/>
        </a:prstGeom>
      </xdr:spPr>
    </xdr:pic>
    <xdr:clientData/>
  </xdr:twoCellAnchor>
  <xdr:twoCellAnchor editAs="oneCell">
    <xdr:from>
      <xdr:col>27</xdr:col>
      <xdr:colOff>145221</xdr:colOff>
      <xdr:row>4</xdr:row>
      <xdr:rowOff>92765</xdr:rowOff>
    </xdr:from>
    <xdr:to>
      <xdr:col>29</xdr:col>
      <xdr:colOff>187738</xdr:colOff>
      <xdr:row>15</xdr:row>
      <xdr:rowOff>32717</xdr:rowOff>
    </xdr:to>
    <xdr:pic>
      <xdr:nvPicPr>
        <xdr:cNvPr id="10" name="Graphic 9" descr="Woman with long wavy hair">
          <a:extLst>
            <a:ext uri="{FF2B5EF4-FFF2-40B4-BE49-F238E27FC236}">
              <a16:creationId xmlns:a16="http://schemas.microsoft.com/office/drawing/2014/main" id="{9943691F-DA03-4823-B60C-5C3ACF608B5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604421" y="753165"/>
          <a:ext cx="1261717" cy="1756052"/>
        </a:xfrm>
        <a:prstGeom prst="rect">
          <a:avLst/>
        </a:prstGeom>
      </xdr:spPr>
    </xdr:pic>
    <xdr:clientData/>
  </xdr:twoCellAnchor>
  <xdr:twoCellAnchor>
    <xdr:from>
      <xdr:col>25</xdr:col>
      <xdr:colOff>215900</xdr:colOff>
      <xdr:row>1</xdr:row>
      <xdr:rowOff>88900</xdr:rowOff>
    </xdr:from>
    <xdr:to>
      <xdr:col>27</xdr:col>
      <xdr:colOff>584200</xdr:colOff>
      <xdr:row>3</xdr:row>
      <xdr:rowOff>139700</xdr:rowOff>
    </xdr:to>
    <xdr:sp macro="" textlink="">
      <xdr:nvSpPr>
        <xdr:cNvPr id="5" name="Flowchart: Alternate Process 4">
          <a:extLst>
            <a:ext uri="{FF2B5EF4-FFF2-40B4-BE49-F238E27FC236}">
              <a16:creationId xmlns:a16="http://schemas.microsoft.com/office/drawing/2014/main" id="{E6D06D1C-75E0-4936-95A4-86284734A467}"/>
            </a:ext>
          </a:extLst>
        </xdr:cNvPr>
        <xdr:cNvSpPr/>
      </xdr:nvSpPr>
      <xdr:spPr>
        <a:xfrm>
          <a:off x="15455900" y="254000"/>
          <a:ext cx="1587500" cy="3810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t>Responses</a:t>
          </a:r>
        </a:p>
      </xdr:txBody>
    </xdr:sp>
    <xdr:clientData/>
  </xdr:twoCellAnchor>
  <xdr:twoCellAnchor>
    <xdr:from>
      <xdr:col>16</xdr:col>
      <xdr:colOff>152400</xdr:colOff>
      <xdr:row>2</xdr:row>
      <xdr:rowOff>12700</xdr:rowOff>
    </xdr:from>
    <xdr:to>
      <xdr:col>21</xdr:col>
      <xdr:colOff>101600</xdr:colOff>
      <xdr:row>2</xdr:row>
      <xdr:rowOff>25400</xdr:rowOff>
    </xdr:to>
    <xdr:cxnSp macro="">
      <xdr:nvCxnSpPr>
        <xdr:cNvPr id="22" name="Straight Connector 21">
          <a:extLst>
            <a:ext uri="{FF2B5EF4-FFF2-40B4-BE49-F238E27FC236}">
              <a16:creationId xmlns:a16="http://schemas.microsoft.com/office/drawing/2014/main" id="{D562E8B5-AF2F-463D-99C3-ECB4E6B437F8}"/>
            </a:ext>
          </a:extLst>
        </xdr:cNvPr>
        <xdr:cNvCxnSpPr/>
      </xdr:nvCxnSpPr>
      <xdr:spPr>
        <a:xfrm flipV="1">
          <a:off x="9906000" y="342900"/>
          <a:ext cx="2997200" cy="127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4</xdr:col>
      <xdr:colOff>558800</xdr:colOff>
      <xdr:row>0</xdr:row>
      <xdr:rowOff>12700</xdr:rowOff>
    </xdr:to>
    <xdr:cxnSp macro="">
      <xdr:nvCxnSpPr>
        <xdr:cNvPr id="25" name="Straight Connector 24">
          <a:extLst>
            <a:ext uri="{FF2B5EF4-FFF2-40B4-BE49-F238E27FC236}">
              <a16:creationId xmlns:a16="http://schemas.microsoft.com/office/drawing/2014/main" id="{56D4B0DA-04AD-4C09-9A89-54E14897F9FB}"/>
            </a:ext>
          </a:extLst>
        </xdr:cNvPr>
        <xdr:cNvCxnSpPr/>
      </xdr:nvCxnSpPr>
      <xdr:spPr>
        <a:xfrm flipV="1">
          <a:off x="0" y="0"/>
          <a:ext cx="2997200" cy="127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2</xdr:row>
      <xdr:rowOff>0</xdr:rowOff>
    </xdr:from>
    <xdr:to>
      <xdr:col>7</xdr:col>
      <xdr:colOff>266700</xdr:colOff>
      <xdr:row>2</xdr:row>
      <xdr:rowOff>25400</xdr:rowOff>
    </xdr:to>
    <xdr:cxnSp macro="">
      <xdr:nvCxnSpPr>
        <xdr:cNvPr id="26" name="Straight Connector 25">
          <a:extLst>
            <a:ext uri="{FF2B5EF4-FFF2-40B4-BE49-F238E27FC236}">
              <a16:creationId xmlns:a16="http://schemas.microsoft.com/office/drawing/2014/main" id="{3C1A2E14-86E9-4F77-84C1-91633F82CEBE}"/>
            </a:ext>
          </a:extLst>
        </xdr:cNvPr>
        <xdr:cNvCxnSpPr/>
      </xdr:nvCxnSpPr>
      <xdr:spPr>
        <a:xfrm flipV="1">
          <a:off x="1917700" y="330200"/>
          <a:ext cx="2616200" cy="254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317500</xdr:colOff>
      <xdr:row>13</xdr:row>
      <xdr:rowOff>63500</xdr:rowOff>
    </xdr:from>
    <xdr:to>
      <xdr:col>37</xdr:col>
      <xdr:colOff>266700</xdr:colOff>
      <xdr:row>13</xdr:row>
      <xdr:rowOff>76200</xdr:rowOff>
    </xdr:to>
    <xdr:cxnSp macro="">
      <xdr:nvCxnSpPr>
        <xdr:cNvPr id="27" name="Straight Connector 26">
          <a:extLst>
            <a:ext uri="{FF2B5EF4-FFF2-40B4-BE49-F238E27FC236}">
              <a16:creationId xmlns:a16="http://schemas.microsoft.com/office/drawing/2014/main" id="{F5BC79C9-D3B9-4FFC-B7A8-1DD3109BF251}"/>
            </a:ext>
          </a:extLst>
        </xdr:cNvPr>
        <xdr:cNvCxnSpPr/>
      </xdr:nvCxnSpPr>
      <xdr:spPr>
        <a:xfrm flipV="1">
          <a:off x="19824700" y="2209800"/>
          <a:ext cx="2997200" cy="127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88900</xdr:colOff>
      <xdr:row>20</xdr:row>
      <xdr:rowOff>63500</xdr:rowOff>
    </xdr:from>
    <xdr:to>
      <xdr:col>14</xdr:col>
      <xdr:colOff>38100</xdr:colOff>
      <xdr:row>20</xdr:row>
      <xdr:rowOff>76200</xdr:rowOff>
    </xdr:to>
    <xdr:cxnSp macro="">
      <xdr:nvCxnSpPr>
        <xdr:cNvPr id="28" name="Straight Connector 27">
          <a:extLst>
            <a:ext uri="{FF2B5EF4-FFF2-40B4-BE49-F238E27FC236}">
              <a16:creationId xmlns:a16="http://schemas.microsoft.com/office/drawing/2014/main" id="{E72E0183-1495-45B6-B6E6-7FAB9C220009}"/>
            </a:ext>
          </a:extLst>
        </xdr:cNvPr>
        <xdr:cNvCxnSpPr/>
      </xdr:nvCxnSpPr>
      <xdr:spPr>
        <a:xfrm flipV="1">
          <a:off x="5575300" y="3365500"/>
          <a:ext cx="2997200" cy="12700"/>
        </a:xfrm>
        <a:prstGeom prst="line">
          <a:avLst/>
        </a:prstGeom>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177800</xdr:colOff>
      <xdr:row>0</xdr:row>
      <xdr:rowOff>152400</xdr:rowOff>
    </xdr:from>
    <xdr:to>
      <xdr:col>2</xdr:col>
      <xdr:colOff>406400</xdr:colOff>
      <xdr:row>12</xdr:row>
      <xdr:rowOff>139700</xdr:rowOff>
    </xdr:to>
    <xdr:sp macro="" textlink="">
      <xdr:nvSpPr>
        <xdr:cNvPr id="7" name="Rectangle 6">
          <a:extLst>
            <a:ext uri="{FF2B5EF4-FFF2-40B4-BE49-F238E27FC236}">
              <a16:creationId xmlns:a16="http://schemas.microsoft.com/office/drawing/2014/main" id="{9B4ECC3F-4075-637A-D3D7-653E0B1163D8}"/>
            </a:ext>
          </a:extLst>
        </xdr:cNvPr>
        <xdr:cNvSpPr/>
      </xdr:nvSpPr>
      <xdr:spPr>
        <a:xfrm>
          <a:off x="177800" y="152400"/>
          <a:ext cx="1447800" cy="1968500"/>
        </a:xfrm>
        <a:prstGeom prst="rect">
          <a:avLst/>
        </a:prstGeom>
        <a:blipFill dpi="0" rotWithShape="1">
          <a:blip xmlns:r="http://schemas.openxmlformats.org/officeDocument/2006/relationships" r:embed="rId13">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48.913664583335" createdVersion="7" refreshedVersion="7" minRefreshableVersion="3" recordCount="1753" xr:uid="{317E8949-B253-4638-A111-A49F35DA8922}">
  <cacheSource type="worksheet">
    <worksheetSource ref="A1:R1754" sheet="Sheet1"/>
  </cacheSource>
  <cacheFields count="19">
    <cacheField name="Timestamp" numFmtId="164">
      <sharedItems containsSemiMixedTypes="0" containsNonDate="0" containsDate="1" containsString="0" minDate="2022-12-16T11:46:06" maxDate="2023-05-02T18:04:14"/>
    </cacheField>
    <cacheField name="Your Current Country." numFmtId="0">
      <sharedItems/>
    </cacheField>
    <cacheField name="Your Current Zip Code / Pin Code" numFmtId="0">
      <sharedItems containsMixedTypes="1" containsNumber="1" containsInteger="1" minValue="7" maxValue="855107"/>
    </cacheField>
    <cacheField name="Your Gender" numFmtId="0">
      <sharedItems count="3">
        <s v="Male"/>
        <s v="Female"/>
        <s v="Transgender"/>
      </sharedItems>
    </cacheField>
    <cacheField name="Which of the below factors influence the most about your career aspirations ?" numFmtId="0">
      <sharedItems count="5">
        <s v="People who have changed the world for better"/>
        <s v="Social Media like LinkedIn"/>
        <s v="People from my circle, but not family members"/>
        <s v="Influencers who had successful careers"/>
        <s v="My Parents"/>
      </sharedItems>
    </cacheField>
    <cacheField name="Would you definitely pursue a Higher Education / Post Graduation outside of India ? If only you have to self sponsor it." numFmtId="0">
      <sharedItems count="3">
        <s v="Yes, I will earn and do that"/>
        <s v="No, But if someone could bare the cost I will"/>
        <s v="No I would not be pursuing Higher Education outside of India"/>
      </sharedItems>
    </cacheField>
    <cacheField name="How likely is that you will work for one employer for 3 years or more ?" numFmtId="0">
      <sharedItems count="4">
        <s v="This will be hard to do, but if it is the right company I would try"/>
        <s v="Will work for 3 years or more"/>
        <s v="No way, 3 years with one employer is crazy"/>
        <s v="No way"/>
      </sharedItems>
    </cacheField>
    <cacheField name="Would you work for a company whose mission is not clearly defined and publicly posted." numFmtId="0">
      <sharedItems count="2">
        <s v="No"/>
        <s v="Yes"/>
      </sharedItems>
    </cacheField>
    <cacheField name="How likely would you work for a company whose mission is misaligned with their public actions or even their product ?" numFmtId="0">
      <sharedItems count="2">
        <s v="Will NOT work for them"/>
        <s v="Will work for them"/>
      </sharedItems>
    </cacheField>
    <cacheField name="How likely would you work for a company whose mission is not bringing social impact ?" numFmtId="0">
      <sharedItems containsSemiMixedTypes="0" containsString="0" containsNumber="1" containsInteger="1" minValue="1" maxValue="10" count="10">
        <n v="4"/>
        <n v="1"/>
        <n v="7"/>
        <n v="6"/>
        <n v="5"/>
        <n v="8"/>
        <n v="2"/>
        <n v="3"/>
        <n v="10"/>
        <n v="9"/>
      </sharedItems>
    </cacheField>
    <cacheField name="What is the most preferred working environment for you." numFmtId="0">
      <sharedItems/>
    </cacheField>
    <cacheField name="Which of the below Employers would you work with." numFmtId="0">
      <sharedItems/>
    </cacheField>
    <cacheField name="Which type of learning environment that you are most likely to work in ?" numFmtId="0">
      <sharedItems/>
    </cacheField>
    <cacheField name="Which of the below careers looks close to your Aspirational job ?" numFmtId="0">
      <sharedItems/>
    </cacheField>
    <cacheField name="What type of Manager would you work without looking into your watch ?" numFmtId="0">
      <sharedItems/>
    </cacheField>
    <cacheField name="Which of the following setup you would like to work ?" numFmtId="0">
      <sharedItems/>
    </cacheField>
    <cacheField name="Would you work for a company that has Laid-Off Employees recently ?" numFmtId="0">
      <sharedItems containsBlank="1"/>
    </cacheField>
    <cacheField name="How likely is that you will work for one employer for 7 years or more ?" numFmtId="0">
      <sharedItems containsBlank="1"/>
    </cacheField>
    <cacheField name="Where would your Age fall ?" numFmtId="0">
      <sharedItems containsNonDate="0" containsString="0" containsBlank="1"/>
    </cacheField>
  </cacheFields>
  <extLst>
    <ext xmlns:x14="http://schemas.microsoft.com/office/spreadsheetml/2009/9/main" uri="{725AE2AE-9491-48be-B2B4-4EB974FC3084}">
      <x14:pivotCacheDefinition pivotCacheId="20444374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50.952402777781" createdVersion="7" refreshedVersion="7" minRefreshableVersion="3" recordCount="1753" xr:uid="{72127C20-9CBE-4307-BF72-989CBD0BB4D6}">
  <cacheSource type="worksheet">
    <worksheetSource ref="A1:P1754" sheet="Sheet1"/>
  </cacheSource>
  <cacheFields count="16">
    <cacheField name="Timestamp" numFmtId="164">
      <sharedItems containsSemiMixedTypes="0" containsNonDate="0" containsDate="1" containsString="0" minDate="2022-12-16T11:46:06" maxDate="2023-05-02T18:04:14"/>
    </cacheField>
    <cacheField name="Your Current Country." numFmtId="0">
      <sharedItems/>
    </cacheField>
    <cacheField name="Your Current Zip Code / Pin Code" numFmtId="0">
      <sharedItems containsMixedTypes="1" containsNumber="1" containsInteger="1" minValue="7" maxValue="855107"/>
    </cacheField>
    <cacheField name="Your Gender" numFmtId="0">
      <sharedItems count="3">
        <s v="Male"/>
        <s v="Female"/>
        <s v="Transgender"/>
      </sharedItems>
    </cacheField>
    <cacheField name="Which of the below factors influence the most about your career aspirations ?" numFmtId="0">
      <sharedItems count="5">
        <s v="People who have changed the world for better"/>
        <s v="Social Media like LinkedIn"/>
        <s v="People from my circle, but not family members"/>
        <s v="Influencers who had successful careers"/>
        <s v="My Parents"/>
      </sharedItems>
    </cacheField>
    <cacheField name="Would you definitely pursue a Higher Education / Post Graduation outside of India ? If only you have to self sponsor it." numFmtId="0">
      <sharedItems/>
    </cacheField>
    <cacheField name="How likely is that you will work for one employer for 3 years or more ?" numFmtId="0">
      <sharedItems/>
    </cacheField>
    <cacheField name="3" numFmtId="0">
      <sharedItems/>
    </cacheField>
    <cacheField name="How likely would you work for a company whose mission is misaligned with their public actions or even their product ?" numFmtId="0">
      <sharedItems/>
    </cacheField>
    <cacheField name="How likely would you work for a company whose mission is not bringing social impact ?" numFmtId="0">
      <sharedItems containsSemiMixedTypes="0" containsString="0" containsNumber="1" containsInteger="1" minValue="1" maxValue="10"/>
    </cacheField>
    <cacheField name="What is the most preferred working environment for you." numFmtId="0">
      <sharedItems count="7">
        <s v="Fully Remote with No option to visit offices"/>
        <s v="Fully Remote with Options to travel as and when needed"/>
        <s v="Hybrid Working Environment with less than 15 days a month at office"/>
        <s v="Every Day Office Environment"/>
        <s v="Hybrid Working Environment with less than 10 days a month at office"/>
        <s v="Hybrid Working Environment with less than 3 days a month at office"/>
        <s v="Hybrid Working Environment with more than 15 days a month at office"/>
      </sharedItems>
    </cacheField>
    <cacheField name="Which of the below Employers would you work with." numFmtId="0">
      <sharedItems count="5">
        <s v="Employer who rewards learning and enables that environment"/>
        <s v="Employer who pushes your limits by enabling an learning environment, and rewards you at the end"/>
        <s v="Employer who appreciates learning and enables that environment"/>
        <s v="Employer who pushes your limits and doesn't enables learning environment and never rewards you"/>
        <s v="Employers who appreciates learning but doesn't enables an learning environment"/>
      </sharedItems>
    </cacheField>
    <cacheField name="Which type of learning environment that you are most likely to work in ?" numFmtId="0">
      <sharedItems count="26">
        <s v="Instructor or Expert Learning Programs, Trial and error by doing side projects within the company"/>
        <s v="Self Paced Learning Portals, Instructor or Expert Learning Programs"/>
        <s v="Self Paced Learning Portals, Trial and error by doing side projects within the company"/>
        <s v="Self Paced Learning Portals, Learning by observing others"/>
        <s v="Instructor or Expert Learning Programs, Learning by observing others"/>
        <s v="Learning by observing others, Trial and error by doing side projects within the company"/>
        <s v="Instructor or Expert Learning Programs, Learning by observing others, Trial and error by doing side projects within the company"/>
        <s v="Self Paced Learning Portals of the Company, Instructor or Expert Learning Programs, Manager Teaching you"/>
        <s v="Instructor or Expert Learning Programs, Trial and error by doing side projects within the company, Manager Teaching you"/>
        <s v="Self Paced Learning Portals of the Company, Instructor or Expert Learning Programs, Learning by observing others"/>
        <s v="Self Paced Learning Portals of the Company, Learning by observing others, Manager Teaching you"/>
        <s v="Self Paced Learning Portals of the Company, Instructor or Expert Learning Programs, Trial and error by doing side projects within the company"/>
        <s v="Instructor or Expert Learning Programs, Self Purchased Course from External Platforms, Manager Teaching you"/>
        <s v="Self Paced Learning Portals of the Company, Trial and error by doing side projects within the company, Manager Teaching you"/>
        <s v="Self Paced Learning Portals of the Company, Learning by observing others, Self Purchased Course from External Platforms"/>
        <s v="Learning by observing others, Trial and error by doing side projects within the company, Manager Teaching you"/>
        <s v="Instructor or Expert Learning Programs, Learning by observing others, Self Purchased Course from External Platforms"/>
        <s v="Self Paced Learning Portals of the Company, Learning by observing others, Trial and error by doing side projects within the company"/>
        <s v="Self Paced Learning Portals of the Company, Instructor or Expert Learning Programs, Self Purchased Course from External Platforms"/>
        <s v="Instructor or Expert Learning Programs, Learning by observing others, Manager Teaching you"/>
        <s v="Self Paced Learning Portals of the Company, Self Purchased Course from External Platforms, Manager Teaching you"/>
        <s v="Self Paced Learning Portals of the Company, Trial and error by doing side projects within the company, Self Purchased Course from External Platforms"/>
        <s v="Learning by observing others, Trial and error by doing side projects within the company, Self Purchased Course from External Platforms"/>
        <s v="Trial and error by doing side projects within the company, Self Purchased Course from External Platforms, Manager Teaching you"/>
        <s v="Instructor or Expert Learning Programs, Trial and error by doing side projects within the company, Self Purchased Course from External Platforms"/>
        <s v="Learning by observing others, Self Purchased Course from External Platforms, Manager Teaching you"/>
      </sharedItems>
    </cacheField>
    <cacheField name="Which of the below careers looks close to your Aspirational job ?" numFmtId="0">
      <sharedItems count="567">
        <s v="Business Operations in any organization, Build and develop a Team, Work as a freelancer and do my thing my way"/>
        <s v="Business Operations in any organization, Build and develop a Team, Look deeply into Data and generate insights"/>
        <s v="Manage and drive End-to-End Projects or Products, Design and Develop amazing software, Become a content Creator in some platform"/>
        <s v="Business Operations in any organization, Manage and drive End-to-End Projects or Products, Look deeply into Data and generate insights"/>
        <s v="Teaching in any of the institutes/online or Offline, Business Operations in any organization, Manage and drive End-to-End Projects or Products"/>
        <s v="Design and Creative strategy in any company, Business Operations in any organization, Look deeply into Data and generate insights"/>
        <s v="Teaching in any of the institutes/online or Offline, Look deeply into Data and generate insights, Become a content Creator in some platform"/>
        <s v="Manage and drive End-to-End Projects or Products, Look deeply into Data and generate insights, Work as a freelancer and do my thing my way"/>
        <s v="Design and Develop amazing software, Look deeply into Data and generate insights, Work as a freelancer and do my thing my way"/>
        <s v="Design and Creative strategy in any company, Teaching in any of the institutes/online or Offline, Manage and drive End-to-End Projects or Products"/>
        <s v="Design and Creative strategy in any company, Manage and drive End-to-End Projects or Products, Build and develop a Team"/>
        <s v="Teaching in any of the institutes/online or Offline, Build and develop a Team, Look deeply into Data and generate insights"/>
        <s v="Design and Creative strategy in any company, Teaching in any of the institutes/online or Offline, Design and Develop amazing software"/>
        <s v="Design and Creative strategy in any company, Business Operations in any organization, Become a content Creator in some platform"/>
        <s v="Business Operations in any organization, Manage and drive End-to-End Projects or Products, Work in a BPO setup for some well known client"/>
        <s v="Business Operations in any organization, Manage and drive End-to-End Projects or Products, Build and develop a Team"/>
        <s v="Design and Creative strategy in any company, Teaching in any of the institutes/online or Offline, Build and develop a Team"/>
        <s v="Design and Creative strategy in any company, Build and develop a Team, Design and Develop amazing software"/>
        <s v="Design and Creative strategy in any company, Work as a freelancer and do my thing my way, Become a content Creator in some platform"/>
        <s v="Design and Creative strategy in any company, Manage and drive End-to-End Projects or Products, Design and Develop amazing software"/>
        <s v="Design and Creative strategy in any company, Business Operations in any organization, Work as a freelancer and do my thing my way"/>
        <s v="Design and Creative strategy in any company, Business Operations in any organization, Design and Develop amazing software"/>
        <s v="Teaching in any of the institutes/online or Offline, Look deeply into Data and generate insights, Work as a freelancer and do my thing my way"/>
        <s v="Design and Creative strategy in any company, Build and develop a Team, Look deeply into Data and generate insights"/>
        <s v="Design and Creative strategy in any company, Manage and drive End-to-End Projects or Products, Look deeply into Data and generate insights"/>
        <s v="Teaching in any of the institutes/online or Offline, Work as a freelancer and do my thing my way, Become a content Creator in some platform"/>
        <s v="Teaching in any of the institutes/online or Offline, Design and Develop amazing software, Work as a freelancer and do my thing my way"/>
        <s v="Design and Creative strategy in any company, Teaching in any of the institutes/online or Offline, Business Operations in any organization"/>
        <s v="Business Operations in any organization, Work as a freelancer and do my thing my way, Become a content Creator in some platform"/>
        <s v="Design and Creative strategy in any company, Teaching in any of the institutes/online or Offline, Look deeply into Data and generate insights"/>
        <s v="Business Operations in any organization, Look deeply into Data and generate insights, Work as a freelancer and do my thing my way"/>
        <s v="Teaching in any of the institutes/online or Offline, Manage and drive End-to-End Projects or Products, Look deeply into Data and generate insights"/>
        <s v="Build and develop a Team, Work as a freelancer and do my thing my way, Become a content Creator in some platform"/>
        <s v="Manage and drive End-to-End Projects or Products, Build and develop a Team, Look deeply into Data and generate insights"/>
        <s v="Build and develop a Team, Look deeply into Data and generate insights, Become a content Creator in some platform"/>
        <s v="Design and Creative strategy in any company, Design and Develop amazing software, Become a content Creator in some platform"/>
        <s v="Business Operations in any organization, Build and develop a Team, Become a content Creator in some platform"/>
        <s v="Build and develop a Team, Design and Develop amazing software, Look deeply into Data and generate insights"/>
        <s v="Business Operations in any organization, Design and Develop amazing software, Look deeply into Data and generate insights"/>
        <s v="Design and Creative strategy in any company, Teaching in any of the institutes/online or Offline, Become a content Creator in some platform"/>
        <s v="Teaching in any of the institutes/online or Offline, Build and develop a Team, Work as a freelancer and do my thing my way"/>
        <s v="Design and Creative strategy in any company, Design and Develop amazing software, Look deeply into Data and generate insights"/>
        <s v="Look deeply into Data and generate insights, Work as a freelancer and do my thing my way, Become a content Creator in some platform"/>
        <s v="Design and Creative strategy in any company, Look deeply into Data and generate insights, Become a content Creator in some platform"/>
        <s v="Design and Creative strategy in any company, Manage and drive End-to-End Projects or Products, Become a content Creator in some platform"/>
        <s v="Design and Develop amazing software, Work as a freelancer and do my thing my way, Become a content Creator in some platform"/>
        <s v="Design and Creative strategy in any company, Design and Develop amazing software, Work in a BPO setup for some well known client"/>
        <s v="Look deeply into Data and generate insights, Work in a BPO setup for some well known client, Work as a freelancer and do my thing my way"/>
        <s v="Manage and drive End-to-End Projects or Products, Work as a freelancer and do my thing my way, Become a content Creator in some platform"/>
        <s v="Business Operations in any organization, Manage and drive End-to-End Projects or Products, Design and Develop amazing software"/>
        <s v="Design and Creative strategy in any company, Build and develop a Team, Work as a freelancer and do my thing my way"/>
        <s v="Teaching in any of the institutes/online or Offline, Business Operations in any organization, Look deeply into Data and generate insights"/>
        <s v="Look deeply into Data and generate insights, Work in a BPO setup for some well known client, Become a content Creator in some platform"/>
        <s v="Business Operations in any organization, Manage and drive End-to-End Projects or Products, Become a content Creator in some platform"/>
        <s v="Business Operations in any organization, Manage and drive End-to-End Projects or Products, Work as a freelancer and do my thing my way"/>
        <s v="Manage and drive End-to-End Projects or Products, Build and develop a Team, Design and Develop amazing software"/>
        <s v="Manage and drive End-to-End Projects or Products, Design and Develop amazing software, Look deeply into Data and generate insights"/>
        <s v="Teaching in any of the institutes/online or Offline, Manage and drive End-to-End Projects or Products, Build and develop a Team"/>
        <s v="Design and Creative strategy in any company, Look deeply into Data and generate insights, Work as a freelancer and do my thing my way"/>
        <s v="Design and Creative strategy in any company, Business Operations in any organization, Work in a BPO setup for some well known client"/>
        <s v="Manage and drive End-to-End Projects or Products, Look deeply into Data and generate insights, Become a content Creator in some platform"/>
        <s v="Teaching in any of the institutes/online or Offline, Design and Develop amazing software, Look deeply into Data and generate insights"/>
        <s v="Manage and drive End-to-End Projects or Products, Build and develop a Team, Work in a BPO setup for some well known client"/>
        <s v="Design and Creative strategy in any company, Business Operations in any organization, Manage and drive End-to-End Projects or Products"/>
        <s v="Design and Creative strategy in any company, Teaching in any of the institutes/online or Offline, Work as a freelancer and do my thing my way"/>
        <s v="Teaching in any of the institutes/online or Offline, Build and develop a Team, Become a content Creator in some platform"/>
        <s v="Business Operations in any organization, Look deeply into Data and generate insights, Work in a BPO setup for some well known client"/>
        <s v="Design and Creative strategy in any company, Manage and drive End-to-End Projects or Products, Work as a freelancer and do my thing my way"/>
        <s v="Teaching in any of the institutes/online or Offline, Build and develop a Team, Design and Develop amazing software"/>
        <s v="Design and Develop amazing software, Look deeply into Data and generate insights, Become a content Creator in some platform"/>
        <s v="Design and Creative strategy in any company, Build and develop a Team, Become a content Creator in some platform"/>
        <s v="Teaching in any of the institutes/online or Offline, Business Operations in any organization, Build and develop a Team"/>
        <s v="Design and Creative strategy in any company, Business Operations in any organization, Build and develop a Team"/>
        <s v="Teaching in any of the institutes/online or Offline, Manage and drive End-to-End Projects or Products, Become a content Creator in some platform"/>
        <s v="Teaching in any of the institutes/online or Offline, Design and Develop amazing software, Work in a BPO setup for some well known client"/>
        <s v="Manage and drive End-to-End Projects or Products, Look deeply into Data and generate insights, Work in a BPO setup for some well known client"/>
        <s v="Teaching in any of the institutes/online or Offline, Work in a BPO setup for some well known client, Work as a freelancer and do my thing my way"/>
        <s v="Teaching in any of the institutes/online or Offline, Business Operations in any organization, Work in a BPO setup for some well known client"/>
        <s v="Design and Creative strategy in any company, Manage and drive End-to-End Projects or Products, Work in a BPO setup for some well known client"/>
        <s v="Teaching in any of the institutes/online or Offline, Business Operations in any organization, Work as a freelancer and do my thing my way"/>
        <s v="Build and develop a Team, Design and Develop amazing software, Become a content Creator in some platform"/>
        <s v="Design and Creative strategy in any company, Design and Develop amazing software, Work as a freelancer and do my thing my way"/>
        <s v="Teaching in any of the institutes/online or Offline, Manage and drive End-to-End Projects or Products, Design and Develop amazing software"/>
        <s v="Business Operations in any organization, Design and Develop amazing software, Become a content Creator in some platform"/>
        <s v="Design and Creative strategy in any company, Work in a BPO setup for some well known client, Become a content Creator in some platform"/>
        <s v="Manage and drive End-to-End Projects or Products, Design and Develop amazing software, Work as a freelancer and do my thing my way"/>
        <s v="Design and Creative strategy in any company, Build and develop a Team, Work in a BPO setup for some well known client"/>
        <s v="Business Operations in any organization, Work in a BPO setup for some well known client, Work as a freelancer and do my thing my way"/>
        <s v="Work in a BPO setup for some well known client, Work as a freelancer and do my thing my way, Become a content Creator in some platform"/>
        <s v="Business Operations in any organization, Work in a BPO setup for some well known client, Become a content Creator in some platform"/>
        <s v="Business Operations in any organization, Look deeply into Data and generate insights, Become a content Creator in some platform"/>
        <s v="Build and develop a Team, Look deeply into Data and generate insights, Work as a freelancer and do my thing my way"/>
        <s v="Business Operations in any organization, Build and develop a Team, Work in a BPO setup for some well known client"/>
        <s v="Teaching in any of the institutes/online or Offline, Manage and drive End-to-End Projects or Products, Work as a freelancer and do my thing my way"/>
        <s v="Business Operations in any organization, Design and Develop amazing software, Look deeply into Data and generate insights, Work as a freelancer and do my thing my way"/>
        <s v="Teaching in any of the institutes/colleges/online or offline, Business Operations in any organization, Manage and drive End-to-End Projects or Products, Look deeply into Data and generate insights"/>
        <s v="Design and Creative strategy in any company, Business Operations in any organization, Work as a freelancer and do my thing my way, Entrepreneur or Start Up"/>
        <s v="Build and develop a Team, Look deeply into Data and generate insights, Entrepreneur or Start Up, An Artificial Intelligence Specialist / Talking to Robots"/>
        <s v="Manage and drive End-to-End Projects or Products, Design and Develop amazing software, Look deeply into Data and generate insights, Entrepreneur or Start Up"/>
        <s v="Design and Creative strategy in any company, Teaching in any of the institutes/colleges/online or offline, Business Operations in any organization, Become a content Creator in some platform"/>
        <s v="Design and Creative strategy in any company, Business Operations in any organization, Entrepreneur or Start Up, Manufacturing / Oil and Gas/ Construction / Hard Physical Work related"/>
        <s v="Design and Creative strategy in any company, Teaching in any of the institutes/colleges/online or offline, Business Operations in any organization, Look deeply into Data and generate insights"/>
        <s v="Build and develop a Team, Work in a BPO setup for some well known client, Work as a freelancer and do my thing my way, Manufacturing / Oil and Gas/ Construction / Hard Physical Work related"/>
        <s v="Build and develop a Team, Look deeply into Data and generate insights, Entrepreneur or Start Up, I Want to sell things/Sales"/>
        <s v="Look deeply into Data and generate insights, Become a content Creator in some platform, Entrepreneur or Start Up, An Artificial Intelligence Specialist / Talking to Robots"/>
        <s v="Manage and drive End-to-End Projects or Products, Look deeply into Data and generate insights, Work as a freelancer and do my thing my way, Entrepreneur or Start Up"/>
        <s v="Design and Develop amazing software, Work as a freelancer and do my thing my way, Entrepreneur or Start Up, An Artificial Intelligence Specialist / Talking to Robots"/>
        <s v="Design and Creative strategy in any company, Business Operations in any organization, Manage and drive End-to-End Projects or Products, Work in a BPO setup for some well known client"/>
        <s v="Business Operations in any organization, Manage and drive End-to-End Projects or Products, Look deeply into Data and generate insights, An Artificial Intelligence Specialist / Talking to Robots"/>
        <s v="Business Operations in any organization, Manage and drive End-to-End Projects or Products, Build and develop a Team, Look deeply into Data and generate insights"/>
        <s v="Design and Creative strategy in any company, Manage and drive End-to-End Projects or Products, Look deeply into Data and generate insights, Entrepreneur or Start Up"/>
        <s v="Design and Creative strategy in any company, Business Operations in any organization, Manage and drive End-to-End Projects or Products, Look deeply into Data and generate insights"/>
        <s v="Design and Creative strategy in any company, Build and develop a Team, An Artificial Intelligence Specialist / Talking to Robots, Manufacturing / Oil and Gas/ Construction / Hard Physical Work related"/>
        <s v="Design and Creative strategy in any company, Business Operations in any organization, Look deeply into Data and generate insights, An Artificial Intelligence Specialist / Talking to Robots"/>
        <s v="Design and Creative strategy in any company, Manage and drive End-to-End Projects or Products, Build and develop a Team, Look deeply into Data and generate insights"/>
        <s v="Design and Creative strategy in any company, Build and develop a Team, Work in a BPO setup for some well known client, Entrepreneur or Start Up"/>
        <s v="Design and Creative strategy in any company, Build and develop a Team, Design and Develop amazing software, An Artificial Intelligence Specialist / Talking to Robots"/>
        <s v="Teaching in any of the institutes/colleges/online or offline, Build and develop a Team, Look deeply into Data and generate insights, Work as a freelancer and do my thing my way"/>
        <s v="Build and develop a Team, Look deeply into Data and generate insights, Work as a freelancer and do my thing my way, Entrepreneur or Start Up"/>
        <s v="Business Operations in any organization, Build and develop a Team, Look deeply into Data and generate insights, Manufacturing / Oil and Gas/ Construction / Hard Physical Work related"/>
        <s v="Look deeply into Data and generate insights, Work as a freelancer and do my thing my way, Become a content Creator in some platform, Entrepreneur or Start Up"/>
        <s v="Design and Creative strategy in any company, Business Operations in any organization, Build and develop a Team, Manufacturing / Oil and Gas/ Construction / Hard Physical Work related"/>
        <s v="Design and Creative strategy in any company, Manage and drive End-to-End Projects or Products, Design and Develop amazing software, Work as a freelancer and do my thing my way"/>
        <s v="Build and develop a Team, Design and Develop amazing software, Entrepreneur or Start Up, An Artificial Intelligence Specialist / Talking to Robots"/>
        <s v="Design and Creative strategy in any company, Business Operations in any organization, Look deeply into Data and generate insights, Entrepreneur or Start Up"/>
        <s v="Business Operations in any organization, Look deeply into Data and generate insights, Work as a freelancer and do my thing my way, Entrepreneur or Start Up"/>
        <s v="Teaching in any of the institutes/colleges/online or offline, Manage and drive End-to-End Projects or Products, Build and develop a Team, Entrepreneur or Start Up"/>
        <s v="Design and Creative strategy in any company, Manage and drive End-to-End Projects or Products, Work as a freelancer and do my thing my way, An Artificial Intelligence Specialist / Talking to Robots"/>
        <s v="Design and Creative strategy in any company, Build and develop a Team, Design and Develop amazing software, Entrepreneur or Start Up"/>
        <s v="Business Operations in any organization, Build and develop a Team, Design and Develop amazing software, Look deeply into Data and generate insights"/>
        <s v="Design and Creative strategy in any company, Teaching in any of the institutes/colleges/online or offline, An Artificial Intelligence Specialist / Talking to Robots, Manufacturing / Oil and Gas/ Construction / Hard Physical Work related"/>
        <s v="Teaching in any of the institutes/colleges/online or offline, I Want to sell things/Sales, An Artificial Intelligence Specialist / Talking to Robots, Manufacturing / Oil and Gas/ Construction / Hard Physical Work related"/>
        <s v="Design and Creative strategy in any company, Business Operations in any organization, Build and develop a Team, Design and Develop amazing software"/>
        <s v="Design and Creative strategy in any company, Manage and drive End-to-End Projects or Products, Entrepreneur or Start Up, I Want to sell things/Sales"/>
        <s v="Design and Creative strategy in any company, Build and develop a Team, Design and Develop amazing software, Become a content Creator in some platform"/>
        <s v="Design and Develop amazing software, Look deeply into Data and generate insights, Entrepreneur or Start Up, An Artificial Intelligence Specialist / Talking to Robots"/>
        <s v="Design and Creative strategy in any company, Teaching in any of the institutes/colleges/online or offline, Look deeply into Data and generate insights, Entrepreneur or Start Up"/>
        <s v="Manage and drive End-to-End Projects or Products, Work as a freelancer and do my thing my way, Become a content Creator in some platform, An Artificial Intelligence Specialist / Talking to Robots"/>
        <s v="Design and Creative strategy in any company, Teaching in any of the institutes/colleges/online or offline, Build and develop a Team, Become a content Creator in some platform"/>
        <s v="Manage and drive End-to-End Projects or Products, Build and develop a Team, Design and Develop amazing software, Look deeply into Data and generate insights"/>
        <s v="Design and Creative strategy in any company, Business Operations in any organization, Build and develop a Team, Entrepreneur or Start Up"/>
        <s v="Design and Creative strategy in any company, Business Operations in any organization, Manage and drive End-to-End Projects or Products, Build and develop a Team"/>
        <s v="Design and Creative strategy in any company, Manage and drive End-to-End Projects or Products, Design and Develop amazing software, An Artificial Intelligence Specialist / Talking to Robots"/>
        <s v="Design and Creative strategy in any company, Business Operations in any organization, Manage and drive End-to-End Projects or Products, Design and Develop amazing software"/>
        <s v="Design and Creative strategy in any company, Build and develop a Team, Become a content Creator in some platform, Manufacturing / Oil and Gas/ Construction / Hard Physical Work related"/>
        <s v="Design and Creative strategy in any company, Become a content Creator in some platform, Entrepreneur or Start Up, I Want to sell things/Sales"/>
        <s v="Build and develop a Team, Design and Develop amazing software, Work as a freelancer and do my thing my way, Entrepreneur or Start Up"/>
        <s v="Manage and drive End-to-End Projects or Products, Design and Develop amazing software, Look deeply into Data and generate insights, An Artificial Intelligence Specialist / Talking to Robots"/>
        <s v="Build and develop a Team, Work as a freelancer and do my thing my way, Entrepreneur or Start Up, An Artificial Intelligence Specialist / Talking to Robots"/>
        <s v="Design and Creative strategy in any company, Business Operations in any organization, Manage and drive End-to-End Projects or Products, Work as a freelancer and do my thing my way"/>
        <s v="Teaching in any of the institutes/colleges/online or offline, Business Operations in any organization, Work as a freelancer and do my thing my way, Entrepreneur or Start Up"/>
        <s v="Business Operations in any organization, Entrepreneur or Start Up, An Artificial Intelligence Specialist / Talking to Robots, Manufacturing / Oil and Gas/ Construction / Hard Physical Work related"/>
        <s v="Design and Creative strategy in any company, Design and Develop amazing software, Become a content Creator in some platform, An Artificial Intelligence Specialist / Talking to Robots"/>
        <s v="Design and Creative strategy in any company, Manage and drive End-to-End Projects or Products, Build and develop a Team, Entrepreneur or Start Up"/>
        <s v="Design and Creative strategy in any company, Design and Develop amazing software, Look deeply into Data and generate insights, Manufacturing / Oil and Gas/ Construction / Hard Physical Work related"/>
        <s v="Design and Creative strategy in any company, Teaching in any of the institutes/colleges/online or offline, Manage and drive End-to-End Projects or Products, Build and develop a Team"/>
        <s v="Design and Creative strategy in any company, Teaching in any of the institutes/colleges/online or offline, Build and develop a Team, Look deeply into Data and generate insights"/>
        <s v="Build and develop a Team, Become a content Creator in some platform, Entrepreneur or Start Up, I Want to sell things/Sales"/>
        <s v="Design and Creative strategy in any company, Entrepreneur or Start Up, An Artificial Intelligence Specialist / Talking to Robots, Manufacturing / Oil and Gas/ Construction / Hard Physical Work related"/>
        <s v="Design and Creative strategy in any company, Manage and drive End-to-End Projects or Products, Build and develop a Team, Manufacturing / Oil and Gas/ Construction / Hard Physical Work related"/>
        <s v="Design and Creative strategy in any company, Manage and drive End-to-End Projects or Products, Build and develop a Team, Work as a freelancer and do my thing my way"/>
        <s v="Design and Creative strategy in any company, Teaching in any of the institutes/colleges/online or offline, Business Operations in any organization, Build and develop a Team"/>
        <s v="Design and Creative strategy in any company, Design and Develop amazing software, Entrepreneur or Start Up, I Want to sell things/Sales"/>
        <s v="Business Operations in any organization, Manage and drive End-to-End Projects or Products, Work in a BPO setup for some well known client, An Artificial Intelligence Specialist / Talking to Robots"/>
        <s v="Design and Creative strategy in any company, Teaching in any of the institutes/colleges/online or offline, Build and develop a Team, Design and Develop amazing software"/>
        <s v="Design and Creative strategy in any company, Business Operations in any organization, Build and develop a Team, An Artificial Intelligence Specialist / Talking to Robots"/>
        <s v="Design and Creative strategy in any company, Business Operations in any organization, Design and Develop amazing software, Work in a BPO setup for some well known client"/>
        <s v="Teaching in any of the institutes/colleges/online or offline, Build and develop a Team, Become a content Creator in some platform, Entrepreneur or Start Up"/>
        <s v="Manage and drive End-to-End Projects or Products, Build and develop a Team, Work as a freelancer and do my thing my way, An Artificial Intelligence Specialist / Talking to Robots"/>
        <s v="Look deeply into Data and generate insights, Work as a freelancer and do my thing my way, Entrepreneur or Start Up, Manufacturing / Oil and Gas/ Construction / Hard Physical Work related"/>
        <s v="Design and Creative strategy in any company, Design and Develop amazing software, Look deeply into Data and generate insights, Work as a freelancer and do my thing my way"/>
        <s v="Teaching in any of the institutes/colleges/online or offline, Manage and drive End-to-End Projects or Products, Build and develop a Team, Look deeply into Data and generate insights"/>
        <s v="Design and Creative strategy in any company, Build and develop a Team, Look deeply into Data and generate insights, An Artificial Intelligence Specialist / Talking to Robots"/>
        <s v="Business Operations in any organization, Entrepreneur or Start Up, I Want to sell things/Sales, Manufacturing / Oil and Gas/ Construction / Hard Physical Work related"/>
        <s v="Design and Creative strategy in any company, Teaching in any of the institutes/colleges/online or offline, Business Operations in any organization, Manage and drive End-to-End Projects or Products"/>
        <s v="Build and develop a Team, Work as a freelancer and do my thing my way, Entrepreneur or Start Up, I Want to sell things/Sales"/>
        <s v="Design and Creative strategy in any company, Teaching in any of the institutes/colleges/online or offline, Business Operations in any organization, Design and Develop amazing software"/>
        <s v="Teaching in any of the institutes/colleges/online or offline, Manage and drive End-to-End Projects or Products, Design and Develop amazing software, Work as a freelancer and do my thing my way"/>
        <s v="Teaching in any of the institutes/colleges/online or offline, Business Operations in any organization, Look deeply into Data and generate insights, Work in a BPO setup for some well known client"/>
        <s v="Design and Creative strategy in any company, Manage and drive End-to-End Projects or Products, Build and develop a Team, Design and Develop amazing software"/>
        <s v="Design and Creative strategy in any company, Teaching in any of the institutes/colleges/online or offline, Manage and drive End-to-End Projects or Products, Design and Develop amazing software"/>
        <s v="Teaching in any of the institutes/colleges/online or offline, Build and develop a Team, Work as a freelancer and do my thing my way, Entrepreneur or Start Up"/>
        <s v="Manage and drive End-to-End Projects or Products, Build and develop a Team, Look deeply into Data and generate insights, Entrepreneur or Start Up"/>
        <s v="Teaching in any of the institutes/colleges/online or offline, Manage and drive End-to-End Projects or Products, Build and develop a Team, Design and Develop amazing software"/>
        <s v="Design and Creative strategy in any company, Design and Develop amazing software, Work in a BPO setup for some well known client, Become a content Creator in some platform"/>
        <s v="Teaching in any of the institutes/colleges/online or offline, Design and Develop amazing software, Work as a freelancer and do my thing my way, Entrepreneur or Start Up"/>
        <s v="Business Operations in any organization, Build and develop a Team, Design and Develop amazing software, Entrepreneur or Start Up"/>
        <s v="Business Operations in any organization, Look deeply into Data and generate insights, An Artificial Intelligence Specialist / Talking to Robots, Manufacturing / Oil and Gas/ Construction / Hard Physical Work related"/>
        <s v="Design and Creative strategy in any company, Manage and drive End-to-End Projects or Products, Look deeply into Data and generate insights, Work as a freelancer and do my thing my way"/>
        <s v="Build and develop a Team, Design and Develop amazing software, Look deeply into Data and generate insights, Work as a freelancer and do my thing my way"/>
        <s v="Design and Creative strategy in any company, Teaching in any of the institutes/colleges/online or offline, Manage and drive End-to-End Projects or Products, Entrepreneur or Start Up"/>
        <s v="Design and Creative strategy in any company, Manage and drive End-to-End Projects or Products, Design and Develop amazing software, Look deeply into Data and generate insights"/>
        <s v="Design and Develop amazing software, Look deeply into Data and generate insights, Work as a freelancer and do my thing my way, An Artificial Intelligence Specialist / Talking to Robots"/>
        <s v="Work as a freelancer and do my thing my way, Become a content Creator in some platform, Entrepreneur or Start Up, I Want to sell things/Sales"/>
        <s v="Business Operations in any organization, Manage and drive End-to-End Projects or Products, Look deeply into Data and generate insights, Work as a freelancer and do my thing my way"/>
        <s v="Manage and drive End-to-End Projects or Products, Design and Develop amazing software, Entrepreneur or Start Up, An Artificial Intelligence Specialist / Talking to Robots"/>
        <s v="Design and Creative strategy in any company, Build and develop a Team, Look deeply into Data and generate insights, Entrepreneur or Start Up"/>
        <s v="Design and Creative strategy in any company, Business Operations in any organization, Build and develop a Team, Look deeply into Data and generate insights"/>
        <s v="Design and Creative strategy in any company, Business Operations in any organization, Build and develop a Team, Work as a freelancer and do my thing my way"/>
        <s v="Build and develop a Team, Look deeply into Data and generate insights, Entrepreneur or Start Up, Manufacturing / Oil and Gas/ Construction / Hard Physical Work related"/>
        <s v="Business Operations in any organization, Manage and drive End-to-End Projects or Products, Build and develop a Team, Entrepreneur or Start Up"/>
        <s v="Business Operations in any organization, Build and develop a Team, Look deeply into Data and generate insights, Entrepreneur or Start Up"/>
        <s v="Design and Creative strategy in any company, Business Operations in any organization, Work as a freelancer and do my thing my way, Become a content Creator in some platform"/>
        <s v="Business Operations in any organization, Entrepreneur or Start Up, I Want to sell things/Sales, An Artificial Intelligence Specialist / Talking to Robots"/>
        <s v="Manage and drive End-to-End Projects or Products, Build and develop a Team, Entrepreneur or Start Up, Manufacturing / Oil and Gas/ Construction / Hard Physical Work related"/>
        <s v="Design and Creative strategy in any company, Teaching in any of the institutes/colleges/online or offline, Work as a freelancer and do my thing my way, I Want to sell things/Sales"/>
        <s v="Design and Creative strategy in any company, Business Operations in any organization, Build and develop a Team, Become a content Creator in some platform"/>
        <s v="Business Operations in any organization, Work as a freelancer and do my thing my way, Entrepreneur or Start Up, I Want to sell things/Sales"/>
        <s v="Manage and drive End-to-End Projects or Products, Design and Develop amazing software, Work in a BPO setup for some well known client, I Want to sell things/Sales"/>
        <s v="Design and Creative strategy in any company, Manage and drive End-to-End Projects or Products, Build and develop a Team, Work in a BPO setup for some well known client"/>
        <s v="Build and develop a Team, Design and Develop amazing software, Look deeply into Data and generate insights, Manufacturing / Oil and Gas/ Construction / Hard Physical Work related"/>
        <s v="Manage and drive End-to-End Projects or Products, Build and develop a Team, Work as a freelancer and do my thing my way, Entrepreneur or Start Up"/>
        <s v="Business Operations in any organization, Build and develop a Team, Work as a freelancer and do my thing my way, Become a content Creator in some platform"/>
        <s v="Manage and drive End-to-End Projects or Products, Work as a freelancer and do my thing my way, Become a content Creator in some platform, Entrepreneur or Start Up"/>
        <s v="Design and Creative strategy in any company, Build and develop a Team, Design and Develop amazing software, Work as a freelancer and do my thing my way"/>
        <s v="Design and Creative strategy in any company, Teaching in any of the institutes/colleges/online or offline, Business Operations in any organization, I Want to sell things/Sales"/>
        <s v="Business Operations in any organization, Build and develop a Team, Entrepreneur or Start Up, Manufacturing / Oil and Gas/ Construction / Hard Physical Work related"/>
        <s v="Design and Creative strategy in any company, Business Operations in any organization, Manage and drive End-to-End Projects or Products, Become a content Creator in some platform"/>
        <s v="Design and Creative strategy in any company, Teaching in any of the institutes/colleges/online or offline, Work as a freelancer and do my thing my way, Become a content Creator in some platform"/>
        <s v="Business Operations in any organization, Manage and drive End-to-End Projects or Products, Build and develop a Team, Manufacturing / Oil and Gas/ Construction / Hard Physical Work related"/>
        <s v="Teaching in any of the institutes/colleges/online or offline, Build and develop a Team, Entrepreneur or Start Up, An Artificial Intelligence Specialist / Talking to Robots"/>
        <s v="Design and Creative strategy in any company, Business Operations in any organization, Entrepreneur or Start Up, I Want to sell things/Sales"/>
        <s v="Design and Creative strategy in any company, Look deeply into Data and generate insights, Work as a freelancer and do my thing my way, An Artificial Intelligence Specialist / Talking to Robots"/>
        <s v="Teaching in any of the institutes/colleges/online or offline, Design and Develop amazing software, Look deeply into Data and generate insights, An Artificial Intelligence Specialist / Talking to Robots"/>
        <s v="Design and Creative strategy in any company, Business Operations in any organization, Manage and drive End-to-End Projects or Products, Entrepreneur or Start Up"/>
        <s v="Design and Creative strategy in any company, Manage and drive End-to-End Projects or Products, Entrepreneur or Start Up, An Artificial Intelligence Specialist / Talking to Robots"/>
        <s v="Business Operations in any organization, Manage and drive End-to-End Projects or Products, Design and Develop amazing software, Look deeply into Data and generate insights"/>
        <s v="Business Operations in any organization, Design and Develop amazing software, Look deeply into Data and generate insights, An Artificial Intelligence Specialist / Talking to Robots"/>
        <s v="Teaching in any of the institutes/colleges/online or offline, Business Operations in any organization, Become a content Creator in some platform, I Want to sell things/Sales"/>
        <s v="Business Operations in any organization, Work as a freelancer and do my thing my way, Entrepreneur or Start Up, Manufacturing / Oil and Gas/ Construction / Hard Physical Work related"/>
        <s v="Design and Creative strategy in any company, Teaching in any of the institutes/colleges/online or offline, Build and develop a Team, Entrepreneur or Start Up"/>
        <s v="Business Operations in any organization, Manage and drive End-to-End Projects or Products, Build and develop a Team, Work in a BPO setup for some well known client"/>
        <s v="Design and Creative strategy in any company, Design and Develop amazing software, Work as a freelancer and do my thing my way, Become a content Creator in some platform"/>
        <s v="Manage and drive End-to-End Projects or Products, Build and develop a Team, Look deeply into Data and generate insights, Work as a freelancer and do my thing my way"/>
        <s v="Business Operations in any organization, Work in a BPO setup for some well known client, An Artificial Intelligence Specialist / Talking to Robots, Manufacturing / Oil and Gas/ Construction / Hard Physical Work related"/>
        <s v="Become a content Creator in some platform, I Want to sell things/Sales, An Artificial Intelligence Specialist / Talking to Robots, Manufacturing / Oil and Gas/ Construction / Hard Physical Work related"/>
        <s v="Business Operations in any organization, Manage and drive End-to-End Projects or Products, Entrepreneur or Start Up, I Want to sell things/Sales"/>
        <s v="Design and Creative strategy in any company, Work as a freelancer and do my thing my way, Become a content Creator in some platform, I Want to sell things/Sales"/>
        <s v="Manage and drive End-to-End Projects or Products, Look deeply into Data and generate insights, Work as a freelancer and do my thing my way, Become a content Creator in some platform"/>
        <s v="Design and Creative strategy in any company, Business Operations in any organization, Look deeply into Data and generate insights, Work as a freelancer and do my thing my way"/>
        <s v="Design and Creative strategy in any company, Business Operations in any organization, Design and Develop amazing software, Become a content Creator in some platform"/>
        <s v="Build and develop a Team, Work in a BPO setup for some well known client, Work as a freelancer and do my thing my way, An Artificial Intelligence Specialist / Talking to Robots"/>
        <s v="Teaching in any of the institutes/colleges/online or offline, Work as a freelancer and do my thing my way, An Artificial Intelligence Specialist / Talking to Robots, Manufacturing / Oil and Gas/ Construction / Hard Physical Work related"/>
        <s v="Business Operations in any organization, Manage and drive End-to-End Projects or Products, Build and develop a Team, Design and Develop amazing software"/>
        <s v="Teaching in any of the institutes/colleges/online or offline, Design and Develop amazing software, Work as a freelancer and do my thing my way, An Artificial Intelligence Specialist / Talking to Robots"/>
        <s v="Business Operations in any organization, Manage and drive End-to-End Projects or Products, Look deeply into Data and generate insights, Entrepreneur or Start Up"/>
        <s v="Business Operations in any organization, Manage and drive End-to-End Projects or Products, Build and develop a Team, An Artificial Intelligence Specialist / Talking to Robots"/>
        <s v="Design and Creative strategy in any company, Business Operations in any organization, Become a content Creator in some platform, Entrepreneur or Start Up"/>
        <s v="Teaching in any of the institutes/colleges/online or offline, Business Operations in any organization, Manage and drive End-to-End Projects or Products, Design and Develop amazing software"/>
        <s v="Design and Creative strategy in any company, Teaching in any of the institutes/colleges/online or offline, Business Operations in any organization, Manufacturing / Oil and Gas/ Construction / Hard Physical Work related"/>
        <s v="Design and Creative strategy in any company, Business Operations in any organization, Manage and drive End-to-End Projects or Products, An Artificial Intelligence Specialist / Talking to Robots"/>
        <s v="Business Operations in any organization, Build and develop a Team, Work as a freelancer and do my thing my way, An Artificial Intelligence Specialist / Talking to Robots"/>
        <s v="Design and Develop amazing software, Work as a freelancer and do my thing my way, Entrepreneur or Start Up, I Want to sell things/Sales"/>
        <s v="Teaching in any of the institutes/colleges/online or offline, Business Operations in any organization, Build and develop a Team, Work as a freelancer and do my thing my way"/>
        <s v="Design and Creative strategy in any company, Entrepreneur or Start Up, I Want to sell things/Sales, Manufacturing / Oil and Gas/ Construction / Hard Physical Work related"/>
        <s v="Manage and drive End-to-End Projects or Products, Work as a freelancer and do my thing my way, Entrepreneur or Start Up, Manufacturing / Oil and Gas/ Construction / Hard Physical Work related"/>
        <s v="Manage and drive End-to-End Projects or Products, Build and develop a Team, Design and Develop amazing software, Become a content Creator in some platform"/>
        <s v="Design and Creative strategy in any company, Teaching in any of the institutes/colleges/online or offline, Design and Develop amazing software, An Artificial Intelligence Specialist / Talking to Robots"/>
        <s v="Teaching in any of the institutes/colleges/online or offline, Build and develop a Team, Design and Develop amazing software, I Want to sell things/Sales"/>
        <s v="Business Operations in any organization, Work in a BPO setup for some well known client, Work as a freelancer and do my thing my way, I Want to sell things/Sales"/>
        <s v="Business Operations in any organization, Manage and drive End-to-End Projects or Products, Design and Develop amazing software, Work as a freelancer and do my thing my way"/>
        <s v="Design and Creative strategy in any company, Design and Develop amazing software, Work as a freelancer and do my thing my way, Entrepreneur or Start Up"/>
        <s v="Design and Creative strategy in any company, Design and Develop amazing software, Become a content Creator in some platform, Entrepreneur or Start Up"/>
        <s v="Build and develop a Team, Look deeply into Data and generate insights, Work as a freelancer and do my thing my way, An Artificial Intelligence Specialist / Talking to Robots"/>
        <s v="Entrepreneur or Start Up, I Want to sell things/Sales, An Artificial Intelligence Specialist / Talking to Robots, Manufacturing / Oil and Gas/ Construction / Hard Physical Work related"/>
        <s v="Design and Creative strategy in any company, Build and develop a Team, Become a content Creator in some platform, Entrepreneur or Start Up"/>
        <s v="Design and Creative strategy in any company, Design and Develop amazing software, Entrepreneur or Start Up, An Artificial Intelligence Specialist / Talking to Robots"/>
        <s v="Business Operations in any organization, Build and develop a Team, Design and Develop amazing software, Work in a BPO setup for some well known client"/>
        <s v="Teaching in any of the institutes/colleges/online or offline, Build and develop a Team, Work as a freelancer and do my thing my way, I Want to sell things/Sales"/>
        <s v="Business Operations in any organization, Work in a BPO setup for some well known client, Entrepreneur or Start Up, I Want to sell things/Sales"/>
        <s v="Build and develop a Team, Look deeply into Data and generate insights, Become a content Creator in some platform, Entrepreneur or Start Up"/>
        <s v="Manage and drive End-to-End Projects or Products, Work in a BPO setup for some well known client, Work as a freelancer and do my thing my way, Entrepreneur or Start Up"/>
        <s v="Design and Creative strategy in any company, Look deeply into Data and generate insights, Work as a freelancer and do my thing my way, Entrepreneur or Start Up"/>
        <s v="Look deeply into Data and generate insights, Work as a freelancer and do my thing my way, I Want to sell things/Sales, Manufacturing / Oil and Gas/ Construction / Hard Physical Work related"/>
        <s v="Business Operations in any organization, Manage and drive End-to-End Projects or Products, Design and Develop amazing software, An Artificial Intelligence Specialist / Talking to Robots"/>
        <s v="Design and Creative strategy in any company, I Want to sell things/Sales, An Artificial Intelligence Specialist / Talking to Robots, Manufacturing / Oil and Gas/ Construction / Hard Physical Work related"/>
        <s v="Business Operations in any organization, Manage and drive End-to-End Projects or Products, Build and develop a Team, I Want to sell things/Sales"/>
        <s v="Business Operations in any organization, Manage and drive End-to-End Projects or Products, Become a content Creator in some platform, Entrepreneur or Start Up"/>
        <s v="Teaching in any of the institutes/colleges/online or offline, Manage and drive End-to-End Projects or Products, Design and Develop amazing software, Look deeply into Data and generate insights"/>
        <s v="Teaching in any of the institutes/colleges/online or offline, Look deeply into Data and generate insights, Become a content Creator in some platform, Entrepreneur or Start Up"/>
        <s v="Business Operations in any organization, Work as a freelancer and do my thing my way, Become a content Creator in some platform, Manufacturing / Oil and Gas/ Construction / Hard Physical Work related"/>
        <s v="Build and develop a Team, Entrepreneur or Start Up, I Want to sell things/Sales, Manufacturing / Oil and Gas/ Construction / Hard Physical Work related"/>
        <s v="Design and Creative strategy in any company, Teaching in any of the institutes/colleges/online or offline, Work as a freelancer and do my thing my way, Manufacturing / Oil and Gas/ Construction / Hard Physical Work related"/>
        <s v="Teaching in any of the institutes/colleges/online or offline, Business Operations in any organization, Become a content Creator in some platform, Entrepreneur or Start Up"/>
        <s v="Teaching in any of the institutes/colleges/online or offline, Business Operations in any organization, Build and develop a Team, Entrepreneur or Start Up"/>
        <s v="Design and Creative strategy in any company, Teaching in any of the institutes/colleges/online or offline, Design and Develop amazing software, Entrepreneur or Start Up"/>
        <s v="Business Operations in any organization, Manage and drive End-to-End Projects or Products, Work as a freelancer and do my thing my way, Entrepreneur or Start Up"/>
        <s v="Manage and drive End-to-End Projects or Products, Work in a BPO setup for some well known client, Work as a freelancer and do my thing my way, Manufacturing / Oil and Gas/ Construction / Hard Physical Work related"/>
        <s v="Design and Creative strategy in any company, Teaching in any of the institutes/colleges/online or offline, Look deeply into Data and generate insights, An Artificial Intelligence Specialist / Talking to Robots"/>
        <s v="Build and develop a Team, Design and Develop amazing software, Look deeply into Data and generate insights, An Artificial Intelligence Specialist / Talking to Robots"/>
        <s v="Design and Creative strategy in any company, Design and Develop amazing software, Work as a freelancer and do my thing my way, I Want to sell things/Sales"/>
        <s v="Teaching in any of the institutes/colleges/online or offline, Manage and drive End-to-End Projects or Products, Look deeply into Data and generate insights, Work as a freelancer and do my thing my way"/>
        <s v="Business Operations in any organization, Build and develop a Team, Work as a freelancer and do my thing my way, Entrepreneur or Start Up"/>
        <s v="Business Operations in any organization, Look deeply into Data and generate insights, Entrepreneur or Start Up, Manufacturing / Oil and Gas/ Construction / Hard Physical Work related"/>
        <s v="Teaching in any of the institutes/colleges/online or offline, Business Operations in any organization, Build and develop a Team, Look deeply into Data and generate insights"/>
        <s v="Design and Creative strategy in any company, Build and develop a Team, I Want to sell things/Sales, Manufacturing / Oil and Gas/ Construction / Hard Physical Work related"/>
        <s v="Manage and drive End-to-End Projects or Products, Build and develop a Team, Design and Develop amazing software, Work as a freelancer and do my thing my way"/>
        <s v="Design and Creative strategy in any company, Teaching in any of the institutes/colleges/online or offline, Work in a BPO setup for some well known client, Work as a freelancer and do my thing my way"/>
        <s v="Manage and drive End-to-End Projects or Products, Work as a freelancer and do my thing my way, Entrepreneur or Start Up, An Artificial Intelligence Specialist / Talking to Robots"/>
        <s v="Teaching in any of the institutes/colleges/online or offline, Business Operations in any organization, Manage and drive End-to-End Projects or Products, Build and develop a Team"/>
        <s v="Design and Creative strategy in any company, Business Operations in any organization, An Artificial Intelligence Specialist / Talking to Robots, Manufacturing / Oil and Gas/ Construction / Hard Physical Work related"/>
        <s v="Design and Creative strategy in any company, Business Operations in any organization, Design and Develop amazing software, Entrepreneur or Start Up"/>
        <s v="Design and Creative strategy in any company, Business Operations in any organization, Manage and drive End-to-End Projects or Products, Manufacturing / Oil and Gas/ Construction / Hard Physical Work related"/>
        <s v="Teaching in any of the institutes/colleges/online or offline, Business Operations in any organization, Manage and drive End-to-End Projects or Products, Become a content Creator in some platform"/>
        <s v="Design and Creative strategy in any company, Business Operations in any organization, Become a content Creator in some platform, Manufacturing / Oil and Gas/ Construction / Hard Physical Work related"/>
        <s v="Manage and drive End-to-End Projects or Products, Build and develop a Team, Work as a freelancer and do my thing my way, Become a content Creator in some platform"/>
        <s v="Teaching in any of the institutes/colleges/online or offline, Look deeply into Data and generate insights, Work as a freelancer and do my thing my way, Become a content Creator in some platform"/>
        <s v="Design and Creative strategy in any company, Build and develop a Team, Look deeply into Data and generate insights, Become a content Creator in some platform"/>
        <s v="Design and Creative strategy in any company, Business Operations in any organization, Design and Develop amazing software, Look deeply into Data and generate insights"/>
        <s v="Design and Creative strategy in any company, Teaching in any of the institutes/colleges/online or offline, Design and Develop amazing software, Become a content Creator in some platform"/>
        <s v="Manage and drive End-to-End Projects or Products, Build and develop a Team, Design and Develop amazing software, Entrepreneur or Start Up"/>
        <s v="Build and develop a Team, Become a content Creator in some platform, I Want to sell things/Sales, An Artificial Intelligence Specialist / Talking to Robots"/>
        <s v="Teaching in any of the institutes/colleges/online or offline, Build and develop a Team, Design and Develop amazing software, Become a content Creator in some platform"/>
        <s v="Build and develop a Team, Design and Develop amazing software, Work as a freelancer and do my thing my way, An Artificial Intelligence Specialist / Talking to Robots"/>
        <s v="Build and develop a Team, Look deeply into Data and generate insights, I Want to sell things/Sales, An Artificial Intelligence Specialist / Talking to Robots"/>
        <s v="Become a content Creator in some platform, Entrepreneur or Start Up, I Want to sell things/Sales, An Artificial Intelligence Specialist / Talking to Robots"/>
        <s v="Manage and drive End-to-End Projects or Products, Build and develop a Team, Design and Develop amazing software, An Artificial Intelligence Specialist / Talking to Robots"/>
        <s v="Business Operations in any organization, Design and Develop amazing software, Entrepreneur or Start Up, An Artificial Intelligence Specialist / Talking to Robots"/>
        <s v="Design and Creative strategy in any company, Build and develop a Team, Work as a freelancer and do my thing my way, Entrepreneur or Start Up"/>
        <s v="Business Operations in any organization, Look deeply into Data and generate insights, Work as a freelancer and do my thing my way, I Want to sell things/Sales"/>
        <s v="Design and Creative strategy in any company, Teaching in any of the institutes/colleges/online or offline, Business Operations in any organization, Work in a BPO setup for some well known client"/>
        <s v="Design and Creative strategy in any company, Business Operations in any organization, Design and Develop amazing software, Work as a freelancer and do my thing my way"/>
        <s v="Business Operations in any organization, Build and develop a Team, Design and Develop amazing software, An Artificial Intelligence Specialist / Talking to Robots"/>
        <s v="Business Operations in any organization, Look deeply into Data and generate insights, Become a content Creator in some platform, An Artificial Intelligence Specialist / Talking to Robots"/>
        <s v="Work as a freelancer and do my thing my way, Entrepreneur or Start Up, I Want to sell things/Sales, Manufacturing / Oil and Gas/ Construction / Hard Physical Work related"/>
        <s v="Design and Creative strategy in any company, Build and develop a Team, Design and Develop amazing software, Look deeply into Data and generate insights"/>
        <s v="Business Operations in any organization, Manage and drive End-to-End Projects or Products, Build and develop a Team, Work as a freelancer and do my thing my way"/>
        <s v="Design and Creative strategy in any company, Teaching in any of the institutes/colleges/online or offline, Become a content Creator in some platform, Manufacturing / Oil and Gas/ Construction / Hard Physical Work related"/>
        <s v="Teaching in any of the institutes/colleges/online or offline, Build and develop a Team, Look deeply into Data and generate insights, Become a content Creator in some platform"/>
        <s v="Design and Creative strategy in any company, Business Operations in any organization, Look deeply into Data and generate insights, I Want to sell things/Sales"/>
        <s v="Teaching in any of the institutes/colleges/online or offline, Business Operations in any organization, Work in a BPO setup for some well known client, Work as a freelancer and do my thing my way"/>
        <s v="Design and Creative strategy in any company, Manage and drive End-to-End Projects or Products, Work as a freelancer and do my thing my way, Entrepreneur or Start Up"/>
        <s v="Design and Creative strategy in any company, Teaching in any of the institutes/colleges/online or offline, Work as a freelancer and do my thing my way, Entrepreneur or Start Up"/>
        <s v="Teaching in any of the institutes/colleges/online or offline, Business Operations in any organization, Build and develop a Team, Become a content Creator in some platform"/>
        <s v="Design and Creative strategy in any company, Teaching in any of the institutes/colleges/online or offline, Work in a BPO setup for some well known client, Become a content Creator in some platform"/>
        <s v="Design and Creative strategy in any company, Teaching in any of the institutes/colleges/online or offline, Design and Develop amazing software, Work as a freelancer and do my thing my way"/>
        <s v="Manage and drive End-to-End Projects or Products, Build and develop a Team, Look deeply into Data and generate insights, Become a content Creator in some platform"/>
        <s v="Manage and drive End-to-End Projects or Products, Build and develop a Team, Look deeply into Data and generate insights, I Want to sell things/Sales"/>
        <s v="Teaching in any of the institutes/colleges/online or offline, Work as a freelancer and do my thing my way, Become a content Creator in some platform, Entrepreneur or Start Up"/>
        <s v="Manage and drive End-to-End Projects or Products, Design and Develop amazing software, Work in a BPO setup for some well known client, An Artificial Intelligence Specialist / Talking to Robots"/>
        <s v="Business Operations in any organization, Build and develop a Team, Entrepreneur or Start Up, I Want to sell things/Sales"/>
        <s v="Business Operations in any organization, Manage and drive End-to-End Projects or Products, Work as a freelancer and do my thing my way, Manufacturing / Oil and Gas/ Construction / Hard Physical Work related"/>
        <s v="Business Operations in any organization, Build and develop a Team, Become a content Creator in some platform, An Artificial Intelligence Specialist / Talking to Robots"/>
        <s v="Teaching in any of the institutes/colleges/online or offline, Look deeply into Data and generate insights, Work as a freelancer and do my thing my way, Entrepreneur or Start Up"/>
        <s v="Business Operations in any organization, Look deeply into Data and generate insights, Become a content Creator in some platform, Entrepreneur or Start Up"/>
        <s v="Design and Creative strategy in any company, Business Operations in any organization, Become a content Creator in some platform, I Want to sell things/Sales"/>
        <s v="Build and develop a Team, Design and Develop amazing software, Look deeply into Data and generate insights, Entrepreneur or Start Up"/>
        <s v="Teaching in any of the institutes/colleges/online or offline, Business Operations in any organization, Manage and drive End-to-End Projects or Products, Work as a freelancer and do my thing my way"/>
        <s v="Design and Creative strategy in any company, Manage and drive End-to-End Projects or Products, Look deeply into Data and generate insights, An Artificial Intelligence Specialist / Talking to Robots"/>
        <s v="Design and Creative strategy in any company, Business Operations in any organization, Build and develop a Team, I Want to sell things/Sales"/>
        <s v="Design and Creative strategy in any company, Business Operations in any organization, Manage and drive End-to-End Projects or Products, I Want to sell things/Sales"/>
        <s v="Design and Creative strategy in any company, Design and Develop amazing software, Look deeply into Data and generate insights, Entrepreneur or Start Up"/>
        <s v="Teaching in any of the institutes/colleges/online or offline, Business Operations in any organization, Become a content Creator in some platform, An Artificial Intelligence Specialist / Talking to Robots"/>
        <s v="Design and Creative strategy in any company, Teaching in any of the institutes/colleges/online or offline, Build and develop a Team, Work as a freelancer and do my thing my way"/>
        <s v="Teaching in any of the institutes/colleges/online or offline, Business Operations in any organization, Design and Develop amazing software, Work in a BPO setup for some well known client"/>
        <s v="Design and Creative strategy in any company, Teaching in any of the institutes/colleges/online or offline, Manage and drive End-to-End Projects or Products, Manufacturing / Oil and Gas/ Construction / Hard Physical Work related"/>
        <s v="Design and Creative strategy in any company, Manage and drive End-to-End Projects or Products, Build and develop a Team, Become a content Creator in some platform"/>
        <s v="Design and Develop amazing software, Look deeply into Data and generate insights, Work as a freelancer and do my thing my way, Entrepreneur or Start Up"/>
        <s v="Manage and drive End-to-End Projects or Products, Look deeply into Data and generate insights, Entrepreneur or Start Up, An Artificial Intelligence Specialist / Talking to Robots"/>
        <s v="Business Operations in any organization, Build and develop a Team, Look deeply into Data and generate insights, Work as a freelancer and do my thing my way"/>
        <s v="Manage and drive End-to-End Projects or Products, Design and Develop amazing software, Become a content Creator in some platform, Manufacturing / Oil and Gas/ Construction / Hard Physical Work related"/>
        <s v="Teaching in any of the institutes/colleges/online or offline, Business Operations in any organization, I Want to sell things/Sales, An Artificial Intelligence Specialist / Talking to Robots"/>
        <s v="Design and Creative strategy in any company, Look deeply into Data and generate insights, Become a content Creator in some platform, Entrepreneur or Start Up"/>
        <s v="Teaching in any of the institutes/colleges/online or offline, Build and develop a Team, Design and Develop amazing software, Look deeply into Data and generate insights"/>
        <s v="Manage and drive End-to-End Projects or Products, Build and develop a Team, Work in a BPO setup for some well known client, Work as a freelancer and do my thing my way"/>
        <s v="Business Operations in any organization, Manage and drive End-to-End Projects or Products, Work in a BPO setup for some well known client, Work as a freelancer and do my thing my way"/>
        <s v="Business Operations in any organization, Design and Develop amazing software, Look deeply into Data and generate insights, Work in a BPO setup for some well known client"/>
        <s v="Teaching in any of the institutes/colleges/online or offline, Business Operations in any organization, Entrepreneur or Start Up, I Want to sell things/Sales"/>
        <s v="Manage and drive End-to-End Projects or Products, Design and Develop amazing software, Look deeply into Data and generate insights, Work as a freelancer and do my thing my way"/>
        <s v="Manage and drive End-to-End Projects or Products, Look deeply into Data and generate insights, Become a content Creator in some platform, An Artificial Intelligence Specialist / Talking to Robots"/>
        <s v="Design and Creative strategy in any company, Manage and drive End-to-End Projects or Products, Become a content Creator in some platform, Entrepreneur or Start Up"/>
        <s v="Design and Creative strategy in any company, Work as a freelancer and do my thing my way, Become a content Creator in some platform, Entrepreneur or Start Up"/>
        <s v="Design and Develop amazing software, Work as a freelancer and do my thing my way, Entrepreneur or Start Up, Manufacturing / Oil and Gas/ Construction / Hard Physical Work related"/>
        <s v="Look deeply into Data and generate insights, Work as a freelancer and do my thing my way, Entrepreneur or Start Up, An Artificial Intelligence Specialist / Talking to Robots"/>
        <s v="Business Operations in any organization, Look deeply into Data and generate insights, Work in a BPO setup for some well known client, Entrepreneur or Start Up"/>
        <s v="Design and Creative strategy in any company, Teaching in any of the institutes/colleges/online or offline, Look deeply into Data and generate insights, Become a content Creator in some platform"/>
        <s v="Design and Creative strategy in any company, Business Operations in any organization, I Want to sell things/Sales, An Artificial Intelligence Specialist / Talking to Robots"/>
        <s v="Design and Creative strategy in any company, Build and develop a Team, Work as a freelancer and do my thing my way, Manufacturing / Oil and Gas/ Construction / Hard Physical Work related"/>
        <s v="Design and Creative strategy in any company, Manage and drive End-to-End Projects or Products, Look deeply into Data and generate insights, Manufacturing / Oil and Gas/ Construction / Hard Physical Work related"/>
        <s v="Teaching in any of the institutes/colleges/online or offline, Build and develop a Team, Entrepreneur or Start Up, Manufacturing / Oil and Gas/ Construction / Hard Physical Work related"/>
        <s v="Design and Creative strategy in any company, Teaching in any of the institutes/colleges/online or offline, Manage and drive End-to-End Projects or Products, Look deeply into Data and generate insights"/>
        <s v="Build and develop a Team, Entrepreneur or Start Up, An Artificial Intelligence Specialist / Talking to Robots, Manufacturing / Oil and Gas/ Construction / Hard Physical Work related"/>
        <s v="Business Operations in any organization, Build and develop a Team, Look deeply into Data and generate insights, Work in a BPO setup for some well known client"/>
        <s v="Teaching in any of the institutes/colleges/online or offline, Look deeply into Data and generate insights, Entrepreneur or Start Up, I Want to sell things/Sales"/>
        <s v="Business Operations in any organization, Work in a BPO setup for some well known client, Become a content Creator in some platform, Entrepreneur or Start Up"/>
        <s v="Design and Creative strategy in any company, Look deeply into Data and generate insights, Work as a freelancer and do my thing my way, Become a content Creator in some platform"/>
        <s v="Build and develop a Team, Design and Develop amazing software, Look deeply into Data and generate insights, Work in a BPO setup for some well known client"/>
        <s v="Teaching in any of the institutes/colleges/online or offline, Build and develop a Team, Work as a freelancer and do my thing my way, An Artificial Intelligence Specialist / Talking to Robots"/>
        <s v="Design and Creative strategy in any company, Manage and drive End-to-End Projects or Products, Design and Develop amazing software, Entrepreneur or Start Up"/>
        <s v="Design and Creative strategy in any company, Look deeply into Data and generate insights, Entrepreneur or Start Up, I Want to sell things/Sales"/>
        <s v="Manage and drive End-to-End Projects or Products, Design and Develop amazing software, Work as a freelancer and do my thing my way, An Artificial Intelligence Specialist / Talking to Robots"/>
        <s v="Manage and drive End-to-End Projects or Products, Build and develop a Team, Entrepreneur or Start Up, An Artificial Intelligence Specialist / Talking to Robots"/>
        <s v="Teaching in any of the institutes/colleges/online or offline, Manage and drive End-to-End Projects or Products, Work as a freelancer and do my thing my way, Entrepreneur or Start Up"/>
        <s v="Teaching in any of the institutes/colleges/online or offline, Build and develop a Team, Work in a BPO setup for some well known client, Work as a freelancer and do my thing my way"/>
        <s v="Work in a BPO setup for some well known client, Work as a freelancer and do my thing my way, Become a content Creator in some platform, An Artificial Intelligence Specialist / Talking to Robots"/>
        <s v="Design and Creative strategy in any company, Manage and drive End-to-End Projects or Products, An Artificial Intelligence Specialist / Talking to Robots, Manufacturing / Oil and Gas/ Construction / Hard Physical Work related"/>
        <s v="Design and Creative strategy in any company, Business Operations in any organization, Design and Develop amazing software, An Artificial Intelligence Specialist / Talking to Robots"/>
        <s v="Design and Creative strategy in any company, Teaching in any of the institutes/colleges/online or offline, Become a content Creator in some platform, Entrepreneur or Start Up"/>
        <s v="Business Operations in any organization, Manage and drive End-to-End Projects or Products, Look deeply into Data and generate insights, I Want to sell things/Sales"/>
        <s v="Design and Creative strategy in any company, Teaching in any of the institutes/colleges/online or offline, Look deeply into Data and generate insights, Work as a freelancer and do my thing my way"/>
        <s v="Business Operations in any organization, Build and develop a Team, Look deeply into Data and generate insights, An Artificial Intelligence Specialist / Talking to Robots"/>
        <s v="Manage and drive End-to-End Projects or Products, Look deeply into Data and generate insights, An Artificial Intelligence Specialist / Talking to Robots, Manufacturing / Oil and Gas/ Construction / Hard Physical Work related"/>
        <s v="Design and Creative strategy in any company, Design and Develop amazing software, Look deeply into Data and generate insights, An Artificial Intelligence Specialist / Talking to Robots"/>
        <s v="Design and Creative strategy in any company, Look deeply into Data and generate insights, Become a content Creator in some platform, An Artificial Intelligence Specialist / Talking to Robots"/>
        <s v="Business Operations in any organization, Design and Develop amazing software, Look deeply into Data and generate insights, Entrepreneur or Start Up"/>
        <s v="Manage and drive End-to-End Projects or Products, Work as a freelancer and do my thing my way, Become a content Creator in some platform, I Want to sell things/Sales"/>
        <s v="Business Operations in any organization, Look deeply into Data and generate insights, Work as a freelancer and do my thing my way, Become a content Creator in some platform"/>
        <s v="Business Operations in any organization, Work as a freelancer and do my thing my way, Become a content Creator in some platform, I Want to sell things/Sales"/>
        <s v="Design and Creative strategy in any company, Work as a freelancer and do my thing my way, Entrepreneur or Start Up, Manufacturing / Oil and Gas/ Construction / Hard Physical Work related"/>
        <s v="Design and Develop amazing software, Work as a freelancer and do my thing my way, Become a content Creator in some platform, An Artificial Intelligence Specialist / Talking to Robots"/>
        <s v="Design and Creative strategy in any company, Teaching in any of the institutes/colleges/online or offline, Build and develop a Team, I Want to sell things/Sales"/>
        <s v="Build and develop a Team, Entrepreneur or Start Up, I Want to sell things/Sales, An Artificial Intelligence Specialist / Talking to Robots"/>
        <s v="Design and Creative strategy in any company, Business Operations in any organization, Look deeply into Data and generate insights, Manufacturing / Oil and Gas/ Construction / Hard Physical Work related"/>
        <s v="Design and Creative strategy in any company, Build and develop a Team, Entrepreneur or Start Up, Manufacturing / Oil and Gas/ Construction / Hard Physical Work related"/>
        <s v="Teaching in any of the institutes/colleges/online or offline, Work as a freelancer and do my thing my way, Become a content Creator in some platform, Manufacturing / Oil and Gas/ Construction / Hard Physical Work related"/>
        <s v="Manage and drive End-to-End Projects or Products, Look deeply into Data and generate insights, Work as a freelancer and do my thing my way, An Artificial Intelligence Specialist / Talking to Robots"/>
        <s v="Design and Creative strategy in any company, Teaching in any of the institutes/colleges/online or offline, Business Operations in any organization, Entrepreneur or Start Up"/>
        <s v="Design and Creative strategy in any company, Design and Develop amazing software, Work as a freelancer and do my thing my way, An Artificial Intelligence Specialist / Talking to Robots"/>
        <s v="Teaching in any of the institutes/colleges/online or offline, Business Operations in any organization, Look deeply into Data and generate insights, Work as a freelancer and do my thing my way"/>
        <s v="Design and Creative strategy in any company, Design and Develop amazing software, Look deeply into Data and generate insights, Work in a BPO setup for some well known client"/>
        <s v="Design and Creative strategy in any company, Work as a freelancer and do my thing my way, Entrepreneur or Start Up, An Artificial Intelligence Specialist / Talking to Robots"/>
        <s v="Work as a freelancer and do my thing my way, Become a content Creator in some platform, Entrepreneur or Start Up, An Artificial Intelligence Specialist / Talking to Robots"/>
        <s v="Business Operations in any organization, Build and develop a Team, Become a content Creator in some platform, Entrepreneur or Start Up"/>
        <s v="Design and Creative strategy in any company, Build and develop a Team, Design and Develop amazing software, I Want to sell things/Sales"/>
        <s v="Design and Creative strategy in any company, Build and develop a Team, Work as a freelancer and do my thing my way, An Artificial Intelligence Specialist / Talking to Robots"/>
        <s v="Design and Creative strategy in any company, Business Operations in any organization, Work in a BPO setup for some well known client, Entrepreneur or Start Up"/>
        <s v="Teaching in any of the institutes/colleges/online or offline, Build and develop a Team, Look deeply into Data and generate insights, Work in a BPO setup for some well known client"/>
        <s v="Teaching in any of the institutes/colleges/online or offline, Work in a BPO setup for some well known client, Work as a freelancer and do my thing my way, Entrepreneur or Start Up"/>
        <s v="Design and Creative strategy in any company, Business Operations in any organization, Entrepreneur or Start Up, An Artificial Intelligence Specialist / Talking to Robots"/>
        <s v="Teaching in any of the institutes/colleges/online or offline, Design and Develop amazing software, Entrepreneur or Start Up, I Want to sell things/Sales"/>
        <s v="Business Operations in any organization, Work as a freelancer and do my thing my way, Become a content Creator in some platform, Entrepreneur or Start Up"/>
        <s v="Design and Creative strategy in any company, Business Operations in any organization, Look deeply into Data and generate insights, Become a content Creator in some platform"/>
        <s v="Design and Creative strategy in any company, Business Operations in any organization, Build and develop a Team, Work in a BPO setup for some well known client"/>
        <s v="Design and Creative strategy in any company, Manage and drive End-to-End Projects or Products, Build and develop a Team, An Artificial Intelligence Specialist / Talking to Robots"/>
        <s v="Design and Creative strategy in any company, Manage and drive End-to-End Projects or Products, Design and Develop amazing software, Work in a BPO setup for some well known client"/>
        <s v="Teaching in any of the institutes/colleges/online or offline, Business Operations in any organization, Look deeply into Data and generate insights, An Artificial Intelligence Specialist / Talking to Robots"/>
        <s v="Design and Creative strategy in any company, Teaching in any of the institutes/colleges/online or offline, Business Operations in any organization, Work as a freelancer and do my thing my way"/>
        <s v="Design and Creative strategy in any company, Manage and drive End-to-End Projects or Products, I Want to sell things/Sales, Manufacturing / Oil and Gas/ Construction / Hard Physical Work related"/>
        <s v="Build and develop a Team, Look deeply into Data and generate insights, Work in a BPO setup for some well known client, An Artificial Intelligence Specialist / Talking to Robots"/>
        <s v="Design and Creative strategy in any company, Teaching in any of the institutes/colleges/online or offline, Entrepreneur or Start Up, I Want to sell things/Sales"/>
        <s v="Business Operations in any organization, Build and develop a Team, Entrepreneur or Start Up, An Artificial Intelligence Specialist / Talking to Robots"/>
        <s v="Teaching in any of the institutes/colleges/online or offline, Build and develop a Team, Become a content Creator in some platform, An Artificial Intelligence Specialist / Talking to Robots"/>
        <s v="Business Operations in any organization, Look deeply into Data and generate insights, Entrepreneur or Start Up, An Artificial Intelligence Specialist / Talking to Robots"/>
        <s v="Design and Creative strategy in any company, Become a content Creator in some platform, I Want to sell things/Sales, Manufacturing / Oil and Gas/ Construction / Hard Physical Work related"/>
        <s v="Manage and drive End-to-End Projects or Products, Become a content Creator in some platform, I Want to sell things/Sales, Manufacturing / Oil and Gas/ Construction / Hard Physical Work related"/>
        <s v="Design and Creative strategy in any company, Business Operations in any organization, Work in a BPO setup for some well known client, Manufacturing / Oil and Gas/ Construction / Hard Physical Work related"/>
        <s v="Design and Creative strategy in any company, Teaching in any of the institutes/colleges/online or offline, Entrepreneur or Start Up, Manufacturing / Oil and Gas/ Construction / Hard Physical Work related"/>
        <s v="Manage and drive End-to-End Projects or Products, Design and Develop amazing software, Entrepreneur or Start Up, I Want to sell things/Sales"/>
        <s v="Design and Creative strategy in any company, Work in a BPO setup for some well known client, Work as a freelancer and do my thing my way, Become a content Creator in some platform"/>
        <s v="Teaching in any of the institutes/colleges/online or offline, Business Operations in any organization, Work as a freelancer and do my thing my way, Become a content Creator in some platform"/>
        <s v="Teaching in any of the institutes/colleges/online or offline, Build and develop a Team, Work as a freelancer and do my thing my way, Become a content Creator in some platform"/>
        <s v="Build and develop a Team, Design and Develop amazing software, I Want to sell things/Sales, Manufacturing / Oil and Gas/ Construction / Hard Physical Work related"/>
        <s v="Teaching in any of the institutes/colleges/online or offline, Build and develop a Team, Look deeply into Data and generate insights, Entrepreneur or Start Up"/>
        <s v="Design and Creative strategy in any company, Teaching in any of the institutes/colleges/online or offline, Manage and drive End-to-End Projects or Products, An Artificial Intelligence Specialist / Talking to Robots"/>
        <s v="Teaching in any of the institutes/colleges/online or offline, Manage and drive End-to-End Projects or Products, Build and develop a Team, Become a content Creator in some platform"/>
        <s v="Design and Creative strategy in any company, Business Operations in any organization, Work in a BPO setup for some well known client, Become a content Creator in some platform"/>
        <s v="Design and Creative strategy in any company, Entrepreneur or Start Up, I Want to sell things/Sales, An Artificial Intelligence Specialist / Talking to Robots"/>
        <s v="Design and Creative strategy in any company, Work as a freelancer and do my thing my way, I Want to sell things/Sales, Manufacturing / Oil and Gas/ Construction / Hard Physical Work related"/>
        <s v="Design and Creative strategy in any company, Teaching in any of the institutes/colleges/online or offline, Manage and drive End-to-End Projects or Products, Work as a freelancer and do my thing my way"/>
        <s v="Teaching in any of the institutes/colleges/online or offline, Look deeply into Data and generate insights, Become a content Creator in some platform, I Want to sell things/Sales"/>
        <s v="Business Operations in any organization, Work in a BPO setup for some well known client, Work as a freelancer and do my thing my way, Become a content Creator in some platform"/>
        <s v="Design and Creative strategy in any company, Manage and drive End-to-End Projects or Products, Look deeply into Data and generate insights, I Want to sell things/Sales"/>
        <s v="Design and Creative strategy in any company, Build and develop a Team, Entrepreneur or Start Up, I Want to sell things/Sales"/>
        <s v="Design and Creative strategy in any company, Manage and drive End-to-End Projects or Products, Build and develop a Team, I Want to sell things/Sales"/>
        <s v="Design and Creative strategy in any company, Design and Develop amazing software, Look deeply into Data and generate insights, Become a content Creator in some platform"/>
        <s v="Design and Creative strategy in any company, Manage and drive End-to-End Projects or Products, Work in a BPO setup for some well known client, Work as a freelancer and do my thing my way"/>
        <s v="Teaching in any of the institutes/colleges/online or offline, Manage and drive End-to-End Projects or Products, Look deeply into Data and generate insights, An Artificial Intelligence Specialist / Talking to Robots"/>
        <s v="Work in a BPO setup for some well known client, Work as a freelancer and do my thing my way, An Artificial Intelligence Specialist / Talking to Robots, Manufacturing / Oil and Gas/ Construction / Hard Physical Work related"/>
        <s v="Design and Creative strategy in any company, Teaching in any of the institutes/colleges/online or offline, I Want to sell things/Sales, An Artificial Intelligence Specialist / Talking to Robots"/>
        <s v="Manage and drive End-to-End Projects or Products, Build and develop a Team, Look deeply into Data and generate insights, An Artificial Intelligence Specialist / Talking to Robots"/>
        <s v="Teaching in any of the institutes/colleges/online or offline, Business Operations in any organization, Look deeply into Data and generate insights, Become a content Creator in some platform"/>
        <s v="Manage and drive End-to-End Projects or Products, Look deeply into Data and generate insights, Work in a BPO setup for some well known client, Manufacturing / Oil and Gas/ Construction / Hard Physical Work related"/>
        <s v="Become a content Creator in some platform, Entrepreneur or Start Up, I Want to sell things/Sales, Manufacturing / Oil and Gas/ Construction / Hard Physical Work related"/>
        <s v="Teaching in any of the institutes/colleges/online or offline, Build and develop a Team, Design and Develop amazing software, Entrepreneur or Start Up"/>
        <s v="Design and Creative strategy in any company, Business Operations in any organization, Work in a BPO setup for some well known client, Work as a freelancer and do my thing my way"/>
        <s v="Design and Creative strategy in any company, Manage and drive End-to-End Projects or Products, Design and Develop amazing software, Manufacturing / Oil and Gas/ Construction / Hard Physical Work related"/>
        <s v="Design and Creative strategy in any company, Manage and drive End-to-End Projects or Products, Design and Develop amazing software, Become a content Creator in some platform"/>
        <s v="Teaching in any of the institutes/colleges/online or offline, Manage and drive End-to-End Projects or Products, Become a content Creator in some platform, Entrepreneur or Start Up"/>
        <s v="Design and Develop amazing software, Work as a freelancer and do my thing my way, Become a content Creator in some platform, Entrepreneur or Start Up"/>
        <s v="Business Operations in any organization, Manage and drive End-to-End Projects or Products, Build and develop a Team, Become a content Creator in some platform"/>
        <s v="Business Operations in any organization, Build and develop a Team, Look deeply into Data and generate insights, I Want to sell things/Sales"/>
        <s v="Design and Creative strategy in any company, Manage and drive End-to-End Projects or Products, Work in a BPO setup for some well known client, I Want to sell things/Sales"/>
        <s v="Business Operations in any organization, Manage and drive End-to-End Projects or Products, Work as a freelancer and do my thing my way, I Want to sell things/Sales"/>
        <s v="Teaching in any of the institutes/colleges/online or offline, Work as a freelancer and do my thing my way, Become a content Creator in some platform, I Want to sell things/Sales"/>
        <s v="Teaching in any of the institutes/colleges/online or offline, Business Operations in any organization, An Artificial Intelligence Specialist / Talking to Robots, Manufacturing / Oil and Gas/ Construction / Hard Physical Work related"/>
        <s v="Design and Creative strategy in any company, Build and develop a Team, Look deeply into Data and generate insights, Work as a freelancer and do my thing my way"/>
        <s v="Business Operations in any organization, Build and develop a Team, Work in a BPO setup for some well known client, Entrepreneur or Start Up"/>
        <s v="Teaching in any of the institutes/colleges/online or offline, Look deeply into Data and generate insights, Work in a BPO setup for some well known client, An Artificial Intelligence Specialist / Talking to Robots"/>
        <s v="Teaching in any of the institutes/colleges/online or offline, Look deeply into Data and generate insights, Entrepreneur or Start Up, An Artificial Intelligence Specialist / Talking to Robots"/>
        <s v="Business Operations in any organization, Manage and drive End-to-End Projects or Products, Work as a freelancer and do my thing my way, An Artificial Intelligence Specialist / Talking to Robots"/>
        <s v="Design and Creative strategy in any company, Teaching in any of the institutes/colleges/online or offline, Manage and drive End-to-End Projects or Products, Become a content Creator in some platform"/>
        <s v="Design and Creative strategy in any company, Teaching in any of the institutes/colleges/online or offline, Build and develop a Team, An Artificial Intelligence Specialist / Talking to Robots"/>
        <s v="Design and Creative strategy in any company, Become a content Creator in some platform, Entrepreneur or Start Up, An Artificial Intelligence Specialist / Talking to Robots"/>
        <s v="Teaching in any of the institutes/colleges/online or offline, Manage and drive End-to-End Projects or Products, Look deeply into Data and generate insights, Entrepreneur or Start Up"/>
        <s v="Business Operations in any organization, Build and develop a Team, Work in a BPO setup for some well known client, Manufacturing / Oil and Gas/ Construction / Hard Physical Work related"/>
        <s v="Design and Develop amazing software, Entrepreneur or Start Up, An Artificial Intelligence Specialist / Talking to Robots, Manufacturing / Oil and Gas/ Construction / Hard Physical Work related"/>
        <s v="Work as a freelancer and do my thing my way, Become a content Creator in some platform, I Want to sell things/Sales, An Artificial Intelligence Specialist / Talking to Robots"/>
        <s v="Work in a BPO setup for some well known client, I Want to sell things/Sales, An Artificial Intelligence Specialist / Talking to Robots, Manufacturing / Oil and Gas/ Construction / Hard Physical Work related"/>
        <s v="Manage and drive End-to-End Projects or Products, Work in a BPO setup for some well known client, Become a content Creator in some platform, I Want to sell things/Sales"/>
        <s v="Design and Creative strategy in any company, Design and Develop amazing software, Become a content Creator in some platform, I Want to sell things/Sales"/>
        <s v="Teaching in any of the institutes/colleges/online or offline, Become a content Creator in some platform, Entrepreneur or Start Up, I Want to sell things/Sales"/>
        <s v="Business Operations in any organization, Look deeply into Data and generate insights, Entrepreneur or Start Up, I Want to sell things/Sales"/>
        <s v="Design and Creative strategy in any company, Look deeply into Data and generate insights, Entrepreneur or Start Up, An Artificial Intelligence Specialist / Talking to Robots"/>
        <s v="Teaching in any of the institutes/colleges/online or offline, Manage and drive End-to-End Projects or Products, Look deeply into Data and generate insights, Manufacturing / Oil and Gas/ Construction / Hard Physical Work related"/>
        <s v="Teaching in any of the institutes/colleges/online or offline, Look deeply into Data and generate insights, Become a content Creator in some platform, An Artificial Intelligence Specialist / Talking to Robots"/>
        <s v="Teaching in any of the institutes/colleges/online or offline, Manage and drive End-to-End Projects or Products, Work as a freelancer and do my thing my way, Become a content Creator in some platform"/>
        <s v="Design and Creative strategy in any company, Teaching in any of the institutes/colleges/online or offline, Design and Develop amazing software, Look deeply into Data and generate insights"/>
        <s v="Manage and drive End-to-End Projects or Products, Design and Develop amazing software, An Artificial Intelligence Specialist / Talking to Robots, Manufacturing / Oil and Gas/ Construction / Hard Physical Work related"/>
        <s v="Business Operations in any organization, Work in a BPO setup for some well known client, Entrepreneur or Start Up, Manufacturing / Oil and Gas/ Construction / Hard Physical Work related"/>
        <s v="Teaching in any of the institutes/colleges/online or offline, Business Operations in any organization, Design and Develop amazing software, Look deeply into Data and generate insights"/>
        <s v="Design and Creative strategy in any company, Work in a BPO setup for some well known client, An Artificial Intelligence Specialist / Talking to Robots, Manufacturing / Oil and Gas/ Construction / Hard Physical Work related"/>
        <s v="Look deeply into Data and generate insights, Work in a BPO setup for some well known client, Work as a freelancer and do my thing my way, Become a content Creator in some platform"/>
        <s v="Manage and drive End-to-End Projects or Products, Look deeply into Data and generate insights, Entrepreneur or Start Up, I Want to sell things/Sales"/>
        <s v="Business Operations in any organization, Design and Develop amazing software, Work as a freelancer and do my thing my way, An Artificial Intelligence Specialist / Talking to Robots"/>
        <s v="Business Operations in any organization, Become a content Creator in some platform, Entrepreneur or Start Up, An Artificial Intelligence Specialist / Talking to Robots"/>
        <s v="Teaching in any of the institutes/colleges/online or offline, Manage and drive End-to-End Projects or Products, Design and Develop amazing software, Entrepreneur or Start Up"/>
        <s v="Manage and drive End-to-End Projects or Products, Become a content Creator in some platform, Entrepreneur or Start Up, Manufacturing / Oil and Gas/ Construction / Hard Physical Work related"/>
        <s v="Teaching in any of the institutes/colleges/online or offline, Build and develop a Team, Entrepreneur or Start Up, I Want to sell things/Sales"/>
        <s v="Teaching in any of the institutes/colleges/online or offline, Build and develop a Team, I Want to sell things/Sales, An Artificial Intelligence Specialist / Talking to Robots"/>
        <s v="Design and Creative strategy in any company, Build and develop a Team, Work as a freelancer and do my thing my way, Become a content Creator in some platform"/>
        <s v="Design and Creative strategy in any company, Teaching in any of the institutes/colleges/online or offline, Entrepreneur or Start Up, An Artificial Intelligence Specialist / Talking to Robots"/>
        <s v="Design and Creative strategy in any company, Build and develop a Team, Entrepreneur or Start Up, An Artificial Intelligence Specialist / Talking to Robots"/>
        <s v="Business Operations in any organization, Manage and drive End-to-End Projects or Products, Look deeply into Data and generate insights, Work in a BPO setup for some well known client"/>
        <s v="Business Operations in any organization, Look deeply into Data and generate insights, Work in a BPO setup for some well known client, Work as a freelancer and do my thing my way"/>
        <s v="Business Operations in any organization, Work in a BPO setup for some well known client, Work as a freelancer and do my thing my way, Entrepreneur or Start Up"/>
        <s v="Business Operations in any organization, Design and Develop amazing software, Work in a BPO setup for some well known client, Entrepreneur or Start Up"/>
        <s v="Look deeply into Data and generate insights, Work in a BPO setup for some well known client, Work as a freelancer and do my thing my way, Entrepreneur or Start Up"/>
        <s v="Design and Creative strategy in any company, Look deeply into Data and generate insights, Entrepreneur or Start Up, Manufacturing / Oil and Gas/ Construction / Hard Physical Work related"/>
        <s v="Build and develop a Team, Work in a BPO setup for some well known client, Entrepreneur or Start Up, An Artificial Intelligence Specialist / Talking to Robots"/>
        <s v="Business Operations in any organization, Build and develop a Team, Work in a BPO setup for some well known client, Become a content Creator in some platform"/>
        <s v="Design and Develop amazing software, Look deeply into Data and generate insights, Work in a BPO setup for some well known client, Work as a freelancer and do my thing my way"/>
        <s v="Business Operations in any organization, Manage and drive End-to-End Projects or Products, Become a content Creator in some platform, I Want to sell things/Sales"/>
        <s v="Design and Creative strategy in any company, Teaching in any of the institutes/colleges/online or offline, Design and Develop amazing software, Manufacturing / Oil and Gas/ Construction / Hard Physical Work related"/>
        <s v="Manage and drive End-to-End Projects or Products, Build and develop a Team, Become a content Creator in some platform, An Artificial Intelligence Specialist / Talking to Robots"/>
        <s v="Teaching in any of the institutes/colleges/online or offline, Look deeply into Data and generate insights, Work as a freelancer and do my thing my way, Manufacturing / Oil and Gas/ Construction / Hard Physical Work related"/>
        <s v="Design and Develop amazing software, Become a content Creator in some platform, An Artificial Intelligence Specialist / Talking to Robots, Manufacturing / Oil and Gas/ Construction / Hard Physical Work related"/>
        <s v="Design and Develop amazing software, Look deeply into Data and generate insights, Become a content Creator in some platform, An Artificial Intelligence Specialist / Talking to Robots"/>
        <s v="Teaching in any of the institutes/colleges/online or offline, Work as a freelancer and do my thing my way, Entrepreneur or Start Up, An Artificial Intelligence Specialist / Talking to Robots"/>
        <s v="Business Operations in any organization, Build and develop a Team, Design and Develop amazing software, Work as a freelancer and do my thing my way"/>
        <s v="Design and Creative strategy in any company, Build and develop a Team, Work as a freelancer and do my thing my way, I Want to sell things/Sales"/>
        <s v="Business Operations in any organization, Manage and drive End-to-End Projects or Products, Look deeply into Data and generate insights, Become a content Creator in some platform"/>
        <s v="Work as a freelancer and do my thing my way, Entrepreneur or Start Up, I Want to sell things/Sales, An Artificial Intelligence Specialist / Talking to Robots"/>
        <s v="Business Operations in any organization, Design and Develop amazing software, Work in a BPO setup for some well known client, Manufacturing / Oil and Gas/ Construction / Hard Physical Work related"/>
        <s v="Teaching in any of the institutes/colleges/online or offline, Design and Develop amazing software, Entrepreneur or Start Up, An Artificial Intelligence Specialist / Talking to Robots"/>
        <s v="Design and Develop amazing software, Entrepreneur or Start Up, I Want to sell things/Sales, An Artificial Intelligence Specialist / Talking to Robots"/>
        <s v="Teaching in any of the institutes/colleges/online or offline, Business Operations in any organization, Manage and drive End-to-End Projects or Products, Manufacturing / Oil and Gas/ Construction / Hard Physical Work related"/>
        <s v="Design and Creative strategy in any company, Business Operations in any organization, I Want to sell things/Sales, Manufacturing / Oil and Gas/ Construction / Hard Physical Work related"/>
        <s v="Business Operations in any organization, Build and develop a Team, Look deeply into Data and generate insights, Become a content Creator in some platform"/>
        <s v="Design and Develop amazing software, Work as a freelancer and do my thing my way, Become a content Creator in some platform, I Want to sell things/Sales"/>
        <s v="Build and develop a Team, Work in a BPO setup for some well known client, Work as a freelancer and do my thing my way, I Want to sell things/Sales"/>
        <s v="Design and Creative strategy in any company, Teaching in any of the institutes/colleges/online or offline, Work in a BPO setup for some well known client, Entrepreneur or Start Up"/>
        <s v="Design and Creative strategy in any company, Look deeply into Data and generate insights, Work in a BPO setup for some well known client, Work as a freelancer and do my thing my way"/>
        <s v="Teaching in any of the institutes/colleges/online or offline, Look deeply into Data and generate insights, Work as a freelancer and do my thing my way, An Artificial Intelligence Specialist / Talking to Robots"/>
        <s v="Teaching in any of the institutes/colleges/online or offline, Business Operations in any organization, Build and develop a Team, An Artificial Intelligence Specialist / Talking to Robots"/>
        <s v="Business Operations in any organization, Look deeply into Data and generate insights, Work in a BPO setup for some well known client, An Artificial Intelligence Specialist / Talking to Robots"/>
        <s v="Design and Creative strategy in any company, Teaching in any of the institutes/colleges/online or offline, Work as a freelancer and do my thing my way, An Artificial Intelligence Specialist / Talking to Robots"/>
        <s v="Design and Creative strategy in any company, Work as a freelancer and do my thing my way, Entrepreneur or Start Up, I Want to sell things/Sales"/>
        <s v="Design and Creative strategy in any company, Work as a freelancer and do my thing my way, Become a content Creator in some platform, An Artificial Intelligence Specialist / Talking to Robots"/>
        <s v="Teaching in any of the institutes/colleges/online or offline, Manage and drive End-to-End Projects or Products, Look deeply into Data and generate insights, Become a content Creator in some platform"/>
        <s v="Build and develop a Team, Look deeply into Data and generate insights, An Artificial Intelligence Specialist / Talking to Robots, Manufacturing / Oil and Gas/ Construction / Hard Physical Work related"/>
        <s v="Design and Creative strategy in any company, Teaching in any of the institutes/colleges/online or offline, Become a content Creator in some platform, I Want to sell things/Sales"/>
        <s v="Build and develop a Team, Design and Develop amazing software, Become a content Creator in some platform, I Want to sell things/Sales"/>
        <s v="Business Operations in any organization, Manage and drive End-to-End Projects or Products, Work in a BPO setup for some well known client, Entrepreneur or Start Up"/>
        <s v="Business Operations in any organization, Look deeply into Data and generate insights, Work in a BPO setup for some well known client, Become a content Creator in some platform"/>
        <s v="Build and develop a Team, Look deeply into Data and generate insights, Become a content Creator in some platform, Manufacturing / Oil and Gas/ Construction / Hard Physical Work related"/>
        <s v="Design and Creative strategy in any company, Work in a BPO setup for some well known client, Work as a freelancer and do my thing my way, Entrepreneur or Start Up"/>
        <s v="Design and Creative strategy in any company, Become a content Creator in some platform, Entrepreneur or Start Up, Manufacturing / Oil and Gas/ Construction / Hard Physical Work related"/>
      </sharedItems>
    </cacheField>
    <cacheField name="What type of Manager would you work without looking into your watch ?" numFmtId="0">
      <sharedItems/>
    </cacheField>
    <cacheField name="Which of the following setup you would like to work ?" numFmtId="0">
      <sharedItems count="26">
        <s v="Work alone, Work with 2 to 3 people in my team, Work with 5 to 6 people in my team, Work with 7 to 10 or more people in my team, Work with more than 10 people in my team"/>
        <s v="Work with 5 to 6 people in my team"/>
        <s v="Work with 2 to 3 people in my team, Work with 5 to 6 people in my team"/>
        <s v="Work with 2 to 3 people in my team"/>
        <s v="Work with 7 to 10 or more people in my team"/>
        <s v="Work alone, Work with 2 to 3 people in my team, Work with 5 to 6 people in my team"/>
        <s v="Work alone"/>
        <s v="Work with more than 10 people in my team"/>
        <s v="Work with 5 to 6 people in my team, Work with 7 to 10 or more people in my team"/>
        <s v="Work alone, Work with 5 to 6 people in my team"/>
        <s v="Work alone, Work with 2 to 3 people in my team, Work with 7 to 10 or more people in my team"/>
        <s v="Work alone, Work with 2 to 3 people in my team"/>
        <s v="Work with 5 to 6 people in my team, Work with 7 to 10 or more people in my team, Work with more than 10 people in my team"/>
        <s v="Work alone, Work with more than 10 people in my team"/>
        <s v="Work with 2 to 3 people in my team, Work with 5 to 6 people in my team, Work with 7 to 10 or more people in my team, Work with more than 10 people in my team"/>
        <s v="Work with 7 to 10 or more people in my team, Work with more than 10 people in my team"/>
        <s v="Work with 2 to 3 people in my team, Work with 5 to 6 people in my team, Work with 7 to 10 or more people in my team"/>
        <s v="Work with 2 to 3 people in my team, Work with 7 to 10 or more people in my team, Work with more than 10 people in my team"/>
        <s v="Work with 5 to 6 people in my team, Work with more than 10 people in my team"/>
        <s v="Work alone, Work with 2 to 3 people in my team, Work with 5 to 6 people in my team, Work with 7 to 10 or more people in my team"/>
        <s v="Work with 2 to 3 people in my team, Work with 5 to 6 people in my team, Work with more than 10 people in my team"/>
        <s v="Work alone, Work with 2 to 3 people in my team, Work with more than 10 people in my team"/>
        <s v="Work alone, Work with 7 to 10 or more people in my team, Work with more than 10 people in my team"/>
        <s v="Work with 2 to 3 people in my team, Work with more than 10 people in my team"/>
        <s v="Work alone, Work with 7 to 10 or more people in my team"/>
        <s v="Work alone, Work with 5 to 6 people in my team, Work with 7 to 10 or more people in my tea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52.864526736113" createdVersion="7" refreshedVersion="7" minRefreshableVersion="3" recordCount="1753" xr:uid="{E2210B21-BDE7-4BD2-9945-5BC89F52255B}">
  <cacheSource type="worksheet">
    <worksheetSource ref="A1:Q1754" sheet="Sheet1"/>
  </cacheSource>
  <cacheFields count="16">
    <cacheField name="Timestamp" numFmtId="164">
      <sharedItems containsSemiMixedTypes="0" containsNonDate="0" containsDate="1" containsString="0" minDate="2022-12-16T11:46:06" maxDate="2023-05-02T18:04:14"/>
    </cacheField>
    <cacheField name="Your Current Country." numFmtId="0">
      <sharedItems/>
    </cacheField>
    <cacheField name="Your Current Zip Code / Pin Code" numFmtId="0">
      <sharedItems containsMixedTypes="1" containsNumber="1" containsInteger="1" minValue="7" maxValue="855107"/>
    </cacheField>
    <cacheField name="Your Gender" numFmtId="0">
      <sharedItems count="3">
        <s v="Male"/>
        <s v="Female"/>
        <s v="Transgender"/>
      </sharedItems>
    </cacheField>
    <cacheField name="Which of the below factors influence the most about your career aspirations ?" numFmtId="0">
      <sharedItems/>
    </cacheField>
    <cacheField name="Would you definitely pursue a Higher Education / Post Graduation outside of India ? If only you have to self sponsor it." numFmtId="0">
      <sharedItems/>
    </cacheField>
    <cacheField name="How likely is that you will work for one employer for 3 years or more ?" numFmtId="0">
      <sharedItems/>
    </cacheField>
    <cacheField name="3" numFmtId="0">
      <sharedItems/>
    </cacheField>
    <cacheField name="How likely would you work for a company whose mission is misaligned with their public actions or even their product ?" numFmtId="0">
      <sharedItems/>
    </cacheField>
    <cacheField name="How likely would you work for a company whose mission is not bringing social impact ?" numFmtId="0">
      <sharedItems containsSemiMixedTypes="0" containsString="0" containsNumber="1" containsInteger="1" minValue="1" maxValue="10"/>
    </cacheField>
    <cacheField name="What is the most preferred working environment for you." numFmtId="0">
      <sharedItems/>
    </cacheField>
    <cacheField name="Which of the below Employers would you work with." numFmtId="0">
      <sharedItems/>
    </cacheField>
    <cacheField name="Which of the below careers looks close to your Aspirational job ?" numFmtId="0">
      <sharedItems count="567">
        <s v="Business Operations in any organization, Build and develop a Team, Work as a freelancer and do my thing my way"/>
        <s v="Business Operations in any organization, Build and develop a Team, Look deeply into Data and generate insights"/>
        <s v="Manage and drive End-to-End Projects or Products, Design and Develop amazing software, Become a content Creator in some platform"/>
        <s v="Business Operations in any organization, Manage and drive End-to-End Projects or Products, Look deeply into Data and generate insights"/>
        <s v="Teaching in any of the institutes/online or Offline, Business Operations in any organization, Manage and drive End-to-End Projects or Products"/>
        <s v="Design and Creative strategy in any company, Business Operations in any organization, Look deeply into Data and generate insights"/>
        <s v="Teaching in any of the institutes/online or Offline, Look deeply into Data and generate insights, Become a content Creator in some platform"/>
        <s v="Manage and drive End-to-End Projects or Products, Look deeply into Data and generate insights, Work as a freelancer and do my thing my way"/>
        <s v="Design and Develop amazing software, Look deeply into Data and generate insights, Work as a freelancer and do my thing my way"/>
        <s v="Design and Creative strategy in any company, Teaching in any of the institutes/online or Offline, Manage and drive End-to-End Projects or Products"/>
        <s v="Design and Creative strategy in any company, Manage and drive End-to-End Projects or Products, Build and develop a Team"/>
        <s v="Teaching in any of the institutes/online or Offline, Build and develop a Team, Look deeply into Data and generate insights"/>
        <s v="Design and Creative strategy in any company, Teaching in any of the institutes/online or Offline, Design and Develop amazing software"/>
        <s v="Design and Creative strategy in any company, Business Operations in any organization, Become a content Creator in some platform"/>
        <s v="Business Operations in any organization, Manage and drive End-to-End Projects or Products, Work in a BPO setup for some well known client"/>
        <s v="Business Operations in any organization, Manage and drive End-to-End Projects or Products, Build and develop a Team"/>
        <s v="Design and Creative strategy in any company, Teaching in any of the institutes/online or Offline, Build and develop a Team"/>
        <s v="Design and Creative strategy in any company, Build and develop a Team, Design and Develop amazing software"/>
        <s v="Design and Creative strategy in any company, Work as a freelancer and do my thing my way, Become a content Creator in some platform"/>
        <s v="Design and Creative strategy in any company, Manage and drive End-to-End Projects or Products, Design and Develop amazing software"/>
        <s v="Design and Creative strategy in any company, Business Operations in any organization, Work as a freelancer and do my thing my way"/>
        <s v="Design and Creative strategy in any company, Business Operations in any organization, Design and Develop amazing software"/>
        <s v="Teaching in any of the institutes/online or Offline, Look deeply into Data and generate insights, Work as a freelancer and do my thing my way"/>
        <s v="Design and Creative strategy in any company, Build and develop a Team, Look deeply into Data and generate insights"/>
        <s v="Design and Creative strategy in any company, Manage and drive End-to-End Projects or Products, Look deeply into Data and generate insights"/>
        <s v="Teaching in any of the institutes/online or Offline, Work as a freelancer and do my thing my way, Become a content Creator in some platform"/>
        <s v="Teaching in any of the institutes/online or Offline, Design and Develop amazing software, Work as a freelancer and do my thing my way"/>
        <s v="Design and Creative strategy in any company, Teaching in any of the institutes/online or Offline, Business Operations in any organization"/>
        <s v="Business Operations in any organization, Work as a freelancer and do my thing my way, Become a content Creator in some platform"/>
        <s v="Design and Creative strategy in any company, Teaching in any of the institutes/online or Offline, Look deeply into Data and generate insights"/>
        <s v="Business Operations in any organization, Look deeply into Data and generate insights, Work as a freelancer and do my thing my way"/>
        <s v="Teaching in any of the institutes/online or Offline, Manage and drive End-to-End Projects or Products, Look deeply into Data and generate insights"/>
        <s v="Build and develop a Team, Work as a freelancer and do my thing my way, Become a content Creator in some platform"/>
        <s v="Manage and drive End-to-End Projects or Products, Build and develop a Team, Look deeply into Data and generate insights"/>
        <s v="Build and develop a Team, Look deeply into Data and generate insights, Become a content Creator in some platform"/>
        <s v="Design and Creative strategy in any company, Design and Develop amazing software, Become a content Creator in some platform"/>
        <s v="Business Operations in any organization, Build and develop a Team, Become a content Creator in some platform"/>
        <s v="Build and develop a Team, Design and Develop amazing software, Look deeply into Data and generate insights"/>
        <s v="Business Operations in any organization, Design and Develop amazing software, Look deeply into Data and generate insights"/>
        <s v="Design and Creative strategy in any company, Teaching in any of the institutes/online or Offline, Become a content Creator in some platform"/>
        <s v="Teaching in any of the institutes/online or Offline, Build and develop a Team, Work as a freelancer and do my thing my way"/>
        <s v="Design and Creative strategy in any company, Design and Develop amazing software, Look deeply into Data and generate insights"/>
        <s v="Look deeply into Data and generate insights, Work as a freelancer and do my thing my way, Become a content Creator in some platform"/>
        <s v="Design and Creative strategy in any company, Look deeply into Data and generate insights, Become a content Creator in some platform"/>
        <s v="Design and Creative strategy in any company, Manage and drive End-to-End Projects or Products, Become a content Creator in some platform"/>
        <s v="Design and Develop amazing software, Work as a freelancer and do my thing my way, Become a content Creator in some platform"/>
        <s v="Design and Creative strategy in any company, Design and Develop amazing software, Work in a BPO setup for some well known client"/>
        <s v="Look deeply into Data and generate insights, Work in a BPO setup for some well known client, Work as a freelancer and do my thing my way"/>
        <s v="Manage and drive End-to-End Projects or Products, Work as a freelancer and do my thing my way, Become a content Creator in some platform"/>
        <s v="Business Operations in any organization, Manage and drive End-to-End Projects or Products, Design and Develop amazing software"/>
        <s v="Design and Creative strategy in any company, Build and develop a Team, Work as a freelancer and do my thing my way"/>
        <s v="Teaching in any of the institutes/online or Offline, Business Operations in any organization, Look deeply into Data and generate insights"/>
        <s v="Look deeply into Data and generate insights, Work in a BPO setup for some well known client, Become a content Creator in some platform"/>
        <s v="Business Operations in any organization, Manage and drive End-to-End Projects or Products, Become a content Creator in some platform"/>
        <s v="Business Operations in any organization, Manage and drive End-to-End Projects or Products, Work as a freelancer and do my thing my way"/>
        <s v="Manage and drive End-to-End Projects or Products, Build and develop a Team, Design and Develop amazing software"/>
        <s v="Manage and drive End-to-End Projects or Products, Design and Develop amazing software, Look deeply into Data and generate insights"/>
        <s v="Teaching in any of the institutes/online or Offline, Manage and drive End-to-End Projects or Products, Build and develop a Team"/>
        <s v="Design and Creative strategy in any company, Look deeply into Data and generate insights, Work as a freelancer and do my thing my way"/>
        <s v="Design and Creative strategy in any company, Business Operations in any organization, Work in a BPO setup for some well known client"/>
        <s v="Manage and drive End-to-End Projects or Products, Look deeply into Data and generate insights, Become a content Creator in some platform"/>
        <s v="Teaching in any of the institutes/online or Offline, Design and Develop amazing software, Look deeply into Data and generate insights"/>
        <s v="Manage and drive End-to-End Projects or Products, Build and develop a Team, Work in a BPO setup for some well known client"/>
        <s v="Design and Creative strategy in any company, Business Operations in any organization, Manage and drive End-to-End Projects or Products"/>
        <s v="Design and Creative strategy in any company, Teaching in any of the institutes/online or Offline, Work as a freelancer and do my thing my way"/>
        <s v="Teaching in any of the institutes/online or Offline, Build and develop a Team, Become a content Creator in some platform"/>
        <s v="Business Operations in any organization, Look deeply into Data and generate insights, Work in a BPO setup for some well known client"/>
        <s v="Design and Creative strategy in any company, Manage and drive End-to-End Projects or Products, Work as a freelancer and do my thing my way"/>
        <s v="Teaching in any of the institutes/online or Offline, Build and develop a Team, Design and Develop amazing software"/>
        <s v="Design and Develop amazing software, Look deeply into Data and generate insights, Become a content Creator in some platform"/>
        <s v="Design and Creative strategy in any company, Build and develop a Team, Become a content Creator in some platform"/>
        <s v="Teaching in any of the institutes/online or Offline, Business Operations in any organization, Build and develop a Team"/>
        <s v="Design and Creative strategy in any company, Business Operations in any organization, Build and develop a Team"/>
        <s v="Teaching in any of the institutes/online or Offline, Manage and drive End-to-End Projects or Products, Become a content Creator in some platform"/>
        <s v="Teaching in any of the institutes/online or Offline, Design and Develop amazing software, Work in a BPO setup for some well known client"/>
        <s v="Manage and drive End-to-End Projects or Products, Look deeply into Data and generate insights, Work in a BPO setup for some well known client"/>
        <s v="Teaching in any of the institutes/online or Offline, Work in a BPO setup for some well known client, Work as a freelancer and do my thing my way"/>
        <s v="Teaching in any of the institutes/online or Offline, Business Operations in any organization, Work in a BPO setup for some well known client"/>
        <s v="Design and Creative strategy in any company, Manage and drive End-to-End Projects or Products, Work in a BPO setup for some well known client"/>
        <s v="Teaching in any of the institutes/online or Offline, Business Operations in any organization, Work as a freelancer and do my thing my way"/>
        <s v="Build and develop a Team, Design and Develop amazing software, Become a content Creator in some platform"/>
        <s v="Design and Creative strategy in any company, Design and Develop amazing software, Work as a freelancer and do my thing my way"/>
        <s v="Teaching in any of the institutes/online or Offline, Manage and drive End-to-End Projects or Products, Design and Develop amazing software"/>
        <s v="Business Operations in any organization, Design and Develop amazing software, Become a content Creator in some platform"/>
        <s v="Design and Creative strategy in any company, Work in a BPO setup for some well known client, Become a content Creator in some platform"/>
        <s v="Manage and drive End-to-End Projects or Products, Design and Develop amazing software, Work as a freelancer and do my thing my way"/>
        <s v="Design and Creative strategy in any company, Build and develop a Team, Work in a BPO setup for some well known client"/>
        <s v="Business Operations in any organization, Work in a BPO setup for some well known client, Work as a freelancer and do my thing my way"/>
        <s v="Work in a BPO setup for some well known client, Work as a freelancer and do my thing my way, Become a content Creator in some platform"/>
        <s v="Business Operations in any organization, Work in a BPO setup for some well known client, Become a content Creator in some platform"/>
        <s v="Business Operations in any organization, Look deeply into Data and generate insights, Become a content Creator in some platform"/>
        <s v="Build and develop a Team, Look deeply into Data and generate insights, Work as a freelancer and do my thing my way"/>
        <s v="Business Operations in any organization, Build and develop a Team, Work in a BPO setup for some well known client"/>
        <s v="Teaching in any of the institutes/online or Offline, Manage and drive End-to-End Projects or Products, Work as a freelancer and do my thing my way"/>
        <s v="Business Operations in any organization, Design and Develop amazing software, Look deeply into Data and generate insights, Work as a freelancer and do my thing my way"/>
        <s v="Teaching in any of the institutes/colleges/online or offline, Business Operations in any organization, Manage and drive End-to-End Projects or Products, Look deeply into Data and generate insights"/>
        <s v="Design and Creative strategy in any company, Business Operations in any organization, Work as a freelancer and do my thing my way, Entrepreneur or Start Up"/>
        <s v="Build and develop a Team, Look deeply into Data and generate insights, Entrepreneur or Start Up, An Artificial Intelligence Specialist / Talking to Robots"/>
        <s v="Manage and drive End-to-End Projects or Products, Design and Develop amazing software, Look deeply into Data and generate insights, Entrepreneur or Start Up"/>
        <s v="Design and Creative strategy in any company, Teaching in any of the institutes/colleges/online or offline, Business Operations in any organization, Become a content Creator in some platform"/>
        <s v="Design and Creative strategy in any company, Business Operations in any organization, Entrepreneur or Start Up, Manufacturing / Oil and Gas/ Construction / Hard Physical Work related"/>
        <s v="Design and Creative strategy in any company, Teaching in any of the institutes/colleges/online or offline, Business Operations in any organization, Look deeply into Data and generate insights"/>
        <s v="Build and develop a Team, Work in a BPO setup for some well known client, Work as a freelancer and do my thing my way, Manufacturing / Oil and Gas/ Construction / Hard Physical Work related"/>
        <s v="Build and develop a Team, Look deeply into Data and generate insights, Entrepreneur or Start Up, I Want to sell things/Sales"/>
        <s v="Look deeply into Data and generate insights, Become a content Creator in some platform, Entrepreneur or Start Up, An Artificial Intelligence Specialist / Talking to Robots"/>
        <s v="Manage and drive End-to-End Projects or Products, Look deeply into Data and generate insights, Work as a freelancer and do my thing my way, Entrepreneur or Start Up"/>
        <s v="Design and Develop amazing software, Work as a freelancer and do my thing my way, Entrepreneur or Start Up, An Artificial Intelligence Specialist / Talking to Robots"/>
        <s v="Design and Creative strategy in any company, Business Operations in any organization, Manage and drive End-to-End Projects or Products, Work in a BPO setup for some well known client"/>
        <s v="Business Operations in any organization, Manage and drive End-to-End Projects or Products, Look deeply into Data and generate insights, An Artificial Intelligence Specialist / Talking to Robots"/>
        <s v="Business Operations in any organization, Manage and drive End-to-End Projects or Products, Build and develop a Team, Look deeply into Data and generate insights"/>
        <s v="Design and Creative strategy in any company, Manage and drive End-to-End Projects or Products, Look deeply into Data and generate insights, Entrepreneur or Start Up"/>
        <s v="Design and Creative strategy in any company, Business Operations in any organization, Manage and drive End-to-End Projects or Products, Look deeply into Data and generate insights"/>
        <s v="Design and Creative strategy in any company, Build and develop a Team, An Artificial Intelligence Specialist / Talking to Robots, Manufacturing / Oil and Gas/ Construction / Hard Physical Work related"/>
        <s v="Design and Creative strategy in any company, Business Operations in any organization, Look deeply into Data and generate insights, An Artificial Intelligence Specialist / Talking to Robots"/>
        <s v="Design and Creative strategy in any company, Manage and drive End-to-End Projects or Products, Build and develop a Team, Look deeply into Data and generate insights"/>
        <s v="Design and Creative strategy in any company, Build and develop a Team, Work in a BPO setup for some well known client, Entrepreneur or Start Up"/>
        <s v="Design and Creative strategy in any company, Build and develop a Team, Design and Develop amazing software, An Artificial Intelligence Specialist / Talking to Robots"/>
        <s v="Teaching in any of the institutes/colleges/online or offline, Build and develop a Team, Look deeply into Data and generate insights, Work as a freelancer and do my thing my way"/>
        <s v="Build and develop a Team, Look deeply into Data and generate insights, Work as a freelancer and do my thing my way, Entrepreneur or Start Up"/>
        <s v="Business Operations in any organization, Build and develop a Team, Look deeply into Data and generate insights, Manufacturing / Oil and Gas/ Construction / Hard Physical Work related"/>
        <s v="Look deeply into Data and generate insights, Work as a freelancer and do my thing my way, Become a content Creator in some platform, Entrepreneur or Start Up"/>
        <s v="Design and Creative strategy in any company, Business Operations in any organization, Build and develop a Team, Manufacturing / Oil and Gas/ Construction / Hard Physical Work related"/>
        <s v="Design and Creative strategy in any company, Manage and drive End-to-End Projects or Products, Design and Develop amazing software, Work as a freelancer and do my thing my way"/>
        <s v="Build and develop a Team, Design and Develop amazing software, Entrepreneur or Start Up, An Artificial Intelligence Specialist / Talking to Robots"/>
        <s v="Design and Creative strategy in any company, Business Operations in any organization, Look deeply into Data and generate insights, Entrepreneur or Start Up"/>
        <s v="Business Operations in any organization, Look deeply into Data and generate insights, Work as a freelancer and do my thing my way, Entrepreneur or Start Up"/>
        <s v="Teaching in any of the institutes/colleges/online or offline, Manage and drive End-to-End Projects or Products, Build and develop a Team, Entrepreneur or Start Up"/>
        <s v="Design and Creative strategy in any company, Manage and drive End-to-End Projects or Products, Work as a freelancer and do my thing my way, An Artificial Intelligence Specialist / Talking to Robots"/>
        <s v="Design and Creative strategy in any company, Build and develop a Team, Design and Develop amazing software, Entrepreneur or Start Up"/>
        <s v="Business Operations in any organization, Build and develop a Team, Design and Develop amazing software, Look deeply into Data and generate insights"/>
        <s v="Design and Creative strategy in any company, Teaching in any of the institutes/colleges/online or offline, An Artificial Intelligence Specialist / Talking to Robots, Manufacturing / Oil and Gas/ Construction / Hard Physical Work related"/>
        <s v="Teaching in any of the institutes/colleges/online or offline, I Want to sell things/Sales, An Artificial Intelligence Specialist / Talking to Robots, Manufacturing / Oil and Gas/ Construction / Hard Physical Work related"/>
        <s v="Design and Creative strategy in any company, Business Operations in any organization, Build and develop a Team, Design and Develop amazing software"/>
        <s v="Design and Creative strategy in any company, Manage and drive End-to-End Projects or Products, Entrepreneur or Start Up, I Want to sell things/Sales"/>
        <s v="Design and Creative strategy in any company, Build and develop a Team, Design and Develop amazing software, Become a content Creator in some platform"/>
        <s v="Design and Develop amazing software, Look deeply into Data and generate insights, Entrepreneur or Start Up, An Artificial Intelligence Specialist / Talking to Robots"/>
        <s v="Design and Creative strategy in any company, Teaching in any of the institutes/colleges/online or offline, Look deeply into Data and generate insights, Entrepreneur or Start Up"/>
        <s v="Manage and drive End-to-End Projects or Products, Work as a freelancer and do my thing my way, Become a content Creator in some platform, An Artificial Intelligence Specialist / Talking to Robots"/>
        <s v="Design and Creative strategy in any company, Teaching in any of the institutes/colleges/online or offline, Build and develop a Team, Become a content Creator in some platform"/>
        <s v="Manage and drive End-to-End Projects or Products, Build and develop a Team, Design and Develop amazing software, Look deeply into Data and generate insights"/>
        <s v="Design and Creative strategy in any company, Business Operations in any organization, Build and develop a Team, Entrepreneur or Start Up"/>
        <s v="Design and Creative strategy in any company, Business Operations in any organization, Manage and drive End-to-End Projects or Products, Build and develop a Team"/>
        <s v="Design and Creative strategy in any company, Manage and drive End-to-End Projects or Products, Design and Develop amazing software, An Artificial Intelligence Specialist / Talking to Robots"/>
        <s v="Design and Creative strategy in any company, Business Operations in any organization, Manage and drive End-to-End Projects or Products, Design and Develop amazing software"/>
        <s v="Design and Creative strategy in any company, Build and develop a Team, Become a content Creator in some platform, Manufacturing / Oil and Gas/ Construction / Hard Physical Work related"/>
        <s v="Design and Creative strategy in any company, Become a content Creator in some platform, Entrepreneur or Start Up, I Want to sell things/Sales"/>
        <s v="Build and develop a Team, Design and Develop amazing software, Work as a freelancer and do my thing my way, Entrepreneur or Start Up"/>
        <s v="Manage and drive End-to-End Projects or Products, Design and Develop amazing software, Look deeply into Data and generate insights, An Artificial Intelligence Specialist / Talking to Robots"/>
        <s v="Build and develop a Team, Work as a freelancer and do my thing my way, Entrepreneur or Start Up, An Artificial Intelligence Specialist / Talking to Robots"/>
        <s v="Design and Creative strategy in any company, Business Operations in any organization, Manage and drive End-to-End Projects or Products, Work as a freelancer and do my thing my way"/>
        <s v="Teaching in any of the institutes/colleges/online or offline, Business Operations in any organization, Work as a freelancer and do my thing my way, Entrepreneur or Start Up"/>
        <s v="Business Operations in any organization, Entrepreneur or Start Up, An Artificial Intelligence Specialist / Talking to Robots, Manufacturing / Oil and Gas/ Construction / Hard Physical Work related"/>
        <s v="Design and Creative strategy in any company, Design and Develop amazing software, Become a content Creator in some platform, An Artificial Intelligence Specialist / Talking to Robots"/>
        <s v="Design and Creative strategy in any company, Manage and drive End-to-End Projects or Products, Build and develop a Team, Entrepreneur or Start Up"/>
        <s v="Design and Creative strategy in any company, Design and Develop amazing software, Look deeply into Data and generate insights, Manufacturing / Oil and Gas/ Construction / Hard Physical Work related"/>
        <s v="Design and Creative strategy in any company, Teaching in any of the institutes/colleges/online or offline, Manage and drive End-to-End Projects or Products, Build and develop a Team"/>
        <s v="Design and Creative strategy in any company, Teaching in any of the institutes/colleges/online or offline, Build and develop a Team, Look deeply into Data and generate insights"/>
        <s v="Build and develop a Team, Become a content Creator in some platform, Entrepreneur or Start Up, I Want to sell things/Sales"/>
        <s v="Design and Creative strategy in any company, Entrepreneur or Start Up, An Artificial Intelligence Specialist / Talking to Robots, Manufacturing / Oil and Gas/ Construction / Hard Physical Work related"/>
        <s v="Design and Creative strategy in any company, Manage and drive End-to-End Projects or Products, Build and develop a Team, Manufacturing / Oil and Gas/ Construction / Hard Physical Work related"/>
        <s v="Design and Creative strategy in any company, Manage and drive End-to-End Projects or Products, Build and develop a Team, Work as a freelancer and do my thing my way"/>
        <s v="Design and Creative strategy in any company, Teaching in any of the institutes/colleges/online or offline, Business Operations in any organization, Build and develop a Team"/>
        <s v="Design and Creative strategy in any company, Design and Develop amazing software, Entrepreneur or Start Up, I Want to sell things/Sales"/>
        <s v="Business Operations in any organization, Manage and drive End-to-End Projects or Products, Work in a BPO setup for some well known client, An Artificial Intelligence Specialist / Talking to Robots"/>
        <s v="Design and Creative strategy in any company, Teaching in any of the institutes/colleges/online or offline, Build and develop a Team, Design and Develop amazing software"/>
        <s v="Design and Creative strategy in any company, Business Operations in any organization, Build and develop a Team, An Artificial Intelligence Specialist / Talking to Robots"/>
        <s v="Design and Creative strategy in any company, Business Operations in any organization, Design and Develop amazing software, Work in a BPO setup for some well known client"/>
        <s v="Teaching in any of the institutes/colleges/online or offline, Build and develop a Team, Become a content Creator in some platform, Entrepreneur or Start Up"/>
        <s v="Manage and drive End-to-End Projects or Products, Build and develop a Team, Work as a freelancer and do my thing my way, An Artificial Intelligence Specialist / Talking to Robots"/>
        <s v="Look deeply into Data and generate insights, Work as a freelancer and do my thing my way, Entrepreneur or Start Up, Manufacturing / Oil and Gas/ Construction / Hard Physical Work related"/>
        <s v="Design and Creative strategy in any company, Design and Develop amazing software, Look deeply into Data and generate insights, Work as a freelancer and do my thing my way"/>
        <s v="Teaching in any of the institutes/colleges/online or offline, Manage and drive End-to-End Projects or Products, Build and develop a Team, Look deeply into Data and generate insights"/>
        <s v="Design and Creative strategy in any company, Build and develop a Team, Look deeply into Data and generate insights, An Artificial Intelligence Specialist / Talking to Robots"/>
        <s v="Business Operations in any organization, Entrepreneur or Start Up, I Want to sell things/Sales, Manufacturing / Oil and Gas/ Construction / Hard Physical Work related"/>
        <s v="Design and Creative strategy in any company, Teaching in any of the institutes/colleges/online or offline, Business Operations in any organization, Manage and drive End-to-End Projects or Products"/>
        <s v="Build and develop a Team, Work as a freelancer and do my thing my way, Entrepreneur or Start Up, I Want to sell things/Sales"/>
        <s v="Design and Creative strategy in any company, Teaching in any of the institutes/colleges/online or offline, Business Operations in any organization, Design and Develop amazing software"/>
        <s v="Teaching in any of the institutes/colleges/online or offline, Manage and drive End-to-End Projects or Products, Design and Develop amazing software, Work as a freelancer and do my thing my way"/>
        <s v="Teaching in any of the institutes/colleges/online or offline, Business Operations in any organization, Look deeply into Data and generate insights, Work in a BPO setup for some well known client"/>
        <s v="Design and Creative strategy in any company, Manage and drive End-to-End Projects or Products, Build and develop a Team, Design and Develop amazing software"/>
        <s v="Design and Creative strategy in any company, Teaching in any of the institutes/colleges/online or offline, Manage and drive End-to-End Projects or Products, Design and Develop amazing software"/>
        <s v="Teaching in any of the institutes/colleges/online or offline, Build and develop a Team, Work as a freelancer and do my thing my way, Entrepreneur or Start Up"/>
        <s v="Manage and drive End-to-End Projects or Products, Build and develop a Team, Look deeply into Data and generate insights, Entrepreneur or Start Up"/>
        <s v="Teaching in any of the institutes/colleges/online or offline, Manage and drive End-to-End Projects or Products, Build and develop a Team, Design and Develop amazing software"/>
        <s v="Design and Creative strategy in any company, Design and Develop amazing software, Work in a BPO setup for some well known client, Become a content Creator in some platform"/>
        <s v="Teaching in any of the institutes/colleges/online or offline, Design and Develop amazing software, Work as a freelancer and do my thing my way, Entrepreneur or Start Up"/>
        <s v="Business Operations in any organization, Build and develop a Team, Design and Develop amazing software, Entrepreneur or Start Up"/>
        <s v="Business Operations in any organization, Look deeply into Data and generate insights, An Artificial Intelligence Specialist / Talking to Robots, Manufacturing / Oil and Gas/ Construction / Hard Physical Work related"/>
        <s v="Design and Creative strategy in any company, Manage and drive End-to-End Projects or Products, Look deeply into Data and generate insights, Work as a freelancer and do my thing my way"/>
        <s v="Build and develop a Team, Design and Develop amazing software, Look deeply into Data and generate insights, Work as a freelancer and do my thing my way"/>
        <s v="Design and Creative strategy in any company, Teaching in any of the institutes/colleges/online or offline, Manage and drive End-to-End Projects or Products, Entrepreneur or Start Up"/>
        <s v="Design and Creative strategy in any company, Manage and drive End-to-End Projects or Products, Design and Develop amazing software, Look deeply into Data and generate insights"/>
        <s v="Design and Develop amazing software, Look deeply into Data and generate insights, Work as a freelancer and do my thing my way, An Artificial Intelligence Specialist / Talking to Robots"/>
        <s v="Work as a freelancer and do my thing my way, Become a content Creator in some platform, Entrepreneur or Start Up, I Want to sell things/Sales"/>
        <s v="Business Operations in any organization, Manage and drive End-to-End Projects or Products, Look deeply into Data and generate insights, Work as a freelancer and do my thing my way"/>
        <s v="Manage and drive End-to-End Projects or Products, Design and Develop amazing software, Entrepreneur or Start Up, An Artificial Intelligence Specialist / Talking to Robots"/>
        <s v="Design and Creative strategy in any company, Build and develop a Team, Look deeply into Data and generate insights, Entrepreneur or Start Up"/>
        <s v="Design and Creative strategy in any company, Business Operations in any organization, Build and develop a Team, Look deeply into Data and generate insights"/>
        <s v="Design and Creative strategy in any company, Business Operations in any organization, Build and develop a Team, Work as a freelancer and do my thing my way"/>
        <s v="Build and develop a Team, Look deeply into Data and generate insights, Entrepreneur or Start Up, Manufacturing / Oil and Gas/ Construction / Hard Physical Work related"/>
        <s v="Business Operations in any organization, Manage and drive End-to-End Projects or Products, Build and develop a Team, Entrepreneur or Start Up"/>
        <s v="Business Operations in any organization, Build and develop a Team, Look deeply into Data and generate insights, Entrepreneur or Start Up"/>
        <s v="Design and Creative strategy in any company, Business Operations in any organization, Work as a freelancer and do my thing my way, Become a content Creator in some platform"/>
        <s v="Business Operations in any organization, Entrepreneur or Start Up, I Want to sell things/Sales, An Artificial Intelligence Specialist / Talking to Robots"/>
        <s v="Manage and drive End-to-End Projects or Products, Build and develop a Team, Entrepreneur or Start Up, Manufacturing / Oil and Gas/ Construction / Hard Physical Work related"/>
        <s v="Design and Creative strategy in any company, Teaching in any of the institutes/colleges/online or offline, Work as a freelancer and do my thing my way, I Want to sell things/Sales"/>
        <s v="Design and Creative strategy in any company, Business Operations in any organization, Build and develop a Team, Become a content Creator in some platform"/>
        <s v="Business Operations in any organization, Work as a freelancer and do my thing my way, Entrepreneur or Start Up, I Want to sell things/Sales"/>
        <s v="Manage and drive End-to-End Projects or Products, Design and Develop amazing software, Work in a BPO setup for some well known client, I Want to sell things/Sales"/>
        <s v="Design and Creative strategy in any company, Manage and drive End-to-End Projects or Products, Build and develop a Team, Work in a BPO setup for some well known client"/>
        <s v="Build and develop a Team, Design and Develop amazing software, Look deeply into Data and generate insights, Manufacturing / Oil and Gas/ Construction / Hard Physical Work related"/>
        <s v="Manage and drive End-to-End Projects or Products, Build and develop a Team, Work as a freelancer and do my thing my way, Entrepreneur or Start Up"/>
        <s v="Business Operations in any organization, Build and develop a Team, Work as a freelancer and do my thing my way, Become a content Creator in some platform"/>
        <s v="Manage and drive End-to-End Projects or Products, Work as a freelancer and do my thing my way, Become a content Creator in some platform, Entrepreneur or Start Up"/>
        <s v="Design and Creative strategy in any company, Build and develop a Team, Design and Develop amazing software, Work as a freelancer and do my thing my way"/>
        <s v="Design and Creative strategy in any company, Teaching in any of the institutes/colleges/online or offline, Business Operations in any organization, I Want to sell things/Sales"/>
        <s v="Business Operations in any organization, Build and develop a Team, Entrepreneur or Start Up, Manufacturing / Oil and Gas/ Construction / Hard Physical Work related"/>
        <s v="Design and Creative strategy in any company, Business Operations in any organization, Manage and drive End-to-End Projects or Products, Become a content Creator in some platform"/>
        <s v="Design and Creative strategy in any company, Teaching in any of the institutes/colleges/online or offline, Work as a freelancer and do my thing my way, Become a content Creator in some platform"/>
        <s v="Business Operations in any organization, Manage and drive End-to-End Projects or Products, Build and develop a Team, Manufacturing / Oil and Gas/ Construction / Hard Physical Work related"/>
        <s v="Teaching in any of the institutes/colleges/online or offline, Build and develop a Team, Entrepreneur or Start Up, An Artificial Intelligence Specialist / Talking to Robots"/>
        <s v="Design and Creative strategy in any company, Business Operations in any organization, Entrepreneur or Start Up, I Want to sell things/Sales"/>
        <s v="Design and Creative strategy in any company, Look deeply into Data and generate insights, Work as a freelancer and do my thing my way, An Artificial Intelligence Specialist / Talking to Robots"/>
        <s v="Teaching in any of the institutes/colleges/online or offline, Design and Develop amazing software, Look deeply into Data and generate insights, An Artificial Intelligence Specialist / Talking to Robots"/>
        <s v="Design and Creative strategy in any company, Business Operations in any organization, Manage and drive End-to-End Projects or Products, Entrepreneur or Start Up"/>
        <s v="Design and Creative strategy in any company, Manage and drive End-to-End Projects or Products, Entrepreneur or Start Up, An Artificial Intelligence Specialist / Talking to Robots"/>
        <s v="Business Operations in any organization, Manage and drive End-to-End Projects or Products, Design and Develop amazing software, Look deeply into Data and generate insights"/>
        <s v="Business Operations in any organization, Design and Develop amazing software, Look deeply into Data and generate insights, An Artificial Intelligence Specialist / Talking to Robots"/>
        <s v="Teaching in any of the institutes/colleges/online or offline, Business Operations in any organization, Become a content Creator in some platform, I Want to sell things/Sales"/>
        <s v="Business Operations in any organization, Work as a freelancer and do my thing my way, Entrepreneur or Start Up, Manufacturing / Oil and Gas/ Construction / Hard Physical Work related"/>
        <s v="Design and Creative strategy in any company, Teaching in any of the institutes/colleges/online or offline, Build and develop a Team, Entrepreneur or Start Up"/>
        <s v="Business Operations in any organization, Manage and drive End-to-End Projects or Products, Build and develop a Team, Work in a BPO setup for some well known client"/>
        <s v="Design and Creative strategy in any company, Design and Develop amazing software, Work as a freelancer and do my thing my way, Become a content Creator in some platform"/>
        <s v="Manage and drive End-to-End Projects or Products, Build and develop a Team, Look deeply into Data and generate insights, Work as a freelancer and do my thing my way"/>
        <s v="Business Operations in any organization, Work in a BPO setup for some well known client, An Artificial Intelligence Specialist / Talking to Robots, Manufacturing / Oil and Gas/ Construction / Hard Physical Work related"/>
        <s v="Become a content Creator in some platform, I Want to sell things/Sales, An Artificial Intelligence Specialist / Talking to Robots, Manufacturing / Oil and Gas/ Construction / Hard Physical Work related"/>
        <s v="Business Operations in any organization, Manage and drive End-to-End Projects or Products, Entrepreneur or Start Up, I Want to sell things/Sales"/>
        <s v="Design and Creative strategy in any company, Work as a freelancer and do my thing my way, Become a content Creator in some platform, I Want to sell things/Sales"/>
        <s v="Manage and drive End-to-End Projects or Products, Look deeply into Data and generate insights, Work as a freelancer and do my thing my way, Become a content Creator in some platform"/>
        <s v="Design and Creative strategy in any company, Business Operations in any organization, Look deeply into Data and generate insights, Work as a freelancer and do my thing my way"/>
        <s v="Design and Creative strategy in any company, Business Operations in any organization, Design and Develop amazing software, Become a content Creator in some platform"/>
        <s v="Build and develop a Team, Work in a BPO setup for some well known client, Work as a freelancer and do my thing my way, An Artificial Intelligence Specialist / Talking to Robots"/>
        <s v="Teaching in any of the institutes/colleges/online or offline, Work as a freelancer and do my thing my way, An Artificial Intelligence Specialist / Talking to Robots, Manufacturing / Oil and Gas/ Construction / Hard Physical Work related"/>
        <s v="Business Operations in any organization, Manage and drive End-to-End Projects or Products, Build and develop a Team, Design and Develop amazing software"/>
        <s v="Teaching in any of the institutes/colleges/online or offline, Design and Develop amazing software, Work as a freelancer and do my thing my way, An Artificial Intelligence Specialist / Talking to Robots"/>
        <s v="Business Operations in any organization, Manage and drive End-to-End Projects or Products, Look deeply into Data and generate insights, Entrepreneur or Start Up"/>
        <s v="Business Operations in any organization, Manage and drive End-to-End Projects or Products, Build and develop a Team, An Artificial Intelligence Specialist / Talking to Robots"/>
        <s v="Design and Creative strategy in any company, Business Operations in any organization, Become a content Creator in some platform, Entrepreneur or Start Up"/>
        <s v="Teaching in any of the institutes/colleges/online or offline, Business Operations in any organization, Manage and drive End-to-End Projects or Products, Design and Develop amazing software"/>
        <s v="Design and Creative strategy in any company, Teaching in any of the institutes/colleges/online or offline, Business Operations in any organization, Manufacturing / Oil and Gas/ Construction / Hard Physical Work related"/>
        <s v="Design and Creative strategy in any company, Business Operations in any organization, Manage and drive End-to-End Projects or Products, An Artificial Intelligence Specialist / Talking to Robots"/>
        <s v="Business Operations in any organization, Build and develop a Team, Work as a freelancer and do my thing my way, An Artificial Intelligence Specialist / Talking to Robots"/>
        <s v="Design and Develop amazing software, Work as a freelancer and do my thing my way, Entrepreneur or Start Up, I Want to sell things/Sales"/>
        <s v="Teaching in any of the institutes/colleges/online or offline, Business Operations in any organization, Build and develop a Team, Work as a freelancer and do my thing my way"/>
        <s v="Design and Creative strategy in any company, Entrepreneur or Start Up, I Want to sell things/Sales, Manufacturing / Oil and Gas/ Construction / Hard Physical Work related"/>
        <s v="Manage and drive End-to-End Projects or Products, Work as a freelancer and do my thing my way, Entrepreneur or Start Up, Manufacturing / Oil and Gas/ Construction / Hard Physical Work related"/>
        <s v="Manage and drive End-to-End Projects or Products, Build and develop a Team, Design and Develop amazing software, Become a content Creator in some platform"/>
        <s v="Design and Creative strategy in any company, Teaching in any of the institutes/colleges/online or offline, Design and Develop amazing software, An Artificial Intelligence Specialist / Talking to Robots"/>
        <s v="Teaching in any of the institutes/colleges/online or offline, Build and develop a Team, Design and Develop amazing software, I Want to sell things/Sales"/>
        <s v="Business Operations in any organization, Work in a BPO setup for some well known client, Work as a freelancer and do my thing my way, I Want to sell things/Sales"/>
        <s v="Business Operations in any organization, Manage and drive End-to-End Projects or Products, Design and Develop amazing software, Work as a freelancer and do my thing my way"/>
        <s v="Design and Creative strategy in any company, Design and Develop amazing software, Work as a freelancer and do my thing my way, Entrepreneur or Start Up"/>
        <s v="Design and Creative strategy in any company, Design and Develop amazing software, Become a content Creator in some platform, Entrepreneur or Start Up"/>
        <s v="Build and develop a Team, Look deeply into Data and generate insights, Work as a freelancer and do my thing my way, An Artificial Intelligence Specialist / Talking to Robots"/>
        <s v="Entrepreneur or Start Up, I Want to sell things/Sales, An Artificial Intelligence Specialist / Talking to Robots, Manufacturing / Oil and Gas/ Construction / Hard Physical Work related"/>
        <s v="Design and Creative strategy in any company, Build and develop a Team, Become a content Creator in some platform, Entrepreneur or Start Up"/>
        <s v="Design and Creative strategy in any company, Design and Develop amazing software, Entrepreneur or Start Up, An Artificial Intelligence Specialist / Talking to Robots"/>
        <s v="Business Operations in any organization, Build and develop a Team, Design and Develop amazing software, Work in a BPO setup for some well known client"/>
        <s v="Teaching in any of the institutes/colleges/online or offline, Build and develop a Team, Work as a freelancer and do my thing my way, I Want to sell things/Sales"/>
        <s v="Business Operations in any organization, Work in a BPO setup for some well known client, Entrepreneur or Start Up, I Want to sell things/Sales"/>
        <s v="Build and develop a Team, Look deeply into Data and generate insights, Become a content Creator in some platform, Entrepreneur or Start Up"/>
        <s v="Manage and drive End-to-End Projects or Products, Work in a BPO setup for some well known client, Work as a freelancer and do my thing my way, Entrepreneur or Start Up"/>
        <s v="Design and Creative strategy in any company, Look deeply into Data and generate insights, Work as a freelancer and do my thing my way, Entrepreneur or Start Up"/>
        <s v="Look deeply into Data and generate insights, Work as a freelancer and do my thing my way, I Want to sell things/Sales, Manufacturing / Oil and Gas/ Construction / Hard Physical Work related"/>
        <s v="Business Operations in any organization, Manage and drive End-to-End Projects or Products, Design and Develop amazing software, An Artificial Intelligence Specialist / Talking to Robots"/>
        <s v="Design and Creative strategy in any company, I Want to sell things/Sales, An Artificial Intelligence Specialist / Talking to Robots, Manufacturing / Oil and Gas/ Construction / Hard Physical Work related"/>
        <s v="Business Operations in any organization, Manage and drive End-to-End Projects or Products, Build and develop a Team, I Want to sell things/Sales"/>
        <s v="Business Operations in any organization, Manage and drive End-to-End Projects or Products, Become a content Creator in some platform, Entrepreneur or Start Up"/>
        <s v="Teaching in any of the institutes/colleges/online or offline, Manage and drive End-to-End Projects or Products, Design and Develop amazing software, Look deeply into Data and generate insights"/>
        <s v="Teaching in any of the institutes/colleges/online or offline, Look deeply into Data and generate insights, Become a content Creator in some platform, Entrepreneur or Start Up"/>
        <s v="Business Operations in any organization, Work as a freelancer and do my thing my way, Become a content Creator in some platform, Manufacturing / Oil and Gas/ Construction / Hard Physical Work related"/>
        <s v="Build and develop a Team, Entrepreneur or Start Up, I Want to sell things/Sales, Manufacturing / Oil and Gas/ Construction / Hard Physical Work related"/>
        <s v="Design and Creative strategy in any company, Teaching in any of the institutes/colleges/online or offline, Work as a freelancer and do my thing my way, Manufacturing / Oil and Gas/ Construction / Hard Physical Work related"/>
        <s v="Teaching in any of the institutes/colleges/online or offline, Business Operations in any organization, Become a content Creator in some platform, Entrepreneur or Start Up"/>
        <s v="Teaching in any of the institutes/colleges/online or offline, Business Operations in any organization, Build and develop a Team, Entrepreneur or Start Up"/>
        <s v="Design and Creative strategy in any company, Teaching in any of the institutes/colleges/online or offline, Design and Develop amazing software, Entrepreneur or Start Up"/>
        <s v="Business Operations in any organization, Manage and drive End-to-End Projects or Products, Work as a freelancer and do my thing my way, Entrepreneur or Start Up"/>
        <s v="Manage and drive End-to-End Projects or Products, Work in a BPO setup for some well known client, Work as a freelancer and do my thing my way, Manufacturing / Oil and Gas/ Construction / Hard Physical Work related"/>
        <s v="Design and Creative strategy in any company, Teaching in any of the institutes/colleges/online or offline, Look deeply into Data and generate insights, An Artificial Intelligence Specialist / Talking to Robots"/>
        <s v="Build and develop a Team, Design and Develop amazing software, Look deeply into Data and generate insights, An Artificial Intelligence Specialist / Talking to Robots"/>
        <s v="Design and Creative strategy in any company, Design and Develop amazing software, Work as a freelancer and do my thing my way, I Want to sell things/Sales"/>
        <s v="Teaching in any of the institutes/colleges/online or offline, Manage and drive End-to-End Projects or Products, Look deeply into Data and generate insights, Work as a freelancer and do my thing my way"/>
        <s v="Business Operations in any organization, Build and develop a Team, Work as a freelancer and do my thing my way, Entrepreneur or Start Up"/>
        <s v="Business Operations in any organization, Look deeply into Data and generate insights, Entrepreneur or Start Up, Manufacturing / Oil and Gas/ Construction / Hard Physical Work related"/>
        <s v="Teaching in any of the institutes/colleges/online or offline, Business Operations in any organization, Build and develop a Team, Look deeply into Data and generate insights"/>
        <s v="Design and Creative strategy in any company, Build and develop a Team, I Want to sell things/Sales, Manufacturing / Oil and Gas/ Construction / Hard Physical Work related"/>
        <s v="Manage and drive End-to-End Projects or Products, Build and develop a Team, Design and Develop amazing software, Work as a freelancer and do my thing my way"/>
        <s v="Design and Creative strategy in any company, Teaching in any of the institutes/colleges/online or offline, Work in a BPO setup for some well known client, Work as a freelancer and do my thing my way"/>
        <s v="Manage and drive End-to-End Projects or Products, Work as a freelancer and do my thing my way, Entrepreneur or Start Up, An Artificial Intelligence Specialist / Talking to Robots"/>
        <s v="Teaching in any of the institutes/colleges/online or offline, Business Operations in any organization, Manage and drive End-to-End Projects or Products, Build and develop a Team"/>
        <s v="Design and Creative strategy in any company, Business Operations in any organization, An Artificial Intelligence Specialist / Talking to Robots, Manufacturing / Oil and Gas/ Construction / Hard Physical Work related"/>
        <s v="Design and Creative strategy in any company, Business Operations in any organization, Design and Develop amazing software, Entrepreneur or Start Up"/>
        <s v="Design and Creative strategy in any company, Business Operations in any organization, Manage and drive End-to-End Projects or Products, Manufacturing / Oil and Gas/ Construction / Hard Physical Work related"/>
        <s v="Teaching in any of the institutes/colleges/online or offline, Business Operations in any organization, Manage and drive End-to-End Projects or Products, Become a content Creator in some platform"/>
        <s v="Design and Creative strategy in any company, Business Operations in any organization, Become a content Creator in some platform, Manufacturing / Oil and Gas/ Construction / Hard Physical Work related"/>
        <s v="Manage and drive End-to-End Projects or Products, Build and develop a Team, Work as a freelancer and do my thing my way, Become a content Creator in some platform"/>
        <s v="Teaching in any of the institutes/colleges/online or offline, Look deeply into Data and generate insights, Work as a freelancer and do my thing my way, Become a content Creator in some platform"/>
        <s v="Design and Creative strategy in any company, Build and develop a Team, Look deeply into Data and generate insights, Become a content Creator in some platform"/>
        <s v="Design and Creative strategy in any company, Business Operations in any organization, Design and Develop amazing software, Look deeply into Data and generate insights"/>
        <s v="Design and Creative strategy in any company, Teaching in any of the institutes/colleges/online or offline, Design and Develop amazing software, Become a content Creator in some platform"/>
        <s v="Manage and drive End-to-End Projects or Products, Build and develop a Team, Design and Develop amazing software, Entrepreneur or Start Up"/>
        <s v="Build and develop a Team, Become a content Creator in some platform, I Want to sell things/Sales, An Artificial Intelligence Specialist / Talking to Robots"/>
        <s v="Teaching in any of the institutes/colleges/online or offline, Build and develop a Team, Design and Develop amazing software, Become a content Creator in some platform"/>
        <s v="Build and develop a Team, Design and Develop amazing software, Work as a freelancer and do my thing my way, An Artificial Intelligence Specialist / Talking to Robots"/>
        <s v="Build and develop a Team, Look deeply into Data and generate insights, I Want to sell things/Sales, An Artificial Intelligence Specialist / Talking to Robots"/>
        <s v="Become a content Creator in some platform, Entrepreneur or Start Up, I Want to sell things/Sales, An Artificial Intelligence Specialist / Talking to Robots"/>
        <s v="Manage and drive End-to-End Projects or Products, Build and develop a Team, Design and Develop amazing software, An Artificial Intelligence Specialist / Talking to Robots"/>
        <s v="Business Operations in any organization, Design and Develop amazing software, Entrepreneur or Start Up, An Artificial Intelligence Specialist / Talking to Robots"/>
        <s v="Design and Creative strategy in any company, Build and develop a Team, Work as a freelancer and do my thing my way, Entrepreneur or Start Up"/>
        <s v="Business Operations in any organization, Look deeply into Data and generate insights, Work as a freelancer and do my thing my way, I Want to sell things/Sales"/>
        <s v="Design and Creative strategy in any company, Teaching in any of the institutes/colleges/online or offline, Business Operations in any organization, Work in a BPO setup for some well known client"/>
        <s v="Design and Creative strategy in any company, Business Operations in any organization, Design and Develop amazing software, Work as a freelancer and do my thing my way"/>
        <s v="Business Operations in any organization, Build and develop a Team, Design and Develop amazing software, An Artificial Intelligence Specialist / Talking to Robots"/>
        <s v="Business Operations in any organization, Look deeply into Data and generate insights, Become a content Creator in some platform, An Artificial Intelligence Specialist / Talking to Robots"/>
        <s v="Work as a freelancer and do my thing my way, Entrepreneur or Start Up, I Want to sell things/Sales, Manufacturing / Oil and Gas/ Construction / Hard Physical Work related"/>
        <s v="Design and Creative strategy in any company, Build and develop a Team, Design and Develop amazing software, Look deeply into Data and generate insights"/>
        <s v="Business Operations in any organization, Manage and drive End-to-End Projects or Products, Build and develop a Team, Work as a freelancer and do my thing my way"/>
        <s v="Design and Creative strategy in any company, Teaching in any of the institutes/colleges/online or offline, Become a content Creator in some platform, Manufacturing / Oil and Gas/ Construction / Hard Physical Work related"/>
        <s v="Teaching in any of the institutes/colleges/online or offline, Build and develop a Team, Look deeply into Data and generate insights, Become a content Creator in some platform"/>
        <s v="Design and Creative strategy in any company, Business Operations in any organization, Look deeply into Data and generate insights, I Want to sell things/Sales"/>
        <s v="Teaching in any of the institutes/colleges/online or offline, Business Operations in any organization, Work in a BPO setup for some well known client, Work as a freelancer and do my thing my way"/>
        <s v="Design and Creative strategy in any company, Manage and drive End-to-End Projects or Products, Work as a freelancer and do my thing my way, Entrepreneur or Start Up"/>
        <s v="Design and Creative strategy in any company, Teaching in any of the institutes/colleges/online or offline, Work as a freelancer and do my thing my way, Entrepreneur or Start Up"/>
        <s v="Teaching in any of the institutes/colleges/online or offline, Business Operations in any organization, Build and develop a Team, Become a content Creator in some platform"/>
        <s v="Design and Creative strategy in any company, Teaching in any of the institutes/colleges/online or offline, Work in a BPO setup for some well known client, Become a content Creator in some platform"/>
        <s v="Design and Creative strategy in any company, Teaching in any of the institutes/colleges/online or offline, Design and Develop amazing software, Work as a freelancer and do my thing my way"/>
        <s v="Manage and drive End-to-End Projects or Products, Build and develop a Team, Look deeply into Data and generate insights, Become a content Creator in some platform"/>
        <s v="Manage and drive End-to-End Projects or Products, Build and develop a Team, Look deeply into Data and generate insights, I Want to sell things/Sales"/>
        <s v="Teaching in any of the institutes/colleges/online or offline, Work as a freelancer and do my thing my way, Become a content Creator in some platform, Entrepreneur or Start Up"/>
        <s v="Manage and drive End-to-End Projects or Products, Design and Develop amazing software, Work in a BPO setup for some well known client, An Artificial Intelligence Specialist / Talking to Robots"/>
        <s v="Business Operations in any organization, Build and develop a Team, Entrepreneur or Start Up, I Want to sell things/Sales"/>
        <s v="Business Operations in any organization, Manage and drive End-to-End Projects or Products, Work as a freelancer and do my thing my way, Manufacturing / Oil and Gas/ Construction / Hard Physical Work related"/>
        <s v="Business Operations in any organization, Build and develop a Team, Become a content Creator in some platform, An Artificial Intelligence Specialist / Talking to Robots"/>
        <s v="Teaching in any of the institutes/colleges/online or offline, Look deeply into Data and generate insights, Work as a freelancer and do my thing my way, Entrepreneur or Start Up"/>
        <s v="Business Operations in any organization, Look deeply into Data and generate insights, Become a content Creator in some platform, Entrepreneur or Start Up"/>
        <s v="Design and Creative strategy in any company, Business Operations in any organization, Become a content Creator in some platform, I Want to sell things/Sales"/>
        <s v="Build and develop a Team, Design and Develop amazing software, Look deeply into Data and generate insights, Entrepreneur or Start Up"/>
        <s v="Teaching in any of the institutes/colleges/online or offline, Business Operations in any organization, Manage and drive End-to-End Projects or Products, Work as a freelancer and do my thing my way"/>
        <s v="Design and Creative strategy in any company, Manage and drive End-to-End Projects or Products, Look deeply into Data and generate insights, An Artificial Intelligence Specialist / Talking to Robots"/>
        <s v="Design and Creative strategy in any company, Business Operations in any organization, Build and develop a Team, I Want to sell things/Sales"/>
        <s v="Design and Creative strategy in any company, Business Operations in any organization, Manage and drive End-to-End Projects or Products, I Want to sell things/Sales"/>
        <s v="Design and Creative strategy in any company, Design and Develop amazing software, Look deeply into Data and generate insights, Entrepreneur or Start Up"/>
        <s v="Teaching in any of the institutes/colleges/online or offline, Business Operations in any organization, Become a content Creator in some platform, An Artificial Intelligence Specialist / Talking to Robots"/>
        <s v="Design and Creative strategy in any company, Teaching in any of the institutes/colleges/online or offline, Build and develop a Team, Work as a freelancer and do my thing my way"/>
        <s v="Teaching in any of the institutes/colleges/online or offline, Business Operations in any organization, Design and Develop amazing software, Work in a BPO setup for some well known client"/>
        <s v="Design and Creative strategy in any company, Teaching in any of the institutes/colleges/online or offline, Manage and drive End-to-End Projects or Products, Manufacturing / Oil and Gas/ Construction / Hard Physical Work related"/>
        <s v="Design and Creative strategy in any company, Manage and drive End-to-End Projects or Products, Build and develop a Team, Become a content Creator in some platform"/>
        <s v="Design and Develop amazing software, Look deeply into Data and generate insights, Work as a freelancer and do my thing my way, Entrepreneur or Start Up"/>
        <s v="Manage and drive End-to-End Projects or Products, Look deeply into Data and generate insights, Entrepreneur or Start Up, An Artificial Intelligence Specialist / Talking to Robots"/>
        <s v="Business Operations in any organization, Build and develop a Team, Look deeply into Data and generate insights, Work as a freelancer and do my thing my way"/>
        <s v="Manage and drive End-to-End Projects or Products, Design and Develop amazing software, Become a content Creator in some platform, Manufacturing / Oil and Gas/ Construction / Hard Physical Work related"/>
        <s v="Teaching in any of the institutes/colleges/online or offline, Business Operations in any organization, I Want to sell things/Sales, An Artificial Intelligence Specialist / Talking to Robots"/>
        <s v="Design and Creative strategy in any company, Look deeply into Data and generate insights, Become a content Creator in some platform, Entrepreneur or Start Up"/>
        <s v="Teaching in any of the institutes/colleges/online or offline, Build and develop a Team, Design and Develop amazing software, Look deeply into Data and generate insights"/>
        <s v="Manage and drive End-to-End Projects or Products, Build and develop a Team, Work in a BPO setup for some well known client, Work as a freelancer and do my thing my way"/>
        <s v="Business Operations in any organization, Manage and drive End-to-End Projects or Products, Work in a BPO setup for some well known client, Work as a freelancer and do my thing my way"/>
        <s v="Business Operations in any organization, Design and Develop amazing software, Look deeply into Data and generate insights, Work in a BPO setup for some well known client"/>
        <s v="Teaching in any of the institutes/colleges/online or offline, Business Operations in any organization, Entrepreneur or Start Up, I Want to sell things/Sales"/>
        <s v="Manage and drive End-to-End Projects or Products, Design and Develop amazing software, Look deeply into Data and generate insights, Work as a freelancer and do my thing my way"/>
        <s v="Manage and drive End-to-End Projects or Products, Look deeply into Data and generate insights, Become a content Creator in some platform, An Artificial Intelligence Specialist / Talking to Robots"/>
        <s v="Design and Creative strategy in any company, Manage and drive End-to-End Projects or Products, Become a content Creator in some platform, Entrepreneur or Start Up"/>
        <s v="Design and Creative strategy in any company, Work as a freelancer and do my thing my way, Become a content Creator in some platform, Entrepreneur or Start Up"/>
        <s v="Design and Develop amazing software, Work as a freelancer and do my thing my way, Entrepreneur or Start Up, Manufacturing / Oil and Gas/ Construction / Hard Physical Work related"/>
        <s v="Look deeply into Data and generate insights, Work as a freelancer and do my thing my way, Entrepreneur or Start Up, An Artificial Intelligence Specialist / Talking to Robots"/>
        <s v="Business Operations in any organization, Look deeply into Data and generate insights, Work in a BPO setup for some well known client, Entrepreneur or Start Up"/>
        <s v="Design and Creative strategy in any company, Teaching in any of the institutes/colleges/online or offline, Look deeply into Data and generate insights, Become a content Creator in some platform"/>
        <s v="Design and Creative strategy in any company, Business Operations in any organization, I Want to sell things/Sales, An Artificial Intelligence Specialist / Talking to Robots"/>
        <s v="Design and Creative strategy in any company, Build and develop a Team, Work as a freelancer and do my thing my way, Manufacturing / Oil and Gas/ Construction / Hard Physical Work related"/>
        <s v="Design and Creative strategy in any company, Manage and drive End-to-End Projects or Products, Look deeply into Data and generate insights, Manufacturing / Oil and Gas/ Construction / Hard Physical Work related"/>
        <s v="Teaching in any of the institutes/colleges/online or offline, Build and develop a Team, Entrepreneur or Start Up, Manufacturing / Oil and Gas/ Construction / Hard Physical Work related"/>
        <s v="Design and Creative strategy in any company, Teaching in any of the institutes/colleges/online or offline, Manage and drive End-to-End Projects or Products, Look deeply into Data and generate insights"/>
        <s v="Build and develop a Team, Entrepreneur or Start Up, An Artificial Intelligence Specialist / Talking to Robots, Manufacturing / Oil and Gas/ Construction / Hard Physical Work related"/>
        <s v="Business Operations in any organization, Build and develop a Team, Look deeply into Data and generate insights, Work in a BPO setup for some well known client"/>
        <s v="Teaching in any of the institutes/colleges/online or offline, Look deeply into Data and generate insights, Entrepreneur or Start Up, I Want to sell things/Sales"/>
        <s v="Business Operations in any organization, Work in a BPO setup for some well known client, Become a content Creator in some platform, Entrepreneur or Start Up"/>
        <s v="Design and Creative strategy in any company, Look deeply into Data and generate insights, Work as a freelancer and do my thing my way, Become a content Creator in some platform"/>
        <s v="Build and develop a Team, Design and Develop amazing software, Look deeply into Data and generate insights, Work in a BPO setup for some well known client"/>
        <s v="Teaching in any of the institutes/colleges/online or offline, Build and develop a Team, Work as a freelancer and do my thing my way, An Artificial Intelligence Specialist / Talking to Robots"/>
        <s v="Design and Creative strategy in any company, Manage and drive End-to-End Projects or Products, Design and Develop amazing software, Entrepreneur or Start Up"/>
        <s v="Design and Creative strategy in any company, Look deeply into Data and generate insights, Entrepreneur or Start Up, I Want to sell things/Sales"/>
        <s v="Manage and drive End-to-End Projects or Products, Design and Develop amazing software, Work as a freelancer and do my thing my way, An Artificial Intelligence Specialist / Talking to Robots"/>
        <s v="Manage and drive End-to-End Projects or Products, Build and develop a Team, Entrepreneur or Start Up, An Artificial Intelligence Specialist / Talking to Robots"/>
        <s v="Teaching in any of the institutes/colleges/online or offline, Manage and drive End-to-End Projects or Products, Work as a freelancer and do my thing my way, Entrepreneur or Start Up"/>
        <s v="Teaching in any of the institutes/colleges/online or offline, Build and develop a Team, Work in a BPO setup for some well known client, Work as a freelancer and do my thing my way"/>
        <s v="Work in a BPO setup for some well known client, Work as a freelancer and do my thing my way, Become a content Creator in some platform, An Artificial Intelligence Specialist / Talking to Robots"/>
        <s v="Design and Creative strategy in any company, Manage and drive End-to-End Projects or Products, An Artificial Intelligence Specialist / Talking to Robots, Manufacturing / Oil and Gas/ Construction / Hard Physical Work related"/>
        <s v="Design and Creative strategy in any company, Business Operations in any organization, Design and Develop amazing software, An Artificial Intelligence Specialist / Talking to Robots"/>
        <s v="Design and Creative strategy in any company, Teaching in any of the institutes/colleges/online or offline, Become a content Creator in some platform, Entrepreneur or Start Up"/>
        <s v="Business Operations in any organization, Manage and drive End-to-End Projects or Products, Look deeply into Data and generate insights, I Want to sell things/Sales"/>
        <s v="Design and Creative strategy in any company, Teaching in any of the institutes/colleges/online or offline, Look deeply into Data and generate insights, Work as a freelancer and do my thing my way"/>
        <s v="Business Operations in any organization, Build and develop a Team, Look deeply into Data and generate insights, An Artificial Intelligence Specialist / Talking to Robots"/>
        <s v="Manage and drive End-to-End Projects or Products, Look deeply into Data and generate insights, An Artificial Intelligence Specialist / Talking to Robots, Manufacturing / Oil and Gas/ Construction / Hard Physical Work related"/>
        <s v="Design and Creative strategy in any company, Design and Develop amazing software, Look deeply into Data and generate insights, An Artificial Intelligence Specialist / Talking to Robots"/>
        <s v="Design and Creative strategy in any company, Look deeply into Data and generate insights, Become a content Creator in some platform, An Artificial Intelligence Specialist / Talking to Robots"/>
        <s v="Business Operations in any organization, Design and Develop amazing software, Look deeply into Data and generate insights, Entrepreneur or Start Up"/>
        <s v="Manage and drive End-to-End Projects or Products, Work as a freelancer and do my thing my way, Become a content Creator in some platform, I Want to sell things/Sales"/>
        <s v="Business Operations in any organization, Look deeply into Data and generate insights, Work as a freelancer and do my thing my way, Become a content Creator in some platform"/>
        <s v="Business Operations in any organization, Work as a freelancer and do my thing my way, Become a content Creator in some platform, I Want to sell things/Sales"/>
        <s v="Design and Creative strategy in any company, Work as a freelancer and do my thing my way, Entrepreneur or Start Up, Manufacturing / Oil and Gas/ Construction / Hard Physical Work related"/>
        <s v="Design and Develop amazing software, Work as a freelancer and do my thing my way, Become a content Creator in some platform, An Artificial Intelligence Specialist / Talking to Robots"/>
        <s v="Design and Creative strategy in any company, Teaching in any of the institutes/colleges/online or offline, Build and develop a Team, I Want to sell things/Sales"/>
        <s v="Build and develop a Team, Entrepreneur or Start Up, I Want to sell things/Sales, An Artificial Intelligence Specialist / Talking to Robots"/>
        <s v="Design and Creative strategy in any company, Business Operations in any organization, Look deeply into Data and generate insights, Manufacturing / Oil and Gas/ Construction / Hard Physical Work related"/>
        <s v="Design and Creative strategy in any company, Build and develop a Team, Entrepreneur or Start Up, Manufacturing / Oil and Gas/ Construction / Hard Physical Work related"/>
        <s v="Teaching in any of the institutes/colleges/online or offline, Work as a freelancer and do my thing my way, Become a content Creator in some platform, Manufacturing / Oil and Gas/ Construction / Hard Physical Work related"/>
        <s v="Manage and drive End-to-End Projects or Products, Look deeply into Data and generate insights, Work as a freelancer and do my thing my way, An Artificial Intelligence Specialist / Talking to Robots"/>
        <s v="Design and Creative strategy in any company, Teaching in any of the institutes/colleges/online or offline, Business Operations in any organization, Entrepreneur or Start Up"/>
        <s v="Design and Creative strategy in any company, Design and Develop amazing software, Work as a freelancer and do my thing my way, An Artificial Intelligence Specialist / Talking to Robots"/>
        <s v="Teaching in any of the institutes/colleges/online or offline, Business Operations in any organization, Look deeply into Data and generate insights, Work as a freelancer and do my thing my way"/>
        <s v="Design and Creative strategy in any company, Design and Develop amazing software, Look deeply into Data and generate insights, Work in a BPO setup for some well known client"/>
        <s v="Design and Creative strategy in any company, Work as a freelancer and do my thing my way, Entrepreneur or Start Up, An Artificial Intelligence Specialist / Talking to Robots"/>
        <s v="Work as a freelancer and do my thing my way, Become a content Creator in some platform, Entrepreneur or Start Up, An Artificial Intelligence Specialist / Talking to Robots"/>
        <s v="Business Operations in any organization, Build and develop a Team, Become a content Creator in some platform, Entrepreneur or Start Up"/>
        <s v="Design and Creative strategy in any company, Build and develop a Team, Design and Develop amazing software, I Want to sell things/Sales"/>
        <s v="Design and Creative strategy in any company, Build and develop a Team, Work as a freelancer and do my thing my way, An Artificial Intelligence Specialist / Talking to Robots"/>
        <s v="Design and Creative strategy in any company, Business Operations in any organization, Work in a BPO setup for some well known client, Entrepreneur or Start Up"/>
        <s v="Teaching in any of the institutes/colleges/online or offline, Build and develop a Team, Look deeply into Data and generate insights, Work in a BPO setup for some well known client"/>
        <s v="Teaching in any of the institutes/colleges/online or offline, Work in a BPO setup for some well known client, Work as a freelancer and do my thing my way, Entrepreneur or Start Up"/>
        <s v="Design and Creative strategy in any company, Business Operations in any organization, Entrepreneur or Start Up, An Artificial Intelligence Specialist / Talking to Robots"/>
        <s v="Teaching in any of the institutes/colleges/online or offline, Design and Develop amazing software, Entrepreneur or Start Up, I Want to sell things/Sales"/>
        <s v="Business Operations in any organization, Work as a freelancer and do my thing my way, Become a content Creator in some platform, Entrepreneur or Start Up"/>
        <s v="Design and Creative strategy in any company, Business Operations in any organization, Look deeply into Data and generate insights, Become a content Creator in some platform"/>
        <s v="Design and Creative strategy in any company, Business Operations in any organization, Build and develop a Team, Work in a BPO setup for some well known client"/>
        <s v="Design and Creative strategy in any company, Manage and drive End-to-End Projects or Products, Build and develop a Team, An Artificial Intelligence Specialist / Talking to Robots"/>
        <s v="Design and Creative strategy in any company, Manage and drive End-to-End Projects or Products, Design and Develop amazing software, Work in a BPO setup for some well known client"/>
        <s v="Teaching in any of the institutes/colleges/online or offline, Business Operations in any organization, Look deeply into Data and generate insights, An Artificial Intelligence Specialist / Talking to Robots"/>
        <s v="Design and Creative strategy in any company, Teaching in any of the institutes/colleges/online or offline, Business Operations in any organization, Work as a freelancer and do my thing my way"/>
        <s v="Design and Creative strategy in any company, Manage and drive End-to-End Projects or Products, I Want to sell things/Sales, Manufacturing / Oil and Gas/ Construction / Hard Physical Work related"/>
        <s v="Build and develop a Team, Look deeply into Data and generate insights, Work in a BPO setup for some well known client, An Artificial Intelligence Specialist / Talking to Robots"/>
        <s v="Design and Creative strategy in any company, Teaching in any of the institutes/colleges/online or offline, Entrepreneur or Start Up, I Want to sell things/Sales"/>
        <s v="Business Operations in any organization, Build and develop a Team, Entrepreneur or Start Up, An Artificial Intelligence Specialist / Talking to Robots"/>
        <s v="Teaching in any of the institutes/colleges/online or offline, Build and develop a Team, Become a content Creator in some platform, An Artificial Intelligence Specialist / Talking to Robots"/>
        <s v="Business Operations in any organization, Look deeply into Data and generate insights, Entrepreneur or Start Up, An Artificial Intelligence Specialist / Talking to Robots"/>
        <s v="Design and Creative strategy in any company, Become a content Creator in some platform, I Want to sell things/Sales, Manufacturing / Oil and Gas/ Construction / Hard Physical Work related"/>
        <s v="Manage and drive End-to-End Projects or Products, Become a content Creator in some platform, I Want to sell things/Sales, Manufacturing / Oil and Gas/ Construction / Hard Physical Work related"/>
        <s v="Design and Creative strategy in any company, Business Operations in any organization, Work in a BPO setup for some well known client, Manufacturing / Oil and Gas/ Construction / Hard Physical Work related"/>
        <s v="Design and Creative strategy in any company, Teaching in any of the institutes/colleges/online or offline, Entrepreneur or Start Up, Manufacturing / Oil and Gas/ Construction / Hard Physical Work related"/>
        <s v="Manage and drive End-to-End Projects or Products, Design and Develop amazing software, Entrepreneur or Start Up, I Want to sell things/Sales"/>
        <s v="Design and Creative strategy in any company, Work in a BPO setup for some well known client, Work as a freelancer and do my thing my way, Become a content Creator in some platform"/>
        <s v="Teaching in any of the institutes/colleges/online or offline, Business Operations in any organization, Work as a freelancer and do my thing my way, Become a content Creator in some platform"/>
        <s v="Teaching in any of the institutes/colleges/online or offline, Build and develop a Team, Work as a freelancer and do my thing my way, Become a content Creator in some platform"/>
        <s v="Build and develop a Team, Design and Develop amazing software, I Want to sell things/Sales, Manufacturing / Oil and Gas/ Construction / Hard Physical Work related"/>
        <s v="Teaching in any of the institutes/colleges/online or offline, Build and develop a Team, Look deeply into Data and generate insights, Entrepreneur or Start Up"/>
        <s v="Design and Creative strategy in any company, Teaching in any of the institutes/colleges/online or offline, Manage and drive End-to-End Projects or Products, An Artificial Intelligence Specialist / Talking to Robots"/>
        <s v="Teaching in any of the institutes/colleges/online or offline, Manage and drive End-to-End Projects or Products, Build and develop a Team, Become a content Creator in some platform"/>
        <s v="Design and Creative strategy in any company, Business Operations in any organization, Work in a BPO setup for some well known client, Become a content Creator in some platform"/>
        <s v="Design and Creative strategy in any company, Entrepreneur or Start Up, I Want to sell things/Sales, An Artificial Intelligence Specialist / Talking to Robots"/>
        <s v="Design and Creative strategy in any company, Work as a freelancer and do my thing my way, I Want to sell things/Sales, Manufacturing / Oil and Gas/ Construction / Hard Physical Work related"/>
        <s v="Design and Creative strategy in any company, Teaching in any of the institutes/colleges/online or offline, Manage and drive End-to-End Projects or Products, Work as a freelancer and do my thing my way"/>
        <s v="Teaching in any of the institutes/colleges/online or offline, Look deeply into Data and generate insights, Become a content Creator in some platform, I Want to sell things/Sales"/>
        <s v="Business Operations in any organization, Work in a BPO setup for some well known client, Work as a freelancer and do my thing my way, Become a content Creator in some platform"/>
        <s v="Design and Creative strategy in any company, Manage and drive End-to-End Projects or Products, Look deeply into Data and generate insights, I Want to sell things/Sales"/>
        <s v="Design and Creative strategy in any company, Build and develop a Team, Entrepreneur or Start Up, I Want to sell things/Sales"/>
        <s v="Design and Creative strategy in any company, Manage and drive End-to-End Projects or Products, Build and develop a Team, I Want to sell things/Sales"/>
        <s v="Design and Creative strategy in any company, Design and Develop amazing software, Look deeply into Data and generate insights, Become a content Creator in some platform"/>
        <s v="Design and Creative strategy in any company, Manage and drive End-to-End Projects or Products, Work in a BPO setup for some well known client, Work as a freelancer and do my thing my way"/>
        <s v="Teaching in any of the institutes/colleges/online or offline, Manage and drive End-to-End Projects or Products, Look deeply into Data and generate insights, An Artificial Intelligence Specialist / Talking to Robots"/>
        <s v="Work in a BPO setup for some well known client, Work as a freelancer and do my thing my way, An Artificial Intelligence Specialist / Talking to Robots, Manufacturing / Oil and Gas/ Construction / Hard Physical Work related"/>
        <s v="Design and Creative strategy in any company, Teaching in any of the institutes/colleges/online or offline, I Want to sell things/Sales, An Artificial Intelligence Specialist / Talking to Robots"/>
        <s v="Manage and drive End-to-End Projects or Products, Build and develop a Team, Look deeply into Data and generate insights, An Artificial Intelligence Specialist / Talking to Robots"/>
        <s v="Teaching in any of the institutes/colleges/online or offline, Business Operations in any organization, Look deeply into Data and generate insights, Become a content Creator in some platform"/>
        <s v="Manage and drive End-to-End Projects or Products, Look deeply into Data and generate insights, Work in a BPO setup for some well known client, Manufacturing / Oil and Gas/ Construction / Hard Physical Work related"/>
        <s v="Become a content Creator in some platform, Entrepreneur or Start Up, I Want to sell things/Sales, Manufacturing / Oil and Gas/ Construction / Hard Physical Work related"/>
        <s v="Teaching in any of the institutes/colleges/online or offline, Build and develop a Team, Design and Develop amazing software, Entrepreneur or Start Up"/>
        <s v="Design and Creative strategy in any company, Business Operations in any organization, Work in a BPO setup for some well known client, Work as a freelancer and do my thing my way"/>
        <s v="Design and Creative strategy in any company, Manage and drive End-to-End Projects or Products, Design and Develop amazing software, Manufacturing / Oil and Gas/ Construction / Hard Physical Work related"/>
        <s v="Design and Creative strategy in any company, Manage and drive End-to-End Projects or Products, Design and Develop amazing software, Become a content Creator in some platform"/>
        <s v="Teaching in any of the institutes/colleges/online or offline, Manage and drive End-to-End Projects or Products, Become a content Creator in some platform, Entrepreneur or Start Up"/>
        <s v="Design and Develop amazing software, Work as a freelancer and do my thing my way, Become a content Creator in some platform, Entrepreneur or Start Up"/>
        <s v="Business Operations in any organization, Manage and drive End-to-End Projects or Products, Build and develop a Team, Become a content Creator in some platform"/>
        <s v="Business Operations in any organization, Build and develop a Team, Look deeply into Data and generate insights, I Want to sell things/Sales"/>
        <s v="Design and Creative strategy in any company, Manage and drive End-to-End Projects or Products, Work in a BPO setup for some well known client, I Want to sell things/Sales"/>
        <s v="Business Operations in any organization, Manage and drive End-to-End Projects or Products, Work as a freelancer and do my thing my way, I Want to sell things/Sales"/>
        <s v="Teaching in any of the institutes/colleges/online or offline, Work as a freelancer and do my thing my way, Become a content Creator in some platform, I Want to sell things/Sales"/>
        <s v="Teaching in any of the institutes/colleges/online or offline, Business Operations in any organization, An Artificial Intelligence Specialist / Talking to Robots, Manufacturing / Oil and Gas/ Construction / Hard Physical Work related"/>
        <s v="Design and Creative strategy in any company, Build and develop a Team, Look deeply into Data and generate insights, Work as a freelancer and do my thing my way"/>
        <s v="Business Operations in any organization, Build and develop a Team, Work in a BPO setup for some well known client, Entrepreneur or Start Up"/>
        <s v="Teaching in any of the institutes/colleges/online or offline, Look deeply into Data and generate insights, Work in a BPO setup for some well known client, An Artificial Intelligence Specialist / Talking to Robots"/>
        <s v="Teaching in any of the institutes/colleges/online or offline, Look deeply into Data and generate insights, Entrepreneur or Start Up, An Artificial Intelligence Specialist / Talking to Robots"/>
        <s v="Business Operations in any organization, Manage and drive End-to-End Projects or Products, Work as a freelancer and do my thing my way, An Artificial Intelligence Specialist / Talking to Robots"/>
        <s v="Design and Creative strategy in any company, Teaching in any of the institutes/colleges/online or offline, Manage and drive End-to-End Projects or Products, Become a content Creator in some platform"/>
        <s v="Design and Creative strategy in any company, Teaching in any of the institutes/colleges/online or offline, Build and develop a Team, An Artificial Intelligence Specialist / Talking to Robots"/>
        <s v="Design and Creative strategy in any company, Become a content Creator in some platform, Entrepreneur or Start Up, An Artificial Intelligence Specialist / Talking to Robots"/>
        <s v="Teaching in any of the institutes/colleges/online or offline, Manage and drive End-to-End Projects or Products, Look deeply into Data and generate insights, Entrepreneur or Start Up"/>
        <s v="Business Operations in any organization, Build and develop a Team, Work in a BPO setup for some well known client, Manufacturing / Oil and Gas/ Construction / Hard Physical Work related"/>
        <s v="Design and Develop amazing software, Entrepreneur or Start Up, An Artificial Intelligence Specialist / Talking to Robots, Manufacturing / Oil and Gas/ Construction / Hard Physical Work related"/>
        <s v="Work as a freelancer and do my thing my way, Become a content Creator in some platform, I Want to sell things/Sales, An Artificial Intelligence Specialist / Talking to Robots"/>
        <s v="Work in a BPO setup for some well known client, I Want to sell things/Sales, An Artificial Intelligence Specialist / Talking to Robots, Manufacturing / Oil and Gas/ Construction / Hard Physical Work related"/>
        <s v="Manage and drive End-to-End Projects or Products, Work in a BPO setup for some well known client, Become a content Creator in some platform, I Want to sell things/Sales"/>
        <s v="Design and Creative strategy in any company, Design and Develop amazing software, Become a content Creator in some platform, I Want to sell things/Sales"/>
        <s v="Teaching in any of the institutes/colleges/online or offline, Become a content Creator in some platform, Entrepreneur or Start Up, I Want to sell things/Sales"/>
        <s v="Business Operations in any organization, Look deeply into Data and generate insights, Entrepreneur or Start Up, I Want to sell things/Sales"/>
        <s v="Design and Creative strategy in any company, Look deeply into Data and generate insights, Entrepreneur or Start Up, An Artificial Intelligence Specialist / Talking to Robots"/>
        <s v="Teaching in any of the institutes/colleges/online or offline, Manage and drive End-to-End Projects or Products, Look deeply into Data and generate insights, Manufacturing / Oil and Gas/ Construction / Hard Physical Work related"/>
        <s v="Teaching in any of the institutes/colleges/online or offline, Look deeply into Data and generate insights, Become a content Creator in some platform, An Artificial Intelligence Specialist / Talking to Robots"/>
        <s v="Teaching in any of the institutes/colleges/online or offline, Manage and drive End-to-End Projects or Products, Work as a freelancer and do my thing my way, Become a content Creator in some platform"/>
        <s v="Design and Creative strategy in any company, Teaching in any of the institutes/colleges/online or offline, Design and Develop amazing software, Look deeply into Data and generate insights"/>
        <s v="Manage and drive End-to-End Projects or Products, Design and Develop amazing software, An Artificial Intelligence Specialist / Talking to Robots, Manufacturing / Oil and Gas/ Construction / Hard Physical Work related"/>
        <s v="Business Operations in any organization, Work in a BPO setup for some well known client, Entrepreneur or Start Up, Manufacturing / Oil and Gas/ Construction / Hard Physical Work related"/>
        <s v="Teaching in any of the institutes/colleges/online or offline, Business Operations in any organization, Design and Develop amazing software, Look deeply into Data and generate insights"/>
        <s v="Design and Creative strategy in any company, Work in a BPO setup for some well known client, An Artificial Intelligence Specialist / Talking to Robots, Manufacturing / Oil and Gas/ Construction / Hard Physical Work related"/>
        <s v="Look deeply into Data and generate insights, Work in a BPO setup for some well known client, Work as a freelancer and do my thing my way, Become a content Creator in some platform"/>
        <s v="Manage and drive End-to-End Projects or Products, Look deeply into Data and generate insights, Entrepreneur or Start Up, I Want to sell things/Sales"/>
        <s v="Business Operations in any organization, Design and Develop amazing software, Work as a freelancer and do my thing my way, An Artificial Intelligence Specialist / Talking to Robots"/>
        <s v="Business Operations in any organization, Become a content Creator in some platform, Entrepreneur or Start Up, An Artificial Intelligence Specialist / Talking to Robots"/>
        <s v="Teaching in any of the institutes/colleges/online or offline, Manage and drive End-to-End Projects or Products, Design and Develop amazing software, Entrepreneur or Start Up"/>
        <s v="Manage and drive End-to-End Projects or Products, Become a content Creator in some platform, Entrepreneur or Start Up, Manufacturing / Oil and Gas/ Construction / Hard Physical Work related"/>
        <s v="Teaching in any of the institutes/colleges/online or offline, Build and develop a Team, Entrepreneur or Start Up, I Want to sell things/Sales"/>
        <s v="Teaching in any of the institutes/colleges/online or offline, Build and develop a Team, I Want to sell things/Sales, An Artificial Intelligence Specialist / Talking to Robots"/>
        <s v="Design and Creative strategy in any company, Build and develop a Team, Work as a freelancer and do my thing my way, Become a content Creator in some platform"/>
        <s v="Design and Creative strategy in any company, Teaching in any of the institutes/colleges/online or offline, Entrepreneur or Start Up, An Artificial Intelligence Specialist / Talking to Robots"/>
        <s v="Design and Creative strategy in any company, Build and develop a Team, Entrepreneur or Start Up, An Artificial Intelligence Specialist / Talking to Robots"/>
        <s v="Business Operations in any organization, Manage and drive End-to-End Projects or Products, Look deeply into Data and generate insights, Work in a BPO setup for some well known client"/>
        <s v="Business Operations in any organization, Look deeply into Data and generate insights, Work in a BPO setup for some well known client, Work as a freelancer and do my thing my way"/>
        <s v="Business Operations in any organization, Work in a BPO setup for some well known client, Work as a freelancer and do my thing my way, Entrepreneur or Start Up"/>
        <s v="Business Operations in any organization, Design and Develop amazing software, Work in a BPO setup for some well known client, Entrepreneur or Start Up"/>
        <s v="Look deeply into Data and generate insights, Work in a BPO setup for some well known client, Work as a freelancer and do my thing my way, Entrepreneur or Start Up"/>
        <s v="Design and Creative strategy in any company, Look deeply into Data and generate insights, Entrepreneur or Start Up, Manufacturing / Oil and Gas/ Construction / Hard Physical Work related"/>
        <s v="Build and develop a Team, Work in a BPO setup for some well known client, Entrepreneur or Start Up, An Artificial Intelligence Specialist / Talking to Robots"/>
        <s v="Business Operations in any organization, Build and develop a Team, Work in a BPO setup for some well known client, Become a content Creator in some platform"/>
        <s v="Design and Develop amazing software, Look deeply into Data and generate insights, Work in a BPO setup for some well known client, Work as a freelancer and do my thing my way"/>
        <s v="Business Operations in any organization, Manage and drive End-to-End Projects or Products, Become a content Creator in some platform, I Want to sell things/Sales"/>
        <s v="Design and Creative strategy in any company, Teaching in any of the institutes/colleges/online or offline, Design and Develop amazing software, Manufacturing / Oil and Gas/ Construction / Hard Physical Work related"/>
        <s v="Manage and drive End-to-End Projects or Products, Build and develop a Team, Become a content Creator in some platform, An Artificial Intelligence Specialist / Talking to Robots"/>
        <s v="Teaching in any of the institutes/colleges/online or offline, Look deeply into Data and generate insights, Work as a freelancer and do my thing my way, Manufacturing / Oil and Gas/ Construction / Hard Physical Work related"/>
        <s v="Design and Develop amazing software, Become a content Creator in some platform, An Artificial Intelligence Specialist / Talking to Robots, Manufacturing / Oil and Gas/ Construction / Hard Physical Work related"/>
        <s v="Design and Develop amazing software, Look deeply into Data and generate insights, Become a content Creator in some platform, An Artificial Intelligence Specialist / Talking to Robots"/>
        <s v="Teaching in any of the institutes/colleges/online or offline, Work as a freelancer and do my thing my way, Entrepreneur or Start Up, An Artificial Intelligence Specialist / Talking to Robots"/>
        <s v="Business Operations in any organization, Build and develop a Team, Design and Develop amazing software, Work as a freelancer and do my thing my way"/>
        <s v="Design and Creative strategy in any company, Build and develop a Team, Work as a freelancer and do my thing my way, I Want to sell things/Sales"/>
        <s v="Business Operations in any organization, Manage and drive End-to-End Projects or Products, Look deeply into Data and generate insights, Become a content Creator in some platform"/>
        <s v="Work as a freelancer and do my thing my way, Entrepreneur or Start Up, I Want to sell things/Sales, An Artificial Intelligence Specialist / Talking to Robots"/>
        <s v="Business Operations in any organization, Design and Develop amazing software, Work in a BPO setup for some well known client, Manufacturing / Oil and Gas/ Construction / Hard Physical Work related"/>
        <s v="Teaching in any of the institutes/colleges/online or offline, Design and Develop amazing software, Entrepreneur or Start Up, An Artificial Intelligence Specialist / Talking to Robots"/>
        <s v="Design and Develop amazing software, Entrepreneur or Start Up, I Want to sell things/Sales, An Artificial Intelligence Specialist / Talking to Robots"/>
        <s v="Teaching in any of the institutes/colleges/online or offline, Business Operations in any organization, Manage and drive End-to-End Projects or Products, Manufacturing / Oil and Gas/ Construction / Hard Physical Work related"/>
        <s v="Design and Creative strategy in any company, Business Operations in any organization, I Want to sell things/Sales, Manufacturing / Oil and Gas/ Construction / Hard Physical Work related"/>
        <s v="Business Operations in any organization, Build and develop a Team, Look deeply into Data and generate insights, Become a content Creator in some platform"/>
        <s v="Design and Develop amazing software, Work as a freelancer and do my thing my way, Become a content Creator in some platform, I Want to sell things/Sales"/>
        <s v="Build and develop a Team, Work in a BPO setup for some well known client, Work as a freelancer and do my thing my way, I Want to sell things/Sales"/>
        <s v="Design and Creative strategy in any company, Teaching in any of the institutes/colleges/online or offline, Work in a BPO setup for some well known client, Entrepreneur or Start Up"/>
        <s v="Design and Creative strategy in any company, Look deeply into Data and generate insights, Work in a BPO setup for some well known client, Work as a freelancer and do my thing my way"/>
        <s v="Teaching in any of the institutes/colleges/online or offline, Look deeply into Data and generate insights, Work as a freelancer and do my thing my way, An Artificial Intelligence Specialist / Talking to Robots"/>
        <s v="Teaching in any of the institutes/colleges/online or offline, Business Operations in any organization, Build and develop a Team, An Artificial Intelligence Specialist / Talking to Robots"/>
        <s v="Business Operations in any organization, Look deeply into Data and generate insights, Work in a BPO setup for some well known client, An Artificial Intelligence Specialist / Talking to Robots"/>
        <s v="Design and Creative strategy in any company, Teaching in any of the institutes/colleges/online or offline, Work as a freelancer and do my thing my way, An Artificial Intelligence Specialist / Talking to Robots"/>
        <s v="Design and Creative strategy in any company, Work as a freelancer and do my thing my way, Entrepreneur or Start Up, I Want to sell things/Sales"/>
        <s v="Design and Creative strategy in any company, Work as a freelancer and do my thing my way, Become a content Creator in some platform, An Artificial Intelligence Specialist / Talking to Robots"/>
        <s v="Teaching in any of the institutes/colleges/online or offline, Manage and drive End-to-End Projects or Products, Look deeply into Data and generate insights, Become a content Creator in some platform"/>
        <s v="Build and develop a Team, Look deeply into Data and generate insights, An Artificial Intelligence Specialist / Talking to Robots, Manufacturing / Oil and Gas/ Construction / Hard Physical Work related"/>
        <s v="Design and Creative strategy in any company, Teaching in any of the institutes/colleges/online or offline, Become a content Creator in some platform, I Want to sell things/Sales"/>
        <s v="Build and develop a Team, Design and Develop amazing software, Become a content Creator in some platform, I Want to sell things/Sales"/>
        <s v="Business Operations in any organization, Manage and drive End-to-End Projects or Products, Work in a BPO setup for some well known client, Entrepreneur or Start Up"/>
        <s v="Business Operations in any organization, Look deeply into Data and generate insights, Work in a BPO setup for some well known client, Become a content Creator in some platform"/>
        <s v="Build and develop a Team, Look deeply into Data and generate insights, Become a content Creator in some platform, Manufacturing / Oil and Gas/ Construction / Hard Physical Work related"/>
        <s v="Design and Creative strategy in any company, Work in a BPO setup for some well known client, Work as a freelancer and do my thing my way, Entrepreneur or Start Up"/>
        <s v="Design and Creative strategy in any company, Become a content Creator in some platform, Entrepreneur or Start Up, Manufacturing / Oil and Gas/ Construction / Hard Physical Work related"/>
      </sharedItems>
    </cacheField>
    <cacheField name="What type of Manager would you work without looking into your watch ?" numFmtId="0">
      <sharedItems/>
    </cacheField>
    <cacheField name="Which of the following setup you would like to work ?" numFmtId="0">
      <sharedItems count="26">
        <s v="Work alone, Work with 2 to 3 people in my team, Work with 5 to 6 people in my team, Work with 7 to 10 or more people in my team, Work with more than 10 people in my team"/>
        <s v="Work with 5 to 6 people in my team"/>
        <s v="Work with 2 to 3 people in my team, Work with 5 to 6 people in my team"/>
        <s v="Work with 2 to 3 people in my team"/>
        <s v="Work with 7 to 10 or more people in my team"/>
        <s v="Work alone, Work with 2 to 3 people in my team, Work with 5 to 6 people in my team"/>
        <s v="Work alone"/>
        <s v="Work with more than 10 people in my team"/>
        <s v="Work with 5 to 6 people in my team, Work with 7 to 10 or more people in my team"/>
        <s v="Work alone, Work with 5 to 6 people in my team"/>
        <s v="Work alone, Work with 2 to 3 people in my team, Work with 7 to 10 or more people in my team"/>
        <s v="Work alone, Work with 2 to 3 people in my team"/>
        <s v="Work with 5 to 6 people in my team, Work with 7 to 10 or more people in my team, Work with more than 10 people in my team"/>
        <s v="Work alone, Work with more than 10 people in my team"/>
        <s v="Work with 2 to 3 people in my team, Work with 5 to 6 people in my team, Work with 7 to 10 or more people in my team, Work with more than 10 people in my team"/>
        <s v="Work with 7 to 10 or more people in my team, Work with more than 10 people in my team"/>
        <s v="Work with 2 to 3 people in my team, Work with 5 to 6 people in my team, Work with 7 to 10 or more people in my team"/>
        <s v="Work with 2 to 3 people in my team, Work with 7 to 10 or more people in my team, Work with more than 10 people in my team"/>
        <s v="Work with 5 to 6 people in my team, Work with more than 10 people in my team"/>
        <s v="Work alone, Work with 2 to 3 people in my team, Work with 5 to 6 people in my team, Work with 7 to 10 or more people in my team"/>
        <s v="Work with 2 to 3 people in my team, Work with 5 to 6 people in my team, Work with more than 10 people in my team"/>
        <s v="Work alone, Work with 2 to 3 people in my team, Work with more than 10 people in my team"/>
        <s v="Work alone, Work with 7 to 10 or more people in my team, Work with more than 10 people in my team"/>
        <s v="Work with 2 to 3 people in my team, Work with more than 10 people in my team"/>
        <s v="Work alone, Work with 7 to 10 or more people in my team"/>
        <s v="Work alone, Work with 5 to 6 people in my team, Work with 7 to 10 or more people in my team"/>
      </sharedItems>
    </cacheField>
    <cacheField name="Which type of learning environment that you are most likely to work in ?" numFmtId="0">
      <sharedItems count="5">
        <s v="Instructor or Expert Learning Programs"/>
        <s v="Self Paced Learning Portals"/>
        <s v="Learning by observing others"/>
        <s v="Self Paced Learning Portals of the Company"/>
        <s v="Trial and error by doing side projects within the company"/>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53.408847569444" createdVersion="7" refreshedVersion="7" minRefreshableVersion="3" recordCount="1854" xr:uid="{E20D3986-5FD8-4F08-9845-6553D2E7A110}">
  <cacheSource type="worksheet">
    <worksheetSource ref="M1:N1048576" sheet="Sheet2"/>
  </cacheSource>
  <cacheFields count="2">
    <cacheField name="Aspiring Job" numFmtId="0">
      <sharedItems containsBlank="1" count="15">
        <s v="Design and Creative strategy in any company"/>
        <s v="Business Operations in any organization"/>
        <s v="Manage and drive End-to-End Projects or Products"/>
        <s v="Teaching in any of the institutes/colleges/online or offline"/>
        <s v="Design and Develop amazing software"/>
        <s v="Build and develop a Team"/>
        <s v="Look deeply into Data and generate insights"/>
        <s v="Teaching in any of the institutes/online or Offline"/>
        <s v="Entrepreneur or Start Up"/>
        <s v="Work as a freelancer and do my thing my way"/>
        <s v="Become a content Creator in some platform"/>
        <s v="Work in a BPO setup for some well known client"/>
        <s v=")"/>
        <s v="Grand Total"/>
        <m/>
      </sharedItems>
    </cacheField>
    <cacheField name="Your Gender" numFmtId="0">
      <sharedItems containsBlank="1" count="4">
        <s v="Male"/>
        <s v="Female"/>
        <s v="Transgender"/>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wi" refreshedDate="45053.928131134257" createdVersion="7" refreshedVersion="7" minRefreshableVersion="3" recordCount="1854" xr:uid="{D9C4FC9B-C1E3-4FB8-B21C-DD3DB4AFCB37}">
  <cacheSource type="worksheet">
    <worksheetSource ref="P1:Q1048576" sheet="Sheet2"/>
  </cacheSource>
  <cacheFields count="2">
    <cacheField name="Which of the following setup you would like to work ?" numFmtId="0">
      <sharedItems containsBlank="1" count="11">
        <s v="Work Alone, &lt;67 people in team"/>
        <s v="Work &lt;=6 People in the Team"/>
        <s v="Work &gt;=7 People in the Team"/>
        <s v="Work Alone, &lt;=6 in team"/>
        <s v="Work alone"/>
        <s v="Work &gt;10 people in Team"/>
        <s v="Work &lt;67 People in the Team"/>
        <s v="Work  &lt;67 people in team"/>
        <s v="Work alone, Work &gt;10 people in Team"/>
        <s v="Work alone, Work &gt;=7 People in the Team"/>
        <m/>
      </sharedItems>
    </cacheField>
    <cacheField name="Your Ge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3">
  <r>
    <d v="2022-12-16T11:46:06"/>
    <s v="India"/>
    <n v="273005"/>
    <x v="0"/>
    <x v="0"/>
    <x v="0"/>
    <x v="0"/>
    <x v="0"/>
    <x v="0"/>
    <x v="0"/>
    <s v="Fully Remote with No option to visit offices"/>
    <s v="Employer who rewards learning and enables that environment"/>
    <s v="Instructor or Expert Learning Programs, Trial and error by doing side projects within the company"/>
    <s v="Business Operations in any organization, Build and develop a Team,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m/>
    <m/>
    <m/>
  </r>
  <r>
    <d v="2022-12-16T11:46:34"/>
    <s v="India"/>
    <n v="851129"/>
    <x v="0"/>
    <x v="0"/>
    <x v="1"/>
    <x v="0"/>
    <x v="0"/>
    <x v="0"/>
    <x v="1"/>
    <s v="Fully Remote with Options to travel as and when needed"/>
    <s v="Employer who pushes your limits by enabling an learning environment, and rewards you at the end"/>
    <s v="Self Paced Learning Portals, Instructor or Expert Learning Programs"/>
    <s v="Business Operations in any organization, Build and develop a Team, Look deeply into Data and generate insights"/>
    <s v="Manager who explains what is expected, sets a goal and helps achieve it"/>
    <s v="Work with 5 to 6 people in my team"/>
    <m/>
    <m/>
    <m/>
  </r>
  <r>
    <d v="2022-12-16T11:55:22"/>
    <s v="India"/>
    <n v="123106"/>
    <x v="1"/>
    <x v="1"/>
    <x v="0"/>
    <x v="1"/>
    <x v="1"/>
    <x v="1"/>
    <x v="2"/>
    <s v="Hybrid Working Environment with less than 15 days a month at office"/>
    <s v="Employer who pushes your limits by enabling an learning environment, and rewards you at the end"/>
    <s v="Self Paced Learning Portals, Trial and error by doing side projects within the company"/>
    <s v="Manage and drive End-to-End Projects or Products, Design and Develop amazing software, Become a content Creator in some platform"/>
    <s v="Manager who explains what is expected, sets a goal and helps achieve it"/>
    <s v="Work with 2 to 3 people in my team, Work with 5 to 6 people in my team"/>
    <m/>
    <m/>
    <m/>
  </r>
  <r>
    <d v="2022-12-16T11:58:46"/>
    <s v="India"/>
    <n v="834003"/>
    <x v="0"/>
    <x v="2"/>
    <x v="1"/>
    <x v="0"/>
    <x v="0"/>
    <x v="0"/>
    <x v="3"/>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2 to 3 people in my team"/>
    <m/>
    <m/>
    <m/>
  </r>
  <r>
    <d v="2022-12-16T11:59:26"/>
    <s v="India"/>
    <n v="301019"/>
    <x v="1"/>
    <x v="3"/>
    <x v="1"/>
    <x v="1"/>
    <x v="0"/>
    <x v="0"/>
    <x v="4"/>
    <s v="Fully Remote with Options to travel as and when needed"/>
    <s v="Employer who appreciates learning and enables that environment"/>
    <s v="Self Paced Learning Portals, Learning by observing others"/>
    <s v="Teaching in any of the institutes/online or Offline, Business Operations in any organization, Manage and drive End-to-End Projects or Products"/>
    <s v="Manager who explains what is expected, sets a goal and helps achieve it"/>
    <s v="Work with 2 to 3 people in my team, Work with 5 to 6 people in my team"/>
    <m/>
    <m/>
    <m/>
  </r>
  <r>
    <d v="2022-12-16T11:59:37"/>
    <s v="India"/>
    <n v="768028"/>
    <x v="1"/>
    <x v="4"/>
    <x v="0"/>
    <x v="0"/>
    <x v="0"/>
    <x v="0"/>
    <x v="3"/>
    <s v="Fully Remote with Options to travel as and when needed"/>
    <s v="Employer who appreciates learning and enables that environment"/>
    <s v="Instructor or Expert Learning Programs, Learning by observing others"/>
    <s v="Business Operations in any organization, Manage and drive End-to-End Projects or Products, Look deeply into Data and generate insights"/>
    <s v="Manager who explains what is expected, sets a goal and helps achieve it"/>
    <s v="Work with 2 to 3 people in my team"/>
    <m/>
    <m/>
    <m/>
  </r>
  <r>
    <d v="2022-12-16T12:00:03"/>
    <s v="India"/>
    <n v="301019"/>
    <x v="0"/>
    <x v="2"/>
    <x v="1"/>
    <x v="0"/>
    <x v="1"/>
    <x v="1"/>
    <x v="2"/>
    <s v="Fully Remote with Options to travel as and when needed"/>
    <s v="Employer who pushes your limits by enabling an learning environment, and rewards you at the end"/>
    <s v="Instructor or Expert Learning Programs, Learning by observing others"/>
    <s v="Design and Creative strategy in any company, Business Operations in any organization, Look deeply into Data and generate insights"/>
    <s v="Manager who explains what is expected, sets a goal and helps achieve it"/>
    <s v="Work with 5 to 6 people in my team"/>
    <m/>
    <m/>
    <m/>
  </r>
  <r>
    <d v="2022-12-16T12:02:07"/>
    <s v="India"/>
    <n v="722207"/>
    <x v="0"/>
    <x v="2"/>
    <x v="1"/>
    <x v="0"/>
    <x v="0"/>
    <x v="1"/>
    <x v="4"/>
    <s v="Hybrid Working Environment with less than 15 days a month at office"/>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m/>
    <m/>
    <m/>
  </r>
  <r>
    <d v="2022-12-16T12:12:10"/>
    <s v="India"/>
    <n v="400022"/>
    <x v="0"/>
    <x v="2"/>
    <x v="1"/>
    <x v="0"/>
    <x v="1"/>
    <x v="0"/>
    <x v="3"/>
    <s v="Fully Remote with Options to travel as and when needed"/>
    <s v="Employer who rewards learning and enables that environment"/>
    <s v="Self Paced Learning Portals, Instructor or Expert Learning Programs"/>
    <s v="Teaching in any of the institutes/online or Offline, Look deeply into Data and generate insights, Become a content Creator in some platform"/>
    <s v="Manager who explains what is expected, sets a goal and helps achieve it"/>
    <s v="Work with 5 to 6 people in my team"/>
    <m/>
    <m/>
    <m/>
  </r>
  <r>
    <d v="2022-12-16T12:36:25"/>
    <s v="India"/>
    <n v="201310"/>
    <x v="0"/>
    <x v="1"/>
    <x v="1"/>
    <x v="0"/>
    <x v="1"/>
    <x v="1"/>
    <x v="2"/>
    <s v="Every Day Office Environment"/>
    <s v="Employer who rewards learning and enables that environment"/>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m/>
    <m/>
    <m/>
  </r>
  <r>
    <d v="2022-12-16T12:41:19"/>
    <s v="India"/>
    <n v="679121"/>
    <x v="0"/>
    <x v="2"/>
    <x v="0"/>
    <x v="0"/>
    <x v="1"/>
    <x v="1"/>
    <x v="5"/>
    <s v="Fully Remote with Options to travel as and when needed"/>
    <s v="Employer who pushes your limits by enabling an learning environment, and rewards you at the end"/>
    <s v="Self Paced Learning Portals, Trial and error by doing side projects within the company"/>
    <s v="Manage and drive End-to-End Projects or Products, Look deeply into Data and generate insights, Work as a freelancer and do my thing my way"/>
    <s v="Manager who sets goal and helps me achieve it"/>
    <s v="Work alone, Work with 2 to 3 people in my team, Work with 5 to 6 people in my team"/>
    <m/>
    <m/>
    <m/>
  </r>
  <r>
    <d v="2022-12-16T12:42:13"/>
    <s v="India"/>
    <n v="639111"/>
    <x v="0"/>
    <x v="0"/>
    <x v="1"/>
    <x v="1"/>
    <x v="0"/>
    <x v="0"/>
    <x v="1"/>
    <s v="Fully Remote with Options to travel as and when needed"/>
    <s v="Employer who appreciates learning and enables that environment"/>
    <s v="Self Paced Learning Portals, Instructor or Expert Learning Programs"/>
    <s v="Design and Develop amazing software, Look deeply into Data and generate insights, Work as a freelancer and do my thing my way"/>
    <s v="Manager who sets goal and helps me achieve it"/>
    <s v="Work alone"/>
    <m/>
    <m/>
    <m/>
  </r>
  <r>
    <d v="2022-12-16T13:03:23"/>
    <s v="India"/>
    <n v="136119"/>
    <x v="0"/>
    <x v="4"/>
    <x v="1"/>
    <x v="0"/>
    <x v="1"/>
    <x v="1"/>
    <x v="0"/>
    <s v="Hybrid Working Environment with less than 15 days a month at office"/>
    <s v="Employer who appreciates learning and enables that environment"/>
    <s v="Learning by observing others, Trial and error by doing side projects within the company"/>
    <s v="Design and Creative strategy in any company, Teaching in any of the institutes/online or Offline, Manage and drive End-to-End Projects or Products"/>
    <s v="Manager who sets goal and helps me achieve it"/>
    <s v="Work with 2 to 3 people in my team"/>
    <m/>
    <m/>
    <m/>
  </r>
  <r>
    <d v="2022-12-16T13:20:55"/>
    <s v="India"/>
    <n v="678104"/>
    <x v="0"/>
    <x v="0"/>
    <x v="0"/>
    <x v="0"/>
    <x v="0"/>
    <x v="0"/>
    <x v="1"/>
    <s v="Fully Remote with Options to travel as and when needed"/>
    <s v="Employer who pushes your limits by enabling an learning environment, and rewards you at the end"/>
    <s v="Self Paced Learning Portals, Trial and error by doing side projects within the company"/>
    <s v="Design and Creative strategy in any company, Business Operations in any organization, Look deeply into Data and generate insights"/>
    <s v="Manager who sets goal and helps me achieve it"/>
    <s v="Work with 5 to 6 people in my team"/>
    <m/>
    <m/>
    <m/>
  </r>
  <r>
    <d v="2022-12-16T13:23:27"/>
    <s v="India"/>
    <n v="560024"/>
    <x v="1"/>
    <x v="2"/>
    <x v="0"/>
    <x v="0"/>
    <x v="1"/>
    <x v="0"/>
    <x v="3"/>
    <s v="Hybrid Working Environment with less than 15 days a month at office"/>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more than 10 people in my team"/>
    <m/>
    <m/>
    <m/>
  </r>
  <r>
    <d v="2022-12-16T13:25:06"/>
    <s v="India"/>
    <n v="560064"/>
    <x v="0"/>
    <x v="2"/>
    <x v="1"/>
    <x v="0"/>
    <x v="0"/>
    <x v="0"/>
    <x v="5"/>
    <s v="Hybrid Working Environment with less than 10 days a month at office"/>
    <s v="Employer who pushes your limits by enabling an learning environment, and rewards you at the end"/>
    <s v="Instructor or Expert Learning Programs, Learning by observing others"/>
    <s v="Teaching in any of the institutes/online or Offline, Build and develop a Team, Look deeply into Data and generate insights"/>
    <s v="Manager who explains what is expected, sets a goal and helps achieve it"/>
    <s v="Work with 5 to 6 people in my team, Work with 7 to 10 or more people in my team"/>
    <m/>
    <m/>
    <m/>
  </r>
  <r>
    <d v="2022-12-16T13:26:05"/>
    <s v="India"/>
    <n v="561203"/>
    <x v="0"/>
    <x v="3"/>
    <x v="0"/>
    <x v="0"/>
    <x v="0"/>
    <x v="0"/>
    <x v="1"/>
    <s v="Hybrid Working Environment with less than 15 days a month at office"/>
    <s v="Employer who pushes your limits by enabling an learning environment, and rewards you at the end"/>
    <s v="Self Paced Learning Portals, Instructor or Expert Learning Programs"/>
    <s v="Design and Creative strategy in any company, Teaching in any of the institutes/online or Offline, Design and Develop amazing software"/>
    <s v="Manager who explains what is expected, sets a goal and helps achieve it"/>
    <s v="Work with 2 to 3 people in my team, Work with 5 to 6 people in my team"/>
    <m/>
    <m/>
    <m/>
  </r>
  <r>
    <d v="2022-12-16T13:29:30"/>
    <s v="India"/>
    <n v="515201"/>
    <x v="0"/>
    <x v="4"/>
    <x v="0"/>
    <x v="1"/>
    <x v="0"/>
    <x v="0"/>
    <x v="6"/>
    <s v="Every Day Office Environment"/>
    <s v="Employer who appreciates learning and enables that environment"/>
    <s v="Self Paced Learning Portals, Instructor or Expert Learning Programs"/>
    <s v="Design and Creative strategy in any company, Business Operations in any organization, Become a content Creator in some platform"/>
    <s v="Manager who sets goal and helps me achieve it"/>
    <s v="Work with 5 to 6 people in my team"/>
    <m/>
    <m/>
    <m/>
  </r>
  <r>
    <d v="2022-12-16T13:34:10"/>
    <s v="India"/>
    <n v="211002"/>
    <x v="0"/>
    <x v="0"/>
    <x v="0"/>
    <x v="0"/>
    <x v="0"/>
    <x v="1"/>
    <x v="3"/>
    <s v="Every Day Office Environment"/>
    <s v="Employer who appreciates learning and enables that environment"/>
    <s v="Self Paced Learning Portals, Trial and error by doing side projects within the company"/>
    <s v="Business Operations in any organization, Manage and drive End-to-End Projects or Products, Work in a BPO setup for some well known client"/>
    <s v="Manager who explains what is expected, sets a goal and helps achieve it"/>
    <s v="Work with more than 10 people in my team"/>
    <m/>
    <m/>
    <m/>
  </r>
  <r>
    <d v="2022-12-16T13:36:18"/>
    <s v="India"/>
    <n v="577002"/>
    <x v="1"/>
    <x v="3"/>
    <x v="0"/>
    <x v="2"/>
    <x v="0"/>
    <x v="0"/>
    <x v="2"/>
    <s v="Hybrid Working Environment with less than 15 days a month at office"/>
    <s v="Employer who rewards learning and enables that environment"/>
    <s v="Instructor or Expert Learning Programs, Learning by observing others"/>
    <s v="Business Operations in any organization, Manage and drive End-to-End Projects or Products, Build and develop a Team"/>
    <s v="Manager who explains what is expected, sets a goal and helps achieve it"/>
    <s v="Work alone, Work with 5 to 6 people in my team"/>
    <m/>
    <m/>
    <m/>
  </r>
  <r>
    <d v="2022-12-16T13:40:33"/>
    <s v="India"/>
    <n v="673020"/>
    <x v="1"/>
    <x v="2"/>
    <x v="1"/>
    <x v="0"/>
    <x v="0"/>
    <x v="0"/>
    <x v="1"/>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5 to 6 people in my team"/>
    <m/>
    <m/>
    <m/>
  </r>
  <r>
    <d v="2022-12-16T13:45:48"/>
    <s v="India"/>
    <n v="301019"/>
    <x v="0"/>
    <x v="4"/>
    <x v="0"/>
    <x v="2"/>
    <x v="0"/>
    <x v="0"/>
    <x v="1"/>
    <s v="Every Day Office Environment"/>
    <s v="Employer who pushes your limits by enabling an learning environment, and rewards you at the end"/>
    <s v="Self Paced Learning Portals, Learning by observing others"/>
    <s v="Design and Creative strategy in any company, Build and develop a Team, Design and Develop amazing software"/>
    <s v="Manager who clearly describes what she/he needs"/>
    <s v="Work with 2 to 3 people in my team"/>
    <m/>
    <m/>
    <m/>
  </r>
  <r>
    <d v="2022-12-16T13:46:59"/>
    <s v="India"/>
    <n v="680613"/>
    <x v="1"/>
    <x v="4"/>
    <x v="0"/>
    <x v="0"/>
    <x v="1"/>
    <x v="0"/>
    <x v="7"/>
    <s v="Fully Remote with Options to travel as and when needed"/>
    <s v="Employer who rewards learning and enables that environment"/>
    <s v="Self Paced Learning Portals, Learning by observing others"/>
    <s v="Design and Creative strategy in any company, Work as a freelancer and do my thing my way, Become a content Creator in some platform"/>
    <s v="Manager who clearly describes what she/he needs"/>
    <s v="Work alone, Work with 2 to 3 people in my team, Work with 7 to 10 or more people in my team"/>
    <m/>
    <m/>
    <m/>
  </r>
  <r>
    <d v="2022-12-16T13:51:24"/>
    <s v="India"/>
    <n v="852201"/>
    <x v="0"/>
    <x v="0"/>
    <x v="1"/>
    <x v="1"/>
    <x v="0"/>
    <x v="1"/>
    <x v="5"/>
    <s v="Every Day Office Environment"/>
    <s v="Employer who pushes your limits by enabling an learning environment, and rewards you at the end"/>
    <s v="Learning by observing others, Trial and error by doing side projects within the company"/>
    <s v="Design and Develop amazing software, Look deeply into Data and generate insights, Work as a freelancer and do my thing my way"/>
    <s v="Manager who explains what is expected, sets a goal and helps achieve it"/>
    <s v="Work with 7 to 10 or more people in my team"/>
    <m/>
    <m/>
    <m/>
  </r>
  <r>
    <d v="2022-12-16T13:54:30"/>
    <s v="India"/>
    <n v="731021"/>
    <x v="0"/>
    <x v="2"/>
    <x v="1"/>
    <x v="1"/>
    <x v="0"/>
    <x v="0"/>
    <x v="4"/>
    <s v="Hybrid Working Environment with less than 15 days a month at office"/>
    <s v="Employer who pushes your limits by enabling an learning environment, and rewards you at the end"/>
    <s v="Learning by observing others, Trial and error by doing side projects within the company"/>
    <s v="Design and Creative strategy in any company, Manage and drive End-to-End Projects or Products, Design and Develop amazing software"/>
    <s v="Manager who explains what is expected, sets a goal and helps achieve it"/>
    <s v="Work with 5 to 6 people in my team"/>
    <m/>
    <m/>
    <m/>
  </r>
  <r>
    <d v="2022-12-16T14:04:00"/>
    <s v="India"/>
    <n v="303007"/>
    <x v="0"/>
    <x v="3"/>
    <x v="0"/>
    <x v="0"/>
    <x v="0"/>
    <x v="0"/>
    <x v="1"/>
    <s v="Fully Remote with Options to travel as and when needed"/>
    <s v="Employer who appreciates learning and enables that environment"/>
    <s v="Self Paced Learning Portals, Trial and error by doing side projects within the company"/>
    <s v="Design and Creative strategy in any company, Business Operations in any organization, Work as a freelancer and do my thing my way"/>
    <s v="Manager who sets goal and helps me achieve it"/>
    <s v="Work with more than 10 people in my team"/>
    <m/>
    <m/>
    <m/>
  </r>
  <r>
    <d v="2022-12-16T14:05:39"/>
    <s v="India"/>
    <n v="852201"/>
    <x v="1"/>
    <x v="4"/>
    <x v="2"/>
    <x v="1"/>
    <x v="0"/>
    <x v="1"/>
    <x v="3"/>
    <s v="Hybrid Working Environment with less than 3 days a month at office"/>
    <s v="Employer who appreciates learning and enables that environment"/>
    <s v="Self Paced Learning Portals, Instructor or Expert Learning Programs"/>
    <s v="Design and Creative strategy in any company, Business Operations in any organization, Design and Develop amazing software"/>
    <s v="Manager who sets targets and expects me to achieve it"/>
    <s v="Work with 5 to 6 people in my team"/>
    <m/>
    <m/>
    <m/>
  </r>
  <r>
    <d v="2022-12-16T14:10:12"/>
    <s v="United Arab Emirates"/>
    <n v="27287"/>
    <x v="1"/>
    <x v="4"/>
    <x v="0"/>
    <x v="0"/>
    <x v="0"/>
    <x v="0"/>
    <x v="3"/>
    <s v="Hybrid Working Environment with less than 15 days a month at office"/>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explains what is expected, sets a goal and helps achieve it"/>
    <s v="Work with 2 to 3 people in my team"/>
    <m/>
    <m/>
    <m/>
  </r>
  <r>
    <d v="2022-12-16T14:21:58"/>
    <s v="India"/>
    <n v="700063"/>
    <x v="0"/>
    <x v="0"/>
    <x v="0"/>
    <x v="0"/>
    <x v="0"/>
    <x v="0"/>
    <x v="4"/>
    <s v="Fully Remote with Options to travel as and when needed"/>
    <s v="Employer who pushes your limits by enabling an learning environment, and rewards you at the end"/>
    <s v="Instructor or Expert Learning Program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alone, Work with 2 to 3 people in my team, Work with 5 to 6 people in my team"/>
    <m/>
    <m/>
    <m/>
  </r>
  <r>
    <d v="2022-12-16T14:34:35"/>
    <s v="India"/>
    <n v="577528"/>
    <x v="0"/>
    <x v="1"/>
    <x v="0"/>
    <x v="0"/>
    <x v="1"/>
    <x v="1"/>
    <x v="1"/>
    <s v="Every Day Office Environment"/>
    <s v="Employer who appreciates learning and enables that environment"/>
    <s v="Instructor or Expert Learning Programs, Learning by observing others"/>
    <s v="Design and Creative strategy in any company, Business Operations in any organization, Become a content Creator in some platform"/>
    <s v="Manager who sets targets and expects me to achieve it"/>
    <s v="Work with more than 10 people in my team"/>
    <m/>
    <m/>
    <m/>
  </r>
  <r>
    <d v="2022-12-16T14:40:31"/>
    <s v="India"/>
    <n v="122003"/>
    <x v="0"/>
    <x v="4"/>
    <x v="0"/>
    <x v="1"/>
    <x v="0"/>
    <x v="0"/>
    <x v="2"/>
    <s v="Every Day Office Environment"/>
    <s v="Employer who pushes your limits by enabling an learning environment, and rewards you at the end"/>
    <s v="Instructor or Expert Learning Programs, Learning by observing others"/>
    <s v="Design and Creative strategy in any company, Build and develop a Team, Look deeply into Data and generate insights"/>
    <s v="Manager who explains what is expected, sets a goal and helps achieve it"/>
    <s v="Work alone, Work with 2 to 3 people in my team"/>
    <m/>
    <m/>
    <m/>
  </r>
  <r>
    <d v="2022-12-16T14:44:14"/>
    <s v="India"/>
    <n v="122003"/>
    <x v="0"/>
    <x v="0"/>
    <x v="0"/>
    <x v="0"/>
    <x v="0"/>
    <x v="0"/>
    <x v="1"/>
    <s v="Hybrid Working Environment with less than 10 days a month at office"/>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5 to 6 people in my team"/>
    <m/>
    <m/>
    <m/>
  </r>
  <r>
    <d v="2022-12-16T14:47:05"/>
    <s v="India"/>
    <n v="440002"/>
    <x v="0"/>
    <x v="3"/>
    <x v="1"/>
    <x v="1"/>
    <x v="0"/>
    <x v="0"/>
    <x v="2"/>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with 2 to 3 people in my team, Work with 5 to 6 people in my team"/>
    <m/>
    <m/>
    <m/>
  </r>
  <r>
    <d v="2022-12-16T14:48:15"/>
    <s v="India"/>
    <n v="852201"/>
    <x v="1"/>
    <x v="0"/>
    <x v="1"/>
    <x v="0"/>
    <x v="0"/>
    <x v="0"/>
    <x v="4"/>
    <s v="Fully Remote with No option to visit offices"/>
    <s v="Employer who pushes your limits by enabling an learning environment, and rewards you at the end"/>
    <s v="Self Paced Learning Portals, Instructor or Expert Learning Programs"/>
    <s v="Teaching in any of the institutes/online or Offline, Work as a freelancer and do my thing my way, Become a content Creator in some platform"/>
    <s v="Manager who explains what is expected, sets a goal and helps achieve it"/>
    <s v="Work alone, Work with 2 to 3 people in my team"/>
    <m/>
    <m/>
    <m/>
  </r>
  <r>
    <d v="2022-12-16T14:49:05"/>
    <s v="India"/>
    <n v="465674"/>
    <x v="1"/>
    <x v="4"/>
    <x v="2"/>
    <x v="0"/>
    <x v="0"/>
    <x v="0"/>
    <x v="8"/>
    <s v="Hybrid Working Environment with less than 10 days a month at office"/>
    <s v="Employer who appreciates learning and enables that environment"/>
    <s v="Self Paced Learning Portals, Instructor or Expert Learning Programs"/>
    <s v="Design and Creative strategy in any company, Build and develop a Team, Look deeply into Data and generate insights"/>
    <s v="Manager who sets targets and expects me to achieve it"/>
    <s v="Work with 2 to 3 people in my team"/>
    <m/>
    <m/>
    <m/>
  </r>
  <r>
    <d v="2022-12-16T15:02:44"/>
    <s v="India"/>
    <n v="561203"/>
    <x v="0"/>
    <x v="3"/>
    <x v="0"/>
    <x v="2"/>
    <x v="0"/>
    <x v="0"/>
    <x v="3"/>
    <s v="Hybrid Working Environment with less than 3 days a month at office"/>
    <s v="Employer who pushes your limits by enabling an learning environment, and rewards you at the end"/>
    <s v="Self Paced Learning Portals, Learning by observing others"/>
    <s v="Teaching in any of the institutes/online or Offline, Design and Develop amazing software, Work as a freelancer and do my thing my way"/>
    <s v="Manager who clearly describes what she/he needs"/>
    <s v="Work with 2 to 3 people in my team"/>
    <m/>
    <m/>
    <m/>
  </r>
  <r>
    <d v="2022-12-16T15:06:49"/>
    <s v="India"/>
    <n v="577004"/>
    <x v="1"/>
    <x v="3"/>
    <x v="0"/>
    <x v="0"/>
    <x v="0"/>
    <x v="0"/>
    <x v="4"/>
    <s v="Every Day Office Environment"/>
    <s v="Employer who pushes your limits by enabling an learning environment, and rewards you at the end"/>
    <s v="Self Paced Learning Portals, Learning by observing others"/>
    <s v="Design and Creative strategy in any company, Business Operations in any organization, Work as a freelancer and do my thing my way"/>
    <s v="Manager who explains what is expected, sets a goal and helps achieve it"/>
    <s v="Work with 5 to 6 people in my team"/>
    <m/>
    <m/>
    <m/>
  </r>
  <r>
    <d v="2022-12-16T15:07:33"/>
    <s v="India"/>
    <n v="826004"/>
    <x v="0"/>
    <x v="0"/>
    <x v="0"/>
    <x v="1"/>
    <x v="0"/>
    <x v="0"/>
    <x v="0"/>
    <s v="Every Day Office Environment"/>
    <s v="Employer who appreciates learning and enables that environment"/>
    <s v="Self Paced Learning Portals, Instructor or Expert Learning Programs"/>
    <s v="Teaching in any of the institutes/online or Offline, Work as a freelancer and do my thing my way, Become a content Creator in some platform"/>
    <s v="Manager who clearly describes what she/he needs"/>
    <s v="Work with 2 to 3 people in my team"/>
    <m/>
    <m/>
    <m/>
  </r>
  <r>
    <d v="2022-12-16T15:25:51"/>
    <s v="India"/>
    <n v="826004"/>
    <x v="0"/>
    <x v="4"/>
    <x v="0"/>
    <x v="0"/>
    <x v="0"/>
    <x v="0"/>
    <x v="2"/>
    <s v="Hybrid Working Environment with less than 15 days a month at office"/>
    <s v="Employer who appreciates learning and enables that environment"/>
    <s v="Instructor or Expert Learning Programs, Learning by observing others"/>
    <s v="Design and Creative strategy in any company, Teaching in any of the institutes/online or Offline, Manage and drive End-to-End Projects or Products"/>
    <s v="Manager who explains what is expected, sets a goal and helps achieve it"/>
    <s v="Work alone, Work with 2 to 3 people in my team"/>
    <m/>
    <m/>
    <m/>
  </r>
  <r>
    <d v="2022-12-16T15:29:38"/>
    <s v="India"/>
    <n v="515003"/>
    <x v="0"/>
    <x v="4"/>
    <x v="2"/>
    <x v="1"/>
    <x v="0"/>
    <x v="0"/>
    <x v="5"/>
    <s v="Every Day Office Environment"/>
    <s v="Employer who pushes your limits by enabling an learning environment, and rewards you at the end"/>
    <s v="Instructor or Expert Learning Programs, Learning by observing others"/>
    <s v="Design and Creative strategy in any company, Teaching in any of the institutes/online or Offline, Design and Develop amazing software"/>
    <s v="Manager who explains what is expected, sets a goal and helps achieve it"/>
    <s v="Work with 2 to 3 people in my team"/>
    <m/>
    <m/>
    <m/>
  </r>
  <r>
    <d v="2022-12-16T15:30:50"/>
    <s v="India"/>
    <n v="496001"/>
    <x v="0"/>
    <x v="4"/>
    <x v="0"/>
    <x v="0"/>
    <x v="0"/>
    <x v="0"/>
    <x v="6"/>
    <s v="Hybrid Working Environment with less than 10 days a month at office"/>
    <s v="Employer who appreciates learning and enables that environment"/>
    <s v="Instructor or Expert Learning Programs, Learning by observing others"/>
    <s v="Design and Creative strategy in any company, Teaching in any of the institutes/online or Offline, Business Operations in any organization"/>
    <s v="Manager who sets goal and helps me achieve it"/>
    <s v="Work with 2 to 3 people in my team"/>
    <m/>
    <m/>
    <m/>
  </r>
  <r>
    <d v="2022-12-16T15:31:12"/>
    <s v="India"/>
    <n v="713104"/>
    <x v="0"/>
    <x v="0"/>
    <x v="0"/>
    <x v="1"/>
    <x v="0"/>
    <x v="0"/>
    <x v="4"/>
    <s v="Fully Remote with No option to visit offices"/>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5 to 6 people in my team, Work with 7 to 10 or more people in my team"/>
    <m/>
    <m/>
    <m/>
  </r>
  <r>
    <d v="2022-12-16T15:31:17"/>
    <s v="India"/>
    <n v="416001"/>
    <x v="0"/>
    <x v="4"/>
    <x v="2"/>
    <x v="0"/>
    <x v="1"/>
    <x v="0"/>
    <x v="8"/>
    <s v="Fully Remote with Options to travel as and when needed"/>
    <s v="Employer who appreciates learning and enables that environment"/>
    <s v="Instructor or Expert Learning Programs, Trial and error by doing side projects within the company"/>
    <s v="Business Operations in any organization,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m/>
    <m/>
    <m/>
  </r>
  <r>
    <d v="2022-12-16T15:33:13"/>
    <s v="India"/>
    <n v="826004"/>
    <x v="0"/>
    <x v="0"/>
    <x v="1"/>
    <x v="0"/>
    <x v="0"/>
    <x v="0"/>
    <x v="0"/>
    <s v="Hybrid Working Environment with less than 15 days a month at office"/>
    <s v="Employer who pushes your limits by enabling an learning environment, and rewards you at the end"/>
    <s v="Self Paced Learning Portals, Learning by observing others"/>
    <s v="Design and Creative strategy in any company, Teaching in any of the institutes/online or Offline, Look deeply into Data and generate insights"/>
    <s v="Manager who explains what is expected, sets a goal and helps achieve it"/>
    <s v="Work alone, Work with 2 to 3 people in my team"/>
    <m/>
    <m/>
    <m/>
  </r>
  <r>
    <d v="2022-12-16T15:34:31"/>
    <s v="India"/>
    <n v="110088"/>
    <x v="0"/>
    <x v="2"/>
    <x v="0"/>
    <x v="1"/>
    <x v="1"/>
    <x v="1"/>
    <x v="5"/>
    <s v="Hybrid Working Environment with less than 10 days a month at office"/>
    <s v="Employer who pushes your limits by enabling an learning environment, and rewards you at the end"/>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with more than 10 people in my team"/>
    <m/>
    <m/>
    <m/>
  </r>
  <r>
    <d v="2022-12-16T15:41:54"/>
    <s v="India"/>
    <n v="110016"/>
    <x v="1"/>
    <x v="4"/>
    <x v="1"/>
    <x v="0"/>
    <x v="0"/>
    <x v="0"/>
    <x v="5"/>
    <s v="Hybrid Working Environment with less than 15 days a month at office"/>
    <s v="Employer who pushes your limits by enabling an learning environment, and rewards you at the end"/>
    <s v="Instructor or Expert Learning Programs, Trial and error by doing side projects within the company"/>
    <s v="Teaching in any of the institutes/online or Offline, Manage and drive End-to-End Projects or Products, Look deeply into Data and generate insights"/>
    <s v="Manager who explains what is expected, sets a goal and helps achieve it"/>
    <s v="Work with 2 to 3 people in my team, Work with 5 to 6 people in my team"/>
    <m/>
    <m/>
    <m/>
  </r>
  <r>
    <d v="2022-12-16T15:43:45"/>
    <s v="India"/>
    <n v="131001"/>
    <x v="0"/>
    <x v="4"/>
    <x v="0"/>
    <x v="1"/>
    <x v="1"/>
    <x v="1"/>
    <x v="5"/>
    <s v="Hybrid Working Environment with less than 15 days a month at office"/>
    <s v="Employer who rewards learning and enables that environment"/>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Work with 7 to 10 or more people in my team, Work with more than 10 people in my team"/>
    <m/>
    <m/>
    <m/>
  </r>
  <r>
    <d v="2022-12-16T15:44:36"/>
    <s v="India"/>
    <n v="505001"/>
    <x v="0"/>
    <x v="0"/>
    <x v="2"/>
    <x v="1"/>
    <x v="0"/>
    <x v="0"/>
    <x v="5"/>
    <s v="Fully Remote with Options to travel as and when needed"/>
    <s v="Employer who pushes your limits by enabling an learning environment, and rewards you at the end"/>
    <s v="Self Paced Learning Portals, Instructor or Expert Learning Programs"/>
    <s v="Build and develop a Team, Work as a freelancer and do my thing my way, Become a content Creator in some platform"/>
    <s v="Manager who sets goal and helps me achieve it"/>
    <s v="Work alone, Work with more than 10 people in my team"/>
    <m/>
    <m/>
    <m/>
  </r>
  <r>
    <d v="2022-12-16T15:45:29"/>
    <s v="India"/>
    <n v="600064"/>
    <x v="1"/>
    <x v="2"/>
    <x v="2"/>
    <x v="1"/>
    <x v="0"/>
    <x v="1"/>
    <x v="7"/>
    <s v="Hybrid Working Environment with less than 15 days a month at office"/>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m/>
    <m/>
    <m/>
  </r>
  <r>
    <d v="2022-12-16T15:47:38"/>
    <s v="India"/>
    <n v="600129"/>
    <x v="1"/>
    <x v="3"/>
    <x v="2"/>
    <x v="1"/>
    <x v="1"/>
    <x v="1"/>
    <x v="4"/>
    <s v="Hybrid Working Environment with less than 10 days a month at office"/>
    <s v="Employer who rewards learning and enables that environment"/>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5 to 6 people in my team"/>
    <m/>
    <m/>
    <m/>
  </r>
  <r>
    <d v="2022-12-16T15:51:18"/>
    <s v="India"/>
    <n v="263126"/>
    <x v="0"/>
    <x v="1"/>
    <x v="0"/>
    <x v="0"/>
    <x v="1"/>
    <x v="0"/>
    <x v="3"/>
    <s v="Hybrid Working Environment with less than 3 days a month at office"/>
    <s v="Employer who rewards learning and enables that environment"/>
    <s v="Self Paced Learning Portals, Instructor or Expert Learning Programs"/>
    <s v="Business Operations in any organization, Look deeply into Data and generate insights, Work as a freelancer and do my thing my way"/>
    <s v="Manager who explains what is expected, sets a goal and helps achieve it"/>
    <s v="Work with more than 10 people in my team"/>
    <m/>
    <m/>
    <m/>
  </r>
  <r>
    <d v="2022-12-16T15:54:55"/>
    <s v="India"/>
    <n v="781008"/>
    <x v="0"/>
    <x v="2"/>
    <x v="0"/>
    <x v="0"/>
    <x v="0"/>
    <x v="0"/>
    <x v="4"/>
    <s v="Fully Remote with Options to travel as and when needed"/>
    <s v="Employer who pushes your limits by enabling an learning environment, and rewards you at the end"/>
    <s v="Instructor or Expert Learning Programs, Trial and error by doing side projects within the company"/>
    <s v="Build and develop a Team, Look deeply into Data and generate insights, Become a content Creator in some platform"/>
    <s v="Manager who sets goal and helps me achieve it"/>
    <s v="Work with 2 to 3 people in my team, Work with 5 to 6 people in my team"/>
    <m/>
    <m/>
    <m/>
  </r>
  <r>
    <d v="2022-12-16T15:57:19"/>
    <s v="India"/>
    <n v="785001"/>
    <x v="0"/>
    <x v="0"/>
    <x v="0"/>
    <x v="0"/>
    <x v="1"/>
    <x v="1"/>
    <x v="2"/>
    <s v="Hybrid Working Environment with less than 10 days a month at office"/>
    <s v="Employer who rewards learning and enables that environment"/>
    <s v="Self Paced Learning Portals, Instructor or Expert Learning Programs"/>
    <s v="Design and Develop amazing software, Look deeply into Data and generate insights, Work as a freelancer and do my thing my way"/>
    <s v="Manager who sets goal and helps me achieve it"/>
    <s v="Work alone, Work with 2 to 3 people in my team"/>
    <m/>
    <m/>
    <m/>
  </r>
  <r>
    <d v="2022-12-16T15:59:57"/>
    <s v="India"/>
    <n v="629004"/>
    <x v="0"/>
    <x v="0"/>
    <x v="1"/>
    <x v="1"/>
    <x v="1"/>
    <x v="0"/>
    <x v="8"/>
    <s v="Fully Remote with Options to travel as and when needed"/>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m/>
    <m/>
    <m/>
  </r>
  <r>
    <d v="2022-12-16T16:05:56"/>
    <s v="India"/>
    <n v="600089"/>
    <x v="0"/>
    <x v="4"/>
    <x v="0"/>
    <x v="1"/>
    <x v="0"/>
    <x v="0"/>
    <x v="0"/>
    <s v="Every Day Office Environment"/>
    <s v="Employer who pushes your limits and doesn't enables learning environment and never rewards you"/>
    <s v="Instructor or Expert Learning Programs, Learning by observing others"/>
    <s v="Design and Creative strategy in any company, Business Operations in any organization, Look deeply into Data and generate insights"/>
    <s v="Manager who explains what is expected, sets a goal and helps achieve it"/>
    <s v="Work with 7 to 10 or more people in my team"/>
    <m/>
    <m/>
    <m/>
  </r>
  <r>
    <d v="2022-12-16T16:07:52"/>
    <s v="India"/>
    <n v="500005"/>
    <x v="0"/>
    <x v="0"/>
    <x v="1"/>
    <x v="0"/>
    <x v="1"/>
    <x v="0"/>
    <x v="4"/>
    <s v="Fully Remote with Options to travel as and when needed"/>
    <s v="Employer who pushes your limits by enabling an learning environment, and rewards you at the end"/>
    <s v="Instructor or Expert Learning Programs, Trial and error by doing side projects within the company"/>
    <s v="Design and Develop amazing software, Look deeply into Data and generate insights, Work as a freelancer and do my thing my way"/>
    <s v="Manager who explains what is expected, sets a goal and helps achieve it"/>
    <s v="Work alone, Work with 2 to 3 people in my team"/>
    <m/>
    <m/>
    <m/>
  </r>
  <r>
    <d v="2022-12-16T16:08:24"/>
    <s v="India"/>
    <n v="452007"/>
    <x v="0"/>
    <x v="4"/>
    <x v="1"/>
    <x v="0"/>
    <x v="0"/>
    <x v="0"/>
    <x v="0"/>
    <s v="Fully Remote with Options to travel as and when needed"/>
    <s v="Employer who pushes your limits by enabling an learning environment, and rewards you at the end"/>
    <s v="Instructor or Expert Learning Programs, Trial and error by doing side projects within the company"/>
    <s v="Business Operations in any organization, Build and develop a Team, Look deeply into Data and generate insights"/>
    <s v="Manager who clearly describes what she/he needs"/>
    <s v="Work with 5 to 6 people in my team"/>
    <m/>
    <m/>
    <m/>
  </r>
  <r>
    <d v="2022-12-16T16:19:43"/>
    <s v="India"/>
    <n v="782001"/>
    <x v="0"/>
    <x v="0"/>
    <x v="2"/>
    <x v="0"/>
    <x v="1"/>
    <x v="1"/>
    <x v="3"/>
    <s v="Fully Remote with No option to visit offices"/>
    <s v="Employer who appreciates learning and enables that environment"/>
    <s v="Self Paced Learning Portals, Instructor or Expert Learning Programs"/>
    <s v="Design and Creative strategy in any company, Design and Develop amazing software, Become a content Creator in some platform"/>
    <s v="Manager who clearly describes what she/he needs"/>
    <s v="Work alone"/>
    <m/>
    <m/>
    <m/>
  </r>
  <r>
    <d v="2022-12-16T16:21:53"/>
    <s v="India"/>
    <n v="248001"/>
    <x v="1"/>
    <x v="0"/>
    <x v="1"/>
    <x v="0"/>
    <x v="0"/>
    <x v="0"/>
    <x v="3"/>
    <s v="Hybrid Working Environment with less than 10 days a month at office"/>
    <s v="Employer who pushes your limits by enabling an learning environment, and rewards you at the end"/>
    <s v="Self Paced Learning Portals, Trial and error by doing side projects within the company"/>
    <s v="Design and Creative strategy in any company, Business Operations in any organization, Look deeply into Data and generate insights"/>
    <s v="Manager who explains what is expected, sets a goal and helps achieve it"/>
    <s v="Work with 2 to 3 people in my team"/>
    <m/>
    <m/>
    <m/>
  </r>
  <r>
    <d v="2022-12-16T16:41:39"/>
    <s v="India"/>
    <n v="785001"/>
    <x v="0"/>
    <x v="4"/>
    <x v="0"/>
    <x v="1"/>
    <x v="0"/>
    <x v="0"/>
    <x v="5"/>
    <s v="Every Day Office Environment"/>
    <s v="Employer who pushes your limits by enabling an learning environment, and rewards you at the end"/>
    <s v="Self Paced Learning Portals, Instructor or Expert Learning Programs"/>
    <s v="Business Operations in any organization, Build and develop a Team, Become a content Creator in some platform"/>
    <s v="Manager who explains what is expected, sets a goal and helps achieve it"/>
    <s v="Work with 2 to 3 people in my team"/>
    <m/>
    <m/>
    <m/>
  </r>
  <r>
    <d v="2022-12-16T16:42:40"/>
    <s v="India"/>
    <n v="852218"/>
    <x v="0"/>
    <x v="4"/>
    <x v="2"/>
    <x v="0"/>
    <x v="0"/>
    <x v="0"/>
    <x v="4"/>
    <s v="Fully Remote with Options to travel as and when needed"/>
    <s v="Employer who pushes your limits by enabling an learning environment, and rewards you at the end"/>
    <s v="Instructor or Expert Learning Programs, Trial and error by doing side projects within the company"/>
    <s v="Build and develop a Team, Design and Develop amazing software, Look deeply into Data and generate insights"/>
    <s v="Manager who sets goal and helps me achieve it"/>
    <s v="Work with 5 to 6 people in my team"/>
    <m/>
    <m/>
    <m/>
  </r>
  <r>
    <d v="2022-12-16T16:46:12"/>
    <s v="India"/>
    <n v="411038"/>
    <x v="0"/>
    <x v="0"/>
    <x v="0"/>
    <x v="0"/>
    <x v="0"/>
    <x v="0"/>
    <x v="5"/>
    <s v="Hybrid Working Environment with less than 3 days a month at office"/>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Work with 2 to 3 people in my team"/>
    <m/>
    <m/>
    <m/>
  </r>
  <r>
    <d v="2022-12-16T16:48:02"/>
    <s v="India"/>
    <n v="282007"/>
    <x v="1"/>
    <x v="3"/>
    <x v="2"/>
    <x v="0"/>
    <x v="0"/>
    <x v="0"/>
    <x v="2"/>
    <s v="Hybrid Working Environment with less than 15 days a month at office"/>
    <s v="Employer who pushes your limits by enabling an learning environment, and rewards you at the end"/>
    <s v="Instructor or Expert Learning Programs, Learning by observing others"/>
    <s v="Design and Creative strategy in any company, Teaching in any of the institutes/online or Offline, Manage and drive End-to-End Projects or Products"/>
    <s v="Manager who explains what is expected, sets a goal and helps achieve it"/>
    <s v="Work with more than 10 people in my team"/>
    <m/>
    <m/>
    <m/>
  </r>
  <r>
    <d v="2022-12-16T16:56:18"/>
    <s v="India"/>
    <n v="207001"/>
    <x v="0"/>
    <x v="2"/>
    <x v="1"/>
    <x v="0"/>
    <x v="0"/>
    <x v="0"/>
    <x v="4"/>
    <s v="Fully Remote with Options to travel as and when needed"/>
    <s v="Employer who pushes your limits by enabling an learning environment, and rewards you at the end"/>
    <s v="Self Paced Learning Portals, Instructor or Expert Learning Programs"/>
    <s v="Manage and drive End-to-End Projects or Products, Look deeply into Data and generate insights, Work as a freelancer and do my thing my way"/>
    <s v="Manager who explains what is expected, sets a goal and helps achieve it"/>
    <s v="Work with more than 10 people in my team"/>
    <m/>
    <m/>
    <m/>
  </r>
  <r>
    <d v="2022-12-16T16:59:03"/>
    <s v="India"/>
    <n v="425301"/>
    <x v="1"/>
    <x v="0"/>
    <x v="2"/>
    <x v="0"/>
    <x v="0"/>
    <x v="0"/>
    <x v="3"/>
    <s v="Hybrid Working Environment with less than 10 days a month at office"/>
    <s v="Employer who rewards learning and enables that environment"/>
    <s v="Self Paced Learning Portals, Instructor or Expert Learning Programs"/>
    <s v="Business Operations in any organization,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m/>
    <m/>
    <m/>
  </r>
  <r>
    <d v="2022-12-16T17:03:32"/>
    <s v="India"/>
    <n v="828122"/>
    <x v="0"/>
    <x v="0"/>
    <x v="1"/>
    <x v="0"/>
    <x v="0"/>
    <x v="1"/>
    <x v="5"/>
    <s v="Hybrid Working Environment with less than 10 days a month at office"/>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m/>
    <m/>
    <m/>
  </r>
  <r>
    <d v="2022-12-16T17:16:14"/>
    <s v="India"/>
    <n v="244901"/>
    <x v="0"/>
    <x v="0"/>
    <x v="0"/>
    <x v="1"/>
    <x v="0"/>
    <x v="0"/>
    <x v="4"/>
    <s v="Fully Remote with Options to travel as and when needed"/>
    <s v="Employer who pushes your limits by enabling an learning environment, and rewards you at the end"/>
    <s v="Instructor or Expert Learning Programs, Trial and error by doing side projects within the company"/>
    <s v="Business Operations in any organization, Build and develop a Team, Look deeply into Data and generate insights"/>
    <s v="Manager who explains what is expected, sets a goal and helps achieve it"/>
    <s v="Work alone, Work with 5 to 6 people in my team"/>
    <m/>
    <m/>
    <m/>
  </r>
  <r>
    <d v="2022-12-16T17:37:11"/>
    <s v="India"/>
    <n v="641021"/>
    <x v="1"/>
    <x v="0"/>
    <x v="1"/>
    <x v="0"/>
    <x v="0"/>
    <x v="0"/>
    <x v="2"/>
    <s v="Fully Remote with Options to travel as and when needed"/>
    <s v="Employer who rewards learning and enables that environment"/>
    <s v="Self Paced Learning Portals, Instructor or Expert Learning Programs"/>
    <s v="Design and Creative strategy in any company, Teaching in any of the institutes/online or Offline, Become a content Creator in some platform"/>
    <s v="Manager who explains what is expected, sets a goal and helps achieve it"/>
    <s v="Work with more than 10 people in my team"/>
    <m/>
    <m/>
    <m/>
  </r>
  <r>
    <d v="2022-12-16T17:54:22"/>
    <s v="India"/>
    <n v="560060"/>
    <x v="1"/>
    <x v="4"/>
    <x v="2"/>
    <x v="1"/>
    <x v="1"/>
    <x v="1"/>
    <x v="4"/>
    <s v="Hybrid Working Environment with less than 15 days a month at office"/>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clearly describes what she/he needs"/>
    <s v="Work alone"/>
    <m/>
    <m/>
    <m/>
  </r>
  <r>
    <d v="2022-12-16T17:55:09"/>
    <s v="India"/>
    <n v="560098"/>
    <x v="1"/>
    <x v="3"/>
    <x v="0"/>
    <x v="0"/>
    <x v="0"/>
    <x v="0"/>
    <x v="6"/>
    <s v="Hybrid Working Environment with less than 3 days a month at office"/>
    <s v="Employer who rewards learning and enables that environment"/>
    <s v="Instructor or Expert Learning Programs, Learning by observing others"/>
    <s v="Design and Creative strategy in any company, Teaching in any of the institutes/online or Offline, Design and Develop amazing software"/>
    <s v="Manager who explains what is expected, sets a goal and helps achieve it"/>
    <s v="Work with 7 to 10 or more people in my team"/>
    <m/>
    <m/>
    <m/>
  </r>
  <r>
    <d v="2022-12-16T18:17:37"/>
    <s v="India"/>
    <n v="457001"/>
    <x v="1"/>
    <x v="3"/>
    <x v="0"/>
    <x v="1"/>
    <x v="0"/>
    <x v="0"/>
    <x v="1"/>
    <s v="Hybrid Working Environment with less than 10 days a month at office"/>
    <s v="Employer who appreciates learning and enables that environment"/>
    <s v="Instructor or Expert Learning Programs, Learning by observing others"/>
    <s v="Design and Creative strategy in any company, Teaching in any of the institutes/online or Offline, Business Operations in any organization"/>
    <s v="Manager who clearly describes what she/he needs"/>
    <s v="Work with 2 to 3 people in my team"/>
    <m/>
    <m/>
    <m/>
  </r>
  <r>
    <d v="2022-12-16T18:28:12"/>
    <s v="India"/>
    <n v="524412"/>
    <x v="0"/>
    <x v="0"/>
    <x v="2"/>
    <x v="1"/>
    <x v="0"/>
    <x v="0"/>
    <x v="1"/>
    <s v="Fully Remote with Options to travel as and when needed"/>
    <s v="Employer who appreciates learning and enables that environment"/>
    <s v="Instructor or Expert Learning Programs, Trial and error by doing side projects within the company"/>
    <s v="Teaching in any of the institutes/online or Offline, Build and develop a Team, Work as a freelancer and do my thing my way"/>
    <s v="Manager who explains what is expected, sets a goal and helps achieve it"/>
    <s v="Work with more than 10 people in my team"/>
    <m/>
    <m/>
    <m/>
  </r>
  <r>
    <d v="2022-12-16T18:53:16"/>
    <s v="India"/>
    <n v="110059"/>
    <x v="1"/>
    <x v="4"/>
    <x v="2"/>
    <x v="0"/>
    <x v="0"/>
    <x v="1"/>
    <x v="1"/>
    <s v="Every Day Office Environment"/>
    <s v="Employer who appreciates learning and enables that environment"/>
    <s v="Self Paced Learning Portals, Instructor or Expert Learning Programs"/>
    <s v="Design and Creative strategy in any company, Design and Develop amazing software, Look deeply into Data and generate insights"/>
    <s v="Manager who sets goal and helps me achieve it"/>
    <s v="Work with 2 to 3 people in my team"/>
    <m/>
    <m/>
    <m/>
  </r>
  <r>
    <d v="2022-12-16T19:19:04"/>
    <s v="India"/>
    <n v="425001"/>
    <x v="0"/>
    <x v="4"/>
    <x v="2"/>
    <x v="0"/>
    <x v="1"/>
    <x v="1"/>
    <x v="2"/>
    <s v="Fully Remote with No option to visit offices"/>
    <s v="Employer who pushes your limits by enabling an learning environment, and rewards you at the end"/>
    <s v="Instructor or Expert Learning Programs, Learning by observing others"/>
    <s v="Look deeply into Data and generate insights, Work as a freelancer and do my thing my way, Become a content Creator in some platform"/>
    <s v="Manager who clearly describes what she/he needs"/>
    <s v="Work with 5 to 6 people in my team"/>
    <m/>
    <m/>
    <m/>
  </r>
  <r>
    <d v="2022-12-16T19:23:16"/>
    <s v="India"/>
    <n v="425001"/>
    <x v="1"/>
    <x v="4"/>
    <x v="0"/>
    <x v="2"/>
    <x v="1"/>
    <x v="1"/>
    <x v="1"/>
    <s v="Fully Remote with No option to visit offices"/>
    <s v="Employers who appreciates learning but doesn't enables an learning environment"/>
    <s v="Self Paced Learning Portals, Instructor or Expert Learning Programs"/>
    <s v="Design and Creative strategy in any company, Teaching in any of the institutes/online or Offline, Business Operations in any organization"/>
    <s v="Manager who clearly describes what she/he needs"/>
    <s v="Work alone"/>
    <m/>
    <m/>
    <m/>
  </r>
  <r>
    <d v="2022-12-16T19:24:14"/>
    <s v="India"/>
    <n v="851101"/>
    <x v="0"/>
    <x v="0"/>
    <x v="2"/>
    <x v="0"/>
    <x v="0"/>
    <x v="0"/>
    <x v="7"/>
    <s v="Fully Remote with Options to travel as and when needed"/>
    <s v="Employer who pushes your limits by enabling an learning environment, and rewards you at the end"/>
    <s v="Self Paced Learning Portals, Instructor or Expert Learning Programs"/>
    <s v="Design and Creative strategy in any company, Business Operations in any organization, Look deeply into Data and generate insights"/>
    <s v="Manager who explains what is expected, sets a goal and helps achieve it"/>
    <s v="Work with 5 to 6 people in my team"/>
    <m/>
    <m/>
    <m/>
  </r>
  <r>
    <d v="2022-12-16T19:32:47"/>
    <s v="India"/>
    <n v="431009"/>
    <x v="1"/>
    <x v="1"/>
    <x v="2"/>
    <x v="1"/>
    <x v="0"/>
    <x v="0"/>
    <x v="3"/>
    <s v="Hybrid Working Environment with less than 3 days a month at office"/>
    <s v="Employer who appreciates learning and enables that environment"/>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2 to 3 people in my team"/>
    <m/>
    <m/>
    <m/>
  </r>
  <r>
    <d v="2022-12-16T19:33:50"/>
    <s v="India"/>
    <n v="400022"/>
    <x v="1"/>
    <x v="2"/>
    <x v="0"/>
    <x v="0"/>
    <x v="0"/>
    <x v="0"/>
    <x v="2"/>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Look deeply into Data and generate insights"/>
    <s v="Manager who explains what is expected, sets a goal and helps achieve it"/>
    <s v="Work with 5 to 6 people in my team"/>
    <m/>
    <m/>
    <m/>
  </r>
  <r>
    <d v="2022-12-16T19:34:52"/>
    <s v="India"/>
    <n v="828109"/>
    <x v="0"/>
    <x v="4"/>
    <x v="0"/>
    <x v="1"/>
    <x v="1"/>
    <x v="1"/>
    <x v="6"/>
    <s v="Every Day Office Environment"/>
    <s v="Employer who appreciates learning and enables that environment"/>
    <s v="Instructor or Expert Learning Programs, Learning by observing others"/>
    <s v="Design and Creative strategy in any company, Look deeply into Data and generate insights, Become a content Creator in some platform"/>
    <s v="Manager who sets targets and expects me to achieve it"/>
    <s v="Work with 7 to 10 or more people in my team"/>
    <m/>
    <m/>
    <m/>
  </r>
  <r>
    <d v="2022-12-16T19:39:48"/>
    <s v="India"/>
    <n v="425001"/>
    <x v="0"/>
    <x v="2"/>
    <x v="0"/>
    <x v="1"/>
    <x v="0"/>
    <x v="1"/>
    <x v="5"/>
    <s v="Hybrid Working Environment with less than 10 days a month at office"/>
    <s v="Employer who appreciates learning and enables that environment"/>
    <s v="Self Paced Learning Portals, Instructor or Expert Learning Programs"/>
    <s v="Design and Creative strategy in any company, Manage and drive End-to-End Projects or Products, Become a content Creator in some platform"/>
    <s v="Manager who sets goal and helps me achieve it"/>
    <s v="Work with 5 to 6 people in my team"/>
    <m/>
    <m/>
    <m/>
  </r>
  <r>
    <d v="2022-12-16T19:40:33"/>
    <s v="India"/>
    <n v="224001"/>
    <x v="0"/>
    <x v="4"/>
    <x v="1"/>
    <x v="0"/>
    <x v="1"/>
    <x v="1"/>
    <x v="4"/>
    <s v="Fully Remote with No option to visit offices"/>
    <s v="Employer who pushes your limits by enabling an learning environment, and rewards you at the end"/>
    <s v="Instructor or Expert Learning Programs, Trial and error by doing side projects within the company"/>
    <s v="Design and Develop amazing software, Work as a freelancer and do my thing my way, Become a content Creator in some platform"/>
    <s v="Manager who explains what is expected, sets a goal and helps achieve it"/>
    <s v="Work with 2 to 3 people in my team, Work with 5 to 6 people in my team"/>
    <m/>
    <m/>
    <m/>
  </r>
  <r>
    <d v="2022-12-16T19:40:40"/>
    <s v="India"/>
    <n v="110092"/>
    <x v="1"/>
    <x v="3"/>
    <x v="0"/>
    <x v="0"/>
    <x v="0"/>
    <x v="0"/>
    <x v="3"/>
    <s v="Fully Remote with Options to travel as and when needed"/>
    <s v="Employer who pushes your limits by enabling an learning environment, and rewards you at the end"/>
    <s v="Self Paced Learning Portals, Learning by observing others"/>
    <s v="Design and Creative strategy in any company, Manage and drive End-to-End Projects or Products, Look deeply into Data and generate insights"/>
    <s v="Manager who explains what is expected, sets a goal and helps achieve it"/>
    <s v="Work with 2 to 3 people in my team"/>
    <m/>
    <m/>
    <m/>
  </r>
  <r>
    <d v="2022-12-16T19:40:56"/>
    <s v="India"/>
    <n v="500018"/>
    <x v="0"/>
    <x v="4"/>
    <x v="0"/>
    <x v="1"/>
    <x v="0"/>
    <x v="0"/>
    <x v="5"/>
    <s v="Hybrid Working Environment with less than 3 days a month at office"/>
    <s v="Employer who rewards learning and enables that environment"/>
    <s v="Self Paced Learning Portals, Instructor or Expert Learning Programs"/>
    <s v="Design and Creative strategy in any company, Teaching in any of the institutes/online or Offline, Business Operations in any organization"/>
    <s v="Manager who sets targets and expects me to achieve it"/>
    <s v="Work with 7 to 10 or more people in my team, Work with more than 10 people in my team"/>
    <m/>
    <m/>
    <m/>
  </r>
  <r>
    <d v="2022-12-16T19:48:02"/>
    <s v="India"/>
    <n v="533342"/>
    <x v="0"/>
    <x v="3"/>
    <x v="2"/>
    <x v="1"/>
    <x v="0"/>
    <x v="0"/>
    <x v="9"/>
    <s v="Every Day Office Environment"/>
    <s v="Employer who pushes your limits by enabling an learning environment, and rewards you at the end"/>
    <s v="Self Paced Learning Portals, Learning by observing others"/>
    <s v="Manage and drive End-to-End Projects or Products, Build and develop a Team, Look deeply into Data and generate insights"/>
    <s v="Manager who clearly describes what she/he needs"/>
    <s v="Work with 2 to 3 people in my team"/>
    <m/>
    <m/>
    <m/>
  </r>
  <r>
    <d v="2022-12-16T19:48:22"/>
    <s v="India"/>
    <n v="600053"/>
    <x v="1"/>
    <x v="1"/>
    <x v="0"/>
    <x v="1"/>
    <x v="0"/>
    <x v="0"/>
    <x v="0"/>
    <s v="Hybrid Working Environment with less than 10 days a month at office"/>
    <s v="Employer who appreciates learning and enables that environment"/>
    <s v="Self Paced Learning Portals, Learning by observing others"/>
    <s v="Business Operations in any organization, Design and Develop amazing software, Look deeply into Data and generate insights"/>
    <s v="Manager who explains what is expected, sets a goal and helps achieve it"/>
    <s v="Work with 7 to 10 or more people in my team"/>
    <m/>
    <m/>
    <m/>
  </r>
  <r>
    <d v="2022-12-16T19:54:20"/>
    <s v="India"/>
    <n v="425001"/>
    <x v="1"/>
    <x v="3"/>
    <x v="2"/>
    <x v="0"/>
    <x v="0"/>
    <x v="0"/>
    <x v="4"/>
    <s v="Every Day Office Environment"/>
    <s v="Employer who pushes your limits by enabling an learning environment, and rewards you at the end"/>
    <s v="Instructor or Expert Learning Programs, Learning by observing others"/>
    <s v="Teaching in any of the institutes/online or Offline, Build and develop a Team, Work as a freelancer and do my thing my way"/>
    <s v="Manager who explains what is expected, sets a goal and helps achieve it"/>
    <s v="Work with more than 10 people in my team"/>
    <m/>
    <m/>
    <m/>
  </r>
  <r>
    <d v="2022-12-16T20:04:02"/>
    <s v="India"/>
    <n v="370110"/>
    <x v="0"/>
    <x v="1"/>
    <x v="2"/>
    <x v="0"/>
    <x v="1"/>
    <x v="0"/>
    <x v="4"/>
    <s v="Hybrid Working Environment with less than 15 days a month at office"/>
    <s v="Employer who pushes your limits by enabling an learning environment, and rewards you at the end"/>
    <s v="Self Paced Learning Portals, Trial and error by doing side projects within the company"/>
    <s v="Business Operations in any organization, Build and develop a Team, Look deeply into Data and generate insights"/>
    <s v="Manager who sets goal and helps me achieve it"/>
    <s v="Work alone, Work with 2 to 3 people in my team, Work with 5 to 6 people in my team, Work with 7 to 10 or more people in my team, Work with more than 10 people in my team"/>
    <m/>
    <m/>
    <m/>
  </r>
  <r>
    <d v="2022-12-16T20:15:24"/>
    <s v="India"/>
    <n v="110017"/>
    <x v="1"/>
    <x v="2"/>
    <x v="0"/>
    <x v="0"/>
    <x v="0"/>
    <x v="0"/>
    <x v="1"/>
    <s v="Every Day Office Environment"/>
    <s v="Employer who pushes your limits by enabling an learning environment, and rewards you at the end"/>
    <s v="Learning by observing others, Trial and error by doing side projects within the company"/>
    <s v="Design and Creative strategy in any company, Look deeply into Data and generate insights, Become a content Creator in some platform"/>
    <s v="Manager who explains what is expected, sets a goal and helps achieve it"/>
    <s v="Work alone, Work with 2 to 3 people in my team"/>
    <m/>
    <m/>
    <m/>
  </r>
  <r>
    <d v="2022-12-16T20:16:16"/>
    <s v="India"/>
    <n v="574111"/>
    <x v="1"/>
    <x v="2"/>
    <x v="1"/>
    <x v="1"/>
    <x v="0"/>
    <x v="0"/>
    <x v="4"/>
    <s v="Hybrid Working Environment with less than 15 days a month at office"/>
    <s v="Employer who pushes your limits by enabling an learning environment, and rewards you at the end"/>
    <s v="Learning by observing others, Trial and error by doing side projects within the company"/>
    <s v="Design and Creative strategy in any company, Design and Develop amazing software, Work in a BPO setup for some well known client"/>
    <s v="Manager who explains what is expected, sets a goal and helps achieve it"/>
    <s v="Work alone, Work with 2 to 3 people in my team"/>
    <m/>
    <m/>
    <m/>
  </r>
  <r>
    <d v="2022-12-16T20:26:38"/>
    <s v="India"/>
    <n v="576104"/>
    <x v="1"/>
    <x v="2"/>
    <x v="1"/>
    <x v="0"/>
    <x v="0"/>
    <x v="0"/>
    <x v="4"/>
    <s v="Fully Remote with Options to travel as and when needed"/>
    <s v="Employer who appreciates learning and enables that environment"/>
    <s v="Self Paced Learning Portals, Instructor or Expert Learning Programs"/>
    <s v="Look deeply into Data and generate insights, Work in a BPO setup for some well known client, Work as a freelancer and do my thing my way"/>
    <s v="Manager who explains what is expected, sets a goal and helps achieve it"/>
    <s v="Work with 5 to 6 people in my team"/>
    <m/>
    <m/>
    <m/>
  </r>
  <r>
    <d v="2022-12-16T20:33:48"/>
    <s v="India"/>
    <n v="246701"/>
    <x v="1"/>
    <x v="1"/>
    <x v="0"/>
    <x v="0"/>
    <x v="0"/>
    <x v="0"/>
    <x v="1"/>
    <s v="Hybrid Working Environment with less than 10 days a month at office"/>
    <s v="Employer who pushes your limits by enabling an learning environment, and rewards you at the end"/>
    <s v="Self Paced Learning Portals, Instructor or Expert Learning Programs"/>
    <s v="Manage and drive End-to-End Projects or Products, Work as a freelancer and do my thing my way, Become a content Creator in some platform"/>
    <s v="Manager who explains what is expected, sets a goal and helps achieve it"/>
    <s v="Work with 7 to 10 or more people in my team"/>
    <m/>
    <m/>
    <m/>
  </r>
  <r>
    <d v="2022-12-16T20:58:24"/>
    <s v="India"/>
    <n v="560060"/>
    <x v="0"/>
    <x v="4"/>
    <x v="0"/>
    <x v="1"/>
    <x v="1"/>
    <x v="1"/>
    <x v="5"/>
    <s v="Every Day Office Environment"/>
    <s v="Employer who appreciates learning and enables that environment"/>
    <s v="Self Paced Learning Portals, Learning by observing others"/>
    <s v="Business Operations in any organization, Manage and drive End-to-End Projects or Products, Design and Develop amazing software"/>
    <s v="Manager who sets goal and helps me achieve it"/>
    <s v="Work with 2 to 3 people in my team"/>
    <m/>
    <m/>
    <m/>
  </r>
  <r>
    <d v="2022-12-16T21:00:09"/>
    <s v="India"/>
    <n v="520007"/>
    <x v="0"/>
    <x v="0"/>
    <x v="2"/>
    <x v="1"/>
    <x v="0"/>
    <x v="1"/>
    <x v="3"/>
    <s v="Hybrid Working Environment with less than 3 days a month at office"/>
    <s v="Employer who pushes your limits and doesn't enables learning environment and never rewards you"/>
    <s v="Self Paced Learning Portals, Learning by observing others"/>
    <s v="Build and develop a Team, Design and Develop amazing software, Look deeply into Data and generate insights"/>
    <s v="Manager who explains what is expected, sets a goal and helps achieve it"/>
    <s v="Work with 2 to 3 people in my team, Work with 5 to 6 people in my team"/>
    <m/>
    <m/>
    <m/>
  </r>
  <r>
    <d v="2022-12-16T21:17:22"/>
    <s v="India"/>
    <n v="641663"/>
    <x v="0"/>
    <x v="4"/>
    <x v="0"/>
    <x v="1"/>
    <x v="1"/>
    <x v="1"/>
    <x v="9"/>
    <s v="Every Day Office Environment"/>
    <s v="Employer who appreciates learning and enables that environment"/>
    <s v="Learning by observing others, Trial and error by doing side projects within the company"/>
    <s v="Design and Creative strategy in any company, Build and develop a Team, Work as a freelancer and do my thing my way"/>
    <s v="Manager who clearly describes what she/he needs"/>
    <s v="Work with more than 10 people in my team"/>
    <m/>
    <m/>
    <m/>
  </r>
  <r>
    <d v="2022-12-16T21:26:43"/>
    <s v="United States of America"/>
    <n v="84321"/>
    <x v="0"/>
    <x v="2"/>
    <x v="0"/>
    <x v="0"/>
    <x v="0"/>
    <x v="0"/>
    <x v="4"/>
    <s v="Hybrid Working Environment with less than 15 days a month at office"/>
    <s v="Employer who appreciates learning and enables that environment"/>
    <s v="Self Paced Learning Portal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alone, Work with 2 to 3 people in my team"/>
    <m/>
    <m/>
    <m/>
  </r>
  <r>
    <d v="2022-12-16T21:55:48"/>
    <s v="India"/>
    <n v="607104"/>
    <x v="0"/>
    <x v="2"/>
    <x v="2"/>
    <x v="0"/>
    <x v="0"/>
    <x v="1"/>
    <x v="5"/>
    <s v="Hybrid Working Environment with less than 15 days a month at office"/>
    <s v="Employer who rewards learning and enables that environment"/>
    <s v="Learning by observing others, Trial and error by doing side projects within the company"/>
    <s v="Teaching in any of the institutes/online or Offline, Business Operations in any organization, Look deeply into Data and generate insights"/>
    <s v="Manager who explains what is expected, sets a goal and helps achieve it"/>
    <s v="Work with more than 10 people in my team"/>
    <m/>
    <m/>
    <m/>
  </r>
  <r>
    <d v="2022-12-16T21:59:33"/>
    <s v="India"/>
    <n v="609305"/>
    <x v="0"/>
    <x v="0"/>
    <x v="2"/>
    <x v="2"/>
    <x v="0"/>
    <x v="0"/>
    <x v="1"/>
    <s v="Every Day Office Environment"/>
    <s v="Employer who appreciates learning and enables that environment"/>
    <s v="Self Paced Learning Portals, Trial and error by doing side projects within the company"/>
    <s v="Design and Creative strategy in any company, Work as a freelancer and do my thing my way, Become a content Creator in some platform"/>
    <s v="Manager who clearly describes what she/he needs"/>
    <s v="Work with 2 to 3 people in my team"/>
    <m/>
    <m/>
    <m/>
  </r>
  <r>
    <d v="2022-12-16T22:02:31"/>
    <s v="India"/>
    <n v="607104"/>
    <x v="0"/>
    <x v="0"/>
    <x v="2"/>
    <x v="2"/>
    <x v="0"/>
    <x v="1"/>
    <x v="7"/>
    <s v="Every Day Office Environment"/>
    <s v="Employer who pushes your limits by enabling an learning environment, and rewards you at the end"/>
    <s v="Self Paced Learning Portals, Learning by observing others"/>
    <s v="Look deeply into Data and generate insights, Work in a BPO setup for some well known client, Become a content Creator in some platform"/>
    <s v="Manager who sets unrealistic targets"/>
    <s v="Work with 5 to 6 people in my team"/>
    <m/>
    <m/>
    <m/>
  </r>
  <r>
    <d v="2022-12-16T22:08:51"/>
    <s v="India"/>
    <n v="425001"/>
    <x v="0"/>
    <x v="3"/>
    <x v="0"/>
    <x v="0"/>
    <x v="0"/>
    <x v="1"/>
    <x v="6"/>
    <s v="Every Day Office Environment"/>
    <s v="Employer who pushes your limits by enabling an learning environment, and rewards you at the end"/>
    <s v="Self Paced Learning Portals, Instructor or Expert Learning Programs"/>
    <s v="Business Operations in any organization, Build and develop a Team, Look deeply into Data and generate insights"/>
    <s v="Manager who explains what is expected, sets a goal and helps achieve it"/>
    <s v="Work with 2 to 3 people in my team"/>
    <m/>
    <m/>
    <m/>
  </r>
  <r>
    <d v="2022-12-16T22:09:16"/>
    <s v="India"/>
    <n v="560029"/>
    <x v="1"/>
    <x v="4"/>
    <x v="0"/>
    <x v="1"/>
    <x v="0"/>
    <x v="0"/>
    <x v="6"/>
    <s v="Fully Remote with Options to travel as and when needed"/>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ecome a content Creator in some platform"/>
    <s v="Manager who explains what is expected, sets a goal and helps achieve it"/>
    <s v="Work with 5 to 6 people in my team"/>
    <m/>
    <m/>
    <m/>
  </r>
  <r>
    <d v="2022-12-17T00:03:42"/>
    <s v="India"/>
    <n v="400013"/>
    <x v="0"/>
    <x v="4"/>
    <x v="1"/>
    <x v="0"/>
    <x v="0"/>
    <x v="0"/>
    <x v="2"/>
    <s v="Hybrid Working Environment with less than 10 days a month at office"/>
    <s v="Employer who pushes your limits by enabling an learning environment, and rewards you at the end"/>
    <s v="Instructor or Expert Learning Programs, Trial and error by doing side projects within the company"/>
    <s v="Design and Creative strategy in any company, Build and develop a Team, Look deeply into Data and generate insights"/>
    <s v="Manager who explains what is expected, sets a goal and helps achieve it"/>
    <s v="Work alone, Work with 5 to 6 people in my team"/>
    <m/>
    <m/>
    <m/>
  </r>
  <r>
    <d v="2022-12-17T00:11:16"/>
    <s v="India"/>
    <n v="431109"/>
    <x v="0"/>
    <x v="3"/>
    <x v="0"/>
    <x v="0"/>
    <x v="0"/>
    <x v="0"/>
    <x v="4"/>
    <s v="Hybrid Working Environment with less than 15 days a month at office"/>
    <s v="Employer who pushes your limits by enabling an learning environment, and rewards you at the end"/>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2 to 3 people in my team"/>
    <m/>
    <m/>
    <m/>
  </r>
  <r>
    <d v="2022-12-17T01:09:06"/>
    <s v="India"/>
    <n v="133001"/>
    <x v="0"/>
    <x v="2"/>
    <x v="2"/>
    <x v="0"/>
    <x v="0"/>
    <x v="0"/>
    <x v="5"/>
    <s v="Hybrid Working Environment with less than 10 days a month at office"/>
    <s v="Employer who pushes your limits by enabling an learning environment, and rewards you at the end"/>
    <s v="Instructor or Expert Learning Programs, Learning by observing others"/>
    <s v="Business Operations in any organization, Manage and drive End-to-End Projects or Products, Work as a freelancer and do my thing my way"/>
    <s v="Manager who explains what is expected, sets a goal and helps achieve it"/>
    <s v="Work with 2 to 3 people in my team"/>
    <m/>
    <m/>
    <m/>
  </r>
  <r>
    <d v="2022-12-17T01:22:30"/>
    <s v="India"/>
    <n v="785001"/>
    <x v="0"/>
    <x v="2"/>
    <x v="2"/>
    <x v="0"/>
    <x v="1"/>
    <x v="0"/>
    <x v="4"/>
    <s v="Hybrid Working Environment with less than 3 days a month at office"/>
    <s v="Employer who appreciates learning and enables that environment"/>
    <s v="Instructor or Expert Learning Programs, Trial and error by doing side projects within the company"/>
    <s v="Design and Develop amazing software, Look deeply into Data and generate insights, Work as a freelancer and do my thing my way"/>
    <s v="Manager who explains what is expected, sets a goal and helps achieve it"/>
    <s v="Work with 2 to 3 people in my team"/>
    <m/>
    <m/>
    <m/>
  </r>
  <r>
    <d v="2022-12-17T06:40:06"/>
    <s v="India"/>
    <n v="561203"/>
    <x v="0"/>
    <x v="3"/>
    <x v="0"/>
    <x v="0"/>
    <x v="1"/>
    <x v="1"/>
    <x v="4"/>
    <s v="Hybrid Working Environment with less than 10 days a month at office"/>
    <s v="Employer who pushes your limits and doesn't enables learning environment and never rewards you"/>
    <s v="Self Paced Learning Portals, Instructor or Expert Learning Programs"/>
    <s v="Design and Creative strategy in any company, Teaching in any of the institutes/online or Offline, Build and develop a Team"/>
    <s v="Manager who sets goal and helps me achieve it"/>
    <s v="Work with 5 to 6 people in my team"/>
    <m/>
    <m/>
    <m/>
  </r>
  <r>
    <d v="2022-12-17T08:57:33"/>
    <s v="India"/>
    <n v="852131"/>
    <x v="0"/>
    <x v="4"/>
    <x v="1"/>
    <x v="0"/>
    <x v="1"/>
    <x v="0"/>
    <x v="0"/>
    <s v="Hybrid Working Environment with less than 15 days a month at office"/>
    <s v="Employer who pushes your limits by enabling an learning environment, and rewards you at the end"/>
    <s v="Learning by observing others, Trial and error by doing side projects within the company"/>
    <s v="Manage and drive End-to-End Projects or Products, Look deeply into Data and generate insights, Work as a freelancer and do my thing my way"/>
    <s v="Manager who sets goal and helps me achieve it"/>
    <s v="Work with 2 to 3 people in my team"/>
    <m/>
    <m/>
    <m/>
  </r>
  <r>
    <d v="2022-12-17T09:19:46"/>
    <s v="India"/>
    <n v="560072"/>
    <x v="0"/>
    <x v="1"/>
    <x v="2"/>
    <x v="0"/>
    <x v="0"/>
    <x v="1"/>
    <x v="5"/>
    <s v="Fully Remote with Options to travel as and when needed"/>
    <s v="Employer who pushes your limits by enabling an learning environment, and rewards you at the end"/>
    <s v="Self Paced Learning Portals, Trial and error by doing side projects within the company"/>
    <s v="Business Operations in any organization, Design and Develop amazing software, Look deeply into Data and generate insights"/>
    <s v="Manager who explains what is expected, sets a goal and helps achieve it"/>
    <s v="Work with more than 10 people in my team"/>
    <m/>
    <m/>
    <m/>
  </r>
  <r>
    <d v="2022-12-17T10:47:20"/>
    <s v="India"/>
    <n v="410206"/>
    <x v="0"/>
    <x v="2"/>
    <x v="2"/>
    <x v="0"/>
    <x v="0"/>
    <x v="0"/>
    <x v="7"/>
    <s v="Hybrid Working Environment with less than 10 days a month at office"/>
    <s v="Employer who pushes your limits by enabling an learning environment, and rewards you at the end"/>
    <s v="Self Paced Learning Portals, Trial and error by doing side projects within the company"/>
    <s v="Manage and drive End-to-End Projects or Products, Build and develop a Team, Design and Develop amazing software"/>
    <s v="Manager who explains what is expected, sets a goal and helps achieve it"/>
    <s v="Work with 2 to 3 people in my team"/>
    <m/>
    <m/>
    <m/>
  </r>
  <r>
    <d v="2022-12-17T11:36:55"/>
    <s v="Germany"/>
    <n v="83024"/>
    <x v="0"/>
    <x v="1"/>
    <x v="0"/>
    <x v="1"/>
    <x v="0"/>
    <x v="0"/>
    <x v="3"/>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Design and Develop amazing software"/>
    <s v="Manager who clearly describes what she/he needs"/>
    <s v="Work alone, Work with 2 to 3 people in my team, Work with 5 to 6 people in my team, Work with 7 to 10 or more people in my team, Work with more than 10 people in my team"/>
    <m/>
    <m/>
    <m/>
  </r>
  <r>
    <d v="2022-12-17T12:45:09"/>
    <s v="India"/>
    <n v="474009"/>
    <x v="0"/>
    <x v="0"/>
    <x v="1"/>
    <x v="0"/>
    <x v="0"/>
    <x v="0"/>
    <x v="2"/>
    <s v="Hybrid Working Environment with less than 15 days a month at office"/>
    <s v="Employer who pushes your limits by enabling an learning environment, and rewards you at the end"/>
    <s v="Learning by observing others, Trial and error by doing side projects within the company"/>
    <s v="Build and develop a Team, Design and Develop amazing software, Look deeply into Data and generate insights"/>
    <s v="Manager who explains what is expected, sets a goal and helps achieve it"/>
    <s v="Work with 5 to 6 people in my team"/>
    <m/>
    <m/>
    <m/>
  </r>
  <r>
    <d v="2022-12-17T12:51:11"/>
    <s v="India"/>
    <n v="400101"/>
    <x v="1"/>
    <x v="4"/>
    <x v="1"/>
    <x v="1"/>
    <x v="0"/>
    <x v="0"/>
    <x v="4"/>
    <s v="Hybrid Working Environment with less than 10 days a month at office"/>
    <s v="Employer who appreciates learning and enables that environment"/>
    <s v="Learning by observing others, Trial and error by doing side projects within the company"/>
    <s v="Manage and drive End-to-End Projects or Products, Design and Develop amazing software, Look deeply into Data and generate insights"/>
    <s v="Manager who sets targets and expects me to achieve it"/>
    <s v="Work alone, Work with 2 to 3 people in my team"/>
    <m/>
    <m/>
    <m/>
  </r>
  <r>
    <d v="2022-12-17T12:53:16"/>
    <s v="India"/>
    <n v="560090"/>
    <x v="1"/>
    <x v="4"/>
    <x v="0"/>
    <x v="1"/>
    <x v="0"/>
    <x v="0"/>
    <x v="0"/>
    <s v="Hybrid Working Environment with less than 15 days a month at office"/>
    <s v="Employer who rewards learning and enables that environment"/>
    <s v="Instructor or Expert Learning Programs, Trial and error by doing side projects within the company"/>
    <s v="Business Operations in any organization, Manage and drive End-to-End Projects or Products, Build and develop a Team"/>
    <s v="Manager who clearly describes what she/he needs"/>
    <s v="Work with 5 to 6 people in my team"/>
    <m/>
    <m/>
    <m/>
  </r>
  <r>
    <d v="2022-12-17T13:33:40"/>
    <s v="India"/>
    <n v="380015"/>
    <x v="0"/>
    <x v="3"/>
    <x v="2"/>
    <x v="1"/>
    <x v="1"/>
    <x v="1"/>
    <x v="3"/>
    <s v="Hybrid Working Environment with less than 10 days a month at office"/>
    <s v="Employer who pushes your limits by enabling an learning environment, and rewards you at the end"/>
    <s v="Instructor or Expert Learning Programs, Trial and error by doing side projects within the company"/>
    <s v="Design and Develop amazing software, Work as a freelancer and do my thing my way, Become a content Creator in some platform"/>
    <s v="Manager who explains what is expected, sets a goal and helps achieve it"/>
    <s v="Work with 2 to 3 people in my team"/>
    <m/>
    <m/>
    <m/>
  </r>
  <r>
    <d v="2022-12-17T13:52:49"/>
    <s v="India"/>
    <n v="700111"/>
    <x v="0"/>
    <x v="4"/>
    <x v="1"/>
    <x v="0"/>
    <x v="0"/>
    <x v="0"/>
    <x v="4"/>
    <s v="Hybrid Working Environment with less than 15 days a month at office"/>
    <s v="Employer who pushes your limits by enabling an learning environment, and rewards you at the end"/>
    <s v="Self Paced Learning Portals, Trial and error by doing side projects within the company"/>
    <s v="Teaching in any of the institutes/online or Offline, Manage and drive End-to-End Projects or Products, Build and develop a Team"/>
    <s v="Manager who explains what is expected, sets a goal and helps achieve it"/>
    <s v="Work alone, Work with 2 to 3 people in my team, Work with 5 to 6 people in my team, Work with 7 to 10 or more people in my team, Work with more than 10 people in my team"/>
    <m/>
    <m/>
    <m/>
  </r>
  <r>
    <d v="2022-12-17T13:53:32"/>
    <s v="India"/>
    <n v="281001"/>
    <x v="1"/>
    <x v="0"/>
    <x v="0"/>
    <x v="1"/>
    <x v="0"/>
    <x v="0"/>
    <x v="5"/>
    <s v="Fully Remote with Options to travel as and when needed"/>
    <s v="Employer who pushes your limits by enabling an learning environment, and rewards you at the end"/>
    <s v="Instructor or Expert Learning Programs, Learning by observing others"/>
    <s v="Design and Creative strategy in any company, Look deeply into Data and generate insights, Work as a freelancer and do my thing my way"/>
    <s v="Manager who explains what is expected, sets a goal and helps achieve it"/>
    <s v="Work with 5 to 6 people in my team"/>
    <m/>
    <m/>
    <m/>
  </r>
  <r>
    <d v="2022-12-17T14:04:42"/>
    <s v="India"/>
    <n v="517112"/>
    <x v="0"/>
    <x v="4"/>
    <x v="1"/>
    <x v="0"/>
    <x v="0"/>
    <x v="0"/>
    <x v="4"/>
    <s v="Hybrid Working Environment with less than 15 days a month at office"/>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clearly describes what she/he needs"/>
    <s v="Work with 2 to 3 people in my team"/>
    <m/>
    <m/>
    <m/>
  </r>
  <r>
    <d v="2022-12-17T14:18:44"/>
    <s v="India"/>
    <n v="711315"/>
    <x v="0"/>
    <x v="4"/>
    <x v="1"/>
    <x v="0"/>
    <x v="1"/>
    <x v="1"/>
    <x v="5"/>
    <s v="Fully Remote with Options to travel as and when needed"/>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m/>
    <m/>
    <m/>
  </r>
  <r>
    <d v="2022-12-17T14:22:30"/>
    <s v="India"/>
    <n v="400012"/>
    <x v="0"/>
    <x v="4"/>
    <x v="2"/>
    <x v="1"/>
    <x v="0"/>
    <x v="0"/>
    <x v="5"/>
    <s v="Hybrid Working Environment with less than 15 days a month at office"/>
    <s v="Employer who appreciates learning and enables that environment"/>
    <s v="Instructor or Expert Learning Programs, Learning by observing others"/>
    <s v="Manage and drive End-to-End Projects or Products, Build and develop a Team, Design and Develop amazing software"/>
    <s v="Manager who clearly describes what she/he needs"/>
    <s v="Work with 5 to 6 people in my team"/>
    <m/>
    <m/>
    <m/>
  </r>
  <r>
    <d v="2022-12-17T14:38:58"/>
    <s v="India"/>
    <n v="500072"/>
    <x v="0"/>
    <x v="2"/>
    <x v="1"/>
    <x v="0"/>
    <x v="0"/>
    <x v="0"/>
    <x v="3"/>
    <s v="Fully Remote with Options to travel as and when needed"/>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alone"/>
    <m/>
    <m/>
    <m/>
  </r>
  <r>
    <d v="2022-12-17T14:55:50"/>
    <s v="India"/>
    <n v="380015"/>
    <x v="1"/>
    <x v="4"/>
    <x v="0"/>
    <x v="0"/>
    <x v="1"/>
    <x v="1"/>
    <x v="5"/>
    <s v="Hybrid Working Environment with less than 3 days a month at office"/>
    <s v="Employer who rewards learning and enables that environment"/>
    <s v="Self Paced Learning Portals, Instructor or Expert Learning Programs"/>
    <s v="Design and Creative strategy in any company, Look deeply into Data and generate insights, Work as a freelancer and do my thing my way"/>
    <s v="Manager who sets goal and helps me achieve it"/>
    <s v="Work with more than 10 people in my team"/>
    <m/>
    <m/>
    <m/>
  </r>
  <r>
    <d v="2022-12-17T15:11:27"/>
    <s v="India"/>
    <n v="751010"/>
    <x v="1"/>
    <x v="2"/>
    <x v="0"/>
    <x v="0"/>
    <x v="0"/>
    <x v="0"/>
    <x v="5"/>
    <s v="Hybrid Working Environment with less than 10 days a month at office"/>
    <s v="Employer who pushes your limits by enabling an learning environment, and rewards you at the end"/>
    <s v="Instructor or Expert Learning Programs, Learning by observing others"/>
    <s v="Manage and drive End-to-End Projects or Products, Build and develop a Team, Look deeply into Data and generate insights"/>
    <s v="Manager who explains what is expected, sets a goal and helps achieve it"/>
    <s v="Work with 2 to 3 people in my team, Work with 5 to 6 people in my team"/>
    <m/>
    <m/>
    <m/>
  </r>
  <r>
    <d v="2022-12-17T16:56:18"/>
    <s v="India"/>
    <n v="425401"/>
    <x v="0"/>
    <x v="3"/>
    <x v="0"/>
    <x v="1"/>
    <x v="0"/>
    <x v="0"/>
    <x v="3"/>
    <s v="Every Day Office Environment"/>
    <s v="Employer who appreciates learning and enables that environment"/>
    <s v="Instructor or Expert Learning Programs, Learning by observing others"/>
    <s v="Business Operations in any organization, Manage and drive End-to-End Projects or Products, Build and develop a Team"/>
    <s v="Manager who clearly describes what she/he needs"/>
    <s v="Work with more than 10 people in my team"/>
    <m/>
    <m/>
    <m/>
  </r>
  <r>
    <d v="2022-12-17T17:03:20"/>
    <s v="India"/>
    <n v="425002"/>
    <x v="1"/>
    <x v="4"/>
    <x v="2"/>
    <x v="1"/>
    <x v="0"/>
    <x v="0"/>
    <x v="6"/>
    <s v="Fully Remote with No option to visit offices"/>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sets goal and helps me achieve it"/>
    <s v="Work with 2 to 3 people in my team"/>
    <m/>
    <m/>
    <m/>
  </r>
  <r>
    <d v="2022-12-17T18:30:57"/>
    <s v="India"/>
    <n v="760001"/>
    <x v="1"/>
    <x v="2"/>
    <x v="2"/>
    <x v="1"/>
    <x v="0"/>
    <x v="0"/>
    <x v="8"/>
    <s v="Fully Remote with Options to travel as and when needed"/>
    <s v="Employer who pushes your limits and doesn't enables learning environment and never rewards you"/>
    <s v="Learning by observing others, Trial and error by doing side projects within the company"/>
    <s v="Design and Creative strategy in any company, Business Operations in any organization, Work in a BPO setup for some well known client"/>
    <s v="Manager who explains what is expected, sets a goal and helps achieve it"/>
    <s v="Work with 2 to 3 people in my team"/>
    <m/>
    <m/>
    <m/>
  </r>
  <r>
    <d v="2022-12-17T19:11:31"/>
    <s v="India"/>
    <n v="226023"/>
    <x v="0"/>
    <x v="3"/>
    <x v="2"/>
    <x v="0"/>
    <x v="1"/>
    <x v="0"/>
    <x v="4"/>
    <s v="Hybrid Working Environment with less than 10 days a month at office"/>
    <s v="Employer who appreciates learning and enables that environment"/>
    <s v="Instructor or Expert Learning Programs, Trial and error by doing side projects within the company"/>
    <s v="Manage and drive End-to-End Projects or Products, Look deeply into Data and generate insights, Become a content Creator in some platform"/>
    <s v="Manager who explains what is expected, sets a goal and helps achieve it"/>
    <s v="Work with 5 to 6 people in my team"/>
    <m/>
    <m/>
    <m/>
  </r>
  <r>
    <d v="2022-12-17T19:28:13"/>
    <s v="India"/>
    <n v="560077"/>
    <x v="0"/>
    <x v="0"/>
    <x v="2"/>
    <x v="1"/>
    <x v="0"/>
    <x v="0"/>
    <x v="6"/>
    <s v="Fully Remote with Options to travel as and when needed"/>
    <s v="Employer who pushes your limits by enabling an learning environment, and rewards you at the end"/>
    <s v="Self Paced Learning Portals, Learning by observing others"/>
    <s v="Teaching in any of the institutes/online or Offline, Design and Develop amazing software, Look deeply into Data and generate insights"/>
    <s v="Manager who explains what is expected, sets a goal and helps achieve it"/>
    <s v="Work with 5 to 6 people in my team"/>
    <m/>
    <m/>
    <m/>
  </r>
  <r>
    <d v="2022-12-17T20:14:15"/>
    <s v="India"/>
    <n v="302039"/>
    <x v="0"/>
    <x v="4"/>
    <x v="2"/>
    <x v="1"/>
    <x v="1"/>
    <x v="1"/>
    <x v="9"/>
    <s v="Fully Remote with No option to visit offices"/>
    <s v="Employer who appreciates learning and enables that environment"/>
    <s v="Instructor or Expert Learning Programs, Learning by observing others"/>
    <s v="Design and Creative strategy in any company, Manage and drive End-to-End Projects or Products, Look deeply into Data and generate insights"/>
    <s v="Manager who clearly describes what she/he needs"/>
    <s v="Work with 5 to 6 people in my team"/>
    <m/>
    <m/>
    <m/>
  </r>
  <r>
    <d v="2022-12-17T20:36:46"/>
    <s v="India"/>
    <n v="751010"/>
    <x v="0"/>
    <x v="3"/>
    <x v="0"/>
    <x v="0"/>
    <x v="0"/>
    <x v="1"/>
    <x v="7"/>
    <s v="Hybrid Working Environment with less than 15 days a month at office"/>
    <s v="Employer who pushes your limits by enabling an learning environment, and rewards you at the end"/>
    <s v="Instructor or Expert Learning Programs, Trial and error by doing side projects within the company"/>
    <s v="Manage and drive End-to-End Projects or Products, Build and develop a Team, Work in a BPO setup for some well known client"/>
    <s v="Manager who explains what is expected, sets a goal and helps achieve it"/>
    <s v="Work with 7 to 10 or more people in my team"/>
    <m/>
    <m/>
    <m/>
  </r>
  <r>
    <d v="2022-12-17T20:44:46"/>
    <s v="Germany"/>
    <n v="81827"/>
    <x v="0"/>
    <x v="0"/>
    <x v="0"/>
    <x v="1"/>
    <x v="1"/>
    <x v="1"/>
    <x v="4"/>
    <s v="Fully Remote with Options to travel as and when needed"/>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clearly describes what she/he needs"/>
    <s v="Work alone, Work with 2 to 3 people in my team"/>
    <m/>
    <m/>
    <m/>
  </r>
  <r>
    <d v="2022-12-17T21:29:33"/>
    <s v="India"/>
    <n v="121003"/>
    <x v="0"/>
    <x v="2"/>
    <x v="1"/>
    <x v="0"/>
    <x v="0"/>
    <x v="0"/>
    <x v="4"/>
    <s v="Hybrid Working Environment with less than 15 days a month at office"/>
    <s v="Employer who pushes your limits by enabling an learning environment, and rewards you at the end"/>
    <s v="Self Paced Learning Portals, Learning by observing others"/>
    <s v="Business Operations in any organization, Manage and drive End-to-End Projects or Products, Look deeply into Data and generate insights"/>
    <s v="Manager who explains what is expected, sets a goal and helps achieve it"/>
    <s v="Work with 2 to 3 people in my team"/>
    <m/>
    <m/>
    <m/>
  </r>
  <r>
    <d v="2022-12-17T22:12:28"/>
    <s v="India"/>
    <n v="101201"/>
    <x v="0"/>
    <x v="4"/>
    <x v="2"/>
    <x v="0"/>
    <x v="0"/>
    <x v="0"/>
    <x v="6"/>
    <s v="Hybrid Working Environment with less than 3 days a month at office"/>
    <s v="Employer who pushes your limits by enabling an learning environment, and rewards you at the end"/>
    <s v="Instructor or Expert Learning Programs, Learning by observing others"/>
    <s v="Business Operations in any organization, Manage and drive End-to-End Projects or Products, Build and develop a Team"/>
    <s v="Manager who sets goal and helps me achieve it"/>
    <s v="Work with 2 to 3 people in my team"/>
    <m/>
    <m/>
    <m/>
  </r>
  <r>
    <d v="2022-12-17T22:19:05"/>
    <s v="India"/>
    <n v="605401"/>
    <x v="0"/>
    <x v="4"/>
    <x v="0"/>
    <x v="1"/>
    <x v="1"/>
    <x v="0"/>
    <x v="2"/>
    <s v="Hybrid Working Environment with less than 10 days a month at office"/>
    <s v="Employer who appreciates learning and enables that environment"/>
    <s v="Instructor or Expert Learning Programs, Trial and error by doing side projects within the company"/>
    <s v="Design and Creative strategy in any company, Build and develop a Team, Look deeply into Data and generate insights"/>
    <s v="Manager who sets goal and helps me achieve it"/>
    <s v="Work alone, Work with 2 to 3 people in my team, Work with 5 to 6 people in my team"/>
    <m/>
    <m/>
    <m/>
  </r>
  <r>
    <d v="2022-12-18T09:37:08"/>
    <s v="India"/>
    <n v="753003"/>
    <x v="0"/>
    <x v="3"/>
    <x v="0"/>
    <x v="0"/>
    <x v="1"/>
    <x v="1"/>
    <x v="2"/>
    <s v="Hybrid Working Environment with less than 15 days a month at office"/>
    <s v="Employer who appreciates learning and enables that environment"/>
    <s v="Self Paced Learning Portals, Instructor or Expert Learning Programs"/>
    <s v="Design and Creative strategy in any company, Business Operations in any organization, Manage and drive End-to-End Projects or Products"/>
    <s v="Manager who clearly describes what she/he needs"/>
    <s v="Work with 2 to 3 people in my team"/>
    <m/>
    <m/>
    <m/>
  </r>
  <r>
    <d v="2022-12-18T11:18:25"/>
    <s v="India"/>
    <n v="416509"/>
    <x v="0"/>
    <x v="1"/>
    <x v="0"/>
    <x v="0"/>
    <x v="0"/>
    <x v="0"/>
    <x v="2"/>
    <s v="Hybrid Working Environment with less than 15 days a month at office"/>
    <s v="Employer who appreciates learning and enables that environment"/>
    <s v="Self Paced Learning Portals, Instructor or Expert Learning Programs"/>
    <s v="Teaching in any of the institutes/online or Offline, Build and develop a Team, Work as a freelancer and do my thing my way"/>
    <s v="Manager who sets goal and helps me achieve it"/>
    <s v="Work with 5 to 6 people in my team"/>
    <m/>
    <m/>
    <m/>
  </r>
  <r>
    <d v="2022-12-18T11:58:21"/>
    <s v="India"/>
    <n v="400099"/>
    <x v="0"/>
    <x v="0"/>
    <x v="1"/>
    <x v="0"/>
    <x v="0"/>
    <x v="0"/>
    <x v="3"/>
    <s v="Hybrid Working Environment with less than 3 days a month at office"/>
    <s v="Employer who rewards learning and enables that environment"/>
    <s v="Self Paced Learning Portals, Learning by observing others"/>
    <s v="Business Operations in any organization, Design and Develop amazing software, Look deeply into Data and generate insights"/>
    <s v="Manager who clearly describes what she/he needs"/>
    <s v="Work with 2 to 3 people in my team"/>
    <m/>
    <m/>
    <m/>
  </r>
  <r>
    <d v="2022-12-18T13:24:07"/>
    <s v="India"/>
    <n v="301001"/>
    <x v="0"/>
    <x v="0"/>
    <x v="0"/>
    <x v="0"/>
    <x v="0"/>
    <x v="0"/>
    <x v="0"/>
    <s v="Every Day Office Environment"/>
    <s v="Employer who appreciates learning and enables that environment"/>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5 to 6 people in my team"/>
    <m/>
    <m/>
    <m/>
  </r>
  <r>
    <d v="2022-12-18T15:06:57"/>
    <s v="India"/>
    <n v="302017"/>
    <x v="0"/>
    <x v="4"/>
    <x v="2"/>
    <x v="1"/>
    <x v="1"/>
    <x v="0"/>
    <x v="4"/>
    <s v="Hybrid Working Environment with less than 15 days a month at office"/>
    <s v="Employer who pushes your limits by enabling an learning environment, and rewards you at the end"/>
    <s v="Instructor or Expert Learning Programs, Learning by observing others"/>
    <s v="Design and Creative strategy in any company, Teaching in any of the institutes/online or Offline, Business Operations in any organization"/>
    <s v="Manager who explains what is expected, sets a goal and helps achieve it"/>
    <s v="Work with 5 to 6 people in my team"/>
    <m/>
    <m/>
    <m/>
  </r>
  <r>
    <d v="2022-12-18T15:41:26"/>
    <s v="India"/>
    <n v="560096"/>
    <x v="1"/>
    <x v="4"/>
    <x v="0"/>
    <x v="0"/>
    <x v="0"/>
    <x v="0"/>
    <x v="6"/>
    <s v="Hybrid Working Environment with less than 10 days a month at office"/>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Work as a freelancer and do my thing my way"/>
    <s v="Manager who clearly describes what she/he needs"/>
    <s v="Work with 5 to 6 people in my team"/>
    <m/>
    <m/>
    <m/>
  </r>
  <r>
    <d v="2022-12-18T17:32:01"/>
    <s v="India"/>
    <n v="431005"/>
    <x v="0"/>
    <x v="4"/>
    <x v="0"/>
    <x v="1"/>
    <x v="0"/>
    <x v="1"/>
    <x v="1"/>
    <s v="Fully Remote with Options to travel as and when needed"/>
    <s v="Employer who pushes your limits by enabling an learning environment, and rewards you at the end"/>
    <s v="Self Paced Learning Portals, Instructor or Expert Learning Programs"/>
    <s v="Teaching in any of the institutes/online or Offline, Build and develop a Team, Become a content Creator in some platform"/>
    <s v="Manager who sets goal and helps me achieve it"/>
    <s v="Work with 2 to 3 people in my team"/>
    <m/>
    <m/>
    <m/>
  </r>
  <r>
    <d v="2022-12-18T17:39:37"/>
    <s v="India"/>
    <n v="620005"/>
    <x v="0"/>
    <x v="2"/>
    <x v="2"/>
    <x v="0"/>
    <x v="1"/>
    <x v="0"/>
    <x v="7"/>
    <s v="Hybrid Working Environment with less than 15 days a month at office"/>
    <s v="Employer who pushes your limits by enabling an learning environment, and rewards you at the end"/>
    <s v="Learning by observing others, Trial and error by doing side projects within the company"/>
    <s v="Design and Creative strategy in any company, Look deeply into Data and generate insights, Work as a freelancer and do my thing my way"/>
    <s v="Manager who explains what is expected, sets a goal and helps achieve it"/>
    <s v="Work with 5 to 6 people in my team"/>
    <m/>
    <m/>
    <m/>
  </r>
  <r>
    <d v="2022-12-18T18:03:02"/>
    <s v="India"/>
    <n v="786001"/>
    <x v="0"/>
    <x v="4"/>
    <x v="0"/>
    <x v="0"/>
    <x v="0"/>
    <x v="0"/>
    <x v="0"/>
    <s v="Every Day Office Environment"/>
    <s v="Employer who appreciates learning and enables that environment"/>
    <s v="Instructor or Expert Learning Programs, Learning by observing others"/>
    <s v="Design and Creative strategy in any company, Business Operations in any organization, Manage and drive End-to-End Projects or Products"/>
    <s v="Manager who clearly describes what she/he needs"/>
    <s v="Work with 5 to 6 people in my team"/>
    <m/>
    <m/>
    <m/>
  </r>
  <r>
    <d v="2022-12-18T18:20:17"/>
    <s v="India"/>
    <n v="422010"/>
    <x v="1"/>
    <x v="0"/>
    <x v="2"/>
    <x v="1"/>
    <x v="0"/>
    <x v="0"/>
    <x v="6"/>
    <s v="Fully Remote with Options to travel as and when needed"/>
    <s v="Employer who rewards learning and enables that environment"/>
    <s v="Learning by observing other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with 5 to 6 people in my team, Work with 7 to 10 or more people in my team, Work with more than 10 people in my team"/>
    <m/>
    <m/>
    <m/>
  </r>
  <r>
    <d v="2022-12-18T20:37:32"/>
    <s v="India"/>
    <n v="110044"/>
    <x v="0"/>
    <x v="3"/>
    <x v="1"/>
    <x v="0"/>
    <x v="1"/>
    <x v="1"/>
    <x v="2"/>
    <s v="Fully Remote with Options to travel as and when needed"/>
    <s v="Employer who rewards learning and enables that environment"/>
    <s v="Self Paced Learning Portals, Instructor or Expert Learning Programs"/>
    <s v="Design and Creative strategy in any company, Manage and drive End-to-End Projects or Products, Look deeply into Data and generate insights"/>
    <s v="Manager who explains what is expected, sets a goal and helps achieve it"/>
    <s v="Work alone, Work with 2 to 3 people in my team, Work with 5 to 6 people in my team"/>
    <m/>
    <m/>
    <m/>
  </r>
  <r>
    <d v="2022-12-18T20:57:59"/>
    <s v="India"/>
    <n v="700156"/>
    <x v="0"/>
    <x v="2"/>
    <x v="2"/>
    <x v="1"/>
    <x v="0"/>
    <x v="0"/>
    <x v="2"/>
    <s v="Hybrid Working Environment with less than 3 days a month at office"/>
    <s v="Employer who pushes your limits by enabling an learning environment, and rewards you at the end"/>
    <s v="Instructor or Expert Learning Programs, Learning by observing others"/>
    <s v="Business Operations in any organization,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Work with more than 10 people in my team"/>
    <m/>
    <m/>
    <m/>
  </r>
  <r>
    <d v="2022-12-18T21:41:55"/>
    <s v="India"/>
    <n v="824003"/>
    <x v="0"/>
    <x v="2"/>
    <x v="0"/>
    <x v="0"/>
    <x v="0"/>
    <x v="0"/>
    <x v="9"/>
    <s v="Hybrid Working Environment with less than 3 days a month at office"/>
    <s v="Employer who appreciates learning and enables that environment"/>
    <s v="Learning by observing others, Trial and error by doing side projects within the company"/>
    <s v="Business Operations in any organization, Build and develop a Team, Look deeply into Data and generate insights"/>
    <s v="Manager who sets goal and helps me achieve it"/>
    <s v="Work with 2 to 3 people in my team"/>
    <m/>
    <m/>
    <m/>
  </r>
  <r>
    <d v="2022-12-19T00:03:47"/>
    <s v="India"/>
    <n v="410505"/>
    <x v="0"/>
    <x v="1"/>
    <x v="0"/>
    <x v="1"/>
    <x v="1"/>
    <x v="1"/>
    <x v="7"/>
    <s v="Hybrid Working Environment with less than 3 days a month at office"/>
    <s v="Employer who appreciates learning and enables that environment"/>
    <s v="Self Paced Learning Portals, Learning by observing others"/>
    <s v="Design and Creative strategy in any company, Teaching in any of the institutes/online or Offline, Design and Develop amazing software"/>
    <s v="Manager who clearly describes what she/he needs"/>
    <s v="Work alone"/>
    <m/>
    <m/>
    <m/>
  </r>
  <r>
    <d v="2022-12-19T00:22:25"/>
    <s v="India"/>
    <n v="151110"/>
    <x v="1"/>
    <x v="0"/>
    <x v="2"/>
    <x v="0"/>
    <x v="1"/>
    <x v="1"/>
    <x v="8"/>
    <s v="Fully Remote with Options to travel as and when needed"/>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Work as a freelancer and do my thing my way"/>
    <s v="Manager who explains what is expected, sets a goal and helps achieve it"/>
    <s v="Work with 2 to 3 people in my team, Work with 5 to 6 people in my team"/>
    <m/>
    <m/>
    <m/>
  </r>
  <r>
    <d v="2022-12-19T00:22:47"/>
    <s v="India"/>
    <n v="410206"/>
    <x v="0"/>
    <x v="2"/>
    <x v="1"/>
    <x v="0"/>
    <x v="0"/>
    <x v="0"/>
    <x v="2"/>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usiness Operations in any organization"/>
    <s v="Manager who explains what is expected, sets a goal and helps achieve it"/>
    <s v="Work with 2 to 3 people in my team"/>
    <m/>
    <m/>
    <m/>
  </r>
  <r>
    <d v="2022-12-19T00:42:46"/>
    <s v="India"/>
    <n v="721445"/>
    <x v="0"/>
    <x v="3"/>
    <x v="1"/>
    <x v="1"/>
    <x v="0"/>
    <x v="1"/>
    <x v="2"/>
    <s v="Every Day Office Environment"/>
    <s v="Employer who appreciates learning and enables that environment"/>
    <s v="Self Paced Learning Portals, Instructor or Expert Learning Programs"/>
    <s v="Business Operations in any organization, Manage and drive End-to-End Projects or Products, Build and develop a Team"/>
    <s v="Manager who clearly describes what she/he needs"/>
    <s v="Work with 2 to 3 people in my team"/>
    <m/>
    <m/>
    <m/>
  </r>
  <r>
    <d v="2022-12-19T08:27:16"/>
    <s v="India"/>
    <n v="251309"/>
    <x v="1"/>
    <x v="1"/>
    <x v="0"/>
    <x v="0"/>
    <x v="0"/>
    <x v="0"/>
    <x v="4"/>
    <s v="Fully Remote with Options to travel as and when needed"/>
    <s v="Employer who appreciates learning and enables that environment"/>
    <s v="Instructor or Expert Learning Programs, Trial and error by doing side projects within the company"/>
    <s v="Teaching in any of the institutes/online or Offline, Build and develop a Team, Look deeply into Data and generate insights"/>
    <s v="Manager who explains what is expected, sets a goal and helps achieve it"/>
    <s v="Work with 2 to 3 people in my team, Work with 5 to 6 people in my team"/>
    <m/>
    <m/>
    <m/>
  </r>
  <r>
    <d v="2022-12-19T09:45:28"/>
    <s v="India"/>
    <n v="713216"/>
    <x v="1"/>
    <x v="4"/>
    <x v="2"/>
    <x v="1"/>
    <x v="0"/>
    <x v="0"/>
    <x v="3"/>
    <s v="Fully Remote with Options to travel as and when needed"/>
    <s v="Employer who pushes your limits by enabling an learning environment, and rewards you at the end"/>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5 to 6 people in my team"/>
    <m/>
    <m/>
    <m/>
  </r>
  <r>
    <d v="2022-12-19T10:09:13"/>
    <s v="India"/>
    <n v="670102"/>
    <x v="0"/>
    <x v="4"/>
    <x v="2"/>
    <x v="0"/>
    <x v="1"/>
    <x v="1"/>
    <x v="6"/>
    <s v="Hybrid Working Environment with less than 15 days a month at office"/>
    <s v="Employer who pushes your limits by enabling an learning environment, and rewards you at the end"/>
    <s v="Instructor or Expert Learning Programs, Learning by observing others"/>
    <s v="Business Operations in any organization, Build and develop a Team, Look deeply into Data and generate insights"/>
    <s v="Manager who explains what is expected, sets a goal and helps achieve it"/>
    <s v="Work with 2 to 3 people in my team"/>
    <m/>
    <m/>
    <m/>
  </r>
  <r>
    <d v="2022-12-19T10:09:32"/>
    <s v="India"/>
    <n v="251309"/>
    <x v="1"/>
    <x v="1"/>
    <x v="0"/>
    <x v="0"/>
    <x v="0"/>
    <x v="0"/>
    <x v="4"/>
    <s v="Hybrid Working Environment with less than 3 days a month at office"/>
    <s v="Employer who appreciates learning and enables that environment"/>
    <s v="Instructor or Expert Learning Programs, Learning by observing others"/>
    <s v="Teaching in any of the institutes/online or Offline,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m/>
    <m/>
    <m/>
  </r>
  <r>
    <d v="2022-12-19T11:02:43"/>
    <s v="India"/>
    <n v="721302"/>
    <x v="0"/>
    <x v="4"/>
    <x v="1"/>
    <x v="0"/>
    <x v="1"/>
    <x v="0"/>
    <x v="7"/>
    <s v="Hybrid Working Environment with less than 10 days a month at office"/>
    <s v="Employer who pushes your limits by enabling an learning environment, and rewards you at the end"/>
    <s v="Self Paced Learning Portals, Instructor or Expert Learning Programs"/>
    <s v="Design and Creative strategy in any company, Teaching in any of the institutes/online or Offline, Look deeply into Data and generate insights"/>
    <s v="Manager who explains what is expected, sets a goal and helps achieve it"/>
    <s v="Work with 2 to 3 people in my team"/>
    <m/>
    <m/>
    <m/>
  </r>
  <r>
    <d v="2022-12-19T12:14:58"/>
    <s v="India"/>
    <n v="382421"/>
    <x v="1"/>
    <x v="0"/>
    <x v="2"/>
    <x v="1"/>
    <x v="0"/>
    <x v="0"/>
    <x v="1"/>
    <s v="Fully Remote with Options to travel as and when needed"/>
    <s v="Employer who pushes your limits by enabling an learning environment, and rewards you at the end"/>
    <s v="Learning by observing others, Trial and error by doing side projects within the company"/>
    <s v="Design and Creative strategy in any company, Teaching in any of the institutes/online or Offline, Become a content Creator in some platform"/>
    <s v="Manager who clearly describes what she/he needs"/>
    <s v="Work alone, Work with more than 10 people in my team"/>
    <m/>
    <m/>
    <m/>
  </r>
  <r>
    <d v="2022-12-19T13:02:49"/>
    <s v="India"/>
    <n v="600016"/>
    <x v="0"/>
    <x v="3"/>
    <x v="2"/>
    <x v="1"/>
    <x v="1"/>
    <x v="1"/>
    <x v="7"/>
    <s v="Hybrid Working Environment with less than 10 days a month at office"/>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sets targets and expects me to achieve it"/>
    <s v="Work with 2 to 3 people in my team, Work with 5 to 6 people in my team, Work with 7 to 10 or more people in my team"/>
    <m/>
    <m/>
    <m/>
  </r>
  <r>
    <d v="2022-12-19T13:25:41"/>
    <s v="India"/>
    <n v="560037"/>
    <x v="0"/>
    <x v="3"/>
    <x v="1"/>
    <x v="0"/>
    <x v="0"/>
    <x v="0"/>
    <x v="4"/>
    <s v="Fully Remote with Options to travel as and when needed"/>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2 to 3 people in my team"/>
    <m/>
    <m/>
    <m/>
  </r>
  <r>
    <d v="2022-12-19T14:32:53"/>
    <s v="India"/>
    <n v="122011"/>
    <x v="0"/>
    <x v="1"/>
    <x v="1"/>
    <x v="0"/>
    <x v="0"/>
    <x v="0"/>
    <x v="5"/>
    <s v="Every Day Office Environment"/>
    <s v="Employer who pushes your limits by enabling an learning environment, and rewards you at the end"/>
    <s v="Instructor or Expert Learning Programs, Learning by observing others"/>
    <s v="Design and Creative strategy in any company, Build and develop a Team, Look deeply into Data and generate insights"/>
    <s v="Manager who explains what is expected, sets a goal and helps achieve it"/>
    <s v="Work with 5 to 6 people in my team"/>
    <m/>
    <m/>
    <m/>
  </r>
  <r>
    <d v="2022-12-19T16:47:09"/>
    <s v="India"/>
    <n v="123106"/>
    <x v="1"/>
    <x v="3"/>
    <x v="0"/>
    <x v="0"/>
    <x v="0"/>
    <x v="0"/>
    <x v="2"/>
    <s v="Fully Remote with Options to travel as and when needed"/>
    <s v="Employer who appreciates learning and enables that environment"/>
    <s v="Self Paced Learning Portals, Instructor or Expert Learning Programs"/>
    <s v="Business Operations in any organization, Design and Develop amazing software, Look deeply into Data and generate insights"/>
    <s v="Manager who explains what is expected, sets a goal and helps achieve it"/>
    <s v="Work with 5 to 6 people in my team"/>
    <m/>
    <m/>
    <m/>
  </r>
  <r>
    <d v="2022-12-19T17:10:12"/>
    <s v="India"/>
    <n v="121001"/>
    <x v="1"/>
    <x v="4"/>
    <x v="0"/>
    <x v="1"/>
    <x v="0"/>
    <x v="0"/>
    <x v="4"/>
    <s v="Hybrid Working Environment with less than 3 days a month at office"/>
    <s v="Employer who appreciates learning and enables that environment"/>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m/>
    <m/>
    <m/>
  </r>
  <r>
    <d v="2022-12-19T17:45:21"/>
    <s v="India"/>
    <n v="363310"/>
    <x v="0"/>
    <x v="0"/>
    <x v="2"/>
    <x v="0"/>
    <x v="0"/>
    <x v="0"/>
    <x v="9"/>
    <s v="Hybrid Working Environment with less than 15 days a month at office"/>
    <s v="Employer who pushes your limits and doesn't enables learning environment and never rewards you"/>
    <s v="Self Paced Learning Portals, Learning by observing others"/>
    <s v="Design and Creative strategy in any company, Teaching in any of the institutes/online or Offline, Build and develop a Team"/>
    <s v="Manager who explains what is expected, sets a goal and helps achieve it"/>
    <s v="Work with 5 to 6 people in my team"/>
    <m/>
    <m/>
    <m/>
  </r>
  <r>
    <d v="2022-12-19T19:34:33"/>
    <s v="India"/>
    <n v="382010"/>
    <x v="1"/>
    <x v="0"/>
    <x v="0"/>
    <x v="0"/>
    <x v="0"/>
    <x v="0"/>
    <x v="5"/>
    <s v="Fully Remote with Options to travel as and when needed"/>
    <s v="Employer who rewards learning and enables that environment"/>
    <s v="Self Paced Learning Portals, Instructor or Expert Learning Programs"/>
    <s v="Teaching in any of the institutes/online or Offline, Build and develop a Team, Become a content Creator in some platform"/>
    <s v="Manager who sets targets and expects me to achieve it"/>
    <s v="Work with 2 to 3 people in my team"/>
    <m/>
    <m/>
    <m/>
  </r>
  <r>
    <d v="2022-12-19T19:37:35"/>
    <s v="India"/>
    <n v="394210"/>
    <x v="0"/>
    <x v="4"/>
    <x v="2"/>
    <x v="2"/>
    <x v="0"/>
    <x v="0"/>
    <x v="3"/>
    <s v="Hybrid Working Environment with less than 3 days a month at office"/>
    <s v="Employer who pushes your limits by enabling an learning environment, and rewards you at the end"/>
    <s v="Self Paced Learning Portals, Trial and error by doing side projects within the company"/>
    <s v="Look deeply into Data and generate insights, Work as a freelancer and do my thing my way, Become a content Creator in some platform"/>
    <s v="Manager who sets goal and helps me achieve it"/>
    <s v="Work with 2 to 3 people in my team"/>
    <m/>
    <m/>
    <m/>
  </r>
  <r>
    <d v="2022-12-19T20:25:30"/>
    <s v="India"/>
    <n v="382024"/>
    <x v="0"/>
    <x v="4"/>
    <x v="0"/>
    <x v="0"/>
    <x v="0"/>
    <x v="1"/>
    <x v="0"/>
    <s v="Every Day Office Environment"/>
    <s v="Employer who appreciates learning and enables that environment"/>
    <s v="Learning by observing others, Trial and error by doing side projects within the company"/>
    <s v="Teaching in any of the institutes/online or Offline, Build and develop a Team, Design and Develop amazing software"/>
    <s v="Manager who clearly describes what she/he needs"/>
    <s v="Work with 5 to 6 people in my team"/>
    <m/>
    <m/>
    <m/>
  </r>
  <r>
    <d v="2022-12-19T21:32:20"/>
    <s v="India"/>
    <n v="721101"/>
    <x v="0"/>
    <x v="2"/>
    <x v="1"/>
    <x v="2"/>
    <x v="0"/>
    <x v="0"/>
    <x v="9"/>
    <s v="Hybrid Working Environment with less than 15 days a month at office"/>
    <s v="Employers who appreciates learning but doesn't enables an learning environment"/>
    <s v="Instructor or Expert Learning Programs, Trial and error by doing side projects within the company"/>
    <s v="Design and Develop amazing software, Look deeply into Data and generate insights, Become a content Creator in some platform"/>
    <s v="Manager who clearly describes what she/he needs"/>
    <s v="Work with more than 10 people in my team"/>
    <m/>
    <m/>
    <m/>
  </r>
  <r>
    <d v="2022-12-19T22:13:07"/>
    <s v="India"/>
    <n v="503175"/>
    <x v="0"/>
    <x v="4"/>
    <x v="0"/>
    <x v="1"/>
    <x v="0"/>
    <x v="0"/>
    <x v="4"/>
    <s v="Fully Remote with No option to visit offices"/>
    <s v="Employer who pushes your limits and doesn't enables learning environment and never rewards you"/>
    <s v="Self Paced Learning Portals, Learning by observing others"/>
    <s v="Design and Creative strategy in any company, Teaching in any of the institutes/online or Offline, Work as a freelancer and do my thing my way"/>
    <s v="Manager who sets targets and expects me to achieve it"/>
    <s v="Work alone"/>
    <m/>
    <m/>
    <m/>
  </r>
  <r>
    <d v="2022-12-19T22:21:26"/>
    <s v="India"/>
    <n v="533103"/>
    <x v="0"/>
    <x v="4"/>
    <x v="0"/>
    <x v="0"/>
    <x v="1"/>
    <x v="1"/>
    <x v="5"/>
    <s v="Hybrid Working Environment with less than 3 days a month at office"/>
    <s v="Employer who pushes your limits by enabling an learning environment, and rewards you at the end"/>
    <s v="Self Paced Learning Portals, Instructor or Expert Learning Programs"/>
    <s v="Design and Develop amazing software, Work as a freelancer and do my thing my way, Become a content Creator in some platform"/>
    <s v="Manager who explains what is expected, sets a goal and helps achieve it"/>
    <s v="Work alone, Work with 2 to 3 people in my team, Work with 5 to 6 people in my team, Work with 7 to 10 or more people in my team, Work with more than 10 people in my team"/>
    <m/>
    <m/>
    <m/>
  </r>
  <r>
    <d v="2022-12-20T09:50:02"/>
    <s v="India"/>
    <n v="382042"/>
    <x v="1"/>
    <x v="2"/>
    <x v="1"/>
    <x v="1"/>
    <x v="0"/>
    <x v="0"/>
    <x v="1"/>
    <s v="Every Day Office Environment"/>
    <s v="Employer who appreciates learning and enables that environment"/>
    <s v="Self Paced Learning Portals, Instructor or Expert Learning Programs"/>
    <s v="Design and Creative strategy in any company, Build and develop a Team, Become a content Creator in some platform"/>
    <s v="Manager who clearly describes what she/he needs"/>
    <s v="Work with 2 to 3 people in my team"/>
    <m/>
    <m/>
    <m/>
  </r>
  <r>
    <d v="2022-12-20T12:22:18"/>
    <s v="India"/>
    <n v="600036"/>
    <x v="1"/>
    <x v="3"/>
    <x v="2"/>
    <x v="0"/>
    <x v="0"/>
    <x v="0"/>
    <x v="6"/>
    <s v="Hybrid Working Environment with less than 3 days a month at office"/>
    <s v="Employer who appreciates learning and enables that environment"/>
    <s v="Self Paced Learning Portals, Learning by observing others"/>
    <s v="Design and Creative strategy in any company, Build and develop a Team, Look deeply into Data and generate insights"/>
    <s v="Manager who explains what is expected, sets a goal and helps achieve it"/>
    <s v="Work with 2 to 3 people in my team"/>
    <m/>
    <m/>
    <m/>
  </r>
  <r>
    <d v="2022-12-20T15:57:13"/>
    <s v="India"/>
    <n v="605110"/>
    <x v="0"/>
    <x v="3"/>
    <x v="1"/>
    <x v="1"/>
    <x v="0"/>
    <x v="0"/>
    <x v="3"/>
    <s v="Fully Remote with Options to travel as and when needed"/>
    <s v="Employer who pushes your limits by enabling an learning environment, and rewards you at the end"/>
    <s v="Self Paced Learning Portals, Trial and error by doing side projects within the company"/>
    <s v="Design and Creative strategy in any company, Teaching in any of the institutes/online or Offline, Become a content Creator in some platform"/>
    <s v="Manager who explains what is expected, sets a goal and helps achieve it"/>
    <s v="Work alone, Work with 2 to 3 people in my team"/>
    <m/>
    <m/>
    <m/>
  </r>
  <r>
    <d v="2022-12-20T16:02:03"/>
    <s v="India"/>
    <n v="800009"/>
    <x v="1"/>
    <x v="0"/>
    <x v="2"/>
    <x v="0"/>
    <x v="1"/>
    <x v="1"/>
    <x v="2"/>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m/>
    <m/>
    <m/>
  </r>
  <r>
    <d v="2022-12-20T16:12:11"/>
    <s v="India"/>
    <n v="248002"/>
    <x v="1"/>
    <x v="0"/>
    <x v="1"/>
    <x v="2"/>
    <x v="0"/>
    <x v="1"/>
    <x v="0"/>
    <s v="Hybrid Working Environment with less than 3 days a month at office"/>
    <s v="Employer who rewards learning and enables that environment"/>
    <s v="Self Paced Learning Portals, Trial and error by doing side projects within the company"/>
    <s v="Teaching in any of the institutes/online or Offline, Business Operations in any organization, Build and develop a Team"/>
    <s v="Manager who sets goal and helps me achieve it"/>
    <s v="Work with 2 to 3 people in my team, Work with 7 to 10 or more people in my team, Work with more than 10 people in my team"/>
    <m/>
    <m/>
    <m/>
  </r>
  <r>
    <d v="2022-12-20T16:27:06"/>
    <s v="India"/>
    <n v="845438"/>
    <x v="1"/>
    <x v="3"/>
    <x v="0"/>
    <x v="0"/>
    <x v="0"/>
    <x v="0"/>
    <x v="4"/>
    <s v="Every Day Office Environment"/>
    <s v="Employers who appreciates learning but doesn't enables an learning environment"/>
    <s v="Self Paced Learning Portals, Instructor or Expert Learning Programs"/>
    <s v="Design and Creative strategy in any company, Business Operations in any organization, Build and develop a Team"/>
    <s v="Manager who sets goal and helps me achieve it"/>
    <s v="Work with 5 to 6 people in my team"/>
    <m/>
    <m/>
    <m/>
  </r>
  <r>
    <d v="2022-12-20T16:38:32"/>
    <s v="India"/>
    <n v="800006"/>
    <x v="0"/>
    <x v="4"/>
    <x v="2"/>
    <x v="0"/>
    <x v="1"/>
    <x v="1"/>
    <x v="3"/>
    <s v="Every Day Office Environment"/>
    <s v="Employer who pushes your limits by enabling an learning environment, and rewards you at the end"/>
    <s v="Self Paced Learning Portals, Instructor or Expert Learning Programs"/>
    <s v="Teaching in any of the institutes/online or Offline, Build and develop a Team, Work as a freelancer and do my thing my way"/>
    <s v="Manager who explains what is expected, sets a goal and helps achieve it"/>
    <s v="Work with 2 to 3 people in my team"/>
    <m/>
    <m/>
    <m/>
  </r>
  <r>
    <d v="2022-12-20T16:46:09"/>
    <s v="India"/>
    <n v="800024"/>
    <x v="0"/>
    <x v="4"/>
    <x v="1"/>
    <x v="0"/>
    <x v="0"/>
    <x v="0"/>
    <x v="0"/>
    <s v="Hybrid Working Environment with less than 15 days a month at office"/>
    <s v="Employer who pushes your limits by enabling an learning environment, and rewards you at the end"/>
    <s v="Learning by observing others, Trial and error by doing side projects within the company"/>
    <s v="Business Operations in any organization, Manage and drive End-to-End Projects or Products, Build and develop a Team"/>
    <s v="Manager who explains what is expected, sets a goal and helps achieve it"/>
    <s v="Work with 5 to 6 people in my team"/>
    <m/>
    <m/>
    <m/>
  </r>
  <r>
    <d v="2022-12-20T16:46:49"/>
    <s v="India"/>
    <n v="248002"/>
    <x v="1"/>
    <x v="4"/>
    <x v="0"/>
    <x v="1"/>
    <x v="0"/>
    <x v="0"/>
    <x v="2"/>
    <s v="Every Day Office Environment"/>
    <s v="Employer who pushes your limits by enabling an learning environment, and rewards you at the end"/>
    <s v="Instructor or Expert Learning Programs, Learning by observing others"/>
    <s v="Business Operations in any organization, Manage and drive End-to-End Projects or Products, Work in a BPO setup for some well known client"/>
    <s v="Manager who explains what is expected, sets a goal and helps achieve it"/>
    <s v="Work with 5 to 6 people in my team"/>
    <m/>
    <m/>
    <m/>
  </r>
  <r>
    <d v="2022-12-20T17:05:27"/>
    <s v="India"/>
    <n v="502285"/>
    <x v="0"/>
    <x v="4"/>
    <x v="2"/>
    <x v="0"/>
    <x v="1"/>
    <x v="1"/>
    <x v="5"/>
    <s v="Every Day Office Environment"/>
    <s v="Employer who rewards learning and enables that environment"/>
    <s v="Self Paced Learning Portals, Instructor or Expert Learning Programs"/>
    <s v="Business Operations in any organization, Design and Develop amazing software, Look deeply into Data and generate insights"/>
    <s v="Manager who sets goal and helps me achieve it"/>
    <s v="Work with 5 to 6 people in my team"/>
    <m/>
    <m/>
    <m/>
  </r>
  <r>
    <d v="2022-12-20T17:18:25"/>
    <s v="India"/>
    <n v="123106"/>
    <x v="0"/>
    <x v="3"/>
    <x v="1"/>
    <x v="1"/>
    <x v="0"/>
    <x v="0"/>
    <x v="7"/>
    <s v="Hybrid Working Environment with less than 15 days a month at office"/>
    <s v="Employer who pushes your limits by enabling an learning environment, and rewards you at the end"/>
    <s v="Self Paced Learning Portals, Learning by observing others"/>
    <s v="Design and Creative strategy in any company, Business Operations in any organization, Work as a freelancer and do my thing my way"/>
    <s v="Manager who explains what is expected, sets a goal and helps achieve it"/>
    <s v="Work with 5 to 6 people in my team"/>
    <m/>
    <m/>
    <m/>
  </r>
  <r>
    <d v="2022-12-20T17:32:31"/>
    <s v="India"/>
    <n v="365541"/>
    <x v="1"/>
    <x v="1"/>
    <x v="0"/>
    <x v="1"/>
    <x v="0"/>
    <x v="0"/>
    <x v="4"/>
    <s v="Fully Remote with Options to travel as and when needed"/>
    <s v="Employer who appreciates learning and enables that environment"/>
    <s v="Self Paced Learning Portals, Trial and error by doing side projects within the company"/>
    <s v="Design and Creative strategy in any company, Teaching in any of the institutes/online or Offline, Become a content Creator in some platform"/>
    <s v="Manager who clearly describes what she/he needs"/>
    <s v="Work alone"/>
    <m/>
    <m/>
    <m/>
  </r>
  <r>
    <d v="2022-12-20T17:51:01"/>
    <s v="India"/>
    <n v="425001"/>
    <x v="0"/>
    <x v="0"/>
    <x v="0"/>
    <x v="0"/>
    <x v="0"/>
    <x v="0"/>
    <x v="0"/>
    <s v="Hybrid Working Environment with less than 15 days a month at office"/>
    <s v="Employer who rewards learning and enables that environment"/>
    <s v="Instructor or Expert Learning Programs, Learning by observing others"/>
    <s v="Business Operations in any organization, Manage and drive End-to-End Projects or Products, Build and develop a Team"/>
    <s v="Manager who sets targets and expects me to achieve it"/>
    <s v="Work with 7 to 10 or more people in my team"/>
    <m/>
    <m/>
    <m/>
  </r>
  <r>
    <d v="2022-12-20T17:55:22"/>
    <s v="India"/>
    <n v="425001"/>
    <x v="0"/>
    <x v="4"/>
    <x v="0"/>
    <x v="0"/>
    <x v="0"/>
    <x v="0"/>
    <x v="7"/>
    <s v="Fully Remote with Options to travel as and when needed"/>
    <s v="Employer who appreciates learning and enables that environment"/>
    <s v="Self Paced Learning Portals, Learning by observing others"/>
    <s v="Business Operations in any organization, Work as a freelancer and do my thing my way, Become a content Creator in some platform"/>
    <s v="Manager who sets goal and helps me achieve it"/>
    <s v="Work alone"/>
    <m/>
    <m/>
    <m/>
  </r>
  <r>
    <d v="2022-12-20T17:56:03"/>
    <s v="India"/>
    <n v="424206"/>
    <x v="0"/>
    <x v="4"/>
    <x v="2"/>
    <x v="1"/>
    <x v="0"/>
    <x v="0"/>
    <x v="2"/>
    <s v="Fully Remote with Options to travel as and when needed"/>
    <s v="Employer who pushes your limits by enabling an learning environment, and rewards you at the end"/>
    <s v="Self Paced Learning Portals, Trial and error by doing side projects within the company"/>
    <s v="Manage and drive End-to-End Projects or Products, Build and develop a Team, Design and Develop amazing software"/>
    <s v="Manager who explains what is expected, sets a goal and helps achieve it"/>
    <s v="Work with more than 10 people in my team"/>
    <m/>
    <m/>
    <m/>
  </r>
  <r>
    <d v="2022-12-20T17:58:17"/>
    <s v="India"/>
    <n v="122004"/>
    <x v="0"/>
    <x v="1"/>
    <x v="1"/>
    <x v="0"/>
    <x v="1"/>
    <x v="0"/>
    <x v="7"/>
    <s v="Hybrid Working Environment with less than 15 days a month at office"/>
    <s v="Employer who pushes your limits by enabling an learning environment, and rewards you at the end"/>
    <s v="Instructor or Expert Learning Programs, Trial and error by doing side projects within the company"/>
    <s v="Teaching in any of the institutes/online or Offline, Manage and drive End-to-End Projects or Products, Become a content Creator in some platform"/>
    <s v="Manager who explains what is expected, sets a goal and helps achieve it"/>
    <s v="Work alone, Work with 2 to 3 people in my team, Work with 5 to 6 people in my team"/>
    <m/>
    <m/>
    <m/>
  </r>
  <r>
    <d v="2022-12-20T18:13:02"/>
    <s v="India"/>
    <n v="246701"/>
    <x v="1"/>
    <x v="4"/>
    <x v="0"/>
    <x v="0"/>
    <x v="0"/>
    <x v="0"/>
    <x v="4"/>
    <s v="Hybrid Working Environment with less than 15 days a month at office"/>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2 to 3 people in my team"/>
    <m/>
    <m/>
    <m/>
  </r>
  <r>
    <d v="2022-12-20T18:31:23"/>
    <s v="India"/>
    <n v="412308"/>
    <x v="0"/>
    <x v="0"/>
    <x v="2"/>
    <x v="1"/>
    <x v="0"/>
    <x v="0"/>
    <x v="1"/>
    <s v="Every Day Office Environment"/>
    <s v="Employer who pushes your limits by enabling an learning environment, and rewards you at the end"/>
    <s v="Self Paced Learning Portals, Instructor or Expert Learning Programs"/>
    <s v="Business Operations in any organization, Manage and drive End-to-End Projects or Products, Build and develop a Team"/>
    <s v="Manager who sets goal and helps me achieve it"/>
    <s v="Work with more than 10 people in my team"/>
    <m/>
    <m/>
    <m/>
  </r>
  <r>
    <d v="2022-12-20T18:32:20"/>
    <s v="India"/>
    <n v="248001"/>
    <x v="1"/>
    <x v="1"/>
    <x v="1"/>
    <x v="1"/>
    <x v="0"/>
    <x v="1"/>
    <x v="4"/>
    <s v="Hybrid Working Environment with less than 10 days a month at office"/>
    <s v="Employer who appreciates learning and enables that environment"/>
    <s v="Instructor or Expert Learning Programs, Learning by observing others"/>
    <s v="Design and Develop amazing software, Look deeply into Data and generate insights, Work as a freelancer and do my thing my way"/>
    <s v="Manager who clearly describes what she/he needs"/>
    <s v="Work with 5 to 6 people in my team"/>
    <m/>
    <m/>
    <m/>
  </r>
  <r>
    <d v="2022-12-20T19:36:56"/>
    <s v="India"/>
    <n v="500001"/>
    <x v="1"/>
    <x v="0"/>
    <x v="1"/>
    <x v="0"/>
    <x v="0"/>
    <x v="0"/>
    <x v="7"/>
    <s v="Fully Remote with Options to travel as and when needed"/>
    <s v="Employer who rewards learning and enables that environment"/>
    <s v="Self Paced Learning Portals, Learning by observing others"/>
    <s v="Design and Creative strategy in any company, Teaching in any of the institutes/online or Offline, Work as a freelancer and do my thing my way"/>
    <s v="Manager who clearly describes what she/he needs"/>
    <s v="Work with 2 to 3 people in my team"/>
    <m/>
    <m/>
    <m/>
  </r>
  <r>
    <d v="2022-12-20T19:40:07"/>
    <s v="India"/>
    <n v="670504"/>
    <x v="1"/>
    <x v="2"/>
    <x v="0"/>
    <x v="1"/>
    <x v="0"/>
    <x v="0"/>
    <x v="1"/>
    <s v="Hybrid Working Environment with less than 15 days a month at office"/>
    <s v="Employer who rewards learning and enables that environment"/>
    <s v="Instructor or Expert Learning Programs, Trial and error by doing side projects within the company"/>
    <s v="Design and Creative strategy in any company, Work as a freelancer and do my thing my way, Become a content Creator in some platform"/>
    <s v="Manager who clearly describes what she/he needs"/>
    <s v="Work with 2 to 3 people in my team"/>
    <m/>
    <m/>
    <m/>
  </r>
  <r>
    <d v="2022-12-20T19:49:43"/>
    <s v="India"/>
    <n v="301018"/>
    <x v="1"/>
    <x v="4"/>
    <x v="1"/>
    <x v="0"/>
    <x v="1"/>
    <x v="0"/>
    <x v="5"/>
    <s v="Fully Remote with Options to travel as and when needed"/>
    <s v="Employer who pushes your limits by enabling an learning environment, and rewards you at the end"/>
    <s v="Instructor or Expert Learning Programs, Trial and error by doing side projects within the company"/>
    <s v="Manage and drive End-to-End Projects or Products, Work as a freelancer and do my thing my way, Become a content Creator in some platform"/>
    <s v="Manager who clearly describes what she/he needs"/>
    <s v="Work with 5 to 6 people in my team"/>
    <m/>
    <m/>
    <m/>
  </r>
  <r>
    <d v="2022-12-20T20:53:40"/>
    <s v="India"/>
    <n v="680307"/>
    <x v="1"/>
    <x v="0"/>
    <x v="0"/>
    <x v="1"/>
    <x v="0"/>
    <x v="0"/>
    <x v="1"/>
    <s v="Fully Remote with Options to travel as and when needed"/>
    <s v="Employer who pushes your limits by enabling an learning environment, and rewards you at the end"/>
    <s v="Instructor or Expert Learning Programs, Learning by observing others"/>
    <s v="Business Operations in any organization, Manage and drive End-to-End Projects or Products, Look deeply into Data and generate insights"/>
    <s v="Manager who clearly describes what she/he needs"/>
    <s v="Work with 2 to 3 people in my team"/>
    <m/>
    <m/>
    <m/>
  </r>
  <r>
    <d v="2022-12-20T21:15:18"/>
    <s v="India"/>
    <n v="607102"/>
    <x v="0"/>
    <x v="4"/>
    <x v="0"/>
    <x v="1"/>
    <x v="1"/>
    <x v="1"/>
    <x v="3"/>
    <s v="Every Day Office Environment"/>
    <s v="Employer who appreciates learning and enables that environment"/>
    <s v="Self Paced Learning Portals, Learning by observing others"/>
    <s v="Design and Creative strategy in any company, Build and develop a Team, Look deeply into Data and generate insights"/>
    <s v="Manager who sets unrealistic targets"/>
    <s v="Work with 5 to 6 people in my team"/>
    <m/>
    <m/>
    <m/>
  </r>
  <r>
    <d v="2022-12-20T21:22:27"/>
    <s v="India"/>
    <n v="605110"/>
    <x v="0"/>
    <x v="1"/>
    <x v="0"/>
    <x v="2"/>
    <x v="1"/>
    <x v="1"/>
    <x v="4"/>
    <s v="Hybrid Working Environment with less than 3 days a month at office"/>
    <s v="Employer who pushes your limits by enabling an learning environment, and rewards you at the end"/>
    <s v="Instructor or Expert Learning Programs, Learning by observing others"/>
    <s v="Business Operations in any organization, Work as a freelancer and do my thing my way, Become a content Creator in some platform"/>
    <s v="Manager who explains what is expected, sets a goal and helps achieve it"/>
    <s v="Work alone"/>
    <m/>
    <m/>
    <m/>
  </r>
  <r>
    <d v="2022-12-20T21:31:59"/>
    <s v="India"/>
    <n v="680586"/>
    <x v="1"/>
    <x v="3"/>
    <x v="0"/>
    <x v="1"/>
    <x v="0"/>
    <x v="0"/>
    <x v="4"/>
    <s v="Fully Remote with Options to travel as and when needed"/>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5 to 6 people in my team, Work with more than 10 people in my team"/>
    <m/>
    <m/>
    <m/>
  </r>
  <r>
    <d v="2022-12-20T21:49:57"/>
    <s v="India"/>
    <n v="431001"/>
    <x v="0"/>
    <x v="3"/>
    <x v="0"/>
    <x v="0"/>
    <x v="0"/>
    <x v="0"/>
    <x v="4"/>
    <s v="Hybrid Working Environment with less than 3 days a month at office"/>
    <s v="Employer who pushes your limits by enabling an learning environment, and rewards you at the end"/>
    <s v="Self Paced Learning Portals, Instructor or Expert Learning Programs"/>
    <s v="Design and Creative strategy in any company, Business Operations in any organization, Build and develop a Team"/>
    <s v="Manager who clearly describes what she/he needs"/>
    <s v="Work alone, Work with 2 to 3 people in my team"/>
    <m/>
    <m/>
    <m/>
  </r>
  <r>
    <d v="2022-12-20T22:07:55"/>
    <s v="India"/>
    <n v="411046"/>
    <x v="0"/>
    <x v="0"/>
    <x v="0"/>
    <x v="0"/>
    <x v="0"/>
    <x v="0"/>
    <x v="1"/>
    <s v="Hybrid Working Environment with less than 15 days a month at office"/>
    <s v="Employer who pushes your limits by enabling an learning environment, and rewards you at the end"/>
    <s v="Self Paced Learning Portals, Learning by observing others"/>
    <s v="Teaching in any of the institutes/online or Offline, Design and Develop amazing software, Work in a BPO setup for some well known client"/>
    <s v="Manager who sets targets and expects me to achieve it"/>
    <s v="Work alone, Work with 2 to 3 people in my team, Work with 5 to 6 people in my team, Work with 7 to 10 or more people in my team, Work with more than 10 people in my team"/>
    <m/>
    <m/>
    <m/>
  </r>
  <r>
    <d v="2022-12-20T22:21:56"/>
    <s v="India"/>
    <n v="431105"/>
    <x v="0"/>
    <x v="3"/>
    <x v="0"/>
    <x v="0"/>
    <x v="0"/>
    <x v="0"/>
    <x v="2"/>
    <s v="Every Day Office Environment"/>
    <s v="Employer who pushes your limits by enabling an learning environment, and rewards you at the end"/>
    <s v="Self Paced Learning Portals, Instructor or Expert Learning Programs"/>
    <s v="Design and Creative strategy in any company, Teaching in any of the institutes/online or Offline, Manage and drive End-to-End Projects or Products"/>
    <s v="Manager who explains what is expected, sets a goal and helps achieve it"/>
    <s v="Work with 5 to 6 people in my team"/>
    <m/>
    <m/>
    <m/>
  </r>
  <r>
    <d v="2022-12-20T22:39:10"/>
    <s v="India"/>
    <n v="110024"/>
    <x v="1"/>
    <x v="0"/>
    <x v="0"/>
    <x v="0"/>
    <x v="0"/>
    <x v="0"/>
    <x v="5"/>
    <s v="Hybrid Working Environment with less than 15 days a month at office"/>
    <s v="Employer who pushes your limits by enabling an learning environment, and rewards you at the end"/>
    <s v="Learning by observing others, Trial and error by doing side projects within the company"/>
    <s v="Design and Creative strategy in any company, Work as a freelancer and do my thing my way, Become a content Creator in some platform"/>
    <s v="Manager who explains what is expected, sets a goal and helps achieve it"/>
    <s v="Work alone, Work with 2 to 3 people in my team, Work with 5 to 6 people in my team"/>
    <m/>
    <m/>
    <m/>
  </r>
  <r>
    <d v="2022-12-20T22:50:30"/>
    <s v="India"/>
    <n v="431001"/>
    <x v="1"/>
    <x v="3"/>
    <x v="1"/>
    <x v="1"/>
    <x v="1"/>
    <x v="1"/>
    <x v="3"/>
    <s v="Hybrid Working Environment with less than 3 days a month at office"/>
    <s v="Employer who rewards learning and enables that environment"/>
    <s v="Self Paced Learning Portals, Learning by observing others"/>
    <s v="Manage and drive End-to-End Projects or Products, Look deeply into Data and generate insights, Work in a BPO setup for some well known client"/>
    <s v="Manager who explains what is expected, sets a goal and helps achieve it"/>
    <s v="Work with 5 to 6 people in my team"/>
    <m/>
    <m/>
    <m/>
  </r>
  <r>
    <d v="2022-12-20T23:32:48"/>
    <s v="India"/>
    <n v="425001"/>
    <x v="0"/>
    <x v="3"/>
    <x v="0"/>
    <x v="0"/>
    <x v="1"/>
    <x v="0"/>
    <x v="9"/>
    <s v="Hybrid Working Environment with less than 10 days a month at office"/>
    <s v="Employer who pushes your limits by enabling an learning environment, and rewards you at the end"/>
    <s v="Instructor or Expert Learning Programs, Trial and error by doing side projects within the company"/>
    <s v="Manage and drive End-to-End Projects or Products, Build and develop a Team, Design and Develop amazing software"/>
    <s v="Manager who explains what is expected, sets a goal and helps achieve it"/>
    <s v="Work alone, Work with 2 to 3 people in my team, Work with 5 to 6 people in my team, Work with 7 to 10 or more people in my team"/>
    <m/>
    <m/>
    <m/>
  </r>
  <r>
    <d v="2022-12-21T06:32:38"/>
    <s v="India"/>
    <n v="500028"/>
    <x v="0"/>
    <x v="2"/>
    <x v="0"/>
    <x v="2"/>
    <x v="1"/>
    <x v="1"/>
    <x v="5"/>
    <s v="Fully Remote with Options to travel as and when needed"/>
    <s v="Employer who rewards learning and enables that environment"/>
    <s v="Instructor or Expert Learning Programs, Trial and error by doing side projects within the company"/>
    <s v="Design and Creative strategy in any company, Teaching in any of the institutes/online or Offline, Look deeply into Data and generate insights"/>
    <s v="Manager who sets targets and expects me to achieve it"/>
    <s v="Work with 2 to 3 people in my team"/>
    <m/>
    <m/>
    <m/>
  </r>
  <r>
    <d v="2022-12-21T07:21:10"/>
    <s v="India"/>
    <n v="413525"/>
    <x v="0"/>
    <x v="4"/>
    <x v="0"/>
    <x v="1"/>
    <x v="1"/>
    <x v="1"/>
    <x v="2"/>
    <s v="Hybrid Working Environment with less than 3 days a month at office"/>
    <s v="Employer who appreciates learning and enables that environment"/>
    <s v="Self Paced Learning Portals, Learning by observing others"/>
    <s v="Business Operations in any organization, Build and develop a Team, Become a content Creator in some platform"/>
    <s v="Manager who sets targets and expects me to achieve it"/>
    <s v="Work alone"/>
    <m/>
    <m/>
    <m/>
  </r>
  <r>
    <d v="2022-12-21T11:59:25"/>
    <s v="India"/>
    <n v="691505"/>
    <x v="0"/>
    <x v="2"/>
    <x v="1"/>
    <x v="0"/>
    <x v="1"/>
    <x v="1"/>
    <x v="5"/>
    <s v="Hybrid Working Environment with less than 15 days a month at office"/>
    <s v="Employer who rewards learning and enables that environment"/>
    <s v="Self Paced Learning Portals, Instructor or Expert Learning Programs"/>
    <s v="Teaching in any of the institutes/online or Offline, Work in a BPO setup for some well known client, Work as a freelancer and do my thing my way"/>
    <s v="Manager who explains what is expected, sets a goal and helps achieve it"/>
    <s v="Work with 5 to 6 people in my team"/>
    <m/>
    <m/>
    <m/>
  </r>
  <r>
    <d v="2022-12-21T12:02:05"/>
    <s v="India"/>
    <n v="605110"/>
    <x v="0"/>
    <x v="4"/>
    <x v="2"/>
    <x v="0"/>
    <x v="0"/>
    <x v="0"/>
    <x v="4"/>
    <s v="Hybrid Working Environment with less than 15 days a month at office"/>
    <s v="Employer who appreciates learning and enables that environment"/>
    <s v="Self Paced Learning Portals, Instructor or Expert Learning Programs"/>
    <s v="Business Operations in any organization, Build and develop a Team, Work as a freelancer and do my thing my way"/>
    <s v="Manager who sets goal and helps me achieve it"/>
    <s v="Work with 5 to 6 people in my team"/>
    <m/>
    <m/>
    <m/>
  </r>
  <r>
    <d v="2022-12-21T12:55:05"/>
    <s v="India"/>
    <n v="673507"/>
    <x v="1"/>
    <x v="2"/>
    <x v="2"/>
    <x v="2"/>
    <x v="0"/>
    <x v="0"/>
    <x v="1"/>
    <s v="Hybrid Working Environment with less than 10 days a month at office"/>
    <s v="Employer who rewards learning and enables that environment"/>
    <s v="Learning by observing others, Trial and error by doing side projects within the company"/>
    <s v="Design and Develop amazing software, Look deeply into Data and generate insights, Work as a freelancer and do my thing my way"/>
    <s v="Manager who clearly describes what she/he needs"/>
    <s v="Work with 7 to 10 or more people in my team"/>
    <m/>
    <m/>
    <m/>
  </r>
  <r>
    <d v="2022-12-21T13:42:01"/>
    <s v="India"/>
    <n v="796701"/>
    <x v="1"/>
    <x v="0"/>
    <x v="1"/>
    <x v="0"/>
    <x v="0"/>
    <x v="0"/>
    <x v="7"/>
    <s v="Hybrid Working Environment with less than 15 days a month at office"/>
    <s v="Employer who rewards learning and enables that environment"/>
    <s v="Instructor or Expert Learning Programs, Trial and error by doing side projects within the company"/>
    <s v="Teaching in any of the institutes/online or Offline, Look deeply into Data and generate insights, Work as a freelancer and do my thing my way"/>
    <s v="Manager who explains what is expected, sets a goal and helps achieve it"/>
    <s v="Work with 5 to 6 people in my team"/>
    <m/>
    <m/>
    <m/>
  </r>
  <r>
    <d v="2022-12-21T14:26:41"/>
    <s v="India"/>
    <n v="1234"/>
    <x v="0"/>
    <x v="4"/>
    <x v="0"/>
    <x v="1"/>
    <x v="1"/>
    <x v="1"/>
    <x v="1"/>
    <s v="Every Day Office Environment"/>
    <s v="Employer who appreciates learning and enables that environment"/>
    <s v="Self Paced Learning Portals, Learning by observing others"/>
    <s v="Design and Creative strategy in any company, Work as a freelancer and do my thing my way, Become a content Creator in some platform"/>
    <s v="Manager who clearly describes what she/he needs"/>
    <s v="Work with 2 to 3 people in my team"/>
    <m/>
    <m/>
    <m/>
  </r>
  <r>
    <d v="2022-12-21T14:30:07"/>
    <s v="India"/>
    <n v="605110"/>
    <x v="0"/>
    <x v="0"/>
    <x v="0"/>
    <x v="0"/>
    <x v="1"/>
    <x v="0"/>
    <x v="7"/>
    <s v="Hybrid Working Environment with less than 15 days a month at office"/>
    <s v="Employer who appreciates learning and enables that environment"/>
    <s v="Instructor or Expert Learning Programs, Trial and error by doing side projects within the company"/>
    <s v="Teaching in any of the institutes/online or Offline, Business Operations in any organization, Work in a BPO setup for some well known client"/>
    <s v="Manager who sets goal and helps me achieve it"/>
    <s v="Work with more than 10 people in my team"/>
    <m/>
    <m/>
    <m/>
  </r>
  <r>
    <d v="2022-12-21T14:33:09"/>
    <s v="India"/>
    <n v="605501"/>
    <x v="0"/>
    <x v="1"/>
    <x v="2"/>
    <x v="1"/>
    <x v="1"/>
    <x v="1"/>
    <x v="5"/>
    <s v="Every Day Office Environment"/>
    <s v="Employer who appreciates learning and enables that environment"/>
    <s v="Learning by observing others, Trial and error by doing side projects within the company"/>
    <s v="Teaching in any of the institutes/online or Offline, Business Operations in any organization, Manage and drive End-to-End Projects or Products"/>
    <s v="Manager who sets targets and expects me to achieve it"/>
    <s v="Work with more than 10 people in my team"/>
    <m/>
    <m/>
    <m/>
  </r>
  <r>
    <d v="2022-12-21T14:33:21"/>
    <s v="India"/>
    <n v="604102"/>
    <x v="1"/>
    <x v="1"/>
    <x v="1"/>
    <x v="0"/>
    <x v="0"/>
    <x v="0"/>
    <x v="2"/>
    <s v="Every Day Office Environment"/>
    <s v="Employer who rewards learning and enables that environment"/>
    <s v="Self Paced Learning Portals, Learning by observing others"/>
    <s v="Design and Creative strategy in any company, Business Operations in any organization, Become a content Creator in some platform"/>
    <s v="Manager who explains what is expected, sets a goal and helps achieve it"/>
    <s v="Work with 2 to 3 people in my team"/>
    <m/>
    <m/>
    <m/>
  </r>
  <r>
    <d v="2022-12-21T14:34:03"/>
    <s v="India"/>
    <n v="605102"/>
    <x v="0"/>
    <x v="4"/>
    <x v="0"/>
    <x v="0"/>
    <x v="1"/>
    <x v="0"/>
    <x v="6"/>
    <s v="Every Day Office Environment"/>
    <s v="Employer who appreciates learning and enables that environment"/>
    <s v="Self Paced Learning Portals, Instructor or Expert Learning Programs"/>
    <s v="Business Operations in any organization, Manage and drive End-to-End Projects or Products, Build and develop a Team"/>
    <s v="Manager who sets targets and expects me to achieve it"/>
    <s v="Work with 2 to 3 people in my team"/>
    <m/>
    <m/>
    <m/>
  </r>
  <r>
    <d v="2022-12-21T14:34:09"/>
    <s v="India"/>
    <n v="607402"/>
    <x v="0"/>
    <x v="0"/>
    <x v="2"/>
    <x v="0"/>
    <x v="0"/>
    <x v="0"/>
    <x v="0"/>
    <s v="Fully Remote with Options to travel as and when needed"/>
    <s v="Employer who appreciates learning and enables that environment"/>
    <s v="Instructor or Expert Learning Programs, Learning by observing others"/>
    <s v="Design and Creative strategy in any company, Manage and drive End-to-End Projects or Products, Design and Develop amazing software"/>
    <s v="Manager who explains what is expected, sets a goal and helps achieve it"/>
    <s v="Work with more than 10 people in my team"/>
    <m/>
    <m/>
    <m/>
  </r>
  <r>
    <d v="2022-12-21T14:35:25"/>
    <s v="India"/>
    <n v="605003"/>
    <x v="0"/>
    <x v="4"/>
    <x v="0"/>
    <x v="2"/>
    <x v="1"/>
    <x v="1"/>
    <x v="6"/>
    <s v="Every Day Office Environment"/>
    <s v="Employer who appreciates learning and enables that environment"/>
    <s v="Instructor or Expert Learning Programs, Learning by observing others"/>
    <s v="Design and Creative strategy in any company, Manage and drive End-to-End Projects or Products, Work in a BPO setup for some well known client"/>
    <s v="Manager who sets targets and expects me to achieve it"/>
    <s v="Work with 7 to 10 or more people in my team"/>
    <m/>
    <m/>
    <m/>
  </r>
  <r>
    <d v="2022-12-21T14:35:43"/>
    <s v="India"/>
    <n v="607003"/>
    <x v="0"/>
    <x v="0"/>
    <x v="0"/>
    <x v="0"/>
    <x v="1"/>
    <x v="1"/>
    <x v="4"/>
    <s v="Fully Remote with Options to travel as and when needed"/>
    <s v="Employer who pushes your limits by enabling an learning environment, and rewards you at the end"/>
    <s v="Self Paced Learning Portals, Learning by observing others"/>
    <s v="Design and Creative strategy in any company, Business Operations in any organization, Build and develop a Team"/>
    <s v="Manager who explains what is expected, sets a goal and helps achieve it"/>
    <s v="Work with 5 to 6 people in my team"/>
    <m/>
    <m/>
    <m/>
  </r>
  <r>
    <d v="2022-12-21T14:37:45"/>
    <s v="India"/>
    <n v="605110"/>
    <x v="1"/>
    <x v="4"/>
    <x v="2"/>
    <x v="1"/>
    <x v="1"/>
    <x v="1"/>
    <x v="8"/>
    <s v="Every Day Office Environment"/>
    <s v="Employer who appreciates learning and enables that environment"/>
    <s v="Instructor or Expert Learning Programs, Learning by observing others"/>
    <s v="Teaching in any of the institutes/online or Offline, Business Operations in any organization, Work as a freelancer and do my thing my way"/>
    <s v="Manager who sets goal and helps me achieve it"/>
    <s v="Work with more than 10 people in my team"/>
    <m/>
    <m/>
    <m/>
  </r>
  <r>
    <d v="2022-12-21T14:39:50"/>
    <s v="India"/>
    <n v="605008"/>
    <x v="0"/>
    <x v="4"/>
    <x v="0"/>
    <x v="0"/>
    <x v="1"/>
    <x v="1"/>
    <x v="8"/>
    <s v="Every Day Office Environment"/>
    <s v="Employer who rewards learning and enables that environment"/>
    <s v="Self Paced Learning Portals, Trial and error by doing side projects within the company"/>
    <s v="Teaching in any of the institutes/online or Offline, Work as a freelancer and do my thing my way, Become a content Creator in some platform"/>
    <s v="Manager who clearly describes what she/he needs"/>
    <s v="Work with 7 to 10 or more people in my team"/>
    <m/>
    <m/>
    <m/>
  </r>
  <r>
    <d v="2022-12-21T14:40:59"/>
    <s v="India"/>
    <n v="605110"/>
    <x v="1"/>
    <x v="4"/>
    <x v="2"/>
    <x v="0"/>
    <x v="0"/>
    <x v="1"/>
    <x v="4"/>
    <s v="Fully Remote with Options to travel as and when needed"/>
    <s v="Employer who appreciates learning and enables that environment"/>
    <s v="Instructor or Expert Learning Programs, Trial and error by doing side projects within the company"/>
    <s v="Design and Creative strategy in any company, Manage and drive End-to-End Projects or Products, Build and develop a Team"/>
    <s v="Manager who explains what is expected, sets a goal and helps achieve it"/>
    <s v="Work with 5 to 6 people in my team"/>
    <m/>
    <m/>
    <m/>
  </r>
  <r>
    <d v="2022-12-21T14:45:55"/>
    <s v="India"/>
    <n v="605110"/>
    <x v="0"/>
    <x v="3"/>
    <x v="0"/>
    <x v="0"/>
    <x v="1"/>
    <x v="1"/>
    <x v="7"/>
    <s v="Fully Remote with Options to travel as and when needed"/>
    <s v="Employer who rewards learning and enables that environment"/>
    <s v="Self Paced Learning Portals, Instructor or Expert Learning Programs"/>
    <s v="Design and Creative strategy in any company, Business Operations in any organization, Manage and drive End-to-End Projects or Products"/>
    <s v="Manager who clearly describes what she/he needs"/>
    <s v="Work with 5 to 6 people in my team"/>
    <m/>
    <m/>
    <m/>
  </r>
  <r>
    <d v="2022-12-21T14:46:28"/>
    <s v="India"/>
    <n v="605102"/>
    <x v="0"/>
    <x v="4"/>
    <x v="0"/>
    <x v="1"/>
    <x v="1"/>
    <x v="1"/>
    <x v="8"/>
    <s v="Every Day Office Environment"/>
    <s v="Employer who appreciates learning and enables that environment"/>
    <s v="Self Paced Learning Portals, Learning by observing others"/>
    <s v="Build and develop a Team, Design and Develop amazing software, Become a content Creator in some platform"/>
    <s v="Manager who sets targets and expects me to achieve it"/>
    <s v="Work with 2 to 3 people in my team"/>
    <m/>
    <m/>
    <m/>
  </r>
  <r>
    <d v="2022-12-21T14:47:07"/>
    <s v="India"/>
    <n v="2004"/>
    <x v="0"/>
    <x v="4"/>
    <x v="1"/>
    <x v="2"/>
    <x v="1"/>
    <x v="1"/>
    <x v="4"/>
    <s v="Hybrid Working Environment with less than 15 days a month at office"/>
    <s v="Employer who pushes your limits and doesn't enables learning environment and never rewards you"/>
    <s v="Self Paced Learning Portals, Instructor or Expert Learning Programs"/>
    <s v="Design and Creative strategy in any company, Teaching in any of the institutes/online or Offline, Work as a freelancer and do my thing my way"/>
    <s v="Manager who sets goal and helps me achieve it"/>
    <s v="Work with 5 to 6 people in my team, Work with more than 10 people in my team"/>
    <m/>
    <m/>
    <m/>
  </r>
  <r>
    <d v="2022-12-21T14:53:35"/>
    <s v="India"/>
    <n v="605005"/>
    <x v="1"/>
    <x v="0"/>
    <x v="2"/>
    <x v="0"/>
    <x v="1"/>
    <x v="0"/>
    <x v="4"/>
    <s v="Fully Remote with Options to travel as and when needed"/>
    <s v="Employer who appreciates learning and enables that environment"/>
    <s v="Self Paced Learning Portals, Learning by observing others"/>
    <s v="Teaching in any of the institutes/online or Offline, Manage and drive End-to-End Projects or Products, Become a content Creator in some platform"/>
    <s v="Manager who explains what is expected, sets a goal and helps achieve it"/>
    <s v="Work with 5 to 6 people in my team"/>
    <m/>
    <m/>
    <m/>
  </r>
  <r>
    <d v="2022-12-21T14:54:49"/>
    <s v="India"/>
    <n v="605007"/>
    <x v="0"/>
    <x v="4"/>
    <x v="0"/>
    <x v="2"/>
    <x v="1"/>
    <x v="1"/>
    <x v="0"/>
    <s v="Every Day Office Environment"/>
    <s v="Employer who rewards learning and enables that environment"/>
    <s v="Instructor or Expert Learning Programs, Learning by observing others"/>
    <s v="Design and Creative strategy in any company, Teaching in any of the institutes/online or Offline, Business Operations in any organization"/>
    <s v="Manager who sets targets and expects me to achieve it"/>
    <s v="Work with 2 to 3 people in my team, Work with 5 to 6 people in my team"/>
    <m/>
    <m/>
    <m/>
  </r>
  <r>
    <d v="2022-12-21T15:00:58"/>
    <s v="India"/>
    <n v="605009"/>
    <x v="1"/>
    <x v="1"/>
    <x v="2"/>
    <x v="0"/>
    <x v="0"/>
    <x v="1"/>
    <x v="8"/>
    <s v="Every Day Office Environment"/>
    <s v="Employer who appreciates learning and enables that environment"/>
    <s v="Self Paced Learning Portals, Learning by observing others"/>
    <s v="Design and Creative strategy in any company, Build and develop a Team, Design and Develop amazing software"/>
    <s v="Manager who clearly describes what she/he needs"/>
    <s v="Work alone"/>
    <m/>
    <m/>
    <m/>
  </r>
  <r>
    <d v="2022-12-21T15:03:38"/>
    <s v="India"/>
    <n v="605007"/>
    <x v="0"/>
    <x v="0"/>
    <x v="2"/>
    <x v="0"/>
    <x v="0"/>
    <x v="0"/>
    <x v="5"/>
    <s v="Every Day Office Environment"/>
    <s v="Employer who appreciates learning and enables that environment"/>
    <s v="Self Paced Learning Portals, Learning by observing others"/>
    <s v="Design and Creative strategy in any company, Business Operations in any organization, Build and develop a Team"/>
    <s v="Manager who clearly describes what she/he needs"/>
    <s v="Work alone"/>
    <m/>
    <m/>
    <m/>
  </r>
  <r>
    <d v="2022-12-21T15:09:08"/>
    <s v="India"/>
    <n v="605014"/>
    <x v="0"/>
    <x v="4"/>
    <x v="0"/>
    <x v="0"/>
    <x v="1"/>
    <x v="0"/>
    <x v="5"/>
    <s v="Fully Remote with Options to travel as and when needed"/>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unrealistic targets"/>
    <s v="Work with more than 10 people in my team"/>
    <m/>
    <m/>
    <m/>
  </r>
  <r>
    <d v="2022-12-21T15:20:56"/>
    <s v="India"/>
    <n v="605107"/>
    <x v="0"/>
    <x v="0"/>
    <x v="2"/>
    <x v="0"/>
    <x v="0"/>
    <x v="0"/>
    <x v="7"/>
    <s v="Every Day Office Environment"/>
    <s v="Employer who appreciates learning and enables that environment"/>
    <s v="Instructor or Expert Learning Programs, Trial and error by doing side projects within the company"/>
    <s v="Design and Creative strategy in any company, Build and develop a Team, Become a content Creator in some platform"/>
    <s v="Manager who clearly describes what she/he needs"/>
    <s v="Work alone"/>
    <m/>
    <m/>
    <m/>
  </r>
  <r>
    <d v="2022-12-21T15:33:44"/>
    <s v="India"/>
    <n v="605009"/>
    <x v="1"/>
    <x v="0"/>
    <x v="2"/>
    <x v="0"/>
    <x v="0"/>
    <x v="0"/>
    <x v="6"/>
    <s v="Hybrid Working Environment with less than 10 days a month at office"/>
    <s v="Employer who appreciates learning and enables that environment"/>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7 to 10 or more people in my team"/>
    <m/>
    <m/>
    <m/>
  </r>
  <r>
    <d v="2022-12-21T15:34:19"/>
    <s v="India"/>
    <n v="605001"/>
    <x v="1"/>
    <x v="1"/>
    <x v="0"/>
    <x v="2"/>
    <x v="1"/>
    <x v="1"/>
    <x v="5"/>
    <s v="Hybrid Working Environment with less than 15 days a month at office"/>
    <s v="Employers who appreciates learning but doesn't enables an learning environment"/>
    <s v="Learning by observing others, Trial and error by doing side projects within the company"/>
    <s v="Design and Creative strategy in any company, Design and Develop amazing software, Work as a freelancer and do my thing my way"/>
    <s v="Manager who clearly describes what she/he needs"/>
    <s v="Work alone"/>
    <m/>
    <m/>
    <m/>
  </r>
  <r>
    <d v="2022-12-21T15:44:50"/>
    <s v="India"/>
    <n v="605110"/>
    <x v="1"/>
    <x v="4"/>
    <x v="1"/>
    <x v="0"/>
    <x v="1"/>
    <x v="1"/>
    <x v="7"/>
    <s v="Every Day Office Environment"/>
    <s v="Employer who appreciates learning and enables that environment"/>
    <s v="Self Paced Learning Portals, Trial and error by doing side projects within the company"/>
    <s v="Design and Creative strategy in any company, Teaching in any of the institutes/online or Offline, Design and Develop amazing software"/>
    <s v="Manager who sets targets and expects me to achieve it"/>
    <s v="Work alone"/>
    <m/>
    <m/>
    <m/>
  </r>
  <r>
    <d v="2022-12-21T16:12:35"/>
    <s v="India"/>
    <n v="442406"/>
    <x v="0"/>
    <x v="4"/>
    <x v="1"/>
    <x v="0"/>
    <x v="0"/>
    <x v="0"/>
    <x v="2"/>
    <s v="Fully Remote with No option to visit offices"/>
    <s v="Employer who pushes your limits by enabling an learning environment, and rewards you at the end"/>
    <s v="Self Paced Learning Portals, Trial and error by doing side projects within the company"/>
    <s v="Build and develop a Team, Design and Develop amazing software, Look deeply into Data and generate insights"/>
    <s v="Manager who explains what is expected, sets a goal and helps achieve it"/>
    <s v="Work with 5 to 6 people in my team"/>
    <m/>
    <m/>
    <m/>
  </r>
  <r>
    <d v="2022-12-21T16:51:36"/>
    <s v="India"/>
    <n v="605101"/>
    <x v="0"/>
    <x v="4"/>
    <x v="0"/>
    <x v="0"/>
    <x v="1"/>
    <x v="1"/>
    <x v="8"/>
    <s v="Fully Remote with Options to travel as and when needed"/>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targets and expects me to achieve it"/>
    <s v="Work with 5 to 6 people in my team"/>
    <m/>
    <m/>
    <m/>
  </r>
  <r>
    <d v="2022-12-21T17:10:18"/>
    <s v="India"/>
    <n v="605008"/>
    <x v="0"/>
    <x v="2"/>
    <x v="0"/>
    <x v="1"/>
    <x v="0"/>
    <x v="0"/>
    <x v="2"/>
    <s v="Fully Remote with Options to travel as and when needed"/>
    <s v="Employer who pushes your limits by enabling an learning environment, and rewards you at the end"/>
    <s v="Self Paced Learning Portals, Learning by observing others"/>
    <s v="Design and Creative strategy in any company, Business Operations in any organization, Build and develop a Team"/>
    <s v="Manager who sets goal and helps me achieve it"/>
    <s v="Work with more than 10 people in my team"/>
    <m/>
    <m/>
    <m/>
  </r>
  <r>
    <d v="2022-12-21T17:26:05"/>
    <s v="India"/>
    <n v="722207"/>
    <x v="0"/>
    <x v="2"/>
    <x v="2"/>
    <x v="0"/>
    <x v="1"/>
    <x v="1"/>
    <x v="4"/>
    <s v="Hybrid Working Environment with less than 3 days a month at office"/>
    <s v="Employer who rewards learning and enables that environment"/>
    <s v="Learning by observing others, Trial and error by doing side projects within the company"/>
    <s v="Business Operations in any organization, Look deeply into Data and generate insights, Work as a freelancer and do my thing my way"/>
    <s v="Manager who explains what is expected, sets a goal and helps achieve it"/>
    <s v="Work with 2 to 3 people in my team"/>
    <m/>
    <m/>
    <m/>
  </r>
  <r>
    <d v="2022-12-21T17:43:42"/>
    <s v="India"/>
    <n v="604102"/>
    <x v="1"/>
    <x v="0"/>
    <x v="0"/>
    <x v="1"/>
    <x v="1"/>
    <x v="1"/>
    <x v="0"/>
    <s v="Hybrid Working Environment with less than 10 days a month at office"/>
    <s v="Employer who appreciates learning and enables that environment"/>
    <s v="Self Paced Learning Portals, Learning by observing others"/>
    <s v="Design and Creative strategy in any company, Business Operations in any organization, Look deeply into Data and generate insights"/>
    <s v="Manager who sets goal and helps me achieve it"/>
    <s v="Work with more than 10 people in my team"/>
    <m/>
    <m/>
    <m/>
  </r>
  <r>
    <d v="2022-12-21T18:07:47"/>
    <s v="India"/>
    <n v="122002"/>
    <x v="0"/>
    <x v="0"/>
    <x v="0"/>
    <x v="2"/>
    <x v="0"/>
    <x v="0"/>
    <x v="2"/>
    <s v="Hybrid Working Environment with less than 15 days a month at office"/>
    <s v="Employer who rewards learning and enables that environment"/>
    <s v="Self Paced Learning Portals, Instructor or Expert Learning Programs"/>
    <s v="Teaching in any of the institutes/online or Offline, Manage and drive End-to-End Projects or Products, Design and Develop amazing software"/>
    <s v="Manager who explains what is expected, sets a goal and helps achieve it"/>
    <s v="Work with 5 to 6 people in my team"/>
    <m/>
    <m/>
    <m/>
  </r>
  <r>
    <d v="2022-12-21T18:12:42"/>
    <s v="India"/>
    <n v="605102"/>
    <x v="1"/>
    <x v="4"/>
    <x v="0"/>
    <x v="0"/>
    <x v="1"/>
    <x v="1"/>
    <x v="4"/>
    <s v="Every Day Office Environment"/>
    <s v="Employer who appreciates learning and enables that environment"/>
    <s v="Self Paced Learning Portals, Instructor or Expert Learning Programs"/>
    <s v="Business Operations in any organization, Design and Develop amazing software, Become a content Creator in some platform"/>
    <s v="Manager who sets targets and expects me to achieve it"/>
    <s v="Work with 7 to 10 or more people in my team"/>
    <m/>
    <m/>
    <m/>
  </r>
  <r>
    <d v="2022-12-21T21:23:38"/>
    <s v="India"/>
    <n v="607001"/>
    <x v="0"/>
    <x v="1"/>
    <x v="1"/>
    <x v="0"/>
    <x v="1"/>
    <x v="1"/>
    <x v="4"/>
    <s v="Hybrid Working Environment with less than 15 days a month at office"/>
    <s v="Employer who pushes your limits by enabling an learning environment, and rewards you at the end"/>
    <s v="Self Paced Learning Portals, Learning by observing others"/>
    <s v="Business Operations in any organization, Manage and drive End-to-End Projects or Products, Build and develop a Team"/>
    <s v="Manager who explains what is expected, sets a goal and helps achieve it"/>
    <s v="Work with 2 to 3 people in my team"/>
    <m/>
    <m/>
    <m/>
  </r>
  <r>
    <d v="2022-12-21T21:40:05"/>
    <s v="India"/>
    <n v="605102"/>
    <x v="1"/>
    <x v="4"/>
    <x v="0"/>
    <x v="1"/>
    <x v="1"/>
    <x v="1"/>
    <x v="1"/>
    <s v="Every Day Office Environment"/>
    <s v="Employer who appreciates learning and enables that environment"/>
    <s v="Self Paced Learning Portals, Learning by observing others"/>
    <s v="Design and Creative strategy in any company, Work in a BPO setup for some well known client, Become a content Creator in some platform"/>
    <s v="Manager who sets goal and helps me achieve it"/>
    <s v="Work with 7 to 10 or more people in my team"/>
    <m/>
    <m/>
    <m/>
  </r>
  <r>
    <d v="2022-12-22T07:31:57"/>
    <s v="India"/>
    <n v="500026"/>
    <x v="1"/>
    <x v="0"/>
    <x v="2"/>
    <x v="0"/>
    <x v="0"/>
    <x v="0"/>
    <x v="2"/>
    <s v="Hybrid Working Environment with less than 10 days a month at office"/>
    <s v="Employer who pushes your limits by enabling an learning environment, and rewards you at the end"/>
    <s v="Self Paced Learning Portals, Instructor or Expert Learning Programs"/>
    <s v="Teaching in any of the institutes/online or Offline, Look deeply into Data and generate insights, Work as a freelancer and do my thing my way"/>
    <s v="Manager who explains what is expected, sets a goal and helps achieve it"/>
    <s v="Work with 5 to 6 people in my team"/>
    <m/>
    <m/>
    <m/>
  </r>
  <r>
    <d v="2022-12-22T08:48:49"/>
    <s v="India"/>
    <n v="500030"/>
    <x v="1"/>
    <x v="1"/>
    <x v="0"/>
    <x v="0"/>
    <x v="0"/>
    <x v="0"/>
    <x v="4"/>
    <s v="Every Day Office Environment"/>
    <s v="Employer who appreciates learning and enables that environment"/>
    <s v="Instructor or Expert Learning Programs, Learning by observing others"/>
    <s v="Teaching in any of the institutes/online or Offline, Work as a freelancer and do my thing my way, Become a content Creator in some platform"/>
    <s v="Manager who explains what is expected, sets a goal and helps achieve it"/>
    <s v="Work with 7 to 10 or more people in my team"/>
    <m/>
    <m/>
    <m/>
  </r>
  <r>
    <d v="2022-12-22T10:47:53"/>
    <s v="India"/>
    <n v="462043"/>
    <x v="1"/>
    <x v="0"/>
    <x v="0"/>
    <x v="0"/>
    <x v="0"/>
    <x v="0"/>
    <x v="5"/>
    <s v="Every Day Office Environment"/>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alone, Work with 2 to 3 people in my team, Work with 5 to 6 people in my team"/>
    <m/>
    <m/>
    <m/>
  </r>
  <r>
    <d v="2022-12-22T11:41:05"/>
    <s v="India"/>
    <n v="786001"/>
    <x v="0"/>
    <x v="2"/>
    <x v="1"/>
    <x v="0"/>
    <x v="0"/>
    <x v="1"/>
    <x v="9"/>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Become a content Creator in some platform"/>
    <s v="Manager who explains what is expected, sets a goal and helps achieve it"/>
    <s v="Work with 7 to 10 or more people in my team"/>
    <m/>
    <m/>
    <m/>
  </r>
  <r>
    <d v="2022-12-22T12:27:18"/>
    <s v="India"/>
    <n v="605004"/>
    <x v="0"/>
    <x v="3"/>
    <x v="0"/>
    <x v="0"/>
    <x v="0"/>
    <x v="0"/>
    <x v="7"/>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Build and develop a Team"/>
    <s v="Manager who explains what is expected, sets a goal and helps achieve it"/>
    <s v="Work alone, Work with 5 to 6 people in my team"/>
    <m/>
    <m/>
    <m/>
  </r>
  <r>
    <d v="2022-12-22T12:40:31"/>
    <s v="India"/>
    <n v="700041"/>
    <x v="0"/>
    <x v="0"/>
    <x v="2"/>
    <x v="0"/>
    <x v="0"/>
    <x v="0"/>
    <x v="7"/>
    <s v="Fully Remote with Options to travel as and when needed"/>
    <s v="Employer who pushes your limits by enabling an learning environment, and rewards you at the end"/>
    <s v="Instructor or Expert Learning Programs, Trial and error by doing side projects within the company"/>
    <s v="Design and Creative strategy in any company, Work as a freelancer and do my thing my way, Become a content Creator in some platform"/>
    <s v="Manager who explains what is expected, sets a goal and helps achieve it"/>
    <s v="Work with 2 to 3 people in my team"/>
    <m/>
    <m/>
    <m/>
  </r>
  <r>
    <d v="2022-12-22T12:47:00"/>
    <s v="India"/>
    <n v="700041"/>
    <x v="1"/>
    <x v="4"/>
    <x v="2"/>
    <x v="0"/>
    <x v="0"/>
    <x v="0"/>
    <x v="9"/>
    <s v="Fully Remote with Options to travel as and when needed"/>
    <s v="Employer who appreciates learning and enables that environment"/>
    <s v="Instructor or Expert Learning Programs, Trial and error by doing side projects within the company"/>
    <s v="Design and Creative strategy in any company, Work as a freelancer and do my thing my way, Become a content Creator in some platform"/>
    <s v="Manager who sets goal and helps me achieve it"/>
    <s v="Work alone, Work with 2 to 3 people in my team"/>
    <m/>
    <m/>
    <m/>
  </r>
  <r>
    <d v="2022-12-22T14:58:34"/>
    <s v="India"/>
    <n v="828114"/>
    <x v="0"/>
    <x v="3"/>
    <x v="0"/>
    <x v="0"/>
    <x v="0"/>
    <x v="0"/>
    <x v="2"/>
    <s v="Hybrid Working Environment with less than 15 days a month at office"/>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sets goal and helps me achieve it"/>
    <s v="Work with 5 to 6 people in my team"/>
    <m/>
    <m/>
    <m/>
  </r>
  <r>
    <d v="2022-12-22T15:34:47"/>
    <s v="Germany"/>
    <n v="85368"/>
    <x v="1"/>
    <x v="0"/>
    <x v="0"/>
    <x v="0"/>
    <x v="0"/>
    <x v="0"/>
    <x v="4"/>
    <s v="Fully Remote with Options to travel as and when needed"/>
    <s v="Employer who appreciates learning and enables that environment"/>
    <s v="Self Paced Learning Portals, Instructor or Expert Learning Programs"/>
    <s v="Teaching in any of the institutes/online or Offline, Manage and drive End-to-End Projects or Products, Build and develop a Team"/>
    <s v="Manager who clearly describes what she/he needs"/>
    <s v="Work with 2 to 3 people in my team"/>
    <m/>
    <m/>
    <m/>
  </r>
  <r>
    <d v="2022-12-22T15:37:31"/>
    <s v="Germany"/>
    <n v="81369"/>
    <x v="1"/>
    <x v="4"/>
    <x v="0"/>
    <x v="0"/>
    <x v="1"/>
    <x v="1"/>
    <x v="8"/>
    <s v="Hybrid Working Environment with less than 10 days a month at office"/>
    <s v="Employer who rewards learning and enables that environment"/>
    <s v="Self Paced Learning Portals, Trial and error by doing side projects within the company"/>
    <s v="Teaching in any of the institutes/online or Offline, Business Operations in any organization, Work as a freelancer and do my thing my way"/>
    <s v="Manager who explains what is expected, sets a goal and helps achieve it"/>
    <s v="Work with 2 to 3 people in my team"/>
    <m/>
    <m/>
    <m/>
  </r>
  <r>
    <d v="2022-12-22T17:06:52"/>
    <s v="India"/>
    <n v="81241"/>
    <x v="0"/>
    <x v="0"/>
    <x v="0"/>
    <x v="0"/>
    <x v="0"/>
    <x v="0"/>
    <x v="4"/>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Become a content Creator in some platform"/>
    <s v="Manager who explains what is expected, sets a goal and helps achieve it"/>
    <s v="Work with 5 to 6 people in my team"/>
    <m/>
    <m/>
    <m/>
  </r>
  <r>
    <d v="2022-12-22T17:19:50"/>
    <s v="India"/>
    <n v="176022"/>
    <x v="0"/>
    <x v="1"/>
    <x v="0"/>
    <x v="1"/>
    <x v="0"/>
    <x v="1"/>
    <x v="2"/>
    <s v="Hybrid Working Environment with less than 10 days a month at office"/>
    <s v="Employer who rewards learning and enables that environment"/>
    <s v="Self Paced Learning Portals, Learning by observing others"/>
    <s v="Design and Creative strategy in any company, Design and Develop amazing software, Look deeply into Data and generate insights"/>
    <s v="Manager who sets targets and expects me to achieve it"/>
    <s v="Work with 5 to 6 people in my team"/>
    <m/>
    <m/>
    <m/>
  </r>
  <r>
    <d v="2022-12-22T21:30:17"/>
    <s v="Canada"/>
    <s v="N2H6M6"/>
    <x v="0"/>
    <x v="0"/>
    <x v="0"/>
    <x v="0"/>
    <x v="0"/>
    <x v="0"/>
    <x v="4"/>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Build and develop a Team"/>
    <s v="Manager who explains what is expected, sets a goal and helps achieve it"/>
    <s v="Work with more than 10 people in my team"/>
    <m/>
    <m/>
    <m/>
  </r>
  <r>
    <d v="2022-12-22T22:59:12"/>
    <s v="India"/>
    <n v="500078"/>
    <x v="0"/>
    <x v="4"/>
    <x v="1"/>
    <x v="0"/>
    <x v="1"/>
    <x v="1"/>
    <x v="5"/>
    <s v="Hybrid Working Environment with less than 15 days a month at office"/>
    <s v="Employer who rewards learning and enables that environment"/>
    <s v="Self Paced Learning Portals, Learning by observing others"/>
    <s v="Manage and drive End-to-End Projects or Products, Design and Develop amazing software, Work as a freelancer and do my thing my way"/>
    <s v="Manager who explains what is expected, sets a goal and helps achieve it"/>
    <s v="Work with 2 to 3 people in my team, Work with 5 to 6 people in my team"/>
    <m/>
    <m/>
    <m/>
  </r>
  <r>
    <d v="2022-12-23T01:32:49"/>
    <s v="Germany"/>
    <n v="81241"/>
    <x v="0"/>
    <x v="4"/>
    <x v="0"/>
    <x v="0"/>
    <x v="0"/>
    <x v="0"/>
    <x v="7"/>
    <s v="Hybrid Working Environment with less than 15 days a month at office"/>
    <s v="Employer who rewards learning and enables that environment"/>
    <s v="Self Paced Learning Portals, Instructor or Expert Learning Programs"/>
    <s v="Business Operations in any organization, Manage and drive End-to-End Projects or Products, Build and develop a Team"/>
    <s v="Manager who sets goal and helps me achieve it"/>
    <s v="Work with 2 to 3 people in my team"/>
    <m/>
    <m/>
    <m/>
  </r>
  <r>
    <d v="2022-12-23T17:15:29"/>
    <s v="India"/>
    <n v="305901"/>
    <x v="0"/>
    <x v="2"/>
    <x v="0"/>
    <x v="0"/>
    <x v="0"/>
    <x v="0"/>
    <x v="3"/>
    <s v="Hybrid Working Environment with less than 15 days a month at office"/>
    <s v="Employer who pushes your limits by enabling an learning environment, and rewards you at the end"/>
    <s v="Instructor or Expert Learning Programs, Learning by observing others"/>
    <s v="Teaching in any of the institutes/online or Offline, Build and develop a Team, Look deeply into Data and generate insights"/>
    <s v="Manager who explains what is expected, sets a goal and helps achieve it"/>
    <s v="Work with 5 to 6 people in my team"/>
    <m/>
    <m/>
    <m/>
  </r>
  <r>
    <d v="2022-12-23T18:15:23"/>
    <s v="India"/>
    <n v="385001"/>
    <x v="1"/>
    <x v="4"/>
    <x v="2"/>
    <x v="0"/>
    <x v="1"/>
    <x v="1"/>
    <x v="8"/>
    <s v="Fully Remote with Options to travel as and when needed"/>
    <s v="Employer who appreciates learning and enables that environment"/>
    <s v="Learning by observing others, Trial and error by doing side projects within the company"/>
    <s v="Design and Creative strategy in any company, Build and develop a Team, Work in a BPO setup for some well known client"/>
    <s v="Manager who clearly describes what she/he needs"/>
    <s v="Work alone"/>
    <m/>
    <m/>
    <m/>
  </r>
  <r>
    <d v="2022-12-23T18:16:37"/>
    <s v="India"/>
    <n v="385001"/>
    <x v="1"/>
    <x v="4"/>
    <x v="2"/>
    <x v="0"/>
    <x v="1"/>
    <x v="1"/>
    <x v="0"/>
    <s v="Every Day Office Environment"/>
    <s v="Employer who appreciates learning and enables that environment"/>
    <s v="Self Paced Learning Portals, Instructor or Expert Learning Programs"/>
    <s v="Design and Creative strategy in any company, Build and develop a Team, Become a content Creator in some platform"/>
    <s v="Manager who explains what is expected, sets a goal and helps achieve it"/>
    <s v="Work with 5 to 6 people in my team"/>
    <m/>
    <m/>
    <m/>
  </r>
  <r>
    <d v="2022-12-23T18:17:13"/>
    <s v="India"/>
    <n v="380052"/>
    <x v="1"/>
    <x v="4"/>
    <x v="0"/>
    <x v="1"/>
    <x v="1"/>
    <x v="0"/>
    <x v="8"/>
    <s v="Hybrid Working Environment with less than 3 days a month at office"/>
    <s v="Employer who pushes your limits by enabling an learning environment, and rewards you at the end"/>
    <s v="Instructor or Expert Learning Programs, Learning by observing others"/>
    <s v="Design and Creative strategy in any company, Business Operations in any organization, Build and develop a Team"/>
    <s v="Manager who explains what is expected, sets a goal and helps achieve it"/>
    <s v="Work with 2 to 3 people in my team"/>
    <m/>
    <m/>
    <m/>
  </r>
  <r>
    <d v="2022-12-23T18:49:14"/>
    <s v="India"/>
    <n v="576213"/>
    <x v="0"/>
    <x v="0"/>
    <x v="1"/>
    <x v="1"/>
    <x v="0"/>
    <x v="1"/>
    <x v="7"/>
    <s v="Hybrid Working Environment with less than 10 days a month at office"/>
    <s v="Employer who appreciates learning and enables that environment"/>
    <s v="Self Paced Learning Portals, Learning by observing others"/>
    <s v="Build and develop a Team, Work as a freelancer and do my thing my way, Become a content Creator in some platform"/>
    <s v="Manager who explains what is expected, sets a goal and helps achieve it"/>
    <s v="Work with 5 to 6 people in my team"/>
    <m/>
    <m/>
    <m/>
  </r>
  <r>
    <d v="2022-12-23T18:52:23"/>
    <s v="India"/>
    <n v="576213"/>
    <x v="1"/>
    <x v="3"/>
    <x v="1"/>
    <x v="0"/>
    <x v="1"/>
    <x v="0"/>
    <x v="4"/>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clearly describes what she/he needs"/>
    <s v="Work with 7 to 10 or more people in my team"/>
    <m/>
    <m/>
    <m/>
  </r>
  <r>
    <d v="2022-12-23T18:58:21"/>
    <s v="India"/>
    <n v="385210"/>
    <x v="0"/>
    <x v="3"/>
    <x v="2"/>
    <x v="1"/>
    <x v="1"/>
    <x v="1"/>
    <x v="8"/>
    <s v="Fully Remote with Options to travel as and when needed"/>
    <s v="Employer who pushes your limits by enabling an learning environment, and rewards you at the end"/>
    <s v="Self Paced Learning Portals, Learning by observing others"/>
    <s v="Design and Creative strategy in any company, Business Operations in any organization, Become a content Creator in some platform"/>
    <s v="Manager who sets targets and expects me to achieve it"/>
    <s v="Work with 2 to 3 people in my team"/>
    <m/>
    <m/>
    <m/>
  </r>
  <r>
    <d v="2022-12-23T19:00:31"/>
    <s v="India"/>
    <n v="575007"/>
    <x v="1"/>
    <x v="4"/>
    <x v="2"/>
    <x v="0"/>
    <x v="0"/>
    <x v="0"/>
    <x v="4"/>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Work in a BPO setup for some well known client, Work as a freelancer and do my thing my way"/>
    <s v="Manager who explains what is expected, sets a goal and helps achieve it"/>
    <s v="Work with 2 to 3 people in my team"/>
    <m/>
    <m/>
    <m/>
  </r>
  <r>
    <d v="2022-12-23T19:05:40"/>
    <s v="India"/>
    <n v="385001"/>
    <x v="1"/>
    <x v="4"/>
    <x v="0"/>
    <x v="1"/>
    <x v="1"/>
    <x v="1"/>
    <x v="1"/>
    <s v="Every Day Office Environment"/>
    <s v="Employer who appreciates learning and enables that environment"/>
    <s v="Self Paced Learning Portals, Instructor or Expert Learning Programs"/>
    <s v="Design and Creative strategy in any company, Teaching in any of the institutes/online or Offline, Business Operations in any organization"/>
    <s v="Manager who clearly describes what she/he needs"/>
    <s v="Work with more than 10 people in my team"/>
    <m/>
    <m/>
    <m/>
  </r>
  <r>
    <d v="2022-12-23T19:05:43"/>
    <s v="India"/>
    <n v="574141"/>
    <x v="1"/>
    <x v="4"/>
    <x v="2"/>
    <x v="1"/>
    <x v="0"/>
    <x v="0"/>
    <x v="4"/>
    <s v="Every Day Office Environment"/>
    <s v="Employer who pushes your limits by enabling an learning environment, and rewards you at the end"/>
    <s v="Instructor or Expert Learning Programs, Learning by observing others"/>
    <s v="Design and Creative strategy in any company, Business Operations in any organization, Build and develop a Team"/>
    <s v="Manager who explains what is expected, sets a goal and helps achieve it"/>
    <s v="Work with 2 to 3 people in my team"/>
    <m/>
    <m/>
    <m/>
  </r>
  <r>
    <d v="2022-12-23T19:06:54"/>
    <s v="India"/>
    <n v="385001"/>
    <x v="0"/>
    <x v="4"/>
    <x v="0"/>
    <x v="1"/>
    <x v="1"/>
    <x v="1"/>
    <x v="0"/>
    <s v="Every Day Office Environment"/>
    <s v="Employer who pushes your limits by enabling an learning environment, and rewards you at the end"/>
    <s v="Learning by observing others, Trial and error by doing side projects within the company"/>
    <s v="Manage and drive End-to-End Projects or Products, Work as a freelancer and do my thing my way, Become a content Creator in some platform"/>
    <s v="Manager who sets goal and helps me achieve it"/>
    <s v="Work alone, Work with 2 to 3 people in my team, Work with 5 to 6 people in my team, Work with 7 to 10 or more people in my team, Work with more than 10 people in my team"/>
    <m/>
    <m/>
    <m/>
  </r>
  <r>
    <d v="2022-12-23T19:07:56"/>
    <s v="India"/>
    <n v="576221"/>
    <x v="1"/>
    <x v="0"/>
    <x v="2"/>
    <x v="0"/>
    <x v="0"/>
    <x v="0"/>
    <x v="7"/>
    <s v="Every Day Office Environment"/>
    <s v="Employer who appreciates learning and enables that environment"/>
    <s v="Instructor or Expert Learning Programs, Trial and error by doing side projects within the company"/>
    <s v="Design and Creative strategy in any company, Teaching in any of the institutes/online or Offline, Build and develop a Team"/>
    <s v="Manager who explains what is expected, sets a goal and helps achieve it"/>
    <s v="Work with 7 to 10 or more people in my team"/>
    <m/>
    <m/>
    <m/>
  </r>
  <r>
    <d v="2022-12-23T19:09:40"/>
    <s v="India"/>
    <n v="385001"/>
    <x v="0"/>
    <x v="0"/>
    <x v="0"/>
    <x v="0"/>
    <x v="0"/>
    <x v="0"/>
    <x v="8"/>
    <s v="Every Day Office Environment"/>
    <s v="Employer who pushes your limits by enabling an learning environment, and rewards you at the end"/>
    <s v="Instructor or Expert Learning Programs, Trial and error by doing side projects within the company"/>
    <s v="Business Operations in any organization, Look deeply into Data and generate insights, Work in a BPO setup for some well known client"/>
    <s v="Manager who explains what is expected, sets a goal and helps achieve it"/>
    <s v="Work with 2 to 3 people in my team"/>
    <m/>
    <m/>
    <m/>
  </r>
  <r>
    <d v="2022-12-23T19:10:38"/>
    <s v="India"/>
    <n v="574227"/>
    <x v="0"/>
    <x v="4"/>
    <x v="1"/>
    <x v="0"/>
    <x v="1"/>
    <x v="0"/>
    <x v="6"/>
    <s v="Fully Remote with Options to travel as and when needed"/>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sets goal and helps me achieve it"/>
    <s v="Work with 5 to 6 people in my team, Work with 7 to 10 or more people in my team"/>
    <m/>
    <m/>
    <m/>
  </r>
  <r>
    <d v="2022-12-23T19:14:15"/>
    <s v="India"/>
    <n v="385001"/>
    <x v="1"/>
    <x v="4"/>
    <x v="0"/>
    <x v="0"/>
    <x v="0"/>
    <x v="0"/>
    <x v="4"/>
    <s v="Fully Remote with Options to travel as and when needed"/>
    <s v="Employer who pushes your limits by enabling an learning environment, and rewards you at the end"/>
    <s v="Learning by observing others, Trial and error by doing side projects within the company"/>
    <s v="Teaching in any of the institutes/online or Offline, Build and develop a Team, Become a content Creator in some platform"/>
    <s v="Manager who explains what is expected, sets a goal and helps achieve it"/>
    <s v="Work with 5 to 6 people in my team"/>
    <m/>
    <m/>
    <m/>
  </r>
  <r>
    <d v="2022-12-23T19:18:08"/>
    <s v="India"/>
    <n v="576106"/>
    <x v="0"/>
    <x v="4"/>
    <x v="2"/>
    <x v="1"/>
    <x v="0"/>
    <x v="0"/>
    <x v="1"/>
    <s v="Fully Remote with Options to travel as and when needed"/>
    <s v="Employer who appreciates learning and enables that environment"/>
    <s v="Self Paced Learning Portals, Learning by observing others"/>
    <s v="Teaching in any of the institutes/online or Offline, Manage and drive End-to-End Projects or Products, Build and develop a Team"/>
    <s v="Manager who sets goal and helps me achieve it"/>
    <s v="Work with more than 10 people in my team"/>
    <m/>
    <m/>
    <m/>
  </r>
  <r>
    <d v="2022-12-23T19:18:21"/>
    <s v="United Arab Emirates"/>
    <n v="420"/>
    <x v="1"/>
    <x v="0"/>
    <x v="2"/>
    <x v="2"/>
    <x v="0"/>
    <x v="0"/>
    <x v="1"/>
    <s v="Fully Remote with No option to visit offices"/>
    <s v="Employers who appreciates learning but doesn't enables an learning environment"/>
    <s v="Learning by observing others, Trial and error by doing side projects within the company"/>
    <s v="Work in a BPO setup for some well known client, Work as a freelancer and do my thing my way, Become a content Creator in some platform"/>
    <s v="Manager who sets unrealistic targets"/>
    <s v="Work alone"/>
    <m/>
    <m/>
    <m/>
  </r>
  <r>
    <d v="2022-12-23T19:25:52"/>
    <s v="India"/>
    <n v="576213"/>
    <x v="1"/>
    <x v="2"/>
    <x v="2"/>
    <x v="0"/>
    <x v="1"/>
    <x v="0"/>
    <x v="5"/>
    <s v="Hybrid Working Environment with less than 10 days a month at office"/>
    <s v="Employer who appreciates learning and enables that environment"/>
    <s v="Instructor or Expert Learning Programs, Trial and error by doing side projects within the company"/>
    <s v="Design and Creative strategy in any company, Business Operations in any organization, Manage and drive End-to-End Projects or Products"/>
    <s v="Manager who explains what is expected, sets a goal and helps achieve it"/>
    <s v="Work with 7 to 10 or more people in my team"/>
    <m/>
    <m/>
    <m/>
  </r>
  <r>
    <d v="2022-12-23T19:34:41"/>
    <s v="India"/>
    <n v="576210"/>
    <x v="1"/>
    <x v="4"/>
    <x v="0"/>
    <x v="1"/>
    <x v="0"/>
    <x v="0"/>
    <x v="4"/>
    <s v="Every Day Office Environment"/>
    <s v="Employer who appreciates learning and enables that environment"/>
    <s v="Self Paced Learning Portals, Instructor or Expert Learning Programs"/>
    <s v="Business Operations in any organization, Build and develop a Team, Look deeply into Data and generate insights"/>
    <s v="Manager who clearly describes what she/he needs"/>
    <s v="Work with more than 10 people in my team"/>
    <m/>
    <m/>
    <m/>
  </r>
  <r>
    <d v="2022-12-23T19:37:33"/>
    <s v="India"/>
    <n v="385001"/>
    <x v="1"/>
    <x v="4"/>
    <x v="2"/>
    <x v="0"/>
    <x v="0"/>
    <x v="0"/>
    <x v="7"/>
    <s v="Every Day Office Environment"/>
    <s v="Employer who appreciates learning and enables that environment"/>
    <s v="Self Paced Learning Portals, Learning by observing others"/>
    <s v="Business Operations in any organization, Work in a BPO setup for some well known client, Become a content Creator in some platform"/>
    <s v="Manager who clearly describes what she/he needs"/>
    <s v="Work with more than 10 people in my team"/>
    <m/>
    <m/>
    <m/>
  </r>
  <r>
    <d v="2022-12-23T19:44:41"/>
    <s v="India"/>
    <n v="385001"/>
    <x v="1"/>
    <x v="4"/>
    <x v="2"/>
    <x v="0"/>
    <x v="1"/>
    <x v="1"/>
    <x v="9"/>
    <s v="Every Day Office Environment"/>
    <s v="Employer who pushes your limits and doesn't enables learning environment and never rewards you"/>
    <s v="Self Paced Learning Portals, Trial and error by doing side projects within the company"/>
    <s v="Design and Creative strategy in any company, Design and Develop amazing software, Become a content Creator in some platform"/>
    <s v="Manager who explains what is expected, sets a goal and helps achieve it"/>
    <s v="Work with 7 to 10 or more people in my team"/>
    <m/>
    <m/>
    <m/>
  </r>
  <r>
    <d v="2022-12-23T19:57:32"/>
    <s v="India"/>
    <n v="574102"/>
    <x v="0"/>
    <x v="2"/>
    <x v="0"/>
    <x v="1"/>
    <x v="1"/>
    <x v="0"/>
    <x v="9"/>
    <s v="Fully Remote with Options to travel as and when needed"/>
    <s v="Employer who rewards learning and enables that environment"/>
    <s v="Instructor or Expert Learning Programs, Trial and error by doing side projects within the company"/>
    <s v="Business Operations in any organization, Manage and drive End-to-End Projects or Products, Build and develop a Team"/>
    <s v="Manager who explains what is expected, sets a goal and helps achieve it"/>
    <s v="Work with 5 to 6 people in my team"/>
    <m/>
    <m/>
    <m/>
  </r>
  <r>
    <d v="2022-12-23T20:13:18"/>
    <s v="India"/>
    <n v="576221"/>
    <x v="1"/>
    <x v="4"/>
    <x v="2"/>
    <x v="0"/>
    <x v="1"/>
    <x v="0"/>
    <x v="0"/>
    <s v="Every Day Office Environment"/>
    <s v="Employer who rewards learning and enables that environment"/>
    <s v="Instructor or Expert Learning Programs, Learning by observing others"/>
    <s v="Design and Creative strategy in any company, Business Operations in any organization, Manage and drive End-to-End Projects or Products"/>
    <s v="Manager who sets goal and helps me achieve it"/>
    <s v="Work with 5 to 6 people in my team"/>
    <m/>
    <m/>
    <m/>
  </r>
  <r>
    <d v="2022-12-23T21:36:47"/>
    <s v="India"/>
    <n v="605008"/>
    <x v="1"/>
    <x v="1"/>
    <x v="0"/>
    <x v="1"/>
    <x v="1"/>
    <x v="1"/>
    <x v="4"/>
    <s v="Every Day Office Environment"/>
    <s v="Employer who rewards learning and enables that environment"/>
    <s v="Self Paced Learning Portals, Learning by observing others"/>
    <s v="Manage and drive End-to-End Projects or Products, Build and develop a Team, Look deeply into Data and generate insights"/>
    <s v="Manager who explains what is expected, sets a goal and helps achieve it"/>
    <s v="Work with 5 to 6 people in my team"/>
    <m/>
    <m/>
    <m/>
  </r>
  <r>
    <d v="2022-12-23T21:39:28"/>
    <s v="India"/>
    <n v="385120"/>
    <x v="0"/>
    <x v="4"/>
    <x v="2"/>
    <x v="1"/>
    <x v="0"/>
    <x v="0"/>
    <x v="1"/>
    <s v="Every Day Office Environment"/>
    <s v="Employer who appreciates learning and enables that environment"/>
    <s v="Instructor or Expert Learning Programs, Learning by observing others"/>
    <s v="Manage and drive End-to-End Projects or Products, Build and develop a Team, Look deeply into Data and generate insights"/>
    <s v="Manager who explains what is expected, sets a goal and helps achieve it"/>
    <s v="Work with 5 to 6 people in my team"/>
    <m/>
    <m/>
    <m/>
  </r>
  <r>
    <d v="2022-12-23T21:41:13"/>
    <s v="India"/>
    <n v="605601"/>
    <x v="0"/>
    <x v="4"/>
    <x v="2"/>
    <x v="1"/>
    <x v="1"/>
    <x v="1"/>
    <x v="1"/>
    <s v="Hybrid Working Environment with less than 3 days a month at office"/>
    <s v="Employer who rewards learning and enables that environment"/>
    <s v="Self Paced Learning Portals, Trial and error by doing side projects within the company"/>
    <s v="Business Operations in any organization, Work in a BPO setup for some well known client, Become a content Creator in some platform"/>
    <s v="Manager who explains what is expected, sets a goal and helps achieve it"/>
    <s v="Work alone"/>
    <m/>
    <m/>
    <m/>
  </r>
  <r>
    <d v="2022-12-23T21:54:00"/>
    <s v="India"/>
    <n v="385001"/>
    <x v="1"/>
    <x v="4"/>
    <x v="1"/>
    <x v="0"/>
    <x v="0"/>
    <x v="0"/>
    <x v="4"/>
    <s v="Every Day Office Environment"/>
    <s v="Employer who rewards learning and enables that environment"/>
    <s v="Self Paced Learning Portals, Learning by observing others"/>
    <s v="Design and Creative strategy in any company, Teaching in any of the institutes/online or Offline, Business Operations in any organization"/>
    <s v="Manager who explains what is expected, sets a goal and helps achieve it"/>
    <s v="Work with 2 to 3 people in my team"/>
    <m/>
    <m/>
    <m/>
  </r>
  <r>
    <d v="2022-12-23T21:54:31"/>
    <s v="India"/>
    <n v="607301"/>
    <x v="0"/>
    <x v="4"/>
    <x v="0"/>
    <x v="1"/>
    <x v="0"/>
    <x v="0"/>
    <x v="4"/>
    <s v="Fully Remote with Options to travel as and when needed"/>
    <s v="Employer who appreciates learning and enables that environment"/>
    <s v="Self Paced Learning Portals, Learning by observing others"/>
    <s v="Business Operations in any organization, Build and develop a Team, Work as a freelancer and do my thing my way"/>
    <s v="Manager who sets goal and helps me achieve it"/>
    <s v="Work alone"/>
    <m/>
    <m/>
    <m/>
  </r>
  <r>
    <d v="2022-12-23T22:08:51"/>
    <s v="India"/>
    <n v="576229"/>
    <x v="1"/>
    <x v="4"/>
    <x v="2"/>
    <x v="0"/>
    <x v="0"/>
    <x v="0"/>
    <x v="7"/>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Work as a freelancer and do my thing my way"/>
    <s v="Manager who explains what is expected, sets a goal and helps achieve it"/>
    <s v="Work with 5 to 6 people in my team"/>
    <m/>
    <m/>
    <m/>
  </r>
  <r>
    <d v="2022-12-23T22:59:43"/>
    <s v="India"/>
    <n v="385001"/>
    <x v="0"/>
    <x v="4"/>
    <x v="0"/>
    <x v="0"/>
    <x v="0"/>
    <x v="0"/>
    <x v="2"/>
    <s v="Fully Remote with Options to travel as and when needed"/>
    <s v="Employer who pushes your limits by enabling an learning environment, and rewards you at the end"/>
    <s v="Instructor or Expert Learning Programs, Learning by observing others"/>
    <s v="Business Operations in any organization, Manage and drive End-to-End Projects or Products, Build and develop a Team"/>
    <s v="Manager who explains what is expected, sets a goal and helps achieve it"/>
    <s v="Work with more than 10 people in my team"/>
    <m/>
    <m/>
    <m/>
  </r>
  <r>
    <d v="2022-12-23T23:28:32"/>
    <s v="India"/>
    <n v="385001"/>
    <x v="1"/>
    <x v="0"/>
    <x v="2"/>
    <x v="0"/>
    <x v="0"/>
    <x v="0"/>
    <x v="1"/>
    <s v="Fully Remote with Options to travel as and when needed"/>
    <s v="Employer who pushes your limits by enabling an learning environment, and rewards you at the end"/>
    <s v="Instructor or Expert Learning Programs, Learning by observing others"/>
    <s v="Teaching in any of the institutes/online or Offline, Look deeply into Data and generate insights, Work as a freelancer and do my thing my way"/>
    <s v="Manager who clearly describes what she/he needs"/>
    <s v="Work with 2 to 3 people in my team"/>
    <m/>
    <m/>
    <m/>
  </r>
  <r>
    <d v="2022-12-24T06:23:12"/>
    <s v="India"/>
    <n v="385210"/>
    <x v="0"/>
    <x v="4"/>
    <x v="1"/>
    <x v="0"/>
    <x v="1"/>
    <x v="1"/>
    <x v="0"/>
    <s v="Hybrid Working Environment with less than 15 days a month at office"/>
    <s v="Employer who pushes your limits by enabling an learning environment, and rewards you at the end"/>
    <s v="Instructor or Expert Learning Programs, Learning by observing others"/>
    <s v="Teaching in any of the institutes/online or Offline, Business Operations in any organization, Manage and drive End-to-End Projects or Products"/>
    <s v="Manager who clearly describes what she/he needs"/>
    <s v="Work alone"/>
    <m/>
    <m/>
    <m/>
  </r>
  <r>
    <d v="2022-12-24T09:15:26"/>
    <s v="India"/>
    <n v="574611"/>
    <x v="1"/>
    <x v="3"/>
    <x v="2"/>
    <x v="1"/>
    <x v="0"/>
    <x v="0"/>
    <x v="3"/>
    <s v="Every Day Office Environment"/>
    <s v="Employer who appreciates learning and enables that environment"/>
    <s v="Instructor or Expert Learning Programs, Learning by observing others"/>
    <s v="Design and Creative strategy in any company, Business Operations in any organization, Build and develop a Team"/>
    <s v="Manager who clearly describes what she/he needs"/>
    <s v="Work with 5 to 6 people in my team"/>
    <m/>
    <m/>
    <m/>
  </r>
  <r>
    <d v="2022-12-24T09:39:47"/>
    <s v="India"/>
    <n v="574103"/>
    <x v="0"/>
    <x v="0"/>
    <x v="0"/>
    <x v="1"/>
    <x v="1"/>
    <x v="0"/>
    <x v="2"/>
    <s v="Hybrid Working Environment with less than 10 days a month at office"/>
    <s v="Employer who pushes your limits by enabling an learning environment, and rewards you at the end"/>
    <s v="Instructor or Expert Learning Programs, Learning by observing others"/>
    <s v="Design and Creative strategy in any company, Teaching in any of the institutes/online or Offline, Business Operations in any organization"/>
    <s v="Manager who explains what is expected, sets a goal and helps achieve it"/>
    <s v="Work with 2 to 3 people in my team, Work with 5 to 6 people in my team, Work with 7 to 10 or more people in my team"/>
    <m/>
    <m/>
    <m/>
  </r>
  <r>
    <d v="2022-12-24T09:45:50"/>
    <s v="India"/>
    <n v="574111"/>
    <x v="1"/>
    <x v="3"/>
    <x v="1"/>
    <x v="0"/>
    <x v="0"/>
    <x v="0"/>
    <x v="5"/>
    <s v="Fully Remote with Options to travel as and when needed"/>
    <s v="Employer who pushes your limits by enabling an learning environment, and rewards you at the end"/>
    <s v="Instructor or Expert Learning Programs, Learning by observing others"/>
    <s v="Build and develop a Team, Work as a freelancer and do my thing my way, Become a content Creator in some platform"/>
    <s v="Manager who explains what is expected, sets a goal and helps achieve it"/>
    <s v="Work alone, Work with 2 to 3 people in my team"/>
    <m/>
    <m/>
    <m/>
  </r>
  <r>
    <d v="2022-12-24T11:02:44"/>
    <s v="India"/>
    <n v="385520"/>
    <x v="0"/>
    <x v="0"/>
    <x v="2"/>
    <x v="1"/>
    <x v="0"/>
    <x v="0"/>
    <x v="7"/>
    <s v="Fully Remote with Options to travel as and when needed"/>
    <s v="Employer who pushes your limits by enabling an learning environment, and rewards you at the end"/>
    <s v="Self Paced Learning Portals, Trial and error by doing side projects within the company"/>
    <s v="Design and Creative strategy in any company, Business Operations in any organization, Manage and drive End-to-End Projects or Products"/>
    <s v="Manager who explains what is expected, sets a goal and helps achieve it"/>
    <s v="Work with 2 to 3 people in my team"/>
    <m/>
    <m/>
    <m/>
  </r>
  <r>
    <d v="2022-12-24T11:09:59"/>
    <s v="India"/>
    <n v="576213"/>
    <x v="1"/>
    <x v="0"/>
    <x v="0"/>
    <x v="0"/>
    <x v="0"/>
    <x v="0"/>
    <x v="7"/>
    <s v="Fully Remote with Options to travel as and when needed"/>
    <s v="Employer who appreciates learning and enables that environment"/>
    <s v="Instructor or Expert Learning Programs, Trial and error by doing side projects within the company"/>
    <s v="Design and Creative strategy in any company, Manage and drive End-to-End Projects or Products, Look deeply into Data and generate insights"/>
    <s v="Manager who sets goal and helps me achieve it"/>
    <s v="Work with 2 to 3 people in my team"/>
    <m/>
    <m/>
    <m/>
  </r>
  <r>
    <d v="2022-12-24T14:25:49"/>
    <s v="India"/>
    <n v="385520"/>
    <x v="1"/>
    <x v="3"/>
    <x v="0"/>
    <x v="0"/>
    <x v="1"/>
    <x v="1"/>
    <x v="4"/>
    <s v="Hybrid Working Environment with less than 10 days a month at office"/>
    <s v="Employer who appreciates learning and enables that environment"/>
    <s v="Instructor or Expert Learning Programs, Trial and error by doing side projects within the company"/>
    <s v="Design and Creative strategy in any company, Teaching in any of the institutes/online or Offline, Manage and drive End-to-End Projects or Products"/>
    <s v="Manager who explains what is expected, sets a goal and helps achieve it"/>
    <s v="Work with 5 to 6 people in my team"/>
    <m/>
    <m/>
    <m/>
  </r>
  <r>
    <d v="2022-12-24T14:46:17"/>
    <s v="India"/>
    <n v="442401"/>
    <x v="0"/>
    <x v="4"/>
    <x v="1"/>
    <x v="0"/>
    <x v="0"/>
    <x v="0"/>
    <x v="2"/>
    <s v="Fully Remote with Options to travel as and when needed"/>
    <s v="Employer who rewards learning and enables that environment"/>
    <s v="Instructor or Expert Learning Programs, Trial and error by doing side projects within the company"/>
    <s v="Business Operations in any organization, Look deeply into Data and generate insights, Become a content Creator in some platform"/>
    <s v="Manager who explains what is expected, sets a goal and helps achieve it"/>
    <s v="Work with 5 to 6 people in my team"/>
    <m/>
    <m/>
    <m/>
  </r>
  <r>
    <d v="2022-12-24T14:49:19"/>
    <s v="India"/>
    <n v="576215"/>
    <x v="1"/>
    <x v="4"/>
    <x v="2"/>
    <x v="0"/>
    <x v="0"/>
    <x v="0"/>
    <x v="0"/>
    <s v="Hybrid Working Environment with less than 15 days a month at office"/>
    <s v="Employer who appreciates learning and enables that environment"/>
    <s v="Learning by observing others, Trial and error by doing side projects within the company"/>
    <s v="Design and Creative strategy in any company, Teaching in any of the institutes/online or Offline, Design and Develop amazing software"/>
    <s v="Manager who explains what is expected, sets a goal and helps achieve it"/>
    <s v="Work with 5 to 6 people in my team"/>
    <m/>
    <m/>
    <m/>
  </r>
  <r>
    <d v="2022-12-24T15:09:08"/>
    <s v="India"/>
    <n v="401107"/>
    <x v="1"/>
    <x v="1"/>
    <x v="0"/>
    <x v="1"/>
    <x v="0"/>
    <x v="0"/>
    <x v="9"/>
    <s v="Hybrid Working Environment with less than 3 days a month at office"/>
    <s v="Employer who rewards learning and enables that environment"/>
    <s v="Self Paced Learning Portals, Instructor or Expert Learning Programs"/>
    <s v="Build and develop a Team, Look deeply into Data and generate insights, Work as a freelancer and do my thing my way"/>
    <s v="Manager who clearly describes what she/he needs"/>
    <s v="Work alone, Work with 2 to 3 people in my team, Work with 7 to 10 or more people in my team"/>
    <m/>
    <m/>
    <m/>
  </r>
  <r>
    <d v="2022-12-24T15:35:54"/>
    <s v="India"/>
    <n v="400101"/>
    <x v="0"/>
    <x v="2"/>
    <x v="2"/>
    <x v="0"/>
    <x v="1"/>
    <x v="0"/>
    <x v="7"/>
    <s v="Fully Remote with Options to travel as and when needed"/>
    <s v="Employer who pushes your limits by enabling an learning environment, and rewards you at the end"/>
    <s v="Self Paced Learning Portals, Trial and error by doing side projects within the company"/>
    <s v="Manage and drive End-to-End Projects or Products, Build and develop a Team, Look deeply into Data and generate insights"/>
    <s v="Manager who explains what is expected, sets a goal and helps achieve it"/>
    <s v="Work alone, Work with 2 to 3 people in my team"/>
    <m/>
    <m/>
    <m/>
  </r>
  <r>
    <d v="2022-12-24T15:35:59"/>
    <s v="India"/>
    <n v="400101"/>
    <x v="0"/>
    <x v="4"/>
    <x v="1"/>
    <x v="1"/>
    <x v="1"/>
    <x v="1"/>
    <x v="1"/>
    <s v="Every Day Office Environment"/>
    <s v="Employer who appreciates learning and enables that environment"/>
    <s v="Self Paced Learning Portals, Instructor or Expert Learning Programs"/>
    <s v="Design and Creative strategy in any company, Design and Develop amazing software, Look deeply into Data and generate insights"/>
    <s v="Manager who clearly describes what she/he needs"/>
    <s v="Work alone"/>
    <m/>
    <m/>
    <m/>
  </r>
  <r>
    <d v="2022-12-24T15:54:33"/>
    <s v="India"/>
    <n v="385001"/>
    <x v="1"/>
    <x v="4"/>
    <x v="0"/>
    <x v="2"/>
    <x v="1"/>
    <x v="1"/>
    <x v="6"/>
    <s v="Every Day Office Environment"/>
    <s v="Employer who rewards learning and enables that environment"/>
    <s v="Self Paced Learning Portals, Trial and error by doing side projects within the company"/>
    <s v="Design and Creative strategy in any company, Business Operations in any organization, Design and Develop amazing software"/>
    <s v="Manager who sets targets and expects me to achieve it"/>
    <s v="Work with 2 to 3 people in my team"/>
    <m/>
    <m/>
    <m/>
  </r>
  <r>
    <d v="2022-12-24T15:57:06"/>
    <s v="India"/>
    <n v="576213"/>
    <x v="1"/>
    <x v="4"/>
    <x v="1"/>
    <x v="0"/>
    <x v="0"/>
    <x v="0"/>
    <x v="4"/>
    <s v="Fully Remote with Options to travel as and when needed"/>
    <s v="Employer who rewards learning and enables that environment"/>
    <s v="Self Paced Learning Portals, Instructor or Expert Learning Programs"/>
    <s v="Build and develop a Team, Design and Develop amazing software, Look deeply into Data and generate insights"/>
    <s v="Manager who clearly describes what she/he needs"/>
    <s v="Work with 7 to 10 or more people in my team"/>
    <m/>
    <m/>
    <m/>
  </r>
  <r>
    <d v="2022-12-24T16:07:09"/>
    <s v="India"/>
    <n v="400101"/>
    <x v="0"/>
    <x v="2"/>
    <x v="2"/>
    <x v="0"/>
    <x v="0"/>
    <x v="0"/>
    <x v="1"/>
    <s v="Hybrid Working Environment with less than 15 days a month at office"/>
    <s v="Employer who rewards learning and enables that environment"/>
    <s v="Learning by observing others, Trial and error by doing side projects within the company"/>
    <s v="Design and Creative strategy in any company, Teaching in any of the institutes/online or Offline, Business Operations in any organization"/>
    <s v="Manager who clearly describes what she/he needs"/>
    <s v="Work alone"/>
    <m/>
    <m/>
    <m/>
  </r>
  <r>
    <d v="2022-12-24T16:08:53"/>
    <s v="India"/>
    <n v="400028"/>
    <x v="1"/>
    <x v="0"/>
    <x v="0"/>
    <x v="0"/>
    <x v="1"/>
    <x v="0"/>
    <x v="5"/>
    <s v="Fully Remote with No option to visit offices"/>
    <s v="Employer who appreciates learning and enables that environment"/>
    <s v="Self Paced Learning Portals, Learning by observing others"/>
    <s v="Design and Creative strategy in any company, Business Operations in any organization, Look deeply into Data and generate insights"/>
    <s v="Manager who sets targets and expects me to achieve it"/>
    <s v="Work alone"/>
    <m/>
    <m/>
    <m/>
  </r>
  <r>
    <d v="2022-12-24T16:59:39"/>
    <s v="India"/>
    <n v="574214"/>
    <x v="1"/>
    <x v="4"/>
    <x v="1"/>
    <x v="0"/>
    <x v="0"/>
    <x v="0"/>
    <x v="4"/>
    <s v="Fully Remote with Options to travel as and when needed"/>
    <s v="Employer who rewards learning and enables that environment"/>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2 to 3 people in my team"/>
    <m/>
    <m/>
    <m/>
  </r>
  <r>
    <d v="2022-12-24T17:26:00"/>
    <s v="India"/>
    <n v="576101"/>
    <x v="1"/>
    <x v="3"/>
    <x v="1"/>
    <x v="0"/>
    <x v="0"/>
    <x v="0"/>
    <x v="6"/>
    <s v="Hybrid Working Environment with less than 15 days a month at office"/>
    <s v="Employer who pushes your limits by enabling an learning environment, and rewards you at the end"/>
    <s v="Self Paced Learning Portals, Instructor or Expert Learning Programs"/>
    <s v="Manage and drive End-to-End Projects or Products, Look deeply into Data and generate insights, Work as a freelancer and do my thing my way"/>
    <s v="Manager who explains what is expected, sets a goal and helps achieve it"/>
    <s v="Work alone, Work with 5 to 6 people in my team"/>
    <m/>
    <m/>
    <m/>
  </r>
  <r>
    <d v="2022-12-24T17:44:34"/>
    <s v="India"/>
    <n v="385001"/>
    <x v="1"/>
    <x v="1"/>
    <x v="0"/>
    <x v="2"/>
    <x v="1"/>
    <x v="0"/>
    <x v="8"/>
    <s v="Fully Remote with No option to visit offices"/>
    <s v="Employer who rewards learning and enables that environment"/>
    <s v="Learning by observing others, Trial and error by doing side projects within the company"/>
    <s v="Design and Creative strategy in any company, Teaching in any of the institutes/online or Offline, Build and develop a Team"/>
    <s v="Manager who sets targets and expects me to achieve it"/>
    <s v="Work with more than 10 people in my team"/>
    <m/>
    <m/>
    <m/>
  </r>
  <r>
    <d v="2022-12-24T23:15:49"/>
    <s v="India"/>
    <n v="574227"/>
    <x v="1"/>
    <x v="3"/>
    <x v="2"/>
    <x v="1"/>
    <x v="0"/>
    <x v="0"/>
    <x v="4"/>
    <s v="Hybrid Working Environment with less than 10 days a month at office"/>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7 to 10 or more people in my team"/>
    <m/>
    <m/>
    <m/>
  </r>
  <r>
    <d v="2022-12-25T16:06:35"/>
    <s v="India"/>
    <n v="210424"/>
    <x v="0"/>
    <x v="2"/>
    <x v="2"/>
    <x v="1"/>
    <x v="0"/>
    <x v="0"/>
    <x v="4"/>
    <s v="Hybrid Working Environment with less than 10 days a month at office"/>
    <s v="Employer who appreciates learning and enables that environment"/>
    <s v="Instructor or Expert Learning Programs, Learning by observing others"/>
    <s v="Design and Creative strategy in any company, Business Operations in any organization, Manage and drive End-to-End Projects or Products"/>
    <s v="Manager who sets goal and helps me achieve it"/>
    <s v="Work with 2 to 3 people in my team"/>
    <m/>
    <m/>
    <m/>
  </r>
  <r>
    <d v="2022-12-25T16:07:50"/>
    <s v="India"/>
    <n v="600100"/>
    <x v="1"/>
    <x v="4"/>
    <x v="1"/>
    <x v="0"/>
    <x v="0"/>
    <x v="0"/>
    <x v="9"/>
    <s v="Hybrid Working Environment with less than 15 days a month at office"/>
    <s v="Employer who pushes your limits by enabling an learning environment, and rewards you at the end"/>
    <s v="Self Paced Learning Portals, Instructor or Expert Learning Programs"/>
    <s v="Design and Creative strategy in any company, Business Operations in any organization, Build and develop a Team"/>
    <s v="Manager who clearly describes what she/he needs"/>
    <s v="Work with 5 to 6 people in my team"/>
    <m/>
    <m/>
    <m/>
  </r>
  <r>
    <d v="2022-12-25T16:16:59"/>
    <s v="India"/>
    <n v="210427"/>
    <x v="0"/>
    <x v="1"/>
    <x v="0"/>
    <x v="0"/>
    <x v="0"/>
    <x v="0"/>
    <x v="5"/>
    <s v="Hybrid Working Environment with less than 3 days a month at office"/>
    <s v="Employer who pushes your limits by enabling an learning environment, and rewards you at the end"/>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alone"/>
    <m/>
    <m/>
    <m/>
  </r>
  <r>
    <d v="2022-12-25T17:27:36"/>
    <s v="India"/>
    <n v="210424"/>
    <x v="0"/>
    <x v="4"/>
    <x v="2"/>
    <x v="0"/>
    <x v="0"/>
    <x v="0"/>
    <x v="4"/>
    <s v="Fully Remote with Options to travel as and when needed"/>
    <s v="Employer who appreciates learning and enables that environment"/>
    <s v="Self Paced Learning Portals, Instructor or Expert Learning Programs"/>
    <s v="Design and Creative strategy in any company, Business Operations in any organization, Build and develop a Team"/>
    <s v="Manager who sets goal and helps me achieve it"/>
    <s v="Work alone"/>
    <m/>
    <m/>
    <m/>
  </r>
  <r>
    <d v="2022-12-26T05:45:33"/>
    <s v="India"/>
    <n v="828120"/>
    <x v="1"/>
    <x v="0"/>
    <x v="2"/>
    <x v="0"/>
    <x v="0"/>
    <x v="0"/>
    <x v="4"/>
    <s v="Fully Remote with No option to visit offices"/>
    <s v="Employer who appreciates learning and enables that environment"/>
    <s v="Instructor or Expert Learning Programs, Learning by observing others"/>
    <s v="Teaching in any of the institutes/online or Offline, Build and develop a Team, Look deeply into Data and generate insights"/>
    <s v="Manager who sets goal and helps me achieve it"/>
    <s v="Work with 5 to 6 people in my team"/>
    <m/>
    <m/>
    <m/>
  </r>
  <r>
    <d v="2022-12-27T09:50:41"/>
    <s v="India"/>
    <n v="743127"/>
    <x v="0"/>
    <x v="0"/>
    <x v="0"/>
    <x v="1"/>
    <x v="0"/>
    <x v="0"/>
    <x v="6"/>
    <s v="Fully Remote with Options to travel as and when needed"/>
    <s v="Employer who pushes your limits by enabling an learning environment, and rewards you at the end"/>
    <s v="Self Paced Learning Portals, Trial and error by doing side projects within the company"/>
    <s v="Business Operations in any organization, Build and develop a Team, Work as a freelancer and do my thing my way"/>
    <s v="Manager who explains what is expected, sets a goal and helps achieve it"/>
    <s v="Work with more than 10 people in my team"/>
    <m/>
    <m/>
    <m/>
  </r>
  <r>
    <d v="2022-12-30T05:21:49"/>
    <s v="Canada"/>
    <s v="N9B2K9"/>
    <x v="0"/>
    <x v="1"/>
    <x v="0"/>
    <x v="1"/>
    <x v="0"/>
    <x v="0"/>
    <x v="4"/>
    <s v="Fully Remote with Options to travel as and when needed"/>
    <s v="Employer who appreciates learning and enables that environment"/>
    <s v="Self Paced Learning Portals, Trial and error by doing side projects within the company"/>
    <s v="Business Operations in any organization, Build and develop a Team, Look deeply into Data and generate insights"/>
    <s v="Manager who sets goal and helps me achieve it"/>
    <s v="Work with more than 10 people in my team"/>
    <m/>
    <m/>
    <m/>
  </r>
  <r>
    <d v="2022-12-30T08:11:59"/>
    <s v="India"/>
    <n v="560064"/>
    <x v="1"/>
    <x v="4"/>
    <x v="0"/>
    <x v="1"/>
    <x v="0"/>
    <x v="0"/>
    <x v="4"/>
    <s v="Every Day Office Environment"/>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2 to 3 people in my team"/>
    <m/>
    <m/>
    <m/>
  </r>
  <r>
    <d v="2022-12-30T11:41:06"/>
    <s v="India"/>
    <n v="814112"/>
    <x v="0"/>
    <x v="0"/>
    <x v="1"/>
    <x v="0"/>
    <x v="0"/>
    <x v="0"/>
    <x v="5"/>
    <s v="Fully Remote with Options to travel as and when needed"/>
    <s v="Employer who rewards learning and enables that environment"/>
    <s v="Instructor or Expert Learning Programs, Learning by observing others"/>
    <s v="Design and Creative strategy in any company, Business Operations in any organization, Manage and drive End-to-End Projects or Products"/>
    <s v="Manager who explains what is expected, sets a goal and helps achieve it"/>
    <s v="Work with 2 to 3 people in my team"/>
    <m/>
    <m/>
    <m/>
  </r>
  <r>
    <d v="2022-12-31T14:07:53"/>
    <s v="India"/>
    <n v="147001"/>
    <x v="1"/>
    <x v="0"/>
    <x v="1"/>
    <x v="0"/>
    <x v="1"/>
    <x v="0"/>
    <x v="2"/>
    <s v="Fully Remote with Options to travel as and when needed"/>
    <s v="Employer who pushes your limits by enabling an learning environment, and rewards you at the end"/>
    <s v="Learning by observing other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2 to 3 people in my team"/>
    <m/>
    <m/>
    <m/>
  </r>
  <r>
    <d v="2022-12-31T15:34:58"/>
    <s v="Canada"/>
    <s v="S4s6a6"/>
    <x v="1"/>
    <x v="3"/>
    <x v="0"/>
    <x v="0"/>
    <x v="0"/>
    <x v="0"/>
    <x v="1"/>
    <s v="Fully Remote with Options to travel as and when needed"/>
    <s v="Employer who pushes your limits by enabling an learning environment, and rewards you at the end"/>
    <s v="Self Paced Learning Portals, Learning by observing others"/>
    <s v="Business Operations in any organization, Build and develop a Team, Look deeply into Data and generate insights"/>
    <s v="Manager who explains what is expected, sets a goal and helps achieve it"/>
    <s v="Work with more than 10 people in my team"/>
    <m/>
    <m/>
    <m/>
  </r>
  <r>
    <d v="2022-12-31T18:00:52"/>
    <s v="India"/>
    <n v="431601"/>
    <x v="0"/>
    <x v="3"/>
    <x v="0"/>
    <x v="1"/>
    <x v="1"/>
    <x v="1"/>
    <x v="0"/>
    <s v="Hybrid Working Environment with less than 10 days a month at office"/>
    <s v="Employer who pushes your limits by enabling an learning environment, and rewards you at the end"/>
    <s v="Instructor or Expert Learning Programs, Learning by observing others"/>
    <s v="Business Operations in any organization, Build and develop a Team, Look deeply into Data and generate insights"/>
    <s v="Manager who sets targets and expects me to achieve it"/>
    <s v="Work with 5 to 6 people in my team"/>
    <m/>
    <m/>
    <m/>
  </r>
  <r>
    <d v="2022-12-31T19:59:55"/>
    <s v="India"/>
    <n v="147001"/>
    <x v="1"/>
    <x v="4"/>
    <x v="2"/>
    <x v="1"/>
    <x v="0"/>
    <x v="0"/>
    <x v="1"/>
    <s v="Fully Remote with No option to visit offices"/>
    <s v="Employer who pushes your limits by enabling an learning environment, and rewards you at the end"/>
    <s v="Instructor or Expert Learning Programs, Trial and error by doing side projects within the company"/>
    <s v="Business Operations in any organization, Build and develop a Team, Work in a BPO setup for some well known client"/>
    <s v="Manager who sets goal and helps me achieve it"/>
    <s v="Work with 5 to 6 people in my team"/>
    <m/>
    <m/>
    <m/>
  </r>
  <r>
    <d v="2022-12-31T21:05:54"/>
    <s v="India"/>
    <n v="412308"/>
    <x v="0"/>
    <x v="4"/>
    <x v="2"/>
    <x v="2"/>
    <x v="1"/>
    <x v="1"/>
    <x v="4"/>
    <s v="Hybrid Working Environment with less than 3 days a month at office"/>
    <s v="Employer who pushes your limits by enabling an learning environment, and rewards you at the end"/>
    <s v="Self Paced Learning Portals, Trial and error by doing side projects within the company"/>
    <s v="Design and Creative strategy in any company, Teaching in any of the institutes/online or Offline, Business Operations in any organization"/>
    <s v="Manager who explains what is expected, sets a goal and helps achieve it"/>
    <s v="Work with 5 to 6 people in my team"/>
    <m/>
    <m/>
    <m/>
  </r>
  <r>
    <d v="2023-01-02T23:16:50"/>
    <s v="India"/>
    <n v="627004"/>
    <x v="0"/>
    <x v="3"/>
    <x v="2"/>
    <x v="1"/>
    <x v="1"/>
    <x v="0"/>
    <x v="7"/>
    <s v="Hybrid Working Environment with less than 15 days a month at office"/>
    <s v="Employer who appreciates learning and enables that environment"/>
    <s v="Instructor or Expert Learning Programs, Trial and error by doing side projects within the company"/>
    <s v="Design and Creative strategy in any company, Business Operations in any organization, Look deeply into Data and generate insights"/>
    <s v="Manager who sets goal and helps me achieve it"/>
    <s v="Work with 5 to 6 people in my team"/>
    <m/>
    <m/>
    <m/>
  </r>
  <r>
    <d v="2023-01-03T21:46:43"/>
    <s v="India"/>
    <n v="457001"/>
    <x v="1"/>
    <x v="3"/>
    <x v="0"/>
    <x v="1"/>
    <x v="0"/>
    <x v="1"/>
    <x v="7"/>
    <s v="Hybrid Working Environment with less than 10 days a month at office"/>
    <s v="Employer who appreciates learning and enables that environment"/>
    <s v="Self Paced Learning Portals, Instructor or Expert Learning Programs"/>
    <s v="Teaching in any of the institutes/online or Offline, Manage and drive End-to-End Projects or Products, Work as a freelancer and do my thing my way"/>
    <s v="Manager who clearly describes what she/he needs"/>
    <s v="Work with 2 to 3 people in my team"/>
    <m/>
    <m/>
    <m/>
  </r>
  <r>
    <d v="2023-01-08T12:31:37"/>
    <s v="India"/>
    <n v="400016"/>
    <x v="0"/>
    <x v="4"/>
    <x v="0"/>
    <x v="0"/>
    <x v="0"/>
    <x v="0"/>
    <x v="2"/>
    <s v="Hybrid Working Environment with less than 10 days a month at office"/>
    <s v="Employer who appreciates learning and enables that environment"/>
    <s v="Self Paced Learning Portals, Trial and error by doing side projects within the company"/>
    <s v="Business Operations in any organization, Look deeply into Data and generate insights, Work as a freelancer and do my thing my way"/>
    <s v="Manager who explains what is expected, sets a goal and helps achieve it"/>
    <s v="Work with 2 to 3 people in my team"/>
    <m/>
    <m/>
    <m/>
  </r>
  <r>
    <d v="2023-01-08T18:38:30"/>
    <s v="India"/>
    <n v="600069"/>
    <x v="0"/>
    <x v="0"/>
    <x v="0"/>
    <x v="0"/>
    <x v="1"/>
    <x v="1"/>
    <x v="3"/>
    <s v="Hybrid Working Environment with less than 15 days a month at office"/>
    <s v="Employer who appreciates learning and enables that environment"/>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m/>
    <m/>
    <m/>
  </r>
  <r>
    <d v="2023-01-08T20:39:10"/>
    <s v="India"/>
    <n v="342005"/>
    <x v="0"/>
    <x v="1"/>
    <x v="2"/>
    <x v="0"/>
    <x v="0"/>
    <x v="0"/>
    <x v="3"/>
    <s v="Fully Remote with Options to travel as and when needed"/>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5 to 6 people in my team"/>
    <m/>
    <m/>
    <m/>
  </r>
  <r>
    <d v="2023-01-09T00:39:37"/>
    <s v="India"/>
    <n v="851101"/>
    <x v="0"/>
    <x v="0"/>
    <x v="0"/>
    <x v="0"/>
    <x v="1"/>
    <x v="1"/>
    <x v="2"/>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Design and Develop amazing software, Look deeply into Data and generate insights"/>
    <s v="Manager who explains what is expected, sets a goal and helps achieve it"/>
    <s v="Work with 5 to 6 people in my team"/>
    <m/>
    <m/>
    <m/>
  </r>
  <r>
    <d v="2023-01-09T07:23:41"/>
    <s v="India"/>
    <n v="636701"/>
    <x v="0"/>
    <x v="3"/>
    <x v="2"/>
    <x v="0"/>
    <x v="0"/>
    <x v="0"/>
    <x v="4"/>
    <s v="Hybrid Working Environment with less than 10 days a month at office"/>
    <s v="Employer who pushes your limits by enabling an learning environment, and rewards you at the end"/>
    <s v="Self Paced Learning Portals, Learning by observing others"/>
    <s v="Business Operations in any organization, Look deeply into Data and generate insights, Work as a freelancer and do my thing my way"/>
    <s v="Manager who sets goal and helps me achieve it"/>
    <s v="Work with 5 to 6 people in my team"/>
    <m/>
    <m/>
    <m/>
  </r>
  <r>
    <d v="2023-01-09T11:33:46"/>
    <s v="India"/>
    <n v="600007"/>
    <x v="0"/>
    <x v="0"/>
    <x v="0"/>
    <x v="1"/>
    <x v="0"/>
    <x v="1"/>
    <x v="5"/>
    <s v="Hybrid Working Environment with less than 15 days a month at office"/>
    <s v="Employer who pushes your limits by enabling an learning environment, and rewards you at the end"/>
    <s v="Self Paced Learning Portals, Instructor or Expert Learning Programs"/>
    <s v="Design and Creative strategy in any company, Work as a freelancer and do my thing my way, Become a content Creator in some platform"/>
    <s v="Manager who explains what is expected, sets a goal and helps achieve it"/>
    <s v="Work alone, Work with more than 10 people in my team"/>
    <m/>
    <m/>
    <m/>
  </r>
  <r>
    <d v="2023-01-09T12:43:08"/>
    <s v="India"/>
    <n v="400070"/>
    <x v="0"/>
    <x v="3"/>
    <x v="0"/>
    <x v="0"/>
    <x v="0"/>
    <x v="0"/>
    <x v="8"/>
    <s v="Hybrid Working Environment with less than 10 days a month at office"/>
    <s v="Employer who appreciates learning and enables that environment"/>
    <s v="Instructor or Expert Learning Programs, Trial and error by doing side projects within the company"/>
    <s v="Design and Creative strategy in any company, Design and Develop amazing software, Look deeply into Data and generate insights"/>
    <s v="Manager who sets goal and helps me achieve it"/>
    <s v="Work with 7 to 10 or more people in my team"/>
    <m/>
    <m/>
    <m/>
  </r>
  <r>
    <d v="2023-01-09T13:32:01"/>
    <s v="India"/>
    <n v="521001"/>
    <x v="0"/>
    <x v="1"/>
    <x v="2"/>
    <x v="0"/>
    <x v="0"/>
    <x v="0"/>
    <x v="4"/>
    <s v="Fully Remote with Options to travel as and when needed"/>
    <s v="Employer who pushes your limits by enabling an learning environment, and rewards you at the end"/>
    <s v="Self Paced Learning Portals, Instructor or Expert Learning Programs"/>
    <s v="Look deeply into Data and generate insights, Work as a freelancer and do my thing my way, Become a content Creator in some platform"/>
    <s v="Manager who explains what is expected, sets a goal and helps achieve it"/>
    <s v="Work with 2 to 3 people in my team, Work with 5 to 6 people in my team"/>
    <m/>
    <m/>
    <m/>
  </r>
  <r>
    <d v="2023-01-09T16:55:27"/>
    <s v="India"/>
    <n v="411033"/>
    <x v="1"/>
    <x v="4"/>
    <x v="2"/>
    <x v="0"/>
    <x v="0"/>
    <x v="0"/>
    <x v="4"/>
    <s v="Every Day Office Environment"/>
    <s v="Employer who pushes your limits by enabling an learning environment, and rewards you at the end"/>
    <s v="Self Paced Learning Portals, Instructor or Expert Learning Programs"/>
    <s v="Design and Creative strategy in any company, Business Operations in any organization, Manage and drive End-to-End Projects or Products"/>
    <s v="Manager who explains what is expected, sets a goal and helps achieve it"/>
    <s v="Work with 2 to 3 people in my team"/>
    <m/>
    <m/>
    <m/>
  </r>
  <r>
    <d v="2023-01-09T18:20:12"/>
    <s v="India"/>
    <n v="263153"/>
    <x v="1"/>
    <x v="3"/>
    <x v="2"/>
    <x v="0"/>
    <x v="1"/>
    <x v="0"/>
    <x v="4"/>
    <s v="Fully Remote with No option to visit offices"/>
    <s v="Employer who pushes your limits by enabling an learning environment, and rewards you at the end"/>
    <s v="Instructor or Expert Learning Programs, Trial and error by doing side projects within the company"/>
    <s v="Business Operations in any organization, Look deeply into Data and generate insights, Work as a freelancer and do my thing my way"/>
    <s v="Manager who explains what is expected, sets a goal and helps achieve it"/>
    <s v="Work with 5 to 6 people in my team"/>
    <m/>
    <m/>
    <m/>
  </r>
  <r>
    <d v="2023-01-09T20:06:46"/>
    <s v="India"/>
    <n v="465674"/>
    <x v="1"/>
    <x v="4"/>
    <x v="0"/>
    <x v="1"/>
    <x v="0"/>
    <x v="0"/>
    <x v="1"/>
    <s v="Hybrid Working Environment with less than 15 days a month at office"/>
    <s v="Employer who appreciates learning and enables that environment"/>
    <s v="Self Paced Learning Portals, Instructor or Expert Learning Programs"/>
    <s v="Teaching in any of the institutes/online or Offline, Work as a freelancer and do my thing my way, Become a content Creator in some platform"/>
    <s v="Manager who explains what is expected, sets a goal and helps achieve it"/>
    <s v="Work with 7 to 10 or more people in my team"/>
    <m/>
    <m/>
    <m/>
  </r>
  <r>
    <d v="2023-01-10T00:44:37"/>
    <s v="India"/>
    <n v="110027"/>
    <x v="0"/>
    <x v="2"/>
    <x v="2"/>
    <x v="1"/>
    <x v="0"/>
    <x v="0"/>
    <x v="3"/>
    <s v="Hybrid Working Environment with less than 15 days a month at office"/>
    <s v="Employer who pushes your limits by enabling an learning environment, and rewards you at the end"/>
    <s v="Instructor or Expert Learning Programs, Trial and error by doing side projects within the company"/>
    <s v="Business Operations in any organization, Look deeply into Data and generate insights, Work as a freelancer and do my thing my way"/>
    <s v="Manager who explains what is expected, sets a goal and helps achieve it"/>
    <s v="Work alone, Work with 2 to 3 people in my team, Work with 5 to 6 people in my team"/>
    <m/>
    <m/>
    <m/>
  </r>
  <r>
    <d v="2023-01-10T12:16:20"/>
    <s v="India"/>
    <n v="145001"/>
    <x v="0"/>
    <x v="3"/>
    <x v="1"/>
    <x v="0"/>
    <x v="0"/>
    <x v="0"/>
    <x v="1"/>
    <s v="Fully Remote with Options to travel as and when needed"/>
    <s v="Employer who pushes your limits by enabling an learning environment, and rewards you at the end"/>
    <s v="Instructor or Expert Learning Programs, Learning by observing others"/>
    <s v="Business Operations in any organization, Design and Develop amazing software, Look deeply into Data and generate insights"/>
    <s v="Manager who explains what is expected, sets a goal and helps achieve it"/>
    <s v="Work with 2 to 3 people in my team"/>
    <m/>
    <m/>
    <m/>
  </r>
  <r>
    <d v="2023-01-10T16:19:14"/>
    <s v="India"/>
    <n v="431001"/>
    <x v="0"/>
    <x v="3"/>
    <x v="0"/>
    <x v="0"/>
    <x v="0"/>
    <x v="0"/>
    <x v="4"/>
    <s v="Hybrid Working Environment with less than 15 days a month at office"/>
    <s v="Employer who pushes your limits by enabling an learning environment, and rewards you at the end"/>
    <s v="Self Paced Learning Portal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7 to 10 or more people in my team"/>
    <m/>
    <m/>
    <m/>
  </r>
  <r>
    <d v="2023-01-10T16:54:41"/>
    <s v="India"/>
    <n v="457001"/>
    <x v="1"/>
    <x v="3"/>
    <x v="2"/>
    <x v="0"/>
    <x v="0"/>
    <x v="0"/>
    <x v="4"/>
    <s v="Hybrid Working Environment with less than 3 days a month at office"/>
    <s v="Employer who rewards learning and enables that environment"/>
    <s v="Self Paced Learning Portals, Instructor or Expert Learning Programs"/>
    <s v="Design and Creative strategy in any company, Teaching in any of the institutes/online or Offline, Work as a freelancer and do my thing my way"/>
    <s v="Manager who clearly describes what she/he needs"/>
    <s v="Work alone, Work with 2 to 3 people in my team, Work with 5 to 6 people in my team"/>
    <m/>
    <m/>
    <m/>
  </r>
  <r>
    <d v="2023-01-11T09:22:48"/>
    <s v="India"/>
    <n v="520013"/>
    <x v="1"/>
    <x v="2"/>
    <x v="1"/>
    <x v="2"/>
    <x v="0"/>
    <x v="0"/>
    <x v="4"/>
    <s v="Hybrid Working Environment with less than 3 days a month at office"/>
    <s v="Employer who pushes your limits by enabling an learning environment, and rewards you at the end"/>
    <s v="Instructor or Expert Learning Programs, Trial and error by doing side projects within the company"/>
    <s v="Teaching in any of the institutes/online or Offline, Business Operations in any organization, Look deeply into Data and generate insights"/>
    <s v="Manager who explains what is expected, sets a goal and helps achieve it"/>
    <s v="Work with more than 10 people in my team"/>
    <m/>
    <m/>
    <m/>
  </r>
  <r>
    <d v="2023-01-11T12:01:32"/>
    <s v="Nigeria"/>
    <s v="UTC+01"/>
    <x v="0"/>
    <x v="3"/>
    <x v="0"/>
    <x v="0"/>
    <x v="0"/>
    <x v="0"/>
    <x v="1"/>
    <s v="Fully Remote with Options to travel as and when needed"/>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explains what is expected, sets a goal and helps achieve it"/>
    <s v="Work with more than 10 people in my team"/>
    <m/>
    <m/>
    <m/>
  </r>
  <r>
    <d v="2023-01-11T15:55:00"/>
    <s v="India"/>
    <n v="201304"/>
    <x v="1"/>
    <x v="3"/>
    <x v="2"/>
    <x v="0"/>
    <x v="0"/>
    <x v="0"/>
    <x v="6"/>
    <s v="Hybrid Working Environment with less than 15 days a month at office"/>
    <s v="Employer who pushes your limits by enabling an learning environment, and rewards you at the end"/>
    <s v="Instructor or Expert Learning Programs, Trial and error by doing side projects within the company"/>
    <s v="Teaching in any of the institutes/online or Offline, Build and develop a Team, Look deeply into Data and generate insights"/>
    <s v="Manager who clearly describes what she/he needs"/>
    <s v="Work with 5 to 6 people in my team"/>
    <m/>
    <m/>
    <m/>
  </r>
  <r>
    <d v="2023-01-11T17:13:47"/>
    <s v="India"/>
    <n v="383007"/>
    <x v="0"/>
    <x v="2"/>
    <x v="1"/>
    <x v="0"/>
    <x v="0"/>
    <x v="0"/>
    <x v="5"/>
    <s v="Hybrid Working Environment with less than 10 days a month at office"/>
    <s v="Employer who pushes your limits by enabling an learning environment, and rewards you at the end"/>
    <s v="Learning by observing others, Trial and error by doing side projects within the company"/>
    <s v="Design and Creative strategy in any company, Business Operations in any organization, Look deeply into Data and generate insights"/>
    <s v="Manager who sets goal and helps me achieve it"/>
    <s v="Work with 2 to 3 people in my team"/>
    <m/>
    <m/>
    <m/>
  </r>
  <r>
    <d v="2023-01-11T18:05:24"/>
    <s v="India"/>
    <n v="638012"/>
    <x v="0"/>
    <x v="3"/>
    <x v="0"/>
    <x v="0"/>
    <x v="0"/>
    <x v="0"/>
    <x v="4"/>
    <s v="Hybrid Working Environment with less than 15 days a month at office"/>
    <s v="Employer who pushes your limits by enabling an learning environment, and rewards you at the end"/>
    <s v="Self Paced Learning Portals, Instructor or Expert Learning Programs"/>
    <s v="Business Operations in any organization, Manage and drive End-to-End Projects or Products, Look deeply into Data and generate insights"/>
    <s v="Manager who explains what is expected, sets a goal and helps achieve it"/>
    <s v="Work with 5 to 6 people in my team"/>
    <m/>
    <m/>
    <m/>
  </r>
  <r>
    <d v="2023-01-11T18:11:36"/>
    <s v="India"/>
    <n v="457001"/>
    <x v="0"/>
    <x v="0"/>
    <x v="0"/>
    <x v="1"/>
    <x v="1"/>
    <x v="1"/>
    <x v="4"/>
    <s v="Fully Remote with Options to travel as and when needed"/>
    <s v="Employer who appreciates learning and enables that environment"/>
    <s v="Self Paced Learning Portals, Learning by observing others"/>
    <s v="Design and Creative strategy in any company, Business Operations in any organization, Build and develop a Team"/>
    <s v="Manager who sets goal and helps me achieve it"/>
    <s v="Work with more than 10 people in my team"/>
    <m/>
    <m/>
    <m/>
  </r>
  <r>
    <d v="2023-01-11T21:23:22"/>
    <s v="India"/>
    <n v="560010"/>
    <x v="1"/>
    <x v="4"/>
    <x v="2"/>
    <x v="0"/>
    <x v="0"/>
    <x v="0"/>
    <x v="5"/>
    <s v="Every Day Office Environment"/>
    <s v="Employer who appreciates learning and enables that environment"/>
    <s v="Instructor or Expert Learning Programs, Learning by observing others"/>
    <s v="Business Operations in any organization, Manage and drive End-to-End Projects or Products, Look deeply into Data and generate insights"/>
    <s v="Manager who sets goal and helps me achieve it"/>
    <s v="Work with 5 to 6 people in my team"/>
    <m/>
    <m/>
    <m/>
  </r>
  <r>
    <d v="2023-01-11T21:24:28"/>
    <s v="India"/>
    <n v="411048"/>
    <x v="0"/>
    <x v="1"/>
    <x v="1"/>
    <x v="0"/>
    <x v="0"/>
    <x v="0"/>
    <x v="2"/>
    <s v="Hybrid Working Environment with less than 3 days a month at office"/>
    <s v="Employer who pushes your limits by enabling an learning environment, and rewards you at the end"/>
    <s v="Instructor or Expert Learning Programs, Learning by observing others"/>
    <s v="Design and Creative strategy in any company, Manage and drive End-to-End Projects or Products, Look deeply into Data and generate insights"/>
    <s v="Manager who explains what is expected, sets a goal and helps achieve it"/>
    <s v="Work with more than 10 people in my team"/>
    <m/>
    <m/>
    <m/>
  </r>
  <r>
    <d v="2023-01-12T01:17:31"/>
    <s v="India"/>
    <n v="283203"/>
    <x v="1"/>
    <x v="4"/>
    <x v="0"/>
    <x v="0"/>
    <x v="1"/>
    <x v="0"/>
    <x v="5"/>
    <s v="Hybrid Working Environment with less than 10 days a month at office"/>
    <s v="Employer who pushes your limits by enabling an learning environment, and rewards you at the end"/>
    <s v="Instructor or Expert Learning Programs, Trial and error by doing side projects within the company"/>
    <s v="Design and Creative strategy in any company, Manage and drive End-to-End Projects or Products, Look deeply into Data and generate insights"/>
    <s v="Manager who explains what is expected, sets a goal and helps achieve it"/>
    <s v="Work with 5 to 6 people in my team"/>
    <m/>
    <m/>
    <m/>
  </r>
  <r>
    <d v="2023-01-12T09:43:23"/>
    <s v="India"/>
    <n v="206001"/>
    <x v="0"/>
    <x v="3"/>
    <x v="0"/>
    <x v="0"/>
    <x v="0"/>
    <x v="0"/>
    <x v="3"/>
    <s v="Fully Remote with Options to travel as and when needed"/>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m/>
    <m/>
    <m/>
  </r>
  <r>
    <d v="2023-01-12T19:44:39"/>
    <s v="India"/>
    <n v="412308"/>
    <x v="0"/>
    <x v="3"/>
    <x v="0"/>
    <x v="1"/>
    <x v="0"/>
    <x v="0"/>
    <x v="8"/>
    <s v="Hybrid Working Environment with less than 10 days a month at office"/>
    <s v="Employer who pushes your limits by enabling an learning environment, and rewards you at the end"/>
    <s v="Self Paced Learning Portals, Instructor or Expert Learning Programs"/>
    <s v="Design and Creative strategy in any company, Business Operations in any organization, Work as a freelancer and do my thing my way"/>
    <s v="Manager who explains what is expected, sets a goal and helps achieve it"/>
    <s v="Work with 5 to 6 people in my team"/>
    <m/>
    <m/>
    <m/>
  </r>
  <r>
    <d v="2023-01-12T20:00:55"/>
    <s v="India"/>
    <n v="457001"/>
    <x v="1"/>
    <x v="3"/>
    <x v="2"/>
    <x v="0"/>
    <x v="0"/>
    <x v="0"/>
    <x v="0"/>
    <s v="Hybrid Working Environment with less than 10 days a month at office"/>
    <s v="Employer who pushes your limits by enabling an learning environment, and rewards you at the end"/>
    <s v="Self Paced Learning Portals, Learning by observing others"/>
    <s v="Design and Creative strategy in any company, Teaching in any of the institutes/online or Offline, Build and develop a Team"/>
    <s v="Manager who explains what is expected, sets a goal and helps achieve it"/>
    <s v="Work with 2 to 3 people in my team"/>
    <m/>
    <m/>
    <m/>
  </r>
  <r>
    <d v="2023-01-12T20:28:40"/>
    <s v="India"/>
    <n v="560067"/>
    <x v="0"/>
    <x v="2"/>
    <x v="2"/>
    <x v="1"/>
    <x v="0"/>
    <x v="0"/>
    <x v="4"/>
    <s v="Fully Remote with Options to travel as and when needed"/>
    <s v="Employer who pushes your limits by enabling an learning environment, and rewards you at the end"/>
    <s v="Self Paced Learning Portals, Instructor or Expert Learning Programs"/>
    <s v="Business Operations in any organization, Look deeply into Data and generate insights, Work as a freelancer and do my thing my way"/>
    <s v="Manager who explains what is expected, sets a goal and helps achieve it"/>
    <s v="Work with 5 to 6 people in my team, Work with 7 to 10 or more people in my team, Work with more than 10 people in my team"/>
    <m/>
    <m/>
    <m/>
  </r>
  <r>
    <d v="2023-01-12T21:39:58"/>
    <s v="India"/>
    <n v="560010"/>
    <x v="0"/>
    <x v="4"/>
    <x v="1"/>
    <x v="1"/>
    <x v="0"/>
    <x v="1"/>
    <x v="3"/>
    <s v="Hybrid Working Environment with less than 3 days a month at office"/>
    <s v="Employer who appreciates learning and enables that environment"/>
    <s v="Self Paced Learning Portals, Instructor or Expert Learning Programs"/>
    <s v="Business Operations in any organization, Manage and drive End-to-End Projects or Products, Build and develop a Team"/>
    <s v="Manager who sets goal and helps me achieve it"/>
    <s v="Work with 5 to 6 people in my team"/>
    <m/>
    <m/>
    <m/>
  </r>
  <r>
    <d v="2023-01-13T09:15:33"/>
    <s v="India"/>
    <n v="641602"/>
    <x v="0"/>
    <x v="0"/>
    <x v="2"/>
    <x v="0"/>
    <x v="0"/>
    <x v="0"/>
    <x v="5"/>
    <s v="Hybrid Working Environment with less than 15 days a month at office"/>
    <s v="Employer who rewards learning and enables that environment"/>
    <s v="Self Paced Learning Portals, Learning by observing others"/>
    <s v="Design and Creative strategy in any company, Manage and drive End-to-End Projects or Products, Build and develop a Team"/>
    <s v="Manager who sets goal and helps me achieve it"/>
    <s v="Work with 7 to 10 or more people in my team, Work with more than 10 people in my team"/>
    <m/>
    <m/>
    <m/>
  </r>
  <r>
    <d v="2023-01-13T09:57:45"/>
    <s v="India"/>
    <n v="457001"/>
    <x v="0"/>
    <x v="1"/>
    <x v="0"/>
    <x v="0"/>
    <x v="0"/>
    <x v="0"/>
    <x v="0"/>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Work as a freelancer and do my thing my way, Become a content Creator in some platform"/>
    <s v="Manager who explains what is expected, sets a goal and helps achieve it"/>
    <s v="Work with 2 to 3 people in my team, Work with 5 to 6 people in my team"/>
    <m/>
    <m/>
    <m/>
  </r>
  <r>
    <d v="2023-01-13T10:50:10"/>
    <s v="India"/>
    <n v="465614"/>
    <x v="0"/>
    <x v="1"/>
    <x v="0"/>
    <x v="0"/>
    <x v="0"/>
    <x v="0"/>
    <x v="1"/>
    <s v="Fully Remote with Options to travel as and when needed"/>
    <s v="Employer who appreciates learning and enables that environment"/>
    <s v="Self Paced Learning Portals, Instructor or Expert Learning Programs"/>
    <s v="Business Operations in any organization, Build and develop a Team, Work as a freelancer and do my thing my way"/>
    <s v="Manager who clearly describes what she/he needs"/>
    <s v="Work with more than 10 people in my team"/>
    <m/>
    <m/>
    <m/>
  </r>
  <r>
    <d v="2023-01-13T10:56:12"/>
    <s v="India"/>
    <n v="560010"/>
    <x v="0"/>
    <x v="0"/>
    <x v="2"/>
    <x v="0"/>
    <x v="0"/>
    <x v="0"/>
    <x v="2"/>
    <s v="Hybrid Working Environment with less than 15 days a month at office"/>
    <s v="Employer who pushes your limits by enabling an learning environment, and rewards you at the end"/>
    <s v="Instructor or Expert Learning Programs, Learning by observing others"/>
    <s v="Manage and drive End-to-End Projects or Products, Design and Develop amazing software, Look deeply into Data and generate insights"/>
    <s v="Manager who explains what is expected, sets a goal and helps achieve it"/>
    <s v="Work with 7 to 10 or more people in my team, Work with more than 10 people in my team"/>
    <m/>
    <m/>
    <m/>
  </r>
  <r>
    <d v="2023-01-13T12:32:46"/>
    <s v="India"/>
    <n v="560015"/>
    <x v="0"/>
    <x v="2"/>
    <x v="2"/>
    <x v="0"/>
    <x v="0"/>
    <x v="0"/>
    <x v="1"/>
    <s v="Hybrid Working Environment with less than 10 days a month at office"/>
    <s v="Employer who rewards learning and enables that environment"/>
    <s v="Self Paced Learning Portals, Learning by observing others"/>
    <s v="Design and Creative strategy in any company, Design and Develop amazing software, Work as a freelancer and do my thing my way"/>
    <s v="Manager who explains what is expected, sets a goal and helps achieve it"/>
    <s v="Work with 2 to 3 people in my team"/>
    <m/>
    <m/>
    <m/>
  </r>
  <r>
    <d v="2023-01-13T13:44:01"/>
    <s v="India"/>
    <n v="560077"/>
    <x v="0"/>
    <x v="4"/>
    <x v="1"/>
    <x v="1"/>
    <x v="1"/>
    <x v="1"/>
    <x v="0"/>
    <s v="Hybrid Working Environment with less than 15 days a month at office"/>
    <s v="Employer who rewards learning and enables that environment"/>
    <s v="Learning by observing other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7 to 10 or more people in my team, Work with more than 10 people in my team"/>
    <m/>
    <m/>
    <m/>
  </r>
  <r>
    <d v="2023-01-13T19:27:50"/>
    <s v="India"/>
    <n v="401105"/>
    <x v="0"/>
    <x v="0"/>
    <x v="1"/>
    <x v="0"/>
    <x v="0"/>
    <x v="0"/>
    <x v="4"/>
    <s v="Hybrid Working Environment with less than 10 days a month at office"/>
    <s v="Employer who pushes your limits by enabling an learning environment, and rewards you at the end"/>
    <s v="Learning by observing others, Trial and error by doing side projects within the company"/>
    <s v="Manage and drive End-to-End Projects or Products, Build and develop a Team, Look deeply into Data and generate insights"/>
    <s v="Manager who explains what is expected, sets a goal and helps achieve it"/>
    <s v="Work with 5 to 6 people in my team"/>
    <m/>
    <m/>
    <m/>
  </r>
  <r>
    <d v="2023-01-13T22:57:06"/>
    <s v="India"/>
    <n v="500010"/>
    <x v="0"/>
    <x v="1"/>
    <x v="2"/>
    <x v="0"/>
    <x v="1"/>
    <x v="1"/>
    <x v="3"/>
    <s v="Every Day Office Environment"/>
    <s v="Employer who pushes your limits by enabling an learning environment, and rewards you at the end"/>
    <s v="Instructor or Expert Learning Programs, Trial and error by doing side projects within the company"/>
    <s v="Business Operations in any organization, Design and Develop amazing software, Look deeply into Data and generate insights"/>
    <s v="Manager who explains what is expected, sets a goal and helps achieve it"/>
    <s v="Work with 2 to 3 people in my team, Work with 5 to 6 people in my team"/>
    <m/>
    <m/>
    <m/>
  </r>
  <r>
    <d v="2023-01-14T12:07:12"/>
    <s v="India"/>
    <n v="534003"/>
    <x v="1"/>
    <x v="3"/>
    <x v="2"/>
    <x v="0"/>
    <x v="0"/>
    <x v="0"/>
    <x v="4"/>
    <s v="Fully Remote with No option to visit offices"/>
    <s v="Employer who pushes your limits by enabling an learning environment, and rewards you at the end"/>
    <s v="Instructor or Expert Learning Programs, Trial and error by doing side projects within the company"/>
    <s v="Design and Creative strategy in any company, Teaching in any of the institutes/online or Offline, Manage and drive End-to-End Projects or Products"/>
    <s v="Manager who sets goal and helps me achieve it"/>
    <s v="Work with 5 to 6 people in my team"/>
    <m/>
    <m/>
    <m/>
  </r>
  <r>
    <d v="2023-01-14T12:09:07"/>
    <s v="India"/>
    <n v="534001"/>
    <x v="0"/>
    <x v="3"/>
    <x v="2"/>
    <x v="0"/>
    <x v="0"/>
    <x v="0"/>
    <x v="3"/>
    <s v="Fully Remote with No option to visit offices"/>
    <s v="Employer who appreciates learning and enables that environment"/>
    <s v="Self Paced Learning Portals, Learning by observing others"/>
    <s v="Design and Creative strategy in any company, Work as a freelancer and do my thing my way, Become a content Creator in some platform"/>
    <s v="Manager who explains what is expected, sets a goal and helps achieve it"/>
    <s v="Work with 2 to 3 people in my team, Work with 5 to 6 people in my team"/>
    <m/>
    <m/>
    <m/>
  </r>
  <r>
    <d v="2023-01-14T12:19:13"/>
    <s v="India"/>
    <n v="534462"/>
    <x v="1"/>
    <x v="4"/>
    <x v="0"/>
    <x v="0"/>
    <x v="0"/>
    <x v="1"/>
    <x v="5"/>
    <s v="Hybrid Working Environment with less than 3 days a month at office"/>
    <s v="Employer who rewards learning and enables that environment"/>
    <s v="Self Paced Learning Portals, Learning by observing others"/>
    <s v="Design and Creative strategy in any company, Build and develop a Team, Become a content Creator in some platform"/>
    <s v="Manager who clearly describes what she/he needs"/>
    <s v="Work with 2 to 3 people in my team"/>
    <m/>
    <m/>
    <m/>
  </r>
  <r>
    <d v="2023-01-14T12:21:51"/>
    <s v="India"/>
    <n v="503003"/>
    <x v="1"/>
    <x v="0"/>
    <x v="0"/>
    <x v="0"/>
    <x v="0"/>
    <x v="0"/>
    <x v="0"/>
    <s v="Every Day Office Environment"/>
    <s v="Employer who pushes your limits by enabling an learning environment, and rewards you at the end"/>
    <s v="Self Paced Learning Portals, Instructor or Expert Learning Programs"/>
    <s v="Design and Creative strategy in any company, Manage and drive End-to-End Projects or Products, Build and develop a Team"/>
    <s v="Manager who explains what is expected, sets a goal and helps achieve it"/>
    <s v="Work with more than 10 people in my team"/>
    <m/>
    <m/>
    <m/>
  </r>
  <r>
    <d v="2023-01-14T12:32:53"/>
    <s v="India"/>
    <n v="534001"/>
    <x v="0"/>
    <x v="0"/>
    <x v="2"/>
    <x v="0"/>
    <x v="0"/>
    <x v="0"/>
    <x v="5"/>
    <s v="Hybrid Working Environment with less than 15 days a month at office"/>
    <s v="Employer who pushes your limits by enabling an learning environment, and rewards you at the end"/>
    <s v="Instructor or Expert Learning Programs, Learning by observing others"/>
    <s v="Teaching in any of the institutes/online or Offline, Business Operations in any organization, Build and develop a Team"/>
    <s v="Manager who sets goal and helps me achieve it"/>
    <s v="Work with 2 to 3 people in my team, Work with 5 to 6 people in my team"/>
    <m/>
    <m/>
    <m/>
  </r>
  <r>
    <d v="2023-01-14T12:35:43"/>
    <s v="India"/>
    <n v="516401"/>
    <x v="0"/>
    <x v="3"/>
    <x v="0"/>
    <x v="1"/>
    <x v="0"/>
    <x v="0"/>
    <x v="8"/>
    <s v="Every Day Office Environment"/>
    <s v="Employer who pushes your limits by enabling an learning environment, and rewards you at the end"/>
    <s v="Instructor or Expert Learning Programs, Learning by observing others"/>
    <s v="Design and Creative strategy in any company, Build and develop a Team, Design and Develop amazing software"/>
    <s v="Manager who explains what is expected, sets a goal and helps achieve it"/>
    <s v="Work with 5 to 6 people in my team"/>
    <m/>
    <m/>
    <m/>
  </r>
  <r>
    <d v="2023-01-14T12:44:51"/>
    <s v="India"/>
    <n v="473551"/>
    <x v="0"/>
    <x v="4"/>
    <x v="2"/>
    <x v="0"/>
    <x v="1"/>
    <x v="0"/>
    <x v="4"/>
    <s v="Fully Remote with Options to travel as and when needed"/>
    <s v="Employer who appreciates learning and enables that environment"/>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5 to 6 people in my team, Work with more than 10 people in my team"/>
    <m/>
    <m/>
    <m/>
  </r>
  <r>
    <d v="2023-01-14T14:54:35"/>
    <s v="India"/>
    <n v="522647"/>
    <x v="1"/>
    <x v="2"/>
    <x v="0"/>
    <x v="0"/>
    <x v="1"/>
    <x v="1"/>
    <x v="6"/>
    <s v="Hybrid Working Environment with less than 3 days a month at office"/>
    <s v="Employer who appreciates learning and enables that environment"/>
    <s v="Self Paced Learning Portals, Trial and error by doing side projects within the company"/>
    <s v="Design and Creative strategy in any company, Business Operations in any organization, Design and Develop amazing software"/>
    <s v="Manager who clearly describes what she/he needs"/>
    <s v="Work with 2 to 3 people in my team, Work with 5 to 6 people in my team"/>
    <m/>
    <m/>
    <m/>
  </r>
  <r>
    <d v="2023-01-14T14:57:29"/>
    <s v="India"/>
    <n v="500083"/>
    <x v="1"/>
    <x v="2"/>
    <x v="0"/>
    <x v="0"/>
    <x v="0"/>
    <x v="1"/>
    <x v="9"/>
    <s v="Hybrid Working Environment with less than 3 days a month at office"/>
    <s v="Employer who rewards learning and enables that environment"/>
    <s v="Self Paced Learning Portals, Learning by observing others"/>
    <s v="Business Operations in any organization, Build and develop a Team, Look deeply into Data and generate insights"/>
    <s v="Manager who explains what is expected, sets a goal and helps achieve it"/>
    <s v="Work with 2 to 3 people in my team, Work with 5 to 6 people in my team"/>
    <m/>
    <m/>
    <m/>
  </r>
  <r>
    <d v="2023-01-14T16:55:53"/>
    <s v="India"/>
    <n v="305001"/>
    <x v="1"/>
    <x v="3"/>
    <x v="2"/>
    <x v="0"/>
    <x v="0"/>
    <x v="0"/>
    <x v="3"/>
    <s v="Fully Remote with Options to travel as and when needed"/>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2 to 3 people in my team"/>
    <m/>
    <m/>
    <m/>
  </r>
  <r>
    <d v="2023-01-14T23:19:00"/>
    <s v="India"/>
    <n v="110034"/>
    <x v="0"/>
    <x v="1"/>
    <x v="0"/>
    <x v="1"/>
    <x v="0"/>
    <x v="0"/>
    <x v="4"/>
    <s v="Hybrid Working Environment with less than 3 days a month at office"/>
    <s v="Employer who rewards learning and enables that environment"/>
    <s v="Self Paced Learning Portals, Learning by observing others"/>
    <s v="Design and Creative strategy in any company, Business Operations in any organization, Look deeply into Data and generate insights"/>
    <s v="Manager who sets targets and expects me to achieve it"/>
    <s v="Work with 7 to 10 or more people in my team, Work with more than 10 people in my team"/>
    <m/>
    <m/>
    <m/>
  </r>
  <r>
    <d v="2023-01-18T09:23:16"/>
    <s v="India"/>
    <n v="760009"/>
    <x v="0"/>
    <x v="0"/>
    <x v="2"/>
    <x v="0"/>
    <x v="0"/>
    <x v="1"/>
    <x v="4"/>
    <s v="Hybrid Working Environment with less than 15 days a month at office"/>
    <s v="Employer who appreciates learning and enables that environment"/>
    <s v="Instructor or Expert Learning Programs, Trial and error by doing side projects within the company"/>
    <s v="Design and Creative strategy in any company, Business Operations in any organization, Look deeply into Data and generate insights"/>
    <s v="Manager who explains what is expected, sets a goal and helps achieve it"/>
    <s v="Work with more than 10 people in my team"/>
    <m/>
    <m/>
    <m/>
  </r>
  <r>
    <d v="2023-01-18T10:18:58"/>
    <s v="India"/>
    <n v="500062"/>
    <x v="1"/>
    <x v="4"/>
    <x v="0"/>
    <x v="1"/>
    <x v="0"/>
    <x v="0"/>
    <x v="4"/>
    <s v="Every Day Office Environment"/>
    <s v="Employer who appreciates learning and enables that environment"/>
    <s v="Self Paced Learning Portals, Instructor or Expert Learning Programs"/>
    <s v="Design and Creative strategy in any company, Design and Develop amazing software, Become a content Creator in some platform"/>
    <s v="Manager who sets goal and helps me achieve it"/>
    <s v="Work with 5 to 6 people in my team"/>
    <m/>
    <m/>
    <m/>
  </r>
  <r>
    <d v="2023-01-18T21:38:53"/>
    <s v="India"/>
    <n v="560100"/>
    <x v="1"/>
    <x v="0"/>
    <x v="0"/>
    <x v="0"/>
    <x v="1"/>
    <x v="0"/>
    <x v="3"/>
    <s v="Hybrid Working Environment with less than 10 days a month at office"/>
    <s v="Employer who pushes your limits by enabling an learning environment, and rewards you at the end"/>
    <s v="Instructor or Expert Learning Programs, Trial and error by doing side projects within the company"/>
    <s v="Design and Creative strategy in any company, Build and develop a Team, Look deeply into Data and generate insights"/>
    <s v="Manager who explains what is expected, sets a goal and helps achieve it"/>
    <s v="Work with 5 to 6 people in my team"/>
    <m/>
    <m/>
    <m/>
  </r>
  <r>
    <d v="2023-01-19T16:57:49"/>
    <s v="India"/>
    <n v="490006"/>
    <x v="1"/>
    <x v="4"/>
    <x v="2"/>
    <x v="0"/>
    <x v="0"/>
    <x v="0"/>
    <x v="2"/>
    <s v="Hybrid Working Environment with less than 15 days a month at office"/>
    <s v="Employer who pushes your limits by enabling an learning environment, and rewards you at the end"/>
    <s v="Instructor or Expert Learning Programs, Trial and error by doing side projects within the company"/>
    <s v="Design and Creative strategy in any company, Business Operations in any organization, Look deeply into Data and generate insights"/>
    <s v="Manager who clearly describes what she/he needs"/>
    <s v="Work with 5 to 6 people in my team"/>
    <m/>
    <m/>
    <m/>
  </r>
  <r>
    <d v="2023-01-20T20:43:49"/>
    <s v="India"/>
    <n v="834001"/>
    <x v="0"/>
    <x v="3"/>
    <x v="1"/>
    <x v="0"/>
    <x v="1"/>
    <x v="0"/>
    <x v="2"/>
    <s v="Hybrid Working Environment with less than 15 days a month at office"/>
    <s v="Employer who pushes your limits by enabling an learning environment, and rewards you at the end"/>
    <s v="Instructor or Expert Learning Programs, Trial and error by doing side projects within the company"/>
    <s v="Manage and drive End-to-End Projects or Products, Look deeply into Data and generate insights, Work as a freelancer and do my thing my way"/>
    <s v="Manager who explains what is expected, sets a goal and helps achieve it"/>
    <s v="Work with 5 to 6 people in my team"/>
    <m/>
    <m/>
    <m/>
  </r>
  <r>
    <d v="2023-01-25T15:02:52"/>
    <s v="India"/>
    <n v="441111"/>
    <x v="1"/>
    <x v="3"/>
    <x v="0"/>
    <x v="0"/>
    <x v="0"/>
    <x v="0"/>
    <x v="1"/>
    <s v="Every Day Office Environment"/>
    <s v="Employer who pushes your limits by enabling an learning environment, and rewards you at the end"/>
    <s v="Instructor or Expert Learning Programs, Trial and error by doing side projects within the company"/>
    <s v="Business Operations in any organization, Manage and drive End-to-End Projects or Products, Look deeply into Data and generate insights"/>
    <s v="Manager who explains what is expected, sets a goal and helps achieve it"/>
    <s v="Work with more than 10 people in my team"/>
    <m/>
    <m/>
    <m/>
  </r>
  <r>
    <d v="2023-01-26T17:15:36"/>
    <s v="India"/>
    <n v="631052"/>
    <x v="1"/>
    <x v="4"/>
    <x v="0"/>
    <x v="0"/>
    <x v="0"/>
    <x v="0"/>
    <x v="6"/>
    <s v="Hybrid Working Environment with less than 15 days a month at office"/>
    <s v="Employer who appreciates learning and enables that environment"/>
    <s v="Self Paced Learning Portals, Instructor or Expert Learning Programs"/>
    <s v="Design and Creative strategy in any company, Teaching in any of the institutes/online or Offline, Manage and drive End-to-End Projects or Products"/>
    <s v="Manager who explains what is expected, sets a goal and helps achieve it"/>
    <s v="Work with 7 to 10 or more people in my team"/>
    <m/>
    <m/>
    <m/>
  </r>
  <r>
    <d v="2023-01-26T22:41:51"/>
    <s v="India"/>
    <n v="416520"/>
    <x v="1"/>
    <x v="4"/>
    <x v="2"/>
    <x v="1"/>
    <x v="1"/>
    <x v="1"/>
    <x v="6"/>
    <s v="Fully Remote with Options to travel as and when needed"/>
    <s v="Employer who pushes your limits by enabling an learning environment, and rewards you at the end"/>
    <s v="Learning by observing others, Trial and error by doing side projects within the company"/>
    <s v="Business Operations in any organization, Build and develop a Team, Look deeply into Data and generate insights"/>
    <s v="Manager who explains what is expected, sets a goal and helps achieve it"/>
    <s v="Work with 5 to 6 people in my team"/>
    <m/>
    <m/>
    <m/>
  </r>
  <r>
    <d v="2023-01-28T11:37:20"/>
    <s v="India"/>
    <n v="560100"/>
    <x v="0"/>
    <x v="3"/>
    <x v="2"/>
    <x v="1"/>
    <x v="0"/>
    <x v="0"/>
    <x v="8"/>
    <s v="Every Day Office Environment"/>
    <s v="Employer who appreciates learning and enables that environment"/>
    <s v="Instructor or Expert Learning Programs, Learning by observing others"/>
    <s v="Business Operations in any organization, Work as a freelancer and do my thing my way, Become a content Creator in some platform"/>
    <s v="Manager who sets goal and helps me achieve it"/>
    <s v="Work with more than 10 people in my team"/>
    <m/>
    <m/>
    <m/>
  </r>
  <r>
    <d v="2023-01-28T11:37:23"/>
    <s v="India"/>
    <n v="632301"/>
    <x v="1"/>
    <x v="3"/>
    <x v="2"/>
    <x v="0"/>
    <x v="1"/>
    <x v="1"/>
    <x v="4"/>
    <s v="Every Day Office Environment"/>
    <s v="Employer who appreciates learning and enables that environment"/>
    <s v="Self Paced Learning Portals, Learning by observing others"/>
    <s v="Design and Creative strategy in any company, Business Operations in any organization, Become a content Creator in some platform"/>
    <s v="Manager who explains what is expected, sets a goal and helps achieve it"/>
    <s v="Work with 5 to 6 people in my team"/>
    <m/>
    <m/>
    <m/>
  </r>
  <r>
    <d v="2023-02-20T21:04:17"/>
    <s v="India"/>
    <n v="641046"/>
    <x v="0"/>
    <x v="0"/>
    <x v="0"/>
    <x v="0"/>
    <x v="1"/>
    <x v="0"/>
    <x v="3"/>
    <s v="Every Day Office Environment"/>
    <s v="Employer who appreciates learning and enables that environment"/>
    <s v="Instructor or Expert Learning Programs, Learning by observing others"/>
    <s v="Design and Creative strategy in any company, Business Operations in any organization, Build and develop a Team"/>
    <s v="Manager who explains what is expected, sets a goal and helps achieve it"/>
    <s v="Work with 2 to 3 people in my team, Work with 5 to 6 people in my team, Work with 7 to 10 or more people in my team"/>
    <m/>
    <m/>
    <m/>
  </r>
  <r>
    <d v="2023-02-22T12:15:03"/>
    <s v="India"/>
    <n v="394230"/>
    <x v="0"/>
    <x v="4"/>
    <x v="1"/>
    <x v="0"/>
    <x v="1"/>
    <x v="1"/>
    <x v="8"/>
    <s v="Every Day Office Environment"/>
    <s v="Employer who pushes your limits by enabling an learning environment, and rewards you at the end"/>
    <s v="Instructor or Expert Learning Programs, Trial and error by doing side projects within the company"/>
    <s v="Business Operations in any organization, Design and Develop amazing software, Become a content Creator in some platform"/>
    <s v="Manager who explains what is expected, sets a goal and helps achieve it"/>
    <s v="Work with 5 to 6 people in my team"/>
    <m/>
    <m/>
    <m/>
  </r>
  <r>
    <d v="2023-02-28T19:40:43"/>
    <s v="India"/>
    <n v="44023"/>
    <x v="0"/>
    <x v="4"/>
    <x v="2"/>
    <x v="0"/>
    <x v="1"/>
    <x v="1"/>
    <x v="4"/>
    <s v="Hybrid Working Environment with less than 10 days a month at office"/>
    <s v="Employer who rewards learning and enables that environment"/>
    <s v="Instructor or Expert Learning Programs, Learning by observing others"/>
    <s v="Look deeply into Data and generate insights, Work as a freelancer and do my thing my way, Become a content Creator in some platform"/>
    <s v="Manager who sets goal and helps me achieve it"/>
    <s v="Work with more than 10 people in my team"/>
    <m/>
    <m/>
    <m/>
  </r>
  <r>
    <d v="2023-03-27T15:56:38"/>
    <s v="India"/>
    <n v="620017"/>
    <x v="1"/>
    <x v="0"/>
    <x v="1"/>
    <x v="1"/>
    <x v="0"/>
    <x v="0"/>
    <x v="4"/>
    <s v="Hybrid Working Environment with less than 15 days a month at office"/>
    <s v="Employer who appreciates learning and enables that environment"/>
    <s v="Self Paced Learning Portals, Instructor or Expert Learning Programs"/>
    <s v="Design and Creative strategy in any company, Manage and drive End-to-End Projects or Products, Look deeply into Data and generate insights"/>
    <s v="Manager who explains what is expected, sets a goal and helps achieve it"/>
    <s v="Work with 5 to 6 people in my team, Work with 7 to 10 or more people in my team, Work with more than 10 people in my team"/>
    <m/>
    <m/>
    <m/>
  </r>
  <r>
    <d v="2023-04-04T21:03:24"/>
    <s v="India"/>
    <n v="500032"/>
    <x v="0"/>
    <x v="0"/>
    <x v="2"/>
    <x v="1"/>
    <x v="0"/>
    <x v="0"/>
    <x v="4"/>
    <s v="Fully Remote with Options to travel as and when needed"/>
    <s v="Employer who pushes your limits by enabling an learning environment, and rewards you at the end"/>
    <s v="Instructor or Expert Learning Programs, Trial and error by doing side projects within the company"/>
    <s v="Design and Creative strategy in any company, Look deeply into Data and generate insights, Work as a freelancer and do my thing my way"/>
    <s v="Manager who explains what is expected, sets a goal and helps achieve it"/>
    <s v="Work alone, Work with 2 to 3 people in my team, Work with 5 to 6 people in my team, Work with 7 to 10 or more people in my team"/>
    <s v="Yes, I Understand this is gonna happen everywhere"/>
    <m/>
    <m/>
  </r>
  <r>
    <d v="2023-04-04T21:04:46"/>
    <s v="India"/>
    <n v="600083"/>
    <x v="1"/>
    <x v="2"/>
    <x v="0"/>
    <x v="2"/>
    <x v="0"/>
    <x v="0"/>
    <x v="7"/>
    <s v="Fully Remote with Options to travel as and when needed"/>
    <s v="Employer who pushes your limits by enabling an learning environment, and rewards you at the end"/>
    <s v="Self Paced Learning Portals, Learning by observing others"/>
    <s v="Design and Creative strategy in any company, Business Operations in any organization, Look deeply into Data and generate insights"/>
    <s v="Manager who explains what is expected, sets a goal and helps achieve it"/>
    <s v="Work alone, Work with 2 to 3 people in my team"/>
    <s v="No"/>
    <m/>
    <m/>
  </r>
  <r>
    <d v="2023-04-04T21:13:36"/>
    <s v="India"/>
    <n v="560016"/>
    <x v="0"/>
    <x v="3"/>
    <x v="1"/>
    <x v="0"/>
    <x v="0"/>
    <x v="1"/>
    <x v="4"/>
    <s v="Fully Remote with Options to travel as and when needed"/>
    <s v="Employer who appreciates learning and enables that environment"/>
    <s v="Instructor or Expert Learning Programs, Trial and error by doing side projects within the company"/>
    <s v="Business Operations in any organization, Design and Develop amazing software, Look deeply into Data and generate insights, Work as a freelancer and do my thing my way"/>
    <s v="Manager who explains what is expected, sets a goal and helps achieve it"/>
    <s v="Work with more than 10 people in my team"/>
    <s v="No"/>
    <m/>
    <m/>
  </r>
  <r>
    <d v="2023-04-04T21:14:17"/>
    <s v="India"/>
    <n v="560083"/>
    <x v="0"/>
    <x v="2"/>
    <x v="2"/>
    <x v="1"/>
    <x v="0"/>
    <x v="0"/>
    <x v="1"/>
    <s v="Hybrid Working Environment with less than 3 days a month at office"/>
    <s v="Employer who pushes your limits by enabling an learning environment, and rewards you at the end"/>
    <s v="Self Paced Learning Portals, Instructor or Expert Learning Programs"/>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m/>
    <m/>
  </r>
  <r>
    <d v="2023-04-04T21:15:02"/>
    <s v="India"/>
    <n v="250001"/>
    <x v="0"/>
    <x v="0"/>
    <x v="0"/>
    <x v="0"/>
    <x v="0"/>
    <x v="0"/>
    <x v="3"/>
    <s v="Hybrid Working Environment with less than 3 days a month at office"/>
    <s v="Employer who rewards learning and enables that environment"/>
    <s v="Self Paced Learning Portals, Trial and error by doing side projects within the company"/>
    <s v="Design and Creative strategy in any company, Business Operations in any organization, Work as a freelancer and do my thing my way, Entrepreneur or Start Up"/>
    <s v="Manager who sets goal and helps me achieve it"/>
    <s v="Work with 2 to 3 people in my team"/>
    <s v="No"/>
    <m/>
    <m/>
  </r>
  <r>
    <d v="2023-04-04T21:20:22"/>
    <s v="India"/>
    <n v="560034"/>
    <x v="0"/>
    <x v="0"/>
    <x v="0"/>
    <x v="0"/>
    <x v="0"/>
    <x v="0"/>
    <x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ild and develop a Team, Look deeply into Data and generate insights, Entrepreneur or Start Up, An Artificial Intelligence Specialist / Talking to Robots"/>
    <s v="Manager who explains what is expected, sets a goal and helps achieve it"/>
    <s v="Work alone, Work with 2 to 3 people in my team, Work with 5 to 6 people in my team"/>
    <s v="No"/>
    <m/>
    <m/>
  </r>
  <r>
    <d v="2023-04-04T21:30:33"/>
    <s v="India"/>
    <n v="641004"/>
    <x v="0"/>
    <x v="1"/>
    <x v="0"/>
    <x v="1"/>
    <x v="1"/>
    <x v="0"/>
    <x v="5"/>
    <s v="Fully Remote with No option to visit offices"/>
    <s v="Employer who appreciates learning and enables that environment"/>
    <s v="Self Paced Learning Portals of the Company, Instructor or Expert Learning Programs, Manager Teaching you"/>
    <s v="Manage and drive End-to-End Projects or Products, Design and Develop amazing software, Look deeply into Data and generate insights, Entrepreneur or Start Up"/>
    <s v="Manager who sets goal and helps me achieve it"/>
    <s v="Work with 2 to 3 people in my team, Work with 5 to 6 people in my team"/>
    <s v="Yes, I Understand this is gonna happen everywhere"/>
    <s v="No way"/>
    <m/>
  </r>
  <r>
    <d v="2023-04-04T21:41:58"/>
    <s v="India"/>
    <n v="452003"/>
    <x v="0"/>
    <x v="0"/>
    <x v="0"/>
    <x v="0"/>
    <x v="0"/>
    <x v="0"/>
    <x v="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ecome a content Creator in some platform"/>
    <s v="Manager who sets targets and expects me to achieve it"/>
    <s v="Work with 2 to 3 people in my team"/>
    <s v="Yes, I Understand this is gonna happen everywhere"/>
    <s v="No way"/>
    <m/>
  </r>
  <r>
    <d v="2023-04-04T21:45:32"/>
    <s v="India"/>
    <n v="560049"/>
    <x v="0"/>
    <x v="4"/>
    <x v="0"/>
    <x v="0"/>
    <x v="0"/>
    <x v="0"/>
    <x v="3"/>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Entrepreneur or Start Up,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4T22:44:43"/>
    <s v="India"/>
    <n v="335526"/>
    <x v="1"/>
    <x v="0"/>
    <x v="0"/>
    <x v="0"/>
    <x v="0"/>
    <x v="0"/>
    <x v="4"/>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Look deeply into Data and generate insights"/>
    <s v="Manager who sets goal and helps me achieve it"/>
    <s v="Work with 7 to 10 or more people in my team"/>
    <s v="No"/>
    <s v="This will be hard to do, but if it is the right company I would try"/>
    <m/>
  </r>
  <r>
    <d v="2023-04-04T22:49:42"/>
    <s v="India"/>
    <n v="58000"/>
    <x v="1"/>
    <x v="3"/>
    <x v="0"/>
    <x v="1"/>
    <x v="1"/>
    <x v="0"/>
    <x v="4"/>
    <s v="Fully Remote with Options to travel as and when needed"/>
    <s v="Employer who rewards learning and enables that environment"/>
    <s v="Self Paced Learning Portals of the Company, Instructor or Expert Learning Programs, Learning by observing others"/>
    <s v="Build and develop a Team, Work in a BPO setup for some well known client, Work as a freelancer and do my thing my way, Manufacturing / Oil and Gas/ Construction / Hard Physical Work related"/>
    <s v="Manager who explains what is expected, sets a goal and helps achieve it"/>
    <s v="Work with 7 to 10 or more people in my team"/>
    <s v="No"/>
    <s v="Will work for 7 years or more"/>
    <m/>
  </r>
  <r>
    <d v="2023-04-05T00:08:44"/>
    <s v="India"/>
    <n v="400078"/>
    <x v="0"/>
    <x v="0"/>
    <x v="0"/>
    <x v="3"/>
    <x v="1"/>
    <x v="0"/>
    <x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Entrepreneur or Start Up, I Want to sell things/Sales"/>
    <s v="Manager who explains what is expected, sets a goal and helps achieve it"/>
    <s v="Work with more than 10 people in my team"/>
    <s v="Yes, I Understand this is gonna happen everywhere"/>
    <s v="No way"/>
    <m/>
  </r>
  <r>
    <d v="2023-04-05T00:12:34"/>
    <s v="India"/>
    <n v="411028"/>
    <x v="0"/>
    <x v="0"/>
    <x v="0"/>
    <x v="0"/>
    <x v="1"/>
    <x v="0"/>
    <x v="2"/>
    <s v="Fully Remote with Options to travel as and when needed"/>
    <s v="Employer who pushes your limits by enabling an learning environment, and rewards you at the end"/>
    <s v="Self Paced Learning Portals of the Company, Learning by observing others, Manager Teaching you"/>
    <s v="Look deeply into Data and generate insights, Become a content Creator in some platform, Entrepreneur or Start Up, An Artificial Intelligence Specialist / Talking to Robots"/>
    <s v="Manager who explains what is expected, sets a goal and helps achieve it"/>
    <s v="Work with more than 10 people in my team"/>
    <s v="I have NO other choice"/>
    <s v="This will be hard to do, but if it is the right company I would try"/>
    <m/>
  </r>
  <r>
    <d v="2023-04-05T00:19:17"/>
    <s v="Canada"/>
    <n v="132001"/>
    <x v="1"/>
    <x v="0"/>
    <x v="0"/>
    <x v="0"/>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Entrepreneur or Start Up"/>
    <s v="Manager who explains what is expected, sets a goal and helps achieve it"/>
    <s v="Work with 5 to 6 people in my team"/>
    <s v="No"/>
    <s v="This will be hard to do, but if it is the right company I would try"/>
    <m/>
  </r>
  <r>
    <d v="2023-04-05T00:30:25"/>
    <s v="India"/>
    <n v="440002"/>
    <x v="0"/>
    <x v="4"/>
    <x v="1"/>
    <x v="0"/>
    <x v="0"/>
    <x v="0"/>
    <x v="0"/>
    <s v="Hybrid Working Environment with more than 15 days a month at office"/>
    <s v="Employer who rewards learning and enables that environment"/>
    <s v="Self Paced Learning Portals of the Company, Instructor or Expert Learning Programs, Manager Teaching you"/>
    <s v="Design and Develop amazing software, Work as a freelancer and do my thing my way, Entrepreneur or Start Up, An Artificial Intelligence Specialist / Talking to Robots"/>
    <s v="Manager who sets goal and helps me achieve it"/>
    <s v="Work with more than 10 people in my team"/>
    <s v="I have NO other choice"/>
    <s v="This will be hard to do, but if it is the right company I would try"/>
    <m/>
  </r>
  <r>
    <d v="2023-04-05T00:36:02"/>
    <s v="India"/>
    <n v="624005"/>
    <x v="1"/>
    <x v="0"/>
    <x v="2"/>
    <x v="1"/>
    <x v="0"/>
    <x v="0"/>
    <x v="1"/>
    <s v="Hybrid Working Environment with more than 15 days a month at office"/>
    <s v="Employer who appreciates learning and enables that environment"/>
    <s v="Instructor or Expert Learning Programs, Self Purchased Course from External Platforms, Manager Teaching you"/>
    <s v="Design and Creative strategy in any company, Business Operations in any organization, Manage and drive End-to-End Projects or Products,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r>
  <r>
    <d v="2023-04-05T00:47:54"/>
    <s v="India"/>
    <n v="382424"/>
    <x v="0"/>
    <x v="2"/>
    <x v="2"/>
    <x v="1"/>
    <x v="0"/>
    <x v="0"/>
    <x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sets unrealistic targets"/>
    <s v="Work with 5 to 6 people in my team"/>
    <s v="Yes, I Understand this is gonna happen everywhere"/>
    <s v="This will be hard to do, but if it is the right company I would try"/>
    <m/>
  </r>
  <r>
    <d v="2023-04-05T00:48:27"/>
    <s v="Canada"/>
    <n v="226016"/>
    <x v="1"/>
    <x v="2"/>
    <x v="1"/>
    <x v="1"/>
    <x v="0"/>
    <x v="0"/>
    <x v="5"/>
    <s v="Hybrid Working Environment with less than 3 days a month at office"/>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sets goal and helps me achieve it"/>
    <s v="Work with 2 to 3 people in my team"/>
    <s v="Yes, I Understand this is gonna happen everywhere"/>
    <s v="Will work for 7 years or more"/>
    <m/>
  </r>
  <r>
    <d v="2023-04-05T00:50:50"/>
    <s v="India"/>
    <n v="110077"/>
    <x v="0"/>
    <x v="0"/>
    <x v="2"/>
    <x v="0"/>
    <x v="0"/>
    <x v="0"/>
    <x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alone, Work with 5 to 6 people in my team"/>
    <s v="I have NO other choice"/>
    <s v="This will be hard to do, but if it is the right company I would try"/>
    <m/>
  </r>
  <r>
    <d v="2023-04-05T01:00:42"/>
    <s v="India"/>
    <n v="442902"/>
    <x v="0"/>
    <x v="3"/>
    <x v="0"/>
    <x v="0"/>
    <x v="0"/>
    <x v="0"/>
    <x v="4"/>
    <s v="Hybrid Working Environment with more than 15 days a month at office"/>
    <s v="Employer who pushes your limits by enabling an learning environment, and rewards you at the end"/>
    <s v="Self Paced Learning Portals of the Company, Instructor or Expert Learning Programs, Manager Teaching you"/>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m/>
  </r>
  <r>
    <d v="2023-04-05T01:08:58"/>
    <s v="India"/>
    <n v="530032"/>
    <x v="0"/>
    <x v="2"/>
    <x v="2"/>
    <x v="0"/>
    <x v="0"/>
    <x v="1"/>
    <x v="5"/>
    <s v="Fully Remote with Options to travel as and when needed"/>
    <s v="Employer who rewards learning and enables that environment"/>
    <s v="Self Paced Learning Portals of the Company, Trial and error by doing side projects within the company, Manager Teaching you"/>
    <s v="Design and Creative strategy in any company, Business Operations in any organization, Manage and drive End-to-End Projects or Products, Look deeply into Data and generate insights"/>
    <s v="Manager who clearly describes what she/he needs"/>
    <s v="Work alone, Work with 2 to 3 people in my team"/>
    <s v="I have NO other choice"/>
    <s v="This will be hard to do, but if it is the right company I would try"/>
    <m/>
  </r>
  <r>
    <d v="2023-04-05T01:46:02"/>
    <s v="India"/>
    <n v="412207"/>
    <x v="0"/>
    <x v="0"/>
    <x v="2"/>
    <x v="0"/>
    <x v="1"/>
    <x v="0"/>
    <x v="0"/>
    <s v="Every Day Office Environment"/>
    <s v="Employer who appreciates learning and enables that environment"/>
    <s v="Self Paced Learning Portals of the Company, Learning by observing others, Self Purchased Course from External Platforms"/>
    <s v="Design and Creative strategy in any company, Build and develop a Team,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05T07:18:30"/>
    <s v="India"/>
    <n v="110059"/>
    <x v="0"/>
    <x v="4"/>
    <x v="0"/>
    <x v="0"/>
    <x v="0"/>
    <x v="0"/>
    <x v="5"/>
    <s v="Hybrid Working Environment with more than 15 days a month at office"/>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sets goal and helps me achieve it"/>
    <s v="Work with 7 to 10 or more people in my team"/>
    <s v="Yes, I Understand this is gonna happen everywhere"/>
    <s v="No way"/>
    <m/>
  </r>
  <r>
    <d v="2023-04-05T07:27:27"/>
    <s v="India"/>
    <n v="627002"/>
    <x v="0"/>
    <x v="4"/>
    <x v="1"/>
    <x v="1"/>
    <x v="0"/>
    <x v="0"/>
    <x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I have NO other choice"/>
    <s v="This will be hard to do, but if it is the right company I would try"/>
    <m/>
  </r>
  <r>
    <d v="2023-04-05T07:37:24"/>
    <s v="India"/>
    <n v="250001"/>
    <x v="0"/>
    <x v="2"/>
    <x v="0"/>
    <x v="0"/>
    <x v="0"/>
    <x v="0"/>
    <x v="3"/>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clearly describes what she/he needs"/>
    <s v="Work alone, Work with 2 to 3 people in my team"/>
    <s v="Yes, I Understand this is gonna happen everywhere"/>
    <s v="This will be hard to do, but if it is the right company I would try"/>
    <m/>
  </r>
  <r>
    <d v="2023-04-05T09:06:13"/>
    <s v="India"/>
    <n v="721506"/>
    <x v="1"/>
    <x v="3"/>
    <x v="0"/>
    <x v="1"/>
    <x v="1"/>
    <x v="0"/>
    <x v="9"/>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05T09:17:37"/>
    <s v="India"/>
    <n v="600091"/>
    <x v="0"/>
    <x v="3"/>
    <x v="0"/>
    <x v="0"/>
    <x v="0"/>
    <x v="0"/>
    <x v="7"/>
    <s v="Fully Remote with Options to travel as and when needed"/>
    <s v="Employer who appreciates learning and enables that environment"/>
    <s v="Self Paced Learning Portals of the Company, Learning by observing others, Self Purchased Course from External Platforms"/>
    <s v="Design and Creative strategy in any company, Build and develop a Team, Work in a BPO setup for some well known client,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05T09:31:12"/>
    <s v="India"/>
    <n v="600129"/>
    <x v="0"/>
    <x v="4"/>
    <x v="2"/>
    <x v="1"/>
    <x v="0"/>
    <x v="1"/>
    <x v="2"/>
    <s v="Every Day Office Environment"/>
    <s v="Employer who appreciates learning and enables that environment"/>
    <s v="Learning by observing others, Trial and error by doing side projects within the company, Manager Teaching you"/>
    <s v="Design and Creative strategy in any company, Build and develop a Team, Design and Develop amazing software, An Artificial Intelligence Specialist / Talking to Robots"/>
    <s v="Manager who explains what is expected, sets a goal and helps achieve it"/>
    <s v="Work with 5 to 6 people in my team"/>
    <s v="No"/>
    <s v="This will be hard to do, but if it is the right company I would try"/>
    <m/>
  </r>
  <r>
    <d v="2023-04-05T09:33:56"/>
    <s v="India"/>
    <n v="834001"/>
    <x v="1"/>
    <x v="1"/>
    <x v="0"/>
    <x v="0"/>
    <x v="0"/>
    <x v="0"/>
    <x v="6"/>
    <s v="Hybrid Working Environment with more than 15 days a month at office"/>
    <s v="Employer who pushes your limits by enabling an learning environment, and rewards you at the end"/>
    <s v="Self Paced Learning Portals of the Company, Learning by observing others, Manager Teaching you"/>
    <s v="Teaching in any of the institutes/colleges/online or offline, Build and develop a Team, Look deeply into Data and generate insights, Work as a freelancer and do my thing my way"/>
    <s v="Manager who explains what is expected, sets a goal and helps achieve it"/>
    <s v="Work with 2 to 3 people in my team, Work with 5 to 6 people in my team, Work with 7 to 10 or more people in my team"/>
    <s v="Yes, I Understand this is gonna happen everywhere"/>
    <s v="No way"/>
    <m/>
  </r>
  <r>
    <d v="2023-04-05T09:36:45"/>
    <s v="India"/>
    <n v="641028"/>
    <x v="0"/>
    <x v="0"/>
    <x v="0"/>
    <x v="0"/>
    <x v="1"/>
    <x v="1"/>
    <x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ild and develop a Team, Look deeply into Data and generate insights, Work as a freelancer and do my thing my way,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05T09:45:29"/>
    <s v="India"/>
    <s v="+91"/>
    <x v="0"/>
    <x v="1"/>
    <x v="0"/>
    <x v="1"/>
    <x v="1"/>
    <x v="0"/>
    <x v="5"/>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Look deeply into Data and generate insights, Manufacturing / Oil and Gas/ Construction / Hard Physical Work related"/>
    <s v="Manager who clearly describes what she/he needs"/>
    <s v="Work with more than 10 people in my team"/>
    <s v="No"/>
    <s v="No way"/>
    <m/>
  </r>
  <r>
    <d v="2023-04-05T10:00:10"/>
    <s v="India"/>
    <n v="600014"/>
    <x v="0"/>
    <x v="1"/>
    <x v="2"/>
    <x v="0"/>
    <x v="0"/>
    <x v="0"/>
    <x v="4"/>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05T10:12:37"/>
    <s v="India"/>
    <n v="671315"/>
    <x v="0"/>
    <x v="1"/>
    <x v="1"/>
    <x v="0"/>
    <x v="1"/>
    <x v="1"/>
    <x v="0"/>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Become a content Creator in some platform, Entrepreneur or Start Up"/>
    <s v="Manager who explains what is expected, sets a goal and helps achieve it"/>
    <s v="Work with 2 to 3 people in my team, Work with 5 to 6 people in my team"/>
    <s v="Yes, I Understand this is gonna happen everywhere"/>
    <s v="No way"/>
    <m/>
  </r>
  <r>
    <d v="2023-04-05T10:29:08"/>
    <s v="India"/>
    <n v="500079"/>
    <x v="0"/>
    <x v="3"/>
    <x v="0"/>
    <x v="0"/>
    <x v="0"/>
    <x v="0"/>
    <x v="0"/>
    <s v="Fully Remote with Options to travel as and when needed"/>
    <s v="Employer who appreciates learning and enables that environment"/>
    <s v="Instructor or Expert Learning Programs, Learning by observing others, Trial and error by doing side projects within the company"/>
    <s v="Manage and drive End-to-End Projects or Products, Design and Develop amazing software, Look deeply into Data and generate insights, Entrepreneur or Start Up"/>
    <s v="Manager who explains what is expected, sets a goal and helps achieve it"/>
    <s v="Work with 5 to 6 people in my team"/>
    <s v="Yes, I Understand this is gonna happen everywhere"/>
    <s v="No way"/>
    <m/>
  </r>
  <r>
    <d v="2023-04-05T10:29:15"/>
    <s v="Others"/>
    <n v="2151"/>
    <x v="0"/>
    <x v="2"/>
    <x v="0"/>
    <x v="1"/>
    <x v="1"/>
    <x v="1"/>
    <x v="8"/>
    <s v="Every Day Office Environment"/>
    <s v="Employer who appreciates learning and enables that environment"/>
    <s v="Learning by observing others, Trial and error by doing side projects within the company, Manager Teaching you"/>
    <s v="Design and Creative strategy in any company, Business Operations in any organization, Build and develop a Team, Manufacturing / Oil and Gas/ Construction / Hard Physical Work related"/>
    <s v="Manager who explains what is expected, sets a goal and helps achieve it"/>
    <s v="Work with more than 10 people in my team"/>
    <s v="I have NO other choice"/>
    <s v="Will work for 7 years or more"/>
    <m/>
  </r>
  <r>
    <d v="2023-04-05T10:30:56"/>
    <s v="India"/>
    <n v="670014"/>
    <x v="0"/>
    <x v="2"/>
    <x v="0"/>
    <x v="1"/>
    <x v="1"/>
    <x v="1"/>
    <x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4-05T10:33:20"/>
    <s v="India"/>
    <n v="390009"/>
    <x v="0"/>
    <x v="3"/>
    <x v="0"/>
    <x v="0"/>
    <x v="0"/>
    <x v="0"/>
    <x v="1"/>
    <s v="Every Day Office Environment"/>
    <s v="Employer who pushes your limits by enabling an learning environment, and rewards you at the end"/>
    <s v="Instructor or Expert Learning Programs, Trial and error by doing side projects within the company, Manager Teaching you"/>
    <s v="Build and develop a Team, Look deeply into Data and generate insights, Work as a freelancer and do my thing my way, Entrepreneur or Start Up"/>
    <s v="Manager who explains what is expected, sets a goal and helps achieve it"/>
    <s v="Work with more than 10 people in my team"/>
    <s v="Yes, I Understand this is gonna happen everywhere"/>
    <s v="No way"/>
    <m/>
  </r>
  <r>
    <d v="2023-04-05T10:37:24"/>
    <s v="India"/>
    <n v="500079"/>
    <x v="0"/>
    <x v="3"/>
    <x v="0"/>
    <x v="0"/>
    <x v="0"/>
    <x v="0"/>
    <x v="6"/>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Entrepreneur or Start Up, An Artificial Intelligence Specialist / Talking to Robots"/>
    <s v="Manager who explains what is expected, sets a goal and helps achieve it"/>
    <s v="Work with 5 to 6 people in my team"/>
    <s v="No"/>
    <s v="This will be hard to do, but if it is the right company I would try"/>
    <m/>
  </r>
  <r>
    <d v="2023-04-05T10:37:42"/>
    <s v="India"/>
    <n v="560066"/>
    <x v="0"/>
    <x v="0"/>
    <x v="0"/>
    <x v="1"/>
    <x v="1"/>
    <x v="0"/>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alone, Work with 5 to 6 people in my team"/>
    <s v="Yes, I Understand this is gonna happen everywhere"/>
    <s v="This will be hard to do, but if it is the right company I would try"/>
    <m/>
  </r>
  <r>
    <d v="2023-04-05T10:37:58"/>
    <s v="India"/>
    <n v="421301"/>
    <x v="0"/>
    <x v="0"/>
    <x v="2"/>
    <x v="1"/>
    <x v="1"/>
    <x v="0"/>
    <x v="4"/>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Work as a freelancer and do my thing my way, Entrepreneur or Start Up"/>
    <s v="Manager who clearly describes what she/he needs"/>
    <s v="Work with 7 to 10 or more people in my team"/>
    <s v="Yes, I Understand this is gonna happen everywhere"/>
    <s v="This will be hard to do, but if it is the right company I would try"/>
    <m/>
  </r>
  <r>
    <d v="2023-04-05T10:39:37"/>
    <s v="Others"/>
    <s v="02-414"/>
    <x v="0"/>
    <x v="2"/>
    <x v="0"/>
    <x v="0"/>
    <x v="1"/>
    <x v="1"/>
    <x v="3"/>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5T10:40:25"/>
    <s v="India"/>
    <n v="500008"/>
    <x v="0"/>
    <x v="0"/>
    <x v="1"/>
    <x v="0"/>
    <x v="1"/>
    <x v="1"/>
    <x v="4"/>
    <s v="Fully Remote with Options to travel as and when needed"/>
    <s v="Employer who appreciates learning and enables that environment"/>
    <s v="Self Paced Learning Portals of the Company, Instructor or Expert Learning Programs, Manager Teaching you"/>
    <s v="Design and Creative strategy in any company, Business Operations in any organization, Look deeply into Data and generate insights, Entrepreneur or Start Up"/>
    <s v="Manager who sets goal and helps me achieve it"/>
    <s v="Work alone"/>
    <s v="Yes, I Understand this is gonna happen everywhere"/>
    <s v="This will be hard to do, but if it is the right company I would try"/>
    <m/>
  </r>
  <r>
    <d v="2023-04-05T10:42:07"/>
    <s v="India"/>
    <n v="400083"/>
    <x v="0"/>
    <x v="1"/>
    <x v="2"/>
    <x v="0"/>
    <x v="1"/>
    <x v="1"/>
    <x v="8"/>
    <s v="Hybrid Working Environment with less than 3 days a month at office"/>
    <s v="Employer who appreciates learning and enables that environment"/>
    <s v="Instructor or Expert Learning Programs, Trial and error by doing side projects within the company, Manager Teaching you"/>
    <s v="Build and develop a Team, Look deeply into Data and generate insights, Entrepreneur or Start Up, An Artificial Intelligence Specialist / Talking to Robots"/>
    <s v="Manager who clearly describes what she/he needs"/>
    <s v="Work with 2 to 3 people in my team"/>
    <s v="Yes, I Understand this is gonna happen everywhere"/>
    <s v="This will be hard to do, but if it is the right company I would try"/>
    <m/>
  </r>
  <r>
    <d v="2023-04-05T10:46:43"/>
    <s v="India"/>
    <n v="627357"/>
    <x v="0"/>
    <x v="0"/>
    <x v="0"/>
    <x v="0"/>
    <x v="1"/>
    <x v="1"/>
    <x v="5"/>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Work as a freelancer and do my thing my way, An Artificial Intelligence Specialist / Talking to Robots"/>
    <s v="Manager who explains what is expected, sets a goal and helps achieve it"/>
    <s v="Work with 5 to 6 people in my team"/>
    <s v="Yes, I Understand this is gonna happen everywhere"/>
    <s v="No way"/>
    <m/>
  </r>
  <r>
    <d v="2023-04-05T10:48:14"/>
    <s v="India"/>
    <n v="500036"/>
    <x v="0"/>
    <x v="4"/>
    <x v="0"/>
    <x v="0"/>
    <x v="0"/>
    <x v="0"/>
    <x v="7"/>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Entrepreneur or Start Up"/>
    <s v="Manager who clearly describes what she/he needs"/>
    <s v="Work with 2 to 3 people in my team"/>
    <s v="Yes, I Understand this is gonna happen everywhere"/>
    <s v="No way"/>
    <m/>
  </r>
  <r>
    <d v="2023-04-05T10:48:18"/>
    <s v="India"/>
    <n v="500079"/>
    <x v="1"/>
    <x v="0"/>
    <x v="1"/>
    <x v="0"/>
    <x v="0"/>
    <x v="0"/>
    <x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7 to 10 or more people in my team"/>
    <s v="No"/>
    <s v="This will be hard to do, but if it is the right company I would try"/>
    <m/>
  </r>
  <r>
    <d v="2023-04-05T10:49:53"/>
    <s v="India"/>
    <n v="440036"/>
    <x v="1"/>
    <x v="4"/>
    <x v="0"/>
    <x v="0"/>
    <x v="1"/>
    <x v="0"/>
    <x v="7"/>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An Artificial Intelligence Specialist / Talking to Robot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05T10:51:08"/>
    <s v="India"/>
    <n v="500060"/>
    <x v="0"/>
    <x v="0"/>
    <x v="2"/>
    <x v="3"/>
    <x v="0"/>
    <x v="0"/>
    <x v="1"/>
    <s v="Hybrid Working Environment with less than 3 days a month at office"/>
    <s v="Employer who pushes your limits and doesn't enables learning environment and never rewards you"/>
    <s v="Instructor or Expert Learning Programs, Learning by observing others, Trial and error by doing side projects within the company"/>
    <s v="Teaching in any of the institutes/colleges/online or offline, I Want to sell things/Sales, An Artificial Intelligence Specialist / Talking to Robots, Manufacturing / Oil and Gas/ Construction / Hard Physical Work related"/>
    <s v="Manager who clearly describes what she/he needs"/>
    <s v="Work with 5 to 6 people in my team"/>
    <s v="No"/>
    <s v="No way"/>
    <m/>
  </r>
  <r>
    <d v="2023-04-05T10:53:16"/>
    <s v="India"/>
    <n v="560076"/>
    <x v="0"/>
    <x v="3"/>
    <x v="0"/>
    <x v="0"/>
    <x v="0"/>
    <x v="0"/>
    <x v="6"/>
    <s v="Hybrid Working Environment with less than 3 days a month at office"/>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m/>
  </r>
  <r>
    <d v="2023-04-05T10:55:51"/>
    <s v="India"/>
    <n v="500079"/>
    <x v="1"/>
    <x v="3"/>
    <x v="2"/>
    <x v="1"/>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goal and helps me achieve it"/>
    <s v="Work with 5 to 6 people in my team"/>
    <s v="Yes, I Understand this is gonna happen everywhere"/>
    <s v="This will be hard to do, but if it is the right company I would try"/>
    <m/>
  </r>
  <r>
    <d v="2023-04-05T10:56:07"/>
    <s v="India"/>
    <n v="560003"/>
    <x v="1"/>
    <x v="0"/>
    <x v="2"/>
    <x v="1"/>
    <x v="0"/>
    <x v="0"/>
    <x v="7"/>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s v="Yes, I Understand this is gonna happen everywhere"/>
    <s v="Will work for 7 years or more"/>
    <m/>
  </r>
  <r>
    <d v="2023-04-05T10:57:04"/>
    <s v="India"/>
    <n v="560100"/>
    <x v="0"/>
    <x v="0"/>
    <x v="1"/>
    <x v="0"/>
    <x v="0"/>
    <x v="0"/>
    <x v="4"/>
    <s v="Fully Remote with Options to travel as and when needed"/>
    <s v="Employer who appreciates learning and enables that environment"/>
    <s v="Self Paced Learning Portals of the Company, Instructor or Expert Learning Programs, Manager Teaching you"/>
    <s v="Design and Creative strategy in any company, Manage and drive End-to-End Projects or Products, Entrepreneur or Start Up, I Want to sell things/Sales"/>
    <s v="Manager who clearly describes what she/he needs"/>
    <s v="Work with 2 to 3 people in my team"/>
    <s v="No"/>
    <s v="This will be hard to do, but if it is the right company I would try"/>
    <m/>
  </r>
  <r>
    <d v="2023-04-05T10:58:16"/>
    <s v="India"/>
    <n v="400042"/>
    <x v="0"/>
    <x v="3"/>
    <x v="0"/>
    <x v="0"/>
    <x v="0"/>
    <x v="0"/>
    <x v="1"/>
    <s v="Every Day Office Environment"/>
    <s v="Employer who rewards learning and enables that environment"/>
    <s v="Instructor or Expert Learning Programs, Trial and error by doing side projects within the company, Manager Teaching you"/>
    <s v="Design and Creative strategy in any company, Build and develop a Team, Design and Develop amazing software, Become a content Creator in some platform"/>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m/>
  </r>
  <r>
    <d v="2023-04-05T11:06:59"/>
    <s v="India"/>
    <n v="500079"/>
    <x v="0"/>
    <x v="3"/>
    <x v="0"/>
    <x v="0"/>
    <x v="0"/>
    <x v="0"/>
    <x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Develop amazing software, Look deeply into Data and generate insights, Entrepreneur or Start Up, An Artificial Intelligence Specialist / Talking to Robots"/>
    <s v="Manager who sets goal and helps me achieve it"/>
    <s v="Work with more than 10 people in my team"/>
    <s v="Yes, I Understand this is gonna happen everywhere"/>
    <s v="No way"/>
    <m/>
  </r>
  <r>
    <d v="2023-04-05T11:08:22"/>
    <s v="India"/>
    <n v="641005"/>
    <x v="1"/>
    <x v="2"/>
    <x v="2"/>
    <x v="0"/>
    <x v="0"/>
    <x v="0"/>
    <x v="0"/>
    <s v="Fully Remote with No option to visit offices"/>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r>
  <r>
    <d v="2023-04-05T11:11:10"/>
    <s v="India"/>
    <n v="201305"/>
    <x v="1"/>
    <x v="4"/>
    <x v="0"/>
    <x v="1"/>
    <x v="0"/>
    <x v="0"/>
    <x v="1"/>
    <s v="Every Day Office Environment"/>
    <s v="Employer who pushes your limits by enabling an learning environment, and rewards you at the end"/>
    <s v="Instructor or Expert Learning Programs, Learning by observing others, Manager Teaching you"/>
    <s v="Manage and drive End-to-End Projects or Products, Work as a freelancer and do my thing my way, Become a content Creator in some platform, An Artificial Intelligence Specialist / Talking to Robots"/>
    <s v="Manager who clearly describes what she/he needs"/>
    <s v="Work with more than 10 people in my team"/>
    <s v="No"/>
    <s v="Will work for 7 years or more"/>
    <m/>
  </r>
  <r>
    <d v="2023-04-05T11:13:59"/>
    <s v="India"/>
    <n v="509209"/>
    <x v="1"/>
    <x v="4"/>
    <x v="0"/>
    <x v="0"/>
    <x v="0"/>
    <x v="0"/>
    <x v="1"/>
    <s v="Fully Remote with Options to travel as and when needed"/>
    <s v="Employer who appreciates learning and enables that environment"/>
    <s v="Learning by observing others, Trial and error by doing side projects within the company, Manager Teaching you"/>
    <s v="Design and Creative strategy in any company, Teaching in any of the institutes/colleges/online or offline, Build and develop a Team, Become a content Creator in some platform"/>
    <s v="Manager who clearly describes what she/he needs"/>
    <s v="Work with 2 to 3 people in my team"/>
    <s v="No"/>
    <s v="No way"/>
    <m/>
  </r>
  <r>
    <d v="2023-04-05T11:16:38"/>
    <s v="India"/>
    <n v="501505"/>
    <x v="0"/>
    <x v="4"/>
    <x v="0"/>
    <x v="1"/>
    <x v="0"/>
    <x v="0"/>
    <x v="4"/>
    <s v="Hybrid Working Environment with more than 15 days a month at office"/>
    <s v="Employer who pushes your limits by enabling an learning environment, and rewards you at the end"/>
    <s v="Instructor or Expert Learning Programs, Learning by observing others, Manager Teaching you"/>
    <s v="Manage and drive End-to-End Projects or Products, Build and develop a Team, Design and Develop amazing software, Look deeply into Data and generate insights"/>
    <s v="Manager who sets goal and helps me achieve it"/>
    <s v="Work with 5 to 6 people in my team"/>
    <s v="Yes, I Understand this is gonna happen everywhere"/>
    <s v="This will be hard to do, but if it is the right company I would try"/>
    <m/>
  </r>
  <r>
    <d v="2023-04-05T11:20:43"/>
    <s v="India"/>
    <n v="442906"/>
    <x v="0"/>
    <x v="2"/>
    <x v="1"/>
    <x v="1"/>
    <x v="1"/>
    <x v="1"/>
    <x v="0"/>
    <s v="Hybrid Working Environment with more than 15 days a month at office"/>
    <s v="Employer who pushes your limits by enabling an learning environment, and rewards you at the end"/>
    <s v="Self Paced Learning Portals of the Company, Self Purchased Course from External Platforms, Manager Teaching you"/>
    <s v="Design and Creative strategy in any company, Business Operations in any organization,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m/>
  </r>
  <r>
    <d v="2023-04-05T11:21:00"/>
    <s v="Canada"/>
    <n v="508213"/>
    <x v="0"/>
    <x v="3"/>
    <x v="0"/>
    <x v="1"/>
    <x v="1"/>
    <x v="1"/>
    <x v="7"/>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05T11:21:05"/>
    <s v="India"/>
    <n v="500079"/>
    <x v="1"/>
    <x v="0"/>
    <x v="2"/>
    <x v="1"/>
    <x v="0"/>
    <x v="0"/>
    <x v="1"/>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alone"/>
    <s v="No"/>
    <s v="This will be hard to do, but if it is the right company I would try"/>
    <m/>
  </r>
  <r>
    <d v="2023-04-05T11:21:24"/>
    <s v="India"/>
    <n v="500070"/>
    <x v="1"/>
    <x v="4"/>
    <x v="1"/>
    <x v="0"/>
    <x v="0"/>
    <x v="0"/>
    <x v="6"/>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Design and Develop amazing software, An Artificial Intelligence Specialist / Talking to Robots"/>
    <s v="Manager who explains what is expected, sets a goal and helps achieve it"/>
    <s v="Work with 2 to 3 people in my team"/>
    <s v="No"/>
    <s v="No way"/>
    <m/>
  </r>
  <r>
    <d v="2023-04-05T11:22:28"/>
    <s v="India"/>
    <n v="509209"/>
    <x v="1"/>
    <x v="4"/>
    <x v="2"/>
    <x v="0"/>
    <x v="0"/>
    <x v="0"/>
    <x v="3"/>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5T11:23:10"/>
    <s v="India"/>
    <n v="600056"/>
    <x v="0"/>
    <x v="4"/>
    <x v="2"/>
    <x v="1"/>
    <x v="0"/>
    <x v="0"/>
    <x v="9"/>
    <s v="Hybrid Working Environment with more than 15 days a month at office"/>
    <s v="Employer who rewards learning and enables that environment"/>
    <s v="Self Paced Learning Portals of the Company, Learning by observing others, Self Purchased Course from External Platforms"/>
    <s v="Design and Creative strategy in any company, Build and develop a Team, Become a content Creator in some platform, Manufacturing / Oil and Gas/ Construction / Hard Physical Work related"/>
    <s v="Manager who clearly describes what she/he needs"/>
    <s v="Work with 2 to 3 people in my team"/>
    <s v="Yes, I Understand this is gonna happen everywhere"/>
    <s v="Will work for 7 years or more"/>
    <m/>
  </r>
  <r>
    <d v="2023-04-05T11:24:52"/>
    <s v="Others"/>
    <n v="312"/>
    <x v="0"/>
    <x v="0"/>
    <x v="1"/>
    <x v="0"/>
    <x v="0"/>
    <x v="0"/>
    <x v="4"/>
    <s v="Hybrid Working Environment with less than 3 days a month at office"/>
    <s v="Employer who pushes your limits by enabling an learning environment, and rewards you at the end"/>
    <s v="Self Paced Learning Portals of the Company, Instructor or Expert Learning Programs, Manager Teaching you"/>
    <s v="Design and Creative strategy in any company, Become a content Creator in some platform, Entrepreneur or Start Up, I Want to sell things/Sales"/>
    <s v="Manager who sets goal and helps me achieve it"/>
    <s v="Work with more than 10 people in my team"/>
    <s v="Yes, I Understand this is gonna happen everywhere"/>
    <s v="This will be hard to do, but if it is the right company I would try"/>
    <m/>
  </r>
  <r>
    <d v="2023-04-05T11:25:17"/>
    <s v="India"/>
    <n v="500078"/>
    <x v="0"/>
    <x v="2"/>
    <x v="1"/>
    <x v="0"/>
    <x v="0"/>
    <x v="0"/>
    <x v="1"/>
    <s v="Hybrid Working Environment with more than 15 days a month at office"/>
    <s v="Employer who appreciates learning and enables that environment"/>
    <s v="Instructor or Expert Learning Programs, Learning by observing others, Manager Teaching you"/>
    <s v="Design and Creative strategy in any company, Build and develop a Team, Design and Develop amazing software, An Artificial Intelligence Specialist / Talking to Robots"/>
    <s v="Manager who sets goal and helps me achieve it"/>
    <s v="Work with 2 to 3 people in my team"/>
    <s v="No"/>
    <s v="No way"/>
    <m/>
  </r>
  <r>
    <d v="2023-04-05T11:25:51"/>
    <s v="India"/>
    <n v="500068"/>
    <x v="0"/>
    <x v="4"/>
    <x v="0"/>
    <x v="0"/>
    <x v="0"/>
    <x v="1"/>
    <x v="0"/>
    <s v="Fully Remote with Options to travel as and when needed"/>
    <s v="Employer who pushes your limits by enabling an learning environment, and rewards you at the end"/>
    <s v="Learning by observing others, Trial and error by doing side projects within the company, Manager Teaching you"/>
    <s v="Build and develop a Team, Design and Develop amazing software,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05T11:27:38"/>
    <s v="India"/>
    <n v="500097"/>
    <x v="1"/>
    <x v="1"/>
    <x v="2"/>
    <x v="1"/>
    <x v="1"/>
    <x v="0"/>
    <x v="9"/>
    <s v="Every Day Office Environment"/>
    <s v="Employer who pushes your limits by enabling an learning environment, and rewards you at the end"/>
    <s v="Self Paced Learning Portals of the Company, Instructor or Expert Learning Programs, Manager Teaching you"/>
    <s v="Manage and drive End-to-End Projects or Products,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05T11:32:00"/>
    <s v="India"/>
    <n v="400043"/>
    <x v="1"/>
    <x v="3"/>
    <x v="0"/>
    <x v="0"/>
    <x v="0"/>
    <x v="0"/>
    <x v="5"/>
    <s v="Hybrid Working Environment with more than 15 days a month at office"/>
    <s v="Employer who rewards learning and enables that environment"/>
    <s v="Self Paced Learning Portals of the Company, Instructor or Expert Learning Programs, Learning by observing others"/>
    <s v="Build and develop a Team, Work as a freelancer and do my thing my way, Entrepreneur or Start Up, An Artificial Intelligence Specialist / Talking to Robots"/>
    <s v="Manager who explains what is expected, sets a goal and helps achieve it"/>
    <s v="Work with 2 to 3 people in my team"/>
    <s v="Yes, I Understand this is gonna happen everywhere"/>
    <s v="No way"/>
    <m/>
  </r>
  <r>
    <d v="2023-04-05T11:32:36"/>
    <s v="India"/>
    <n v="500048"/>
    <x v="1"/>
    <x v="0"/>
    <x v="0"/>
    <x v="1"/>
    <x v="0"/>
    <x v="0"/>
    <x v="4"/>
    <s v="Every Day Office Environment"/>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r>
  <r>
    <d v="2023-04-05T11:34:20"/>
    <s v="India"/>
    <n v="600125"/>
    <x v="0"/>
    <x v="0"/>
    <x v="2"/>
    <x v="1"/>
    <x v="0"/>
    <x v="1"/>
    <x v="9"/>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clearly describes what she/he needs"/>
    <s v="Work with 2 to 3 people in my team"/>
    <s v="No"/>
    <s v="Will work for 7 years or more"/>
    <m/>
  </r>
  <r>
    <d v="2023-04-05T11:34:31"/>
    <s v="India"/>
    <n v="131028"/>
    <x v="1"/>
    <x v="0"/>
    <x v="2"/>
    <x v="1"/>
    <x v="0"/>
    <x v="0"/>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Work as a freelancer and do my thing my way, Entrepreneur or Start Up"/>
    <s v="Manager who clearly describes what she/he needs"/>
    <s v="Work with 5 to 6 people in my team"/>
    <s v="Yes, I Understand this is gonna happen everywhere"/>
    <s v="This will be hard to do, but if it is the right company I would try"/>
    <m/>
  </r>
  <r>
    <d v="2023-04-05T11:36:48"/>
    <s v="India"/>
    <n v="560092"/>
    <x v="0"/>
    <x v="0"/>
    <x v="0"/>
    <x v="0"/>
    <x v="0"/>
    <x v="0"/>
    <x v="4"/>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Business Operations in any organization, Entrepreneur or Start Up, An Artificial Intelligence Specialist / Talking to Robots, Manufacturing / Oil and Gas/ Construction / Hard Physical Work related"/>
    <s v="Manager who sets goal and helps me achieve it"/>
    <s v="Work with more than 10 people in my team"/>
    <s v="Yes"/>
    <s v="This will be hard to do, but if it is the right company I would try"/>
    <m/>
  </r>
  <r>
    <d v="2023-04-05T11:37:14"/>
    <s v="India"/>
    <n v="500036"/>
    <x v="1"/>
    <x v="3"/>
    <x v="0"/>
    <x v="1"/>
    <x v="1"/>
    <x v="0"/>
    <x v="6"/>
    <s v="Fully Remote with Options to travel as and when needed"/>
    <s v="Employer who appreciates learning and enables that environment"/>
    <s v="Self Paced Learning Portals of the Company, Trial and error by doing side projects within the company, Manager Teaching you"/>
    <s v="Design and Creative strategy in any company, Design and Develop amazing software, Become a content Creator in some platform, An Artificial Intelligence Specialist / Talking to Robots"/>
    <s v="Manager who sets targets and expects me to achieve it"/>
    <s v="Work with 2 to 3 people in my team"/>
    <s v="No"/>
    <s v="This will be hard to do, but if it is the right company I would try"/>
    <m/>
  </r>
  <r>
    <d v="2023-04-05T11:38:14"/>
    <s v="India"/>
    <n v="603210"/>
    <x v="0"/>
    <x v="0"/>
    <x v="0"/>
    <x v="0"/>
    <x v="1"/>
    <x v="0"/>
    <x v="7"/>
    <s v="Hybrid Working Environment with less than 3 days a month at office"/>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Manage and drive End-to-End Projects or Products, Build and develop a Team, Entrepreneur or Start Up"/>
    <s v="Manager who clearly describes what she/he needs"/>
    <s v="Work with more than 10 people in my team"/>
    <s v="Yes, I Understand this is gonna happen everywhere"/>
    <s v="No way"/>
    <m/>
  </r>
  <r>
    <d v="2023-04-05T11:38:57"/>
    <s v="India"/>
    <n v="500079"/>
    <x v="0"/>
    <x v="0"/>
    <x v="1"/>
    <x v="1"/>
    <x v="0"/>
    <x v="0"/>
    <x v="4"/>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Design and Develop amazing software, Look deeply into Data and generate insights, Manufacturing / Oil and Gas/ Construction / Hard Physical Work related"/>
    <s v="Manager who clearly describes what she/he needs"/>
    <s v="Work with 5 to 6 people in my team, Work with 7 to 10 or more people in my team"/>
    <s v="Yes, I Understand this is gonna happen everywhere"/>
    <s v="This will be hard to do, but if it is the right company I would try"/>
    <m/>
  </r>
  <r>
    <d v="2023-04-05T11:39:27"/>
    <s v="India"/>
    <n v="501510"/>
    <x v="0"/>
    <x v="4"/>
    <x v="1"/>
    <x v="1"/>
    <x v="0"/>
    <x v="0"/>
    <x v="4"/>
    <s v="Hybrid Working Environment with more than 15 days a month at office"/>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sets goal and helps me achieve it"/>
    <s v="Work with 2 to 3 people in my team"/>
    <s v="Yes, I Understand this is gonna happen everywhere"/>
    <s v="Will work for 7 years or more"/>
    <m/>
  </r>
  <r>
    <d v="2023-04-05T11:40:45"/>
    <s v="India"/>
    <n v="641017"/>
    <x v="1"/>
    <x v="1"/>
    <x v="2"/>
    <x v="0"/>
    <x v="0"/>
    <x v="0"/>
    <x v="7"/>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s v="No"/>
    <s v="This will be hard to do, but if it is the right company I would try"/>
    <m/>
  </r>
  <r>
    <d v="2023-04-05T11:40:47"/>
    <s v="India"/>
    <n v="400043"/>
    <x v="1"/>
    <x v="3"/>
    <x v="0"/>
    <x v="3"/>
    <x v="0"/>
    <x v="0"/>
    <x v="2"/>
    <s v="Fully Remote with Options to travel as and when needed"/>
    <s v="Employer who pushes your limits by enabling an learning environment, and rewards you at the end"/>
    <s v="Learning by observing others, Trial and error by doing side projects within the company, Manager Teaching you"/>
    <s v="Build and develop a Team, Work as a freelancer and do my thing my way, Entrepreneur or Start Up, An Artificial Intelligence Specialist / Talking to Robots"/>
    <s v="Manager who explains what is expected, sets a goal and helps achieve it"/>
    <s v="Work alone, Work with 2 to 3 people in my team"/>
    <s v="Yes, I Understand this is gonna happen everywhere"/>
    <s v="No way"/>
    <m/>
  </r>
  <r>
    <d v="2023-04-05T11:41:39"/>
    <s v="India"/>
    <n v="71"/>
    <x v="0"/>
    <x v="0"/>
    <x v="2"/>
    <x v="3"/>
    <x v="0"/>
    <x v="0"/>
    <x v="1"/>
    <s v="Fully Remote with Options to travel as and when needed"/>
    <s v="Employer who appreciates learning and enables that environment"/>
    <s v="Self Paced Learning Portals of the Company, Instructor or Expert Learning Programs, Manager Teaching you"/>
    <s v="Build and develop a Team, Become a content Creator in some platform, Entrepreneur or Start Up, I Want to sell things/Sales"/>
    <s v="Manager who sets unrealistic targets"/>
    <s v="Work with 2 to 3 people in my team"/>
    <s v="No"/>
    <s v="No way"/>
    <m/>
  </r>
  <r>
    <d v="2023-04-05T11:42:52"/>
    <s v="India"/>
    <n v="602105"/>
    <x v="0"/>
    <x v="2"/>
    <x v="2"/>
    <x v="1"/>
    <x v="1"/>
    <x v="1"/>
    <x v="5"/>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Entrepreneur or Start Up, An Artificial Intelligence Specialist / Talking to Robots, Manufacturing / Oil and Gas/ Construction / Hard Physical Work related"/>
    <s v="Manager who clearly describes what she/he needs"/>
    <s v="Work with more than 10 people in my team"/>
    <s v="No"/>
    <s v="Will work for 7 years or more"/>
    <m/>
  </r>
  <r>
    <d v="2023-04-05T11:43:08"/>
    <s v="India"/>
    <n v="600056"/>
    <x v="0"/>
    <x v="4"/>
    <x v="2"/>
    <x v="1"/>
    <x v="1"/>
    <x v="1"/>
    <x v="7"/>
    <s v="Every Day Office Environment"/>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Manufacturing / Oil and Gas/ Construction / Hard Physical Work related"/>
    <s v="Manager who clearly describes what she/he needs"/>
    <s v="Work alone"/>
    <s v="No"/>
    <s v="Will work for 7 years or more"/>
    <m/>
  </r>
  <r>
    <d v="2023-04-05T11:43:21"/>
    <s v="India"/>
    <n v="682027"/>
    <x v="0"/>
    <x v="3"/>
    <x v="1"/>
    <x v="0"/>
    <x v="0"/>
    <x v="0"/>
    <x v="2"/>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Design and Develop amazing software, Work as a freelancer and do my thing my way"/>
    <s v="Manager who explains what is expected, sets a goal and helps achieve it"/>
    <s v="Work with 5 to 6 people in my team"/>
    <s v="No"/>
    <s v="No way"/>
    <m/>
  </r>
  <r>
    <d v="2023-04-05T11:45:22"/>
    <s v="India"/>
    <n v="442902"/>
    <x v="1"/>
    <x v="4"/>
    <x v="1"/>
    <x v="0"/>
    <x v="0"/>
    <x v="0"/>
    <x v="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05T11:46:53"/>
    <s v="India"/>
    <n v="500078"/>
    <x v="1"/>
    <x v="3"/>
    <x v="0"/>
    <x v="0"/>
    <x v="1"/>
    <x v="1"/>
    <x v="5"/>
    <s v="Every Day Office Environment"/>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Business Operations in any organization, Build and develop a Team"/>
    <s v="Manager who sets goal and helps me achieve it"/>
    <s v="Work with 7 to 10 or more people in my team"/>
    <s v="I have NO other choice"/>
    <s v="This will be hard to do, but if it is the right company I would try"/>
    <m/>
  </r>
  <r>
    <d v="2023-04-05T11:49:29"/>
    <s v="India"/>
    <n v="500035"/>
    <x v="1"/>
    <x v="4"/>
    <x v="1"/>
    <x v="1"/>
    <x v="0"/>
    <x v="0"/>
    <x v="4"/>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Build and develop a Team, Design and Develop amazing software"/>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11:50:16"/>
    <s v="India"/>
    <n v="500070"/>
    <x v="1"/>
    <x v="4"/>
    <x v="0"/>
    <x v="0"/>
    <x v="1"/>
    <x v="0"/>
    <x v="4"/>
    <s v="Hybrid Working Environment with more than 15 days a month at office"/>
    <s v="Employer who appreciates learning and enables that environment"/>
    <s v="Self Paced Learning Portals of the Company, Learning by observing others, Manager Teaching you"/>
    <s v="Design and Creative strategy in any company, Design and Develop amazing software, Entrepreneur or Start Up, I Want to sell things/Sales"/>
    <s v="Manager who explains what is expected, sets a goal and helps achieve it"/>
    <s v="Work with 2 to 3 people in my team, Work with 5 to 6 people in my team"/>
    <s v="Yes, I Understand this is gonna happen everywhere"/>
    <s v="No way"/>
    <m/>
  </r>
  <r>
    <d v="2023-04-05T11:52:27"/>
    <s v="India"/>
    <n v="500070"/>
    <x v="1"/>
    <x v="4"/>
    <x v="2"/>
    <x v="0"/>
    <x v="0"/>
    <x v="0"/>
    <x v="3"/>
    <s v="Fully Remote with No option to visit offices"/>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05T11:52:28"/>
    <s v="India"/>
    <n v="500070"/>
    <x v="1"/>
    <x v="4"/>
    <x v="2"/>
    <x v="0"/>
    <x v="0"/>
    <x v="0"/>
    <x v="3"/>
    <s v="Fully Remote with No option to visit offices"/>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05T11:53:39"/>
    <s v="India"/>
    <n v="624601"/>
    <x v="0"/>
    <x v="2"/>
    <x v="1"/>
    <x v="1"/>
    <x v="1"/>
    <x v="1"/>
    <x v="3"/>
    <s v="Fully Remote with No option to visit offices"/>
    <s v="Employers who appreciates learning but doesn't enables an learning environment"/>
    <s v="Self Paced Learning Portals of the Company, Learning by observing others, Manager Teaching you"/>
    <s v="Business Operations in any organization, Manage and drive End-to-End Projects or Products, Work in a BPO setup for some well known client, An Artificial Intelligence Specialist / Talking to Robots"/>
    <s v="Manager who clearly describes what she/he needs"/>
    <s v="Work alone, Work with 2 to 3 people in my team"/>
    <s v="No"/>
    <s v="This will be hard to do, but if it is the right company I would try"/>
    <m/>
  </r>
  <r>
    <d v="2023-04-05T11:54:14"/>
    <s v="India"/>
    <n v="516003"/>
    <x v="1"/>
    <x v="4"/>
    <x v="2"/>
    <x v="1"/>
    <x v="1"/>
    <x v="1"/>
    <x v="0"/>
    <s v="Hybrid Working Environment with less than 3 days a month at office"/>
    <s v="Employer who pushes your limits by enabling an learning environment, and rewards you at the end"/>
    <s v="Trial and error by doing side projects within the company, Self Purchased Course from External Platforms, Manager Teaching you"/>
    <s v="Design and Creative strategy in any company, Teaching in any of the institutes/colleges/online or offline, Build and develop a Team, Design and Develop amazing software"/>
    <s v="Manager who sets targets and expects me to achieve it"/>
    <s v="Work with 2 to 3 people in my team"/>
    <s v="Yes, I Understand this is gonna happen everywhere"/>
    <s v="No way"/>
    <m/>
  </r>
  <r>
    <d v="2023-04-05T11:56:11"/>
    <s v="India"/>
    <n v="500080"/>
    <x v="0"/>
    <x v="0"/>
    <x v="0"/>
    <x v="1"/>
    <x v="0"/>
    <x v="0"/>
    <x v="4"/>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Design and Creative strategy in any company, Build and develop a Team, Design and Develop amazing software, Become a content Creator in some platform"/>
    <s v="Manager who explains what is expected, sets a goal and helps achieve it"/>
    <s v="Work with 7 to 10 or more people in my team"/>
    <s v="Yes"/>
    <s v="This will be hard to do, but if it is the right company I would try"/>
    <m/>
  </r>
  <r>
    <d v="2023-04-05T11:56:51"/>
    <s v="India"/>
    <n v="516003"/>
    <x v="1"/>
    <x v="4"/>
    <x v="0"/>
    <x v="1"/>
    <x v="1"/>
    <x v="0"/>
    <x v="6"/>
    <s v="Every Day Office Environment"/>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An Artificial Intelligence Specialist / Talking to Robots"/>
    <s v="Manager who sets targets and expects me to achieve it"/>
    <s v="Work with 5 to 6 people in my team"/>
    <s v="Yes"/>
    <s v="Will work for 7 years or more"/>
    <m/>
  </r>
  <r>
    <d v="2023-04-05T12:01:14"/>
    <s v="India"/>
    <n v="500037"/>
    <x v="1"/>
    <x v="4"/>
    <x v="2"/>
    <x v="1"/>
    <x v="1"/>
    <x v="0"/>
    <x v="4"/>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Design and Develop amazing software, Work in a BPO setup for some well known client"/>
    <s v="Manager who clearly describes what she/he needs"/>
    <s v="Work with 2 to 3 people in my team, Work with 5 to 6 people in my team"/>
    <s v="No"/>
    <s v="Will work for 7 years or more"/>
    <m/>
  </r>
  <r>
    <d v="2023-04-05T12:01:46"/>
    <s v="India"/>
    <n v="560064"/>
    <x v="0"/>
    <x v="4"/>
    <x v="0"/>
    <x v="1"/>
    <x v="1"/>
    <x v="1"/>
    <x v="5"/>
    <s v="Hybrid Working Environment with more than 15 days a month at office"/>
    <s v="Employer who rewards learning and enables that environment"/>
    <s v="Self Paced Learning Portals of the Company, Instructor or Expert Learning Programs, Self Purchased Course from External Platforms"/>
    <s v="Manage and drive End-to-End Projects or Products, Design and Develop amazing software,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r>
  <r>
    <d v="2023-04-05T12:08:22"/>
    <s v="India"/>
    <n v="600014"/>
    <x v="0"/>
    <x v="4"/>
    <x v="0"/>
    <x v="0"/>
    <x v="1"/>
    <x v="1"/>
    <x v="2"/>
    <s v="Fully Remote with Options to travel as and when needed"/>
    <s v="Employer who pushes your limits and doesn't enables learning environment and never rewards you"/>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Build and develop a Team"/>
    <s v="Manager who sets unrealistic targets"/>
    <s v="Work with 2 to 3 people in my team"/>
    <s v="Yes"/>
    <s v="Will work for 7 years or more"/>
    <m/>
  </r>
  <r>
    <d v="2023-04-05T12:13:24"/>
    <s v="India"/>
    <n v="560064"/>
    <x v="0"/>
    <x v="4"/>
    <x v="0"/>
    <x v="0"/>
    <x v="0"/>
    <x v="1"/>
    <x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Manage and drive End-to-End Projects or Products, Design and Develop amazing software, Look deeply into Data and generate insights, An Artificial Intelligence Specialist / Talking to Robots"/>
    <s v="Manager who sets targets and expects me to achieve it"/>
    <s v="Work alone, Work with 2 to 3 people in my team, Work with 5 to 6 people in my team"/>
    <s v="Yes, I Understand this is gonna happen everywhere"/>
    <s v="No way"/>
    <m/>
  </r>
  <r>
    <d v="2023-04-05T12:14:10"/>
    <s v="India"/>
    <n v="516003"/>
    <x v="0"/>
    <x v="3"/>
    <x v="0"/>
    <x v="1"/>
    <x v="1"/>
    <x v="1"/>
    <x v="6"/>
    <s v="Every Day Office Environment"/>
    <s v="Employer who appreciates learning and enables that environment"/>
    <s v="Self Paced Learning Portals of the Company, Learning by observing others, Self Purchased Course from External Platforms"/>
    <s v="Teaching in any of the institutes/colleges/online or offline, Build and develop a Team, Become a content Creator in some platform, Entrepreneur or Start Up"/>
    <s v="Manager who sets goal and helps me achieve it"/>
    <s v="Work with 2 to 3 people in my team"/>
    <s v="Yes"/>
    <s v="This will be hard to do, but if it is the right company I would try"/>
    <m/>
  </r>
  <r>
    <d v="2023-04-05T12:15:45"/>
    <s v="India"/>
    <n v="500070"/>
    <x v="1"/>
    <x v="4"/>
    <x v="0"/>
    <x v="0"/>
    <x v="0"/>
    <x v="0"/>
    <x v="4"/>
    <s v="Fully Remote with Options to travel as and when needed"/>
    <s v="Employer who appreciates learning and enables that environment"/>
    <s v="Self Paced Learning Portals of the Company, Instructor or Expert Learning Programs, Learning by observing others"/>
    <s v="Manage and drive End-to-End Projects or Products, Build and develop a Team, Work as a freelancer and do my thing my way,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5T12:19:04"/>
    <s v="India"/>
    <n v="400067"/>
    <x v="0"/>
    <x v="4"/>
    <x v="2"/>
    <x v="0"/>
    <x v="0"/>
    <x v="0"/>
    <x v="8"/>
    <s v="Hybrid Working Environment with more than 15 days a month at office"/>
    <s v="Employer who rewards learning and enables that environment"/>
    <s v="Learning by observing others, Trial and error by doing side projects within the company, Self Purchased Course from External Platforms"/>
    <s v="Look deeply into Data and generate insights, Work as a freelancer and do my thing my way, Entrepreneur or Start Up, Manufacturing / Oil and Gas/ Construction / Hard Physical Work related"/>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05T12:21:36"/>
    <s v="India"/>
    <n v="50090"/>
    <x v="1"/>
    <x v="2"/>
    <x v="0"/>
    <x v="0"/>
    <x v="1"/>
    <x v="1"/>
    <x v="2"/>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Work as a freelancer and do my thing my way"/>
    <s v="Manager who sets targets and expects me to achieve it"/>
    <s v="Work with 5 to 6 people in my team"/>
    <s v="No"/>
    <s v="Will work for 7 years or more"/>
    <m/>
  </r>
  <r>
    <d v="2023-04-05T12:25:04"/>
    <s v="India"/>
    <n v="500045"/>
    <x v="1"/>
    <x v="3"/>
    <x v="1"/>
    <x v="0"/>
    <x v="1"/>
    <x v="0"/>
    <x v="3"/>
    <s v="Fully Remote with Options to travel as and when needed"/>
    <s v="Employer who appreciates learning and enables that environment"/>
    <s v="Self Paced Learning Portals of the Company, Instructor or Expert Learning Programs, Manager Teaching you"/>
    <s v="Design and Creative strategy in any company, Design and Develop amazing software, Look deeply into Data and generate insights, Work as a freelancer and do my thing my way"/>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12:26:52"/>
    <s v="India"/>
    <n v="400037"/>
    <x v="0"/>
    <x v="3"/>
    <x v="1"/>
    <x v="3"/>
    <x v="0"/>
    <x v="0"/>
    <x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Look deeply into Data and generate insights"/>
    <s v="Manager who explains what is expected, sets a goal and helps achieve it"/>
    <s v="Work with 2 to 3 people in my team, Work with 5 to 6 people in my team, Work with more than 10 people in my team"/>
    <s v="Yes, I Understand this is gonna happen everywhere"/>
    <s v="No way"/>
    <m/>
  </r>
  <r>
    <d v="2023-04-05T12:26:56"/>
    <s v="India"/>
    <n v="500052"/>
    <x v="1"/>
    <x v="4"/>
    <x v="2"/>
    <x v="1"/>
    <x v="0"/>
    <x v="0"/>
    <x v="1"/>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Build and develop a Team, Look deeply into Data and generate insights, An Artificial Intelligence Specialist / Talking to Robots"/>
    <s v="Manager who sets targets and expects me to achieve it"/>
    <s v="Work with 5 to 6 people in my team"/>
    <s v="No"/>
    <s v="No way"/>
    <m/>
  </r>
  <r>
    <d v="2023-04-05T12:28:44"/>
    <s v="India"/>
    <n v="500090"/>
    <x v="1"/>
    <x v="0"/>
    <x v="1"/>
    <x v="0"/>
    <x v="0"/>
    <x v="0"/>
    <x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Entrepreneur or Start Up, I Want to sell things/Sales, Manufacturing / Oil and Gas/ Construction / Hard Physical Work related"/>
    <s v="Manager who explains what is expected, sets a goal and helps achieve it"/>
    <s v="Work with 5 to 6 people in my team"/>
    <s v="Yes, I Understand this is gonna happen everywhere"/>
    <s v="No way"/>
    <m/>
  </r>
  <r>
    <d v="2023-04-05T12:31:11"/>
    <s v="India"/>
    <n v="400077"/>
    <x v="0"/>
    <x v="4"/>
    <x v="2"/>
    <x v="0"/>
    <x v="0"/>
    <x v="0"/>
    <x v="4"/>
    <s v="Every Day Office Environment"/>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2 to 3 people in my team"/>
    <s v="Yes"/>
    <s v="No way"/>
    <m/>
  </r>
  <r>
    <d v="2023-04-05T12:31:56"/>
    <s v="India"/>
    <n v="600123"/>
    <x v="0"/>
    <x v="2"/>
    <x v="2"/>
    <x v="1"/>
    <x v="1"/>
    <x v="1"/>
    <x v="2"/>
    <s v="Every Day Office Environment"/>
    <s v="Employer who pushes your limits by enabling an learning environment, and rewards you at the end"/>
    <s v="Learning by observing others, Trial and error by doing side projects within the company, Self Purchased Course from External Platforms"/>
    <s v="Build and develop a Team, Work as a freelancer and do my thing my way, Entrepreneur or Start Up, I Want to sell things/Sales"/>
    <s v="Manager who sets targets and expects me to achieve it"/>
    <s v="Work alone"/>
    <s v="Yes"/>
    <s v="Will work for 7 years or more"/>
    <m/>
  </r>
  <r>
    <d v="2023-04-05T12:34:17"/>
    <s v="India"/>
    <n v="500070"/>
    <x v="1"/>
    <x v="3"/>
    <x v="2"/>
    <x v="0"/>
    <x v="1"/>
    <x v="1"/>
    <x v="9"/>
    <s v="Fully Remote with No option to visit offices"/>
    <s v="Employer who rewards learning and enables that environment"/>
    <s v="Self Paced Learning Portals of the Company, Learning by observing others, Self Purchased Course from External Platforms"/>
    <s v="Design and Creative strategy in any company, Teaching in any of the institutes/colleges/online or offline, Business Operations in any organization, Design and Develop amazing software"/>
    <s v="Manager who clearly describes what she/he needs"/>
    <s v="Work with 5 to 6 people in my team"/>
    <s v="Yes"/>
    <s v="This will be hard to do, but if it is the right company I would try"/>
    <m/>
  </r>
  <r>
    <d v="2023-04-05T12:34:36"/>
    <s v="India"/>
    <n v="580031"/>
    <x v="0"/>
    <x v="4"/>
    <x v="2"/>
    <x v="0"/>
    <x v="1"/>
    <x v="1"/>
    <x v="4"/>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Design and Develop amazing software, Work as a freelancer and do my thing my way"/>
    <s v="Manager who explains what is expected, sets a goal and helps achieve it"/>
    <s v="Work with 2 to 3 people in my team"/>
    <s v="Yes, I Understand this is gonna happen everywhere"/>
    <s v="No way"/>
    <m/>
  </r>
  <r>
    <d v="2023-04-05T12:39:44"/>
    <s v="India"/>
    <n v="400067"/>
    <x v="1"/>
    <x v="4"/>
    <x v="2"/>
    <x v="0"/>
    <x v="0"/>
    <x v="0"/>
    <x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Look deeply into Data and generate insights, Work in a BPO setup for some well known client"/>
    <s v="Manager who explains what is expected, sets a goal and helps achieve it"/>
    <s v="Work with 7 to 10 or more people in my team, Work with more than 10 people in my team"/>
    <s v="Yes, I Understand this is gonna happen everywhere"/>
    <s v="No way"/>
    <m/>
  </r>
  <r>
    <d v="2023-04-05T12:41:10"/>
    <s v="India"/>
    <n v="560018"/>
    <x v="1"/>
    <x v="4"/>
    <x v="1"/>
    <x v="0"/>
    <x v="0"/>
    <x v="1"/>
    <x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sets targets and expects me to achieve it"/>
    <s v="Work with 7 to 10 or more people in my team"/>
    <s v="Yes, I Understand this is gonna happen everywhere"/>
    <s v="This will be hard to do, but if it is the right company I would try"/>
    <m/>
  </r>
  <r>
    <d v="2023-04-05T12:47:44"/>
    <s v="India"/>
    <n v="641011"/>
    <x v="0"/>
    <x v="4"/>
    <x v="1"/>
    <x v="1"/>
    <x v="1"/>
    <x v="1"/>
    <x v="2"/>
    <s v="Hybrid Working Environment with less than 3 days a month at office"/>
    <s v="Employer who appreciates learning and enables that environment"/>
    <s v="Trial and error by doing side projects within the company, Self Purchased Course from External Platforms, Manager Teaching you"/>
    <s v="Design and Creative strategy in any company, Manage and drive End-to-End Projects or Products, Build and develop a Team, Design and Develop amazing software"/>
    <s v="Manager who clearly describes what she/he needs"/>
    <s v="Work with 2 to 3 people in my team"/>
    <s v="Yes"/>
    <s v="Will work for 7 years or more"/>
    <m/>
  </r>
  <r>
    <d v="2023-04-05T12:48:55"/>
    <s v="India"/>
    <n v="500085"/>
    <x v="1"/>
    <x v="4"/>
    <x v="0"/>
    <x v="0"/>
    <x v="0"/>
    <x v="0"/>
    <x v="1"/>
    <s v="Fully Remote with Options to travel as and when needed"/>
    <s v="Employer who appreciates learning and enables that environment"/>
    <s v="Self Paced Learning Portals of the Company, Instructor or Expert Learning Programs, Manager Teaching you"/>
    <s v="Design and Creative strategy in any company, Teaching in any of the institutes/colleges/online or offline, Manage and drive End-to-End Projects or Products, Design and Develop amazing software"/>
    <s v="Manager who sets goal and helps me achieve it"/>
    <s v="Work with 2 to 3 people in my team"/>
    <s v="I have NO other choice"/>
    <s v="This will be hard to do, but if it is the right company I would try"/>
    <m/>
  </r>
  <r>
    <d v="2023-04-05T12:52:49"/>
    <s v="India"/>
    <n v="121012"/>
    <x v="1"/>
    <x v="3"/>
    <x v="0"/>
    <x v="0"/>
    <x v="0"/>
    <x v="0"/>
    <x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Work as a freelancer and do my thing my way, Entrepreneur or Start Up"/>
    <s v="Manager who explains what is expected, sets a goal and helps achieve it"/>
    <s v="Work with 5 to 6 people in my team"/>
    <s v="No"/>
    <s v="This will be hard to do, but if it is the right company I would try"/>
    <m/>
  </r>
  <r>
    <d v="2023-04-05T12:53:45"/>
    <s v="India"/>
    <n v="400097"/>
    <x v="0"/>
    <x v="4"/>
    <x v="1"/>
    <x v="1"/>
    <x v="1"/>
    <x v="0"/>
    <x v="5"/>
    <s v="Fully Remote with Options to travel as and when needed"/>
    <s v="Employer who pushes your limits by enabling an learning environment, and rewards you at the end"/>
    <s v="Learning by observing others, Trial and error by doing side projects within the company, Manager Teaching you"/>
    <s v="Manage and drive End-to-End Projects or Products, Build and develop a Team, Look deeply into Data and generate insights, Entrepreneur or Start Up"/>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12:58:21"/>
    <s v="India"/>
    <n v="201306"/>
    <x v="0"/>
    <x v="4"/>
    <x v="2"/>
    <x v="0"/>
    <x v="0"/>
    <x v="0"/>
    <x v="4"/>
    <s v="Fully Remote with Options to travel as and when needed"/>
    <s v="Employer who appreciates learning and enables that environment"/>
    <s v="Instructor or Expert Learning Programs, Trial and error by doing side projects within the company, Self Purchased Course from External Platforms"/>
    <s v="Teaching in any of the institutes/colleges/online or offline, Manage and drive End-to-End Projects or Products, Build and develop a Team, Design and Develop amazing software"/>
    <s v="Manager who clearly describes what she/he needs"/>
    <s v="Work alone"/>
    <s v="Yes, I Understand this is gonna happen everywhere"/>
    <s v="No way"/>
    <m/>
  </r>
  <r>
    <d v="2023-04-05T12:59:28"/>
    <s v="India"/>
    <n v="501023"/>
    <x v="1"/>
    <x v="0"/>
    <x v="0"/>
    <x v="1"/>
    <x v="0"/>
    <x v="0"/>
    <x v="2"/>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Design and Creative strategy in any company, Design and Develop amazing software, Work in a BPO setup for some well known client, Become a content Creator in some platform"/>
    <s v="Manager who sets goal and helps me achieve it"/>
    <s v="Work with 5 to 6 people in my team"/>
    <s v="Yes, I Understand this is gonna happen everywhere"/>
    <s v="This will be hard to do, but if it is the right company I would try"/>
    <m/>
  </r>
  <r>
    <d v="2023-04-05T13:01:18"/>
    <s v="India"/>
    <n v="400067"/>
    <x v="0"/>
    <x v="3"/>
    <x v="2"/>
    <x v="0"/>
    <x v="0"/>
    <x v="0"/>
    <x v="2"/>
    <s v="Hybrid Working Environment with more than 15 days a month at office"/>
    <s v="Employer who pushes your limits by enabling an learning environment, and rewards you at the end"/>
    <s v="Learning by observing others, Self Purchased Course from External Platforms, Manager Teaching you"/>
    <s v="Teaching in any of the institutes/colleges/online or offline, Design and Develop amazing software, Work as a freelancer and do my thing my way, Entrepreneur or Start Up"/>
    <s v="Manager who explains what is expected, sets a goal and helps achieve it"/>
    <s v="Work with 7 to 10 or more people in my team"/>
    <s v="Yes"/>
    <s v="This will be hard to do, but if it is the right company I would try"/>
    <m/>
  </r>
  <r>
    <d v="2023-04-05T13:04:47"/>
    <s v="India"/>
    <n v="500090"/>
    <x v="1"/>
    <x v="3"/>
    <x v="0"/>
    <x v="1"/>
    <x v="0"/>
    <x v="0"/>
    <x v="0"/>
    <s v="Every Day Office Environment"/>
    <s v="Employer who pushes your limits by enabling an learning environment, and rewards you at the end"/>
    <s v="Instructor or Expert Learning Programs, Learning by observing others, Manager Teaching you"/>
    <s v="Business Operations in any organization, Build and develop a Team, Design and Develop amazing software,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05T13:07:22"/>
    <s v="India"/>
    <n v="500048"/>
    <x v="1"/>
    <x v="4"/>
    <x v="0"/>
    <x v="0"/>
    <x v="0"/>
    <x v="0"/>
    <x v="2"/>
    <s v="Fully Remote with Options to travel as and when needed"/>
    <s v="Employer who pushes your limits by enabling an learning environment, and rewards you at the end"/>
    <s v="Instructor or Expert Learning Programs, Learning by observing others, Manager Teaching you"/>
    <s v="Business Operations in any organization, Look deeply into Data and generate insights, An Artificial Intelligence Specialist / Talking to Robots, Manufacturing / Oil and Gas/ Construction / Hard Physical Work related"/>
    <s v="Manager who explains what is expected, sets a goal and helps achieve it"/>
    <s v="Work with 2 to 3 people in my team, Work with 5 to 6 people in my team"/>
    <s v="Yes"/>
    <s v="This will be hard to do, but if it is the right company I would try"/>
    <m/>
  </r>
  <r>
    <d v="2023-04-05T13:07:29"/>
    <s v="India"/>
    <n v="110077"/>
    <x v="1"/>
    <x v="4"/>
    <x v="2"/>
    <x v="1"/>
    <x v="1"/>
    <x v="0"/>
    <x v="4"/>
    <s v="Every Day Office Environment"/>
    <s v="Employer who appreciates learning and enables that environment"/>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sets goal and helps me achieve it"/>
    <s v="Work with 2 to 3 people in my team"/>
    <s v="No"/>
    <s v="Will work for 7 years or more"/>
    <m/>
  </r>
  <r>
    <d v="2023-04-05T13:12:21"/>
    <s v="India"/>
    <n v="209305"/>
    <x v="0"/>
    <x v="1"/>
    <x v="0"/>
    <x v="0"/>
    <x v="1"/>
    <x v="1"/>
    <x v="9"/>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Build and develop a Team, Design and Develop amazing software, Look deeply into Data and generate insights, Work as a freelancer and do my thing my way"/>
    <s v="Manager who sets targets and expects me to achieve it"/>
    <s v="Work with 2 to 3 people in my team, Work with 5 to 6 people in my team, Work with 7 to 10 or more people in my team, Work with more than 10 people in my team"/>
    <s v="No"/>
    <s v="This will be hard to do, but if it is the right company I would try"/>
    <m/>
  </r>
  <r>
    <d v="2023-04-05T13:12:48"/>
    <s v="India"/>
    <n v="400067"/>
    <x v="0"/>
    <x v="0"/>
    <x v="0"/>
    <x v="0"/>
    <x v="0"/>
    <x v="0"/>
    <x v="7"/>
    <s v="Fully Remote with Options to travel as and when needed"/>
    <s v="Employer who rewards learning and enables that environment"/>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sets goal and helps me achieve it"/>
    <s v="Work with 5 to 6 people in my team"/>
    <s v="Yes, I Understand this is gonna happen everywhere"/>
    <s v="This will be hard to do, but if it is the right company I would try"/>
    <m/>
  </r>
  <r>
    <d v="2023-04-05T13:14:32"/>
    <s v="India"/>
    <n v="249407"/>
    <x v="0"/>
    <x v="0"/>
    <x v="1"/>
    <x v="0"/>
    <x v="0"/>
    <x v="0"/>
    <x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Entrepreneur or Start Up"/>
    <s v="Manager who sets targets and expects me to achieve it"/>
    <s v="Work with more than 10 people in my team"/>
    <s v="Yes, I Understand this is gonna happen everywhere"/>
    <s v="No way"/>
    <m/>
  </r>
  <r>
    <d v="2023-04-05T13:17:16"/>
    <s v="India"/>
    <n v="500060"/>
    <x v="0"/>
    <x v="3"/>
    <x v="0"/>
    <x v="1"/>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s v="This will be hard to do, but if it is the right company I would try"/>
    <m/>
  </r>
  <r>
    <d v="2023-04-05T13:18:59"/>
    <s v="India"/>
    <n v="500019"/>
    <x v="1"/>
    <x v="4"/>
    <x v="0"/>
    <x v="0"/>
    <x v="0"/>
    <x v="0"/>
    <x v="4"/>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Develop amazing software, Look deeply into Data and generate insights, Work as a freelancer and do my thing my way, An Artificial Intelligence Specialist / Talking to Robo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05T13:22:28"/>
    <s v="India"/>
    <n v="509375"/>
    <x v="1"/>
    <x v="3"/>
    <x v="2"/>
    <x v="0"/>
    <x v="1"/>
    <x v="0"/>
    <x v="3"/>
    <s v="Fully Remote with Options to travel as and when needed"/>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5 to 6 people in my team"/>
    <s v="No"/>
    <s v="No way"/>
    <m/>
  </r>
  <r>
    <d v="2023-04-05T13:28:14"/>
    <s v="India"/>
    <n v="641659"/>
    <x v="0"/>
    <x v="1"/>
    <x v="2"/>
    <x v="0"/>
    <x v="0"/>
    <x v="0"/>
    <x v="2"/>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Work as a freelancer and do my thing my way, Become a content Creator in some platform, Entrepreneur or Start Up, I Want to sell things/Sales"/>
    <s v="Manager who explains what is expected, sets a goal and helps achieve it"/>
    <s v="Work with 5 to 6 people in my team, Work with 7 to 10 or more people in my team"/>
    <s v="Yes, I Understand this is gonna happen everywhere"/>
    <s v="No way"/>
    <m/>
  </r>
  <r>
    <d v="2023-04-05T13:33:44"/>
    <s v="India"/>
    <n v="50006"/>
    <x v="0"/>
    <x v="1"/>
    <x v="1"/>
    <x v="1"/>
    <x v="1"/>
    <x v="1"/>
    <x v="0"/>
    <s v="Hybrid Working Environment with less than 3 days a month at office"/>
    <s v="Employer who rewards learning and enables that environment"/>
    <s v="Self Paced Learning Portals of the Company, Instructor or Expert Learning Programs, Manager Teaching you"/>
    <s v="Design and Creative strategy in any company, Manage and drive End-to-End Projects or Products, Build and develop a Team, Entrepreneur or Start Up"/>
    <s v="Manager who sets targets and expects me to achieve it"/>
    <s v="Work with 5 to 6 people in my team"/>
    <s v="Yes"/>
    <s v="No way"/>
    <m/>
  </r>
  <r>
    <d v="2023-04-05T13:35:25"/>
    <s v="India"/>
    <n v="110059"/>
    <x v="1"/>
    <x v="4"/>
    <x v="2"/>
    <x v="1"/>
    <x v="1"/>
    <x v="0"/>
    <x v="3"/>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05T13:37:20"/>
    <s v="India"/>
    <n v="201009"/>
    <x v="0"/>
    <x v="0"/>
    <x v="0"/>
    <x v="1"/>
    <x v="1"/>
    <x v="1"/>
    <x v="9"/>
    <s v="Hybrid Working Environment with more than 15 days a month at office"/>
    <s v="Employer who pushes your limits by enabling an learning environment, and rewards you at the end"/>
    <s v="Trial and error by doing side projects within the company, Self Purchased Course from External Platforms, Manager Teaching you"/>
    <s v="Manage and drive End-to-End Projects or Products, Design and Develop amazing software, Entrepreneur or Start Up, An Artificial Intelligence Specialist / Talking to Robots"/>
    <s v="Manager who explains what is expected, sets a goal and helps achieve it"/>
    <s v="Work alone, Work with 2 to 3 people in my team, Work with more than 10 people in my team"/>
    <s v="Yes, I Understand this is gonna happen everywhere"/>
    <s v="This will be hard to do, but if it is the right company I would try"/>
    <m/>
  </r>
  <r>
    <d v="2023-04-05T13:40:53"/>
    <s v="India"/>
    <n v="517101"/>
    <x v="0"/>
    <x v="1"/>
    <x v="2"/>
    <x v="0"/>
    <x v="0"/>
    <x v="0"/>
    <x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Look deeply into Data and generate insights, Entrepreneur or Start Up"/>
    <s v="Manager who explains what is expected, sets a goal and helps achieve it"/>
    <s v="Work alone, Work with 2 to 3 people in my team, Work with 5 to 6 people in my team"/>
    <s v="Yes"/>
    <s v="This will be hard to do, but if it is the right company I would try"/>
    <m/>
  </r>
  <r>
    <d v="2023-04-05T13:40:41"/>
    <s v="India"/>
    <n v="679101"/>
    <x v="0"/>
    <x v="0"/>
    <x v="0"/>
    <x v="0"/>
    <x v="0"/>
    <x v="0"/>
    <x v="9"/>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ild and develop a Team,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05T13:47:23"/>
    <s v="India"/>
    <n v="517501"/>
    <x v="1"/>
    <x v="0"/>
    <x v="1"/>
    <x v="0"/>
    <x v="0"/>
    <x v="0"/>
    <x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05T13:58:51"/>
    <s v="India"/>
    <n v="517501"/>
    <x v="0"/>
    <x v="4"/>
    <x v="2"/>
    <x v="1"/>
    <x v="1"/>
    <x v="1"/>
    <x v="8"/>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sets goal and helps me achieve it"/>
    <s v="Work with 5 to 6 people in my team, Work with 7 to 10 or more people in my team"/>
    <s v="No"/>
    <s v="Will work for 7 years or more"/>
    <m/>
  </r>
  <r>
    <d v="2023-04-05T13:59:49"/>
    <s v="India"/>
    <s v="Bts "/>
    <x v="1"/>
    <x v="3"/>
    <x v="0"/>
    <x v="0"/>
    <x v="0"/>
    <x v="1"/>
    <x v="3"/>
    <s v="Fully Remote with Options to travel as and when needed"/>
    <s v="Employer who appreciates learning and enables that environment"/>
    <s v="Instructor or Expert Learning Programs, Self Purchased Course from External Platforms, Manager Teaching you"/>
    <s v="Design and Creative strategy in any company, Business Operations in any organization, Build and develop a Team, Work as a freelancer and do my thing my way"/>
    <s v="Manager who sets goal and helps me achieve it"/>
    <s v="Work with 2 to 3 people in my team, Work with 5 to 6 people in my team"/>
    <s v="I have NO other choice"/>
    <s v="No way"/>
    <m/>
  </r>
  <r>
    <d v="2023-04-05T14:13:48"/>
    <s v="India"/>
    <n v="518563"/>
    <x v="0"/>
    <x v="2"/>
    <x v="2"/>
    <x v="0"/>
    <x v="0"/>
    <x v="0"/>
    <x v="4"/>
    <s v="Fully Remote with Options to travel as and when needed"/>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with 2 to 3 people in my team"/>
    <s v="No"/>
    <s v="No way"/>
    <m/>
  </r>
  <r>
    <d v="2023-04-05T14:14:05"/>
    <s v="India"/>
    <n v="600092"/>
    <x v="0"/>
    <x v="3"/>
    <x v="1"/>
    <x v="1"/>
    <x v="0"/>
    <x v="0"/>
    <x v="3"/>
    <s v="Every Day Office Environment"/>
    <s v="Employer who appreciates learning and enables that environment"/>
    <s v="Self Paced Learning Portals of the Company, Learning by observing others, Manager Teaching you"/>
    <s v="Design and Creative strategy in any company, Business Operations in any organization, Build and develop a Team, Entrepreneur or Start Up"/>
    <s v="Manager who clearly describes what she/he needs"/>
    <s v="Work with 7 to 10 or more people in my team"/>
    <s v="No"/>
    <s v="No way"/>
    <m/>
  </r>
  <r>
    <d v="2023-04-05T14:21:15"/>
    <s v="India"/>
    <n v="600056"/>
    <x v="0"/>
    <x v="4"/>
    <x v="2"/>
    <x v="1"/>
    <x v="1"/>
    <x v="1"/>
    <x v="3"/>
    <s v="Hybrid Working Environment with more than 15 days a month at office"/>
    <s v="Employer who pushes your limits by enabling an learning environment, and rewards you at the end"/>
    <s v="Self Paced Learning Portals of the Company, Learning by observing others, Manager Teaching you"/>
    <s v="Build and develop a Team, Look deeply into Data and generate insights, Entrepreneur or Start Up, Manufacturing / Oil and Gas/ Construction / Hard Physical Work related"/>
    <s v="Manager who sets goal and helps me achieve it"/>
    <s v="Work alone"/>
    <s v="No"/>
    <s v="Will work for 7 years or more"/>
    <m/>
  </r>
  <r>
    <d v="2023-04-05T14:25:51"/>
    <s v="India"/>
    <n v="453331"/>
    <x v="1"/>
    <x v="1"/>
    <x v="1"/>
    <x v="3"/>
    <x v="0"/>
    <x v="0"/>
    <x v="2"/>
    <s v="Fully Remote with Options to travel as and when needed"/>
    <s v="Employer who rewards learning and enables that environment"/>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s v="I have NO other choice"/>
    <s v="No way"/>
    <m/>
  </r>
  <r>
    <d v="2023-04-05T14:36:46"/>
    <s v="India"/>
    <n v="600127"/>
    <x v="1"/>
    <x v="2"/>
    <x v="1"/>
    <x v="1"/>
    <x v="0"/>
    <x v="0"/>
    <x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Will work for 7 years or more"/>
    <m/>
  </r>
  <r>
    <d v="2023-04-05T14:43:17"/>
    <s v="India"/>
    <n v="560034"/>
    <x v="0"/>
    <x v="2"/>
    <x v="1"/>
    <x v="0"/>
    <x v="0"/>
    <x v="1"/>
    <x v="4"/>
    <s v="Every Day Office Environment"/>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Build and develop a Team"/>
    <s v="Manager who explains what is expected, sets a goal and helps achieve it"/>
    <s v="Work with 2 to 3 people in my team"/>
    <s v="Yes, I Understand this is gonna happen everywhere"/>
    <s v="No way"/>
    <m/>
  </r>
  <r>
    <d v="2023-04-05T14:45:08"/>
    <s v="India"/>
    <n v="470002"/>
    <x v="0"/>
    <x v="4"/>
    <x v="0"/>
    <x v="0"/>
    <x v="0"/>
    <x v="0"/>
    <x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Entrepreneur or Start Up"/>
    <s v="Manager who explains what is expected, sets a goal and helps achieve it"/>
    <s v="Work with 2 to 3 people in my team"/>
    <s v="Yes, I Understand this is gonna happen everywhere"/>
    <s v="No way"/>
    <m/>
  </r>
  <r>
    <d v="2023-04-05T14:49:26"/>
    <s v="India"/>
    <n v="560100"/>
    <x v="1"/>
    <x v="2"/>
    <x v="1"/>
    <x v="0"/>
    <x v="0"/>
    <x v="0"/>
    <x v="2"/>
    <s v="Every Day Office Environment"/>
    <s v="Employer who appreciates learning and enables that environment"/>
    <s v="Self Paced Learning Portals of the Company, Trial and error by doing side projects within the company, Manager Teaching you"/>
    <s v="Business Operations in any organization, Build and develop a Team,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r>
  <r>
    <d v="2023-04-05T14:50:35"/>
    <s v="India"/>
    <n v="560078"/>
    <x v="0"/>
    <x v="1"/>
    <x v="1"/>
    <x v="0"/>
    <x v="0"/>
    <x v="0"/>
    <x v="2"/>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s v="No"/>
    <s v="This will be hard to do, but if it is the right company I would try"/>
    <m/>
  </r>
  <r>
    <d v="2023-04-05T14:51:41"/>
    <s v="Others"/>
    <n v="122001"/>
    <x v="0"/>
    <x v="0"/>
    <x v="1"/>
    <x v="0"/>
    <x v="0"/>
    <x v="0"/>
    <x v="5"/>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Design and Creative strategy in any company, Business Operations in any organization, Work as a freelancer and do my thing my way, Become a content Creator in some platform"/>
    <s v="Manager who explains what is expected, sets a goal and helps achieve it"/>
    <s v="Work alone"/>
    <s v="Yes, I Understand this is gonna happen everywhere"/>
    <s v="This will be hard to do, but if it is the right company I would try"/>
    <m/>
  </r>
  <r>
    <d v="2023-04-05T14:58:09"/>
    <s v="India"/>
    <n v="400053"/>
    <x v="0"/>
    <x v="4"/>
    <x v="2"/>
    <x v="0"/>
    <x v="0"/>
    <x v="0"/>
    <x v="4"/>
    <s v="Hybrid Working Environment with more than 15 days a month at office"/>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s v="No"/>
    <s v="This will be hard to do, but if it is the right company I would try"/>
    <m/>
  </r>
  <r>
    <d v="2023-04-05T15:08:24"/>
    <s v="India"/>
    <n v="517502"/>
    <x v="0"/>
    <x v="4"/>
    <x v="2"/>
    <x v="0"/>
    <x v="1"/>
    <x v="1"/>
    <x v="7"/>
    <s v="Every Day Office Environment"/>
    <s v="Employer who pushes your limits and doesn't enables learning environment and never rewards you"/>
    <s v="Trial and error by doing side projects within the company, Self Purchased Course from External Platforms, Manager Teaching you"/>
    <s v="Business Operations in any organization, Entrepreneur or Start Up, I Want to sell things/Sales, An Artificial Intelligence Specialist / Talking to Robots"/>
    <s v="Manager who explains what is expected, sets a goal and helps achieve it"/>
    <s v="Work with 7 to 10 or more people in my team"/>
    <s v="Yes"/>
    <s v="No way"/>
    <m/>
  </r>
  <r>
    <d v="2023-04-05T15:19:28"/>
    <s v="India"/>
    <n v="452013"/>
    <x v="0"/>
    <x v="4"/>
    <x v="0"/>
    <x v="0"/>
    <x v="0"/>
    <x v="0"/>
    <x v="3"/>
    <s v="Every Day Office Environment"/>
    <s v="Employer who appreciates learning and enables that environment"/>
    <s v="Self Paced Learning Portals of the Company, Instructor or Expert Learning Programs, Manager Teaching you"/>
    <s v="Manage and drive End-to-End Projects or Products, Build and develop a Team, Entrepreneur or Start Up,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s v="I have NO other choice"/>
    <s v="This will be hard to do, but if it is the right company I would try"/>
    <m/>
  </r>
  <r>
    <d v="2023-04-05T15:20:55"/>
    <s v="India"/>
    <n v="364001"/>
    <x v="0"/>
    <x v="0"/>
    <x v="0"/>
    <x v="3"/>
    <x v="0"/>
    <x v="0"/>
    <x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Work as a freelancer and do my thing my way, I Want to sell things/Sales"/>
    <s v="Manager who sets goal and helps me achieve it"/>
    <s v="Work with 2 to 3 people in my team"/>
    <s v="No"/>
    <s v="No way"/>
    <m/>
  </r>
  <r>
    <d v="2023-04-05T15:24:39"/>
    <s v="India"/>
    <n v="382340"/>
    <x v="1"/>
    <x v="3"/>
    <x v="0"/>
    <x v="0"/>
    <x v="0"/>
    <x v="0"/>
    <x v="4"/>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05T15:27:55"/>
    <s v="India"/>
    <n v="831015"/>
    <x v="1"/>
    <x v="1"/>
    <x v="1"/>
    <x v="0"/>
    <x v="0"/>
    <x v="1"/>
    <x v="9"/>
    <s v="Fully Remote with Options to travel as and when needed"/>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Become a content Creator in some platform"/>
    <s v="Manager who clearly describes what she/he needs"/>
    <s v="Work with 5 to 6 people in my team"/>
    <s v="No"/>
    <s v="This will be hard to do, but if it is the right company I would try"/>
    <m/>
  </r>
  <r>
    <d v="2023-04-05T15:30:09"/>
    <s v="India"/>
    <n v="422003"/>
    <x v="0"/>
    <x v="0"/>
    <x v="2"/>
    <x v="0"/>
    <x v="0"/>
    <x v="0"/>
    <x v="4"/>
    <s v="Every Day Office Environment"/>
    <s v="Employer who appreciates learning and enables that environment"/>
    <s v="Instructor or Expert Learning Programs, Learning by observing other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No"/>
    <s v="This will be hard to do, but if it is the right company I would try"/>
    <m/>
  </r>
  <r>
    <d v="2023-04-05T15:32:30"/>
    <s v="India"/>
    <n v="517501"/>
    <x v="0"/>
    <x v="4"/>
    <x v="0"/>
    <x v="1"/>
    <x v="0"/>
    <x v="0"/>
    <x v="2"/>
    <s v="Every Day Office Environment"/>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No way"/>
    <m/>
  </r>
  <r>
    <d v="2023-04-05T15:35:46"/>
    <s v="India"/>
    <n v="831015"/>
    <x v="0"/>
    <x v="3"/>
    <x v="0"/>
    <x v="1"/>
    <x v="1"/>
    <x v="1"/>
    <x v="8"/>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Yes"/>
    <s v="This will be hard to do, but if it is the right company I would try"/>
    <m/>
  </r>
  <r>
    <d v="2023-04-05T15:41:29"/>
    <s v="India"/>
    <n v="831006"/>
    <x v="1"/>
    <x v="4"/>
    <x v="0"/>
    <x v="0"/>
    <x v="1"/>
    <x v="1"/>
    <x v="6"/>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Build and develop a Team"/>
    <s v="Manager who clearly describes what she/he needs"/>
    <s v="Work with 2 to 3 people in my team"/>
    <s v="Yes, I Understand this is gonna happen everywhere"/>
    <s v="This will be hard to do, but if it is the right company I would try"/>
    <m/>
  </r>
  <r>
    <d v="2023-04-05T15:41:52"/>
    <s v="India"/>
    <n v="832110"/>
    <x v="0"/>
    <x v="4"/>
    <x v="2"/>
    <x v="0"/>
    <x v="0"/>
    <x v="0"/>
    <x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Work as a freelancer and do my thing my way, Entrepreneur or Start Up, I Want to sell things/Sales"/>
    <s v="Manager who clearly describes what she/he needs"/>
    <s v="Work alone"/>
    <s v="Yes, I Understand this is gonna happen everywhere"/>
    <s v="No way"/>
    <m/>
  </r>
  <r>
    <d v="2023-04-05T15:42:13"/>
    <s v="India"/>
    <n v="831016"/>
    <x v="0"/>
    <x v="2"/>
    <x v="0"/>
    <x v="3"/>
    <x v="0"/>
    <x v="1"/>
    <x v="5"/>
    <s v="Hybrid Working Environment with more than 15 days a month at office"/>
    <s v="Employer who pushes your limits and doesn't enables learning environment and never rewards you"/>
    <s v="Instructor or Expert Learning Programs, Trial and error by doing side projects within the company, Self Purchased Course from External Platforms"/>
    <s v="Manage and drive End-to-End Projects or Products, Design and Develop amazing software, Work in a BPO setup for some well known client, I Want to sell things/Sales"/>
    <s v="Manager who sets goal and helps me achieve it"/>
    <s v="Work with 5 to 6 people in my team"/>
    <s v="No"/>
    <s v="No way"/>
    <m/>
  </r>
  <r>
    <d v="2023-04-05T15:45:44"/>
    <s v="India"/>
    <n v="831001"/>
    <x v="1"/>
    <x v="4"/>
    <x v="0"/>
    <x v="1"/>
    <x v="1"/>
    <x v="0"/>
    <x v="7"/>
    <s v="Fully Remote with Options to travel as and when needed"/>
    <s v="Employer who pushes your limits and doesn't enables learning environment and never rewards you"/>
    <s v="Self Paced Learning Portals of the Company, Trial and error by doing side projects within the company, Manager Teaching you"/>
    <s v="Design and Creative strategy in any company, Manage and drive End-to-End Projects or Products, Build and develop a Team, Work in a BPO setup for some well known client"/>
    <s v="Manager who sets unrealistic targets"/>
    <s v="Work with 2 to 3 people in my team, Work with 7 to 10 or more people in my team, Work with more than 10 people in my team"/>
    <s v="Yes, I Understand this is gonna happen everywhere"/>
    <s v="This will be hard to do, but if it is the right company I would try"/>
    <m/>
  </r>
  <r>
    <d v="2023-04-05T15:46:03"/>
    <s v="India"/>
    <n v="831001"/>
    <x v="1"/>
    <x v="2"/>
    <x v="0"/>
    <x v="0"/>
    <x v="0"/>
    <x v="0"/>
    <x v="0"/>
    <s v="Fully Remote with Options to travel as and when needed"/>
    <s v="Employers who appreciates learning but doesn't enables an learning environment"/>
    <s v="Instructor or Expert Learning Programs, Trial and error by doing side projects within the company, Self Purchased Course from External Platforms"/>
    <s v="Build and develop a Team, Design and Develop amazing software, Look deeply into Data and generate insights, Manufacturing / Oil and Gas/ Construction / Hard Physical Work related"/>
    <s v="Manager who sets targets and expects me to achieve it"/>
    <s v="Work alone"/>
    <s v="Yes, I Understand this is gonna happen everywhere"/>
    <s v="This will be hard to do, but if it is the right company I would try"/>
    <m/>
  </r>
  <r>
    <d v="2023-04-05T15:46:06"/>
    <s v="India"/>
    <n v="442902"/>
    <x v="0"/>
    <x v="3"/>
    <x v="0"/>
    <x v="0"/>
    <x v="0"/>
    <x v="0"/>
    <x v="6"/>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sets goal and helps me achieve it"/>
    <s v="Work with 2 to 3 people in my team"/>
    <s v="Yes, I Understand this is gonna happen everywhere"/>
    <s v="This will be hard to do, but if it is the right company I would try"/>
    <m/>
  </r>
  <r>
    <d v="2023-04-05T15:52:33"/>
    <s v="Others"/>
    <n v="414"/>
    <x v="0"/>
    <x v="0"/>
    <x v="0"/>
    <x v="0"/>
    <x v="0"/>
    <x v="0"/>
    <x v="4"/>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s v="Manage and drive End-to-End Projects or Products, Build and develop a Team, Work as a freelancer and do my thing my way, Entrepreneur or Start Up"/>
    <s v="Manager who explains what is expected, sets a goal and helps achieve it"/>
    <s v="Work alone"/>
    <s v="Yes, I Understand this is gonna happen everywhere"/>
    <s v="This will be hard to do, but if it is the right company I would try"/>
    <m/>
  </r>
  <r>
    <d v="2023-04-05T15:53:10"/>
    <s v="India"/>
    <n v="452001"/>
    <x v="0"/>
    <x v="4"/>
    <x v="0"/>
    <x v="0"/>
    <x v="0"/>
    <x v="1"/>
    <x v="5"/>
    <s v="Every Day Office Environment"/>
    <s v="Employer who pushes your limits by enabling an learning environment, and rewards you at the end"/>
    <s v="Instructor or Expert Learning Programs, Learning by observing others, Manager Teaching you"/>
    <s v="Business Operations in any organization, Build and develop a Team, Work as a freelancer and do my thing my way, Become a content Creator in some platform"/>
    <s v="Manager who sets goal and helps me achieve it"/>
    <s v="Work alone, Work with 2 to 3 people in my team, Work with 5 to 6 people in my team, Work with 7 to 10 or more people in my team, Work with more than 10 people in my team"/>
    <s v="Yes, I Understand this is gonna happen everywhere"/>
    <s v="No way"/>
    <m/>
  </r>
  <r>
    <d v="2023-04-05T15:54:52"/>
    <s v="India"/>
    <n v="382424"/>
    <x v="1"/>
    <x v="2"/>
    <x v="2"/>
    <x v="0"/>
    <x v="0"/>
    <x v="0"/>
    <x v="6"/>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Manage and drive End-to-End Projects or Products, Work as a freelancer and do my thing my way, Become a content Creator in some platform, Entrepreneur or Start Up"/>
    <s v="Manager who explains what is expected, sets a goal and helps achieve it"/>
    <s v="Work with 5 to 6 people in my team"/>
    <s v="No"/>
    <s v="No way"/>
    <m/>
  </r>
  <r>
    <d v="2023-04-05T16:01:27"/>
    <s v="India"/>
    <n v="452012"/>
    <x v="1"/>
    <x v="3"/>
    <x v="0"/>
    <x v="0"/>
    <x v="0"/>
    <x v="1"/>
    <x v="3"/>
    <s v="Every Day Office Environment"/>
    <s v="Employer who pushes your limits by enabling an learning environment, and rewards you at the end"/>
    <s v="Instructor or Expert Learning Programs, Self Purchased Course from External Platforms, Manager Teaching you"/>
    <s v="Design and Creative strategy in any company, Build and develop a Team, Design and Develop amazing software, Work as a freelancer and do my thing my way"/>
    <s v="Manager who explains what is expected, sets a goal and helps achieve it"/>
    <s v="Work with 2 to 3 people in my team, Work with 5 to 6 people in my team"/>
    <s v="No"/>
    <s v="This will be hard to do, but if it is the right company I would try"/>
    <m/>
  </r>
  <r>
    <d v="2023-04-05T16:03:03"/>
    <s v="India"/>
    <n v="621216"/>
    <x v="0"/>
    <x v="4"/>
    <x v="2"/>
    <x v="1"/>
    <x v="1"/>
    <x v="0"/>
    <x v="1"/>
    <s v="Hybrid Working Environment with less than 3 days a month at office"/>
    <s v="Employer who reward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Look deeply into Data and generate insights, Entrepreneur or Start Up"/>
    <s v="Manager who clearly describes what she/he needs"/>
    <s v="Work with 5 to 6 people in my team, Work with more than 10 people in my team"/>
    <s v="Yes"/>
    <s v="No way"/>
    <m/>
  </r>
  <r>
    <d v="2023-04-05T16:07:24"/>
    <s v="India"/>
    <n v="620003"/>
    <x v="0"/>
    <x v="4"/>
    <x v="1"/>
    <x v="0"/>
    <x v="1"/>
    <x v="1"/>
    <x v="4"/>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I Want to sell things/Sales"/>
    <s v="Manager who clearly describes what she/he needs"/>
    <s v="Work with 2 to 3 people in my team, Work with 7 to 10 or more people in my team, Work with more than 10 people in my team"/>
    <s v="Yes, I Understand this is gonna happen everywhere"/>
    <s v="This will be hard to do, but if it is the right company I would try"/>
    <m/>
  </r>
  <r>
    <d v="2023-04-05T16:08:33"/>
    <s v="India"/>
    <n v="625009"/>
    <x v="0"/>
    <x v="1"/>
    <x v="2"/>
    <x v="1"/>
    <x v="0"/>
    <x v="0"/>
    <x v="3"/>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05T16:09:05"/>
    <s v="India"/>
    <n v="452001"/>
    <x v="0"/>
    <x v="2"/>
    <x v="2"/>
    <x v="1"/>
    <x v="1"/>
    <x v="1"/>
    <x v="5"/>
    <s v="Every Day Office Environment"/>
    <s v="Employer who pushes your limits by enabling an learning environment, and rewards you at the end"/>
    <s v="Instructor or Expert Learning Programs, Learning by observing others, Manager Teaching you"/>
    <s v="Business Operations in any organization, Build and develop a Team, Entrepreneur or Start Up, Manufacturing / Oil and Gas/ Construction / Hard Physical Work related"/>
    <s v="Manager who clearly describes what she/he needs"/>
    <s v="Work alone, Work with 2 to 3 people in my team, Work with 5 to 6 people in my team, Work with 7 to 10 or more people in my team, Work with more than 10 people in my team"/>
    <s v="Yes, I Understand this is gonna happen everywhere"/>
    <s v="Will work for 7 years or more"/>
    <m/>
  </r>
  <r>
    <d v="2023-04-05T16:13:09"/>
    <s v="India"/>
    <n v="670561"/>
    <x v="1"/>
    <x v="1"/>
    <x v="1"/>
    <x v="0"/>
    <x v="0"/>
    <x v="1"/>
    <x v="4"/>
    <s v="Fully Remote with No option to visit offices"/>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Become a content Creator in some platform"/>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05T16:25:33"/>
    <s v="India"/>
    <n v="600044"/>
    <x v="0"/>
    <x v="2"/>
    <x v="0"/>
    <x v="1"/>
    <x v="0"/>
    <x v="0"/>
    <x v="8"/>
    <s v="Every Day Office Environment"/>
    <s v="Employer who appreciates learning and enables that environment"/>
    <s v="Self Paced Learning Portals of the Company, Learning by observing others, Manager Teaching you"/>
    <s v="Design and Creative strategy in any company, Business Operations in any organization, Build and develop a Team,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r>
  <r>
    <d v="2023-04-05T16:34:10"/>
    <s v="India"/>
    <n v="485001"/>
    <x v="0"/>
    <x v="2"/>
    <x v="1"/>
    <x v="0"/>
    <x v="0"/>
    <x v="0"/>
    <x v="1"/>
    <s v="Fully Remote with Options to travel as and when needed"/>
    <s v="Employer who appreciates learning and enables that environment"/>
    <s v="Instructor or Expert Learning Programs, Learning by observing others, Manager Teaching you"/>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s v="No"/>
    <s v="No way"/>
    <m/>
  </r>
  <r>
    <d v="2023-04-05T16:39:24"/>
    <s v="India"/>
    <n v="635109"/>
    <x v="0"/>
    <x v="1"/>
    <x v="0"/>
    <x v="0"/>
    <x v="1"/>
    <x v="1"/>
    <x v="9"/>
    <s v="Every Day Office Environment"/>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sets goal and helps me achieve it"/>
    <s v="Work with 7 to 10 or more people in my team"/>
    <s v="Yes, I Understand this is gonna happen everywhere"/>
    <s v="No way"/>
    <m/>
  </r>
  <r>
    <d v="2023-04-05T16:44:31"/>
    <s v="India"/>
    <n v="360001"/>
    <x v="0"/>
    <x v="4"/>
    <x v="0"/>
    <x v="0"/>
    <x v="0"/>
    <x v="0"/>
    <x v="1"/>
    <s v="Every Day Office Environment"/>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Manufacturing / Oil and Gas/ Construction / Hard Physical Work related"/>
    <s v="Manager who clearly describes what she/he needs"/>
    <s v="Work with 7 to 10 or more people in my team"/>
    <s v="No"/>
    <s v="No way"/>
    <m/>
  </r>
  <r>
    <d v="2023-04-05T16:51:37"/>
    <s v="India"/>
    <n v="620008"/>
    <x v="1"/>
    <x v="4"/>
    <x v="0"/>
    <x v="0"/>
    <x v="1"/>
    <x v="0"/>
    <x v="1"/>
    <s v="Hybrid Working Environment with less than 3 days a month at office"/>
    <s v="Employer who appreciates learning and enables that environment"/>
    <s v="Instructor or Expert Learning Programs, Trial and error by doing side projects within the company, Self Purchased Course from External Platforms"/>
    <s v="Teaching in any of the institutes/colleges/online or offline, Build and develop a Team, Entrepreneur or Start Up, An Artificial Intelligence Specialist / Talking to Robots"/>
    <s v="Manager who sets goal and helps me achieve it"/>
    <s v="Work with 2 to 3 people in my team, Work with 5 to 6 people in my team"/>
    <s v="Yes, I Understand this is gonna happen everywhere"/>
    <s v="This will be hard to do, but if it is the right company I would try"/>
    <m/>
  </r>
  <r>
    <d v="2023-04-05T16:53:54"/>
    <s v="India"/>
    <n v="122001"/>
    <x v="0"/>
    <x v="4"/>
    <x v="0"/>
    <x v="1"/>
    <x v="0"/>
    <x v="0"/>
    <x v="4"/>
    <s v="Hybrid Working Environment with more than 15 days a month at office"/>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Look deeply into Data and generate insights"/>
    <s v="Manager who explains what is expected, sets a goal and helps achieve it"/>
    <s v="Work with 5 to 6 people in my team, Work with 7 to 10 or more people in my team"/>
    <s v="Yes, I Understand this is gonna happen everywhere"/>
    <s v="Will work for 7 years or more"/>
    <m/>
  </r>
  <r>
    <d v="2023-04-05T16:55:04"/>
    <s v="India"/>
    <n v="626108"/>
    <x v="0"/>
    <x v="2"/>
    <x v="2"/>
    <x v="1"/>
    <x v="0"/>
    <x v="0"/>
    <x v="8"/>
    <s v="Hybrid Working Environment with less than 3 days a month at office"/>
    <s v="Employer who appreciates learning and enables that environment"/>
    <s v="Instructor or Expert Learning Programs, Learning by observing others, Trial and error by doing side projects within the company"/>
    <s v="Business Operations in any organization, Build and develop a Team, Look deeply into Data and generate insights, Entrepreneur or Start Up"/>
    <s v="Manager who sets goal and helps me achieve it"/>
    <s v="Work with 2 to 3 people in my team"/>
    <s v="Yes, I Understand this is gonna happen everywhere"/>
    <s v="No way"/>
    <m/>
  </r>
  <r>
    <d v="2023-04-05T16:56:13"/>
    <s v="India"/>
    <n v="641004"/>
    <x v="0"/>
    <x v="3"/>
    <x v="0"/>
    <x v="0"/>
    <x v="0"/>
    <x v="0"/>
    <x v="7"/>
    <s v="Hybrid Working Environment with less than 3 days a month at office"/>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Entrepreneur or Start Up, I Want to sell things/Sales"/>
    <s v="Manager who clearly describes what she/he needs"/>
    <s v="Work with more than 10 people in my team"/>
    <s v="I have NO other choice"/>
    <s v="This will be hard to do, but if it is the right company I would try"/>
    <m/>
  </r>
  <r>
    <d v="2023-04-05T16:58:19"/>
    <s v="India"/>
    <n v="110059"/>
    <x v="0"/>
    <x v="2"/>
    <x v="2"/>
    <x v="0"/>
    <x v="0"/>
    <x v="0"/>
    <x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as a freelancer and do my thing my way, An Artificial Intelligence Specialist / Talking to Robots"/>
    <s v="Manager who sets goal and helps me achieve it"/>
    <s v="Work alone"/>
    <s v="I have NO other choice"/>
    <s v="No way"/>
    <m/>
  </r>
  <r>
    <d v="2023-04-05T17:01:38"/>
    <s v="India"/>
    <n v="380007"/>
    <x v="1"/>
    <x v="0"/>
    <x v="2"/>
    <x v="0"/>
    <x v="0"/>
    <x v="0"/>
    <x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clearly describes what she/he needs"/>
    <s v="Work with more than 10 people in my team"/>
    <s v="No"/>
    <s v="This will be hard to do, but if it is the right company I would try"/>
    <m/>
  </r>
  <r>
    <d v="2023-04-05T17:03:39"/>
    <s v="India"/>
    <n v="631101"/>
    <x v="0"/>
    <x v="0"/>
    <x v="0"/>
    <x v="1"/>
    <x v="0"/>
    <x v="0"/>
    <x v="4"/>
    <s v="Hybrid Working Environment with less than 3 days a month at office"/>
    <s v="Employer who rewards learning and enables that environment"/>
    <s v="Self Paced Learning Portals of the Company, Trial and error by doing side projects within the company, Self Purchased Course from External Platforms"/>
    <s v="Design and Creative strategy in any company, Manage and drive End-to-End Projects or Products, Look deeply into Data and generate insights, Work as a freelancer and do my thing my way"/>
    <s v="Manager who explains what is expected, sets a goal and helps achieve it"/>
    <s v="Work alone, Work with more than 10 people in my team"/>
    <s v="No"/>
    <s v="This will be hard to do, but if it is the right company I would try"/>
    <m/>
  </r>
  <r>
    <d v="2023-04-05T17:03:43"/>
    <s v="India"/>
    <n v="626136"/>
    <x v="0"/>
    <x v="2"/>
    <x v="2"/>
    <x v="0"/>
    <x v="1"/>
    <x v="1"/>
    <x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Design and Develop amazing software, Look deeply into Data and generate insights, An Artificial Intelligence Specialist / Talking to Robots"/>
    <s v="Manager who sets goal and helps me achieve it"/>
    <s v="Work with 5 to 6 people in my team"/>
    <s v="Yes, I Understand this is gonna happen everywhere"/>
    <s v="No way"/>
    <m/>
  </r>
  <r>
    <d v="2023-04-05T17:06:31"/>
    <s v="India"/>
    <n v="530024"/>
    <x v="0"/>
    <x v="4"/>
    <x v="1"/>
    <x v="1"/>
    <x v="0"/>
    <x v="0"/>
    <x v="2"/>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Design and Develop amazing software, Entrepreneur or Start Up, An Artificial Intelligence Specialist / Talking to Robots"/>
    <s v="Manager who explains what is expected, sets a goal and helps achieve it"/>
    <s v="Work with 5 to 6 people in my team"/>
    <s v="I have NO other choice"/>
    <s v="This will be hard to do, but if it is the right company I would try"/>
    <m/>
  </r>
  <r>
    <d v="2023-04-05T17:07:04"/>
    <s v="India"/>
    <n v="606601"/>
    <x v="0"/>
    <x v="4"/>
    <x v="0"/>
    <x v="1"/>
    <x v="1"/>
    <x v="1"/>
    <x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Entrepreneur or Start Up, Manufacturing / Oil and Gas/ Construction / Hard Physical Work related"/>
    <s v="Manager who explains what is expected, sets a goal and helps achieve it"/>
    <s v="Work with more than 10 people in my team"/>
    <s v="Yes, I Understand this is gonna happen everywhere"/>
    <s v="No way"/>
    <m/>
  </r>
  <r>
    <d v="2023-04-05T17:07:53"/>
    <s v="India"/>
    <n v="522006"/>
    <x v="0"/>
    <x v="4"/>
    <x v="2"/>
    <x v="0"/>
    <x v="0"/>
    <x v="0"/>
    <x v="1"/>
    <s v="Every Day Office Environment"/>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alone, Work with 2 to 3 people in my team"/>
    <s v="No"/>
    <s v="This will be hard to do, but if it is the right company I would try"/>
    <m/>
  </r>
  <r>
    <d v="2023-04-05T17:08:50"/>
    <s v="India"/>
    <n v="523301"/>
    <x v="1"/>
    <x v="4"/>
    <x v="0"/>
    <x v="1"/>
    <x v="1"/>
    <x v="1"/>
    <x v="3"/>
    <s v="Hybrid Working Environment with less than 3 days a month at office"/>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Entrepreneur or Start Up"/>
    <s v="Manager who clearly describes what she/he needs"/>
    <s v="Work alone, Work with 2 to 3 people in my team"/>
    <s v="Yes"/>
    <s v="Will work for 7 years or more"/>
    <m/>
  </r>
  <r>
    <d v="2023-04-05T17:09:00"/>
    <s v="India"/>
    <n v="500089"/>
    <x v="1"/>
    <x v="4"/>
    <x v="0"/>
    <x v="0"/>
    <x v="1"/>
    <x v="1"/>
    <x v="8"/>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2 to 3 people in my team"/>
    <s v="Yes, I Understand this is gonna happen everywhere"/>
    <s v="This will be hard to do, but if it is the right company I would try"/>
    <m/>
  </r>
  <r>
    <d v="2023-04-05T17:09:49"/>
    <s v="India"/>
    <n v="517583"/>
    <x v="0"/>
    <x v="0"/>
    <x v="1"/>
    <x v="1"/>
    <x v="0"/>
    <x v="0"/>
    <x v="6"/>
    <s v="Every Day Office Environment"/>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Entrepreneur or Start Up, An Artificial Intelligence Specialist / Talking to Robots"/>
    <s v="Manager who clearly describes what she/he needs"/>
    <s v="Work with 5 to 6 people in my team"/>
    <s v="No"/>
    <s v="This will be hard to do, but if it is the right company I would try"/>
    <m/>
  </r>
  <r>
    <d v="2023-04-05T17:10:10"/>
    <s v="India"/>
    <n v="530024"/>
    <x v="0"/>
    <x v="3"/>
    <x v="2"/>
    <x v="0"/>
    <x v="1"/>
    <x v="1"/>
    <x v="5"/>
    <s v="Fully Remote with Options to travel as and when needed"/>
    <s v="Employer who appreciates learning and enables that environment"/>
    <s v="Instructor or Expert Learning Programs, Learning by observing others, Manager Teaching you"/>
    <s v="Business Operations in any organization, Manage and drive End-to-End Projects or Products, Design and Develop amazing software, Look deeply into Data and generate insights"/>
    <s v="Manager who sets goal and helps me achieve it"/>
    <s v="Work with 5 to 6 people in my team, Work with 7 to 10 or more people in my team"/>
    <s v="Yes, I Understand this is gonna happen everywhere"/>
    <s v="No way"/>
    <m/>
  </r>
  <r>
    <d v="2023-04-05T17:11:45"/>
    <s v="India"/>
    <n v="641015"/>
    <x v="0"/>
    <x v="1"/>
    <x v="0"/>
    <x v="0"/>
    <x v="0"/>
    <x v="0"/>
    <x v="1"/>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explains what is expected, sets a goal and helps achieve it"/>
    <s v="Work alone, Work with 5 to 6 people in my team"/>
    <s v="No"/>
    <s v="This will be hard to do, but if it is the right company I would try"/>
    <m/>
  </r>
  <r>
    <d v="2023-04-05T17:11:46"/>
    <s v="India"/>
    <n v="603203"/>
    <x v="0"/>
    <x v="3"/>
    <x v="0"/>
    <x v="1"/>
    <x v="1"/>
    <x v="0"/>
    <x v="0"/>
    <s v="Hybrid Working Environment with less than 3 days a month at office"/>
    <s v="Employer who appreciates learning and enables that environment"/>
    <s v="Self Paced Learning Portals of the Company, Instructor or Expert Learning Programs, Manager Teaching you"/>
    <s v="Business Operations in any organization, Design and Develop amazing software, Look deeply into Data and generate insights, An Artificial Intelligence Specialist / Talking to Robots"/>
    <s v="Manager who sets goal and helps me achieve it"/>
    <s v="Work with more than 10 people in my team"/>
    <s v="Yes, I Understand this is gonna happen everywhere"/>
    <s v="This will be hard to do, but if it is the right company I would try"/>
    <m/>
  </r>
  <r>
    <d v="2023-04-05T17:13:12"/>
    <s v="India"/>
    <n v="630562"/>
    <x v="0"/>
    <x v="3"/>
    <x v="0"/>
    <x v="0"/>
    <x v="0"/>
    <x v="0"/>
    <x v="4"/>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An Artificial Intelligence Specialist / Talking to Robots"/>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17:14:36"/>
    <s v="India"/>
    <n v="577204"/>
    <x v="1"/>
    <x v="2"/>
    <x v="0"/>
    <x v="0"/>
    <x v="0"/>
    <x v="0"/>
    <x v="0"/>
    <s v="Fully Remote with Options to travel as and when needed"/>
    <s v="Employer who appreciates learning and enables that environment"/>
    <s v="Learning by observing others, Trial and error by doing side projects within the company, Self Purchased Course from External Platforms"/>
    <s v="Business Operations in any organization, Design and Develop amazing software,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No way"/>
    <m/>
  </r>
  <r>
    <d v="2023-04-05T17:17:27"/>
    <s v="India"/>
    <n v="442902"/>
    <x v="0"/>
    <x v="3"/>
    <x v="2"/>
    <x v="0"/>
    <x v="1"/>
    <x v="1"/>
    <x v="5"/>
    <s v="Fully Remote with Options to travel as and when needed"/>
    <s v="Employer who pushes your limits by enabling an learning environment, and rewards you at the end"/>
    <s v="Instructor or Expert Learning Programs, Learning by observing others, Self Purchased Course from External Platforms"/>
    <s v="Teaching in any of the institutes/colleges/online or offline, Business Operations in any organization, Become a content Creator in some platform, I Want to sell things/Sales"/>
    <s v="Manager who explains what is expected, sets a goal and helps achieve it"/>
    <s v="Work with 5 to 6 people in my team"/>
    <s v="Yes, I Understand this is gonna happen everywhere"/>
    <s v="This will be hard to do, but if it is the right company I would try"/>
    <m/>
  </r>
  <r>
    <d v="2023-04-05T17:18:04"/>
    <s v="India"/>
    <n v="641005"/>
    <x v="2"/>
    <x v="0"/>
    <x v="0"/>
    <x v="0"/>
    <x v="0"/>
    <x v="0"/>
    <x v="1"/>
    <s v="Every Day Office Environment"/>
    <s v="Employer who pushes your limits by enabling an learning environment, and rewards you at the end"/>
    <s v="Instructor or Expert Learning Programs, Learning by observing others, Manager Teaching you"/>
    <s v="Design and Creative strategy in any company, Build and develop a Team, Look deeply into Data and generate insights, Entrepreneur or Start Up"/>
    <s v="Manager who clearly describes what she/he needs"/>
    <s v="Work with 2 to 3 people in my team, Work with 5 to 6 people in my team"/>
    <s v="Yes"/>
    <s v="This will be hard to do, but if it is the right company I would try"/>
    <m/>
  </r>
  <r>
    <d v="2023-04-05T17:18:42"/>
    <s v="India"/>
    <n v="641062"/>
    <x v="0"/>
    <x v="1"/>
    <x v="1"/>
    <x v="0"/>
    <x v="0"/>
    <x v="0"/>
    <x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as a freelancer and do my thing my way, Entrepreneur or Start Up,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05T17:25:43"/>
    <s v="India"/>
    <n v="400097"/>
    <x v="0"/>
    <x v="4"/>
    <x v="1"/>
    <x v="0"/>
    <x v="0"/>
    <x v="0"/>
    <x v="7"/>
    <s v="Fully Remote with Options to travel as and when needed"/>
    <s v="Employer who appreciates learning and enables that environment"/>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clearly describes what she/he needs"/>
    <s v="Work with 7 to 10 or more people in my team"/>
    <s v="No"/>
    <s v="This will be hard to do, but if it is the right company I would try"/>
    <m/>
  </r>
  <r>
    <d v="2023-04-05T17:26:05"/>
    <s v="India"/>
    <n v="442902"/>
    <x v="1"/>
    <x v="4"/>
    <x v="1"/>
    <x v="0"/>
    <x v="0"/>
    <x v="0"/>
    <x v="1"/>
    <s v="Every Day Office Environment"/>
    <s v="Employer who appreciates learning and enables that environment"/>
    <s v="Self Paced Learning Portals of the Company, Learning by observing others, Manager Teaching you"/>
    <s v="Design and Creative strategy in any company, Teaching in any of the institutes/colleges/online or offline, Build and develop a Team, Entrepreneur or Start Up"/>
    <s v="Manager who explains what is expected, sets a goal and helps achieve it"/>
    <s v="Work with 2 to 3 people in my team"/>
    <s v="No"/>
    <s v="This will be hard to do, but if it is the right company I would try"/>
    <m/>
  </r>
  <r>
    <d v="2023-04-05T17:26:56"/>
    <s v="India"/>
    <n v="621218"/>
    <x v="1"/>
    <x v="4"/>
    <x v="1"/>
    <x v="0"/>
    <x v="0"/>
    <x v="0"/>
    <x v="6"/>
    <s v="Every Day Office Environment"/>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Work as a freelancer and do my thing my way"/>
    <s v="Manager who explains what is expected, sets a goal and helps achieve it"/>
    <s v="Work alone, Work with 2 to 3 people in my team"/>
    <s v="No"/>
    <s v="This will be hard to do, but if it is the right company I would try"/>
    <m/>
  </r>
  <r>
    <d v="2023-04-05T17:28:32"/>
    <s v="India"/>
    <n v="560100"/>
    <x v="1"/>
    <x v="2"/>
    <x v="2"/>
    <x v="0"/>
    <x v="0"/>
    <x v="0"/>
    <x v="4"/>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s v="No"/>
    <s v="No way"/>
    <m/>
  </r>
  <r>
    <d v="2023-04-05T17:32:45"/>
    <s v="India"/>
    <n v="364001"/>
    <x v="1"/>
    <x v="0"/>
    <x v="0"/>
    <x v="0"/>
    <x v="0"/>
    <x v="0"/>
    <x v="7"/>
    <s v="Every Day Office Environment"/>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r>
  <r>
    <d v="2023-04-05T17:34:28"/>
    <s v="India"/>
    <n v="442501"/>
    <x v="1"/>
    <x v="0"/>
    <x v="0"/>
    <x v="0"/>
    <x v="1"/>
    <x v="1"/>
    <x v="7"/>
    <s v="Every Day Office Environment"/>
    <s v="Employer who pushes your limits by enabling an learning environment, and rewards you at the end"/>
    <s v="Self Paced Learning Portals of the Company, Self Purchased Course from External Platforms, Manager Teaching you"/>
    <s v="Design and Creative strategy in any company, Build and develop a Team, Design and Develop amazing software, Become a content Creator in some platform"/>
    <s v="Manager who sets targets and expects me to achieve it"/>
    <s v="Work with 5 to 6 people in my team"/>
    <s v="No"/>
    <s v="This will be hard to do, but if it is the right company I would try"/>
    <m/>
  </r>
  <r>
    <d v="2023-04-05T17:35:24"/>
    <s v="India"/>
    <n v="500083"/>
    <x v="0"/>
    <x v="4"/>
    <x v="0"/>
    <x v="0"/>
    <x v="0"/>
    <x v="0"/>
    <x v="4"/>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Build and develop a Team, Design and Develop amazing software, Become a content Creator in some platform"/>
    <s v="Manager who explains what is expected, sets a goal and helps achieve it"/>
    <s v="Work alone"/>
    <s v="Yes"/>
    <s v="This will be hard to do, but if it is the right company I would try"/>
    <m/>
  </r>
  <r>
    <d v="2023-04-05T17:35:51"/>
    <s v="India"/>
    <n v="670301"/>
    <x v="0"/>
    <x v="4"/>
    <x v="0"/>
    <x v="0"/>
    <x v="0"/>
    <x v="0"/>
    <x v="4"/>
    <s v="Every Day Office Environment"/>
    <s v="Employer who appreciates learning and enables that environment"/>
    <s v="Self Paced Learning Portals of the Company, Learning by observing others, Manager Teaching you"/>
    <s v="Design and Creative strategy in any company, Design and Develop amazing software, Work as a freelancer and do my thing my way, Become a content Creator in some platform"/>
    <s v="Manager who explains what is expected, sets a goal and helps achieve it"/>
    <s v="Work alone"/>
    <s v="No"/>
    <s v="No way"/>
    <m/>
  </r>
  <r>
    <d v="2023-04-05T17:39:20"/>
    <s v="India"/>
    <n v="400607"/>
    <x v="0"/>
    <x v="0"/>
    <x v="2"/>
    <x v="0"/>
    <x v="0"/>
    <x v="0"/>
    <x v="4"/>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2 to 3 people in my team"/>
    <s v="Yes, I Understand this is gonna happen everywhere"/>
    <s v="No way"/>
    <m/>
  </r>
  <r>
    <d v="2023-04-05T17:40:05"/>
    <s v="India"/>
    <n v="632515"/>
    <x v="0"/>
    <x v="1"/>
    <x v="2"/>
    <x v="0"/>
    <x v="0"/>
    <x v="0"/>
    <x v="4"/>
    <s v="Fully Remote with Options to travel as and when needed"/>
    <s v="Employer who rewards learning and enables that environment"/>
    <s v="Self Paced Learning Portals of the Company, Instructor or Expert Learning Programs, Learning by observing others"/>
    <s v="Manage and drive End-to-End Projects or Products, Build and develop a Team, Look deeply into Data and generate insights,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s v="Yes"/>
    <s v="This will be hard to do, but if it is the right company I would try"/>
    <m/>
  </r>
  <r>
    <d v="2023-04-05T17:41:04"/>
    <s v="India"/>
    <n v="516329"/>
    <x v="1"/>
    <x v="4"/>
    <x v="1"/>
    <x v="1"/>
    <x v="0"/>
    <x v="1"/>
    <x v="2"/>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Business Operations in any organization, Work in a BPO setup for some well known client, An Artificial Intelligence Specialist / Talking to Robots, Manufacturing / Oil and Gas/ Construction / Hard Physical Work related"/>
    <s v="Manager who explains what is expected, sets a goal and helps achieve it"/>
    <s v="Work with 2 to 3 people in my team, Work with 5 to 6 people in my team"/>
    <s v="Yes"/>
    <s v="Will work for 7 years or more"/>
    <m/>
  </r>
  <r>
    <d v="2023-04-05T17:43:15"/>
    <s v="India"/>
    <n v="620001"/>
    <x v="1"/>
    <x v="2"/>
    <x v="1"/>
    <x v="1"/>
    <x v="0"/>
    <x v="0"/>
    <x v="3"/>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Become a content Creator in some platform, I Want to sell things/Sale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05T17:43:53"/>
    <s v="India"/>
    <n v="600116"/>
    <x v="0"/>
    <x v="2"/>
    <x v="2"/>
    <x v="1"/>
    <x v="0"/>
    <x v="1"/>
    <x v="0"/>
    <s v="Hybrid Working Environment with more than 15 days a month at office"/>
    <s v="Employer who appreciates learning and enables that environment"/>
    <s v="Learning by observing others, Self Purchased Course from External Platforms, Manager Teaching you"/>
    <s v="Design and Creative strategy in any company, Manage and drive End-to-End Projects or Products, Build and develop a Team, Entrepreneur or Start Up"/>
    <s v="Manager who explains what is expected, sets a goal and helps achieve it"/>
    <s v="Work with more than 10 people in my team"/>
    <s v="No"/>
    <s v="Will work for 7 years or more"/>
    <m/>
  </r>
  <r>
    <d v="2023-04-05T17:44:22"/>
    <s v="India"/>
    <n v="560016"/>
    <x v="0"/>
    <x v="2"/>
    <x v="0"/>
    <x v="0"/>
    <x v="1"/>
    <x v="0"/>
    <x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m/>
  </r>
  <r>
    <d v="2023-04-05T17:44:32"/>
    <s v="India"/>
    <n v="641062"/>
    <x v="0"/>
    <x v="3"/>
    <x v="1"/>
    <x v="0"/>
    <x v="0"/>
    <x v="0"/>
    <x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Work as a freelancer and do my thing my way, Become a content Creator in some platform, I Want to sell things/Sales"/>
    <s v="Manager who explains what is expected, sets a goal and helps achieve it"/>
    <s v="Work with 2 to 3 people in my team"/>
    <s v="Yes, I Understand this is gonna happen everywhere"/>
    <s v="This will be hard to do, but if it is the right company I would try"/>
    <m/>
  </r>
  <r>
    <d v="2023-04-05T17:49:38"/>
    <s v="India"/>
    <n v="793002"/>
    <x v="0"/>
    <x v="2"/>
    <x v="2"/>
    <x v="0"/>
    <x v="1"/>
    <x v="0"/>
    <x v="0"/>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s v="No"/>
    <s v="No way"/>
    <m/>
  </r>
  <r>
    <d v="2023-04-05T17:52:58"/>
    <s v="India"/>
    <n v="122022"/>
    <x v="0"/>
    <x v="2"/>
    <x v="2"/>
    <x v="1"/>
    <x v="0"/>
    <x v="0"/>
    <x v="8"/>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siness Operations in any organization, Build and develop a Team"/>
    <s v="Manager who clearly describes what she/he needs"/>
    <s v="Work with more than 10 people in my team"/>
    <s v="No"/>
    <s v="This will be hard to do, but if it is the right company I would try"/>
    <m/>
  </r>
  <r>
    <d v="2023-04-05T17:55:26"/>
    <s v="India"/>
    <n v="110059"/>
    <x v="0"/>
    <x v="0"/>
    <x v="2"/>
    <x v="0"/>
    <x v="0"/>
    <x v="0"/>
    <x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s v="Yes, I Understand this is gonna happen everywhere"/>
    <s v="No way"/>
    <m/>
  </r>
  <r>
    <d v="2023-04-05T17:56:08"/>
    <s v="India"/>
    <n v="620002"/>
    <x v="0"/>
    <x v="3"/>
    <x v="2"/>
    <x v="0"/>
    <x v="1"/>
    <x v="0"/>
    <x v="4"/>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Work as a freelancer and do my thing my way"/>
    <s v="Manager who sets goal and helps me achieve it"/>
    <s v="Work with 7 to 10 or more people in my team"/>
    <s v="Yes, I Understand this is gonna happen everywhere"/>
    <s v="This will be hard to do, but if it is the right company I would try"/>
    <m/>
  </r>
  <r>
    <d v="2023-04-05T17:57:46"/>
    <s v="India"/>
    <n v="641028"/>
    <x v="0"/>
    <x v="2"/>
    <x v="2"/>
    <x v="0"/>
    <x v="0"/>
    <x v="0"/>
    <x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Work as a freelancer and do my thing my way, Entrepreneur or Start Up"/>
    <s v="Manager who clearly describes what she/he needs"/>
    <s v="Work with 7 to 10 or more people in my team"/>
    <s v="Yes, I Understand this is gonna happen everywhere"/>
    <s v="No way"/>
    <m/>
  </r>
  <r>
    <d v="2023-04-05T17:58:22"/>
    <s v="India"/>
    <n v="632515"/>
    <x v="0"/>
    <x v="4"/>
    <x v="0"/>
    <x v="3"/>
    <x v="0"/>
    <x v="0"/>
    <x v="0"/>
    <s v="Hybrid Working Environment with less than 3 days a month at office"/>
    <s v="Employer who rewards learning and enables that environment"/>
    <s v="Instructor or Expert Learning Programs, Learning by observing others, Manager Teaching you"/>
    <s v="Design and Creative strategy in any company, Business Operations in any organization, Design and Develop amazing software, Become a content Creator in some platform"/>
    <s v="Manager who sets goal and helps me achieve it"/>
    <s v="Work with 5 to 6 people in my team, Work with more than 10 people in my team"/>
    <s v="No"/>
    <s v="No way"/>
    <m/>
  </r>
  <r>
    <d v="2023-04-05T18:04:05"/>
    <s v="India"/>
    <n v="620017"/>
    <x v="1"/>
    <x v="0"/>
    <x v="0"/>
    <x v="0"/>
    <x v="0"/>
    <x v="0"/>
    <x v="3"/>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sets targets and expects me to achieve it"/>
    <s v="Work with 7 to 10 or more people in my team, Work with more than 10 people in my team"/>
    <s v="Yes, I Understand this is gonna happen everywhere"/>
    <s v="This will be hard to do, but if it is the right company I would try"/>
    <m/>
  </r>
  <r>
    <d v="2023-04-05T18:04:55"/>
    <s v="India"/>
    <n v="574106"/>
    <x v="1"/>
    <x v="1"/>
    <x v="0"/>
    <x v="1"/>
    <x v="1"/>
    <x v="1"/>
    <x v="2"/>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Build and develop a Team, Work in a BPO setup for some well known client, Work as a freelancer and do my thing my way, An Artificial Intelligence Specialist / Talking to Robots"/>
    <s v="Manager who explains what is expected, sets a goal and helps achieve it"/>
    <s v="Work with 2 to 3 people in my team"/>
    <s v="I have NO other choice"/>
    <s v="This will be hard to do, but if it is the right company I would try"/>
    <m/>
  </r>
  <r>
    <d v="2023-04-05T18:05:23"/>
    <s v="India"/>
    <n v="752050"/>
    <x v="0"/>
    <x v="2"/>
    <x v="2"/>
    <x v="0"/>
    <x v="0"/>
    <x v="0"/>
    <x v="5"/>
    <s v="Fully Remote with Options to travel as and when needed"/>
    <s v="Employer who rewards learning and enables that environment"/>
    <s v="Self Paced Learning Portals of the Company, Instructor or Expert Learning Programs, Trial and error by doing side projects within the company"/>
    <s v="Build and develop a Team, Look deeply into Data and generate insights, Work as a freelancer and do my thing my way, Entrepreneur or Start Up"/>
    <s v="Manager who sets targets and expects me to achieve it"/>
    <s v="Work with 5 to 6 people in my team"/>
    <s v="Yes, I Understand this is gonna happen everywhere"/>
    <s v="This will be hard to do, but if it is the right company I would try"/>
    <m/>
  </r>
  <r>
    <d v="2023-04-05T18:08:31"/>
    <s v="India"/>
    <n v="781015"/>
    <x v="0"/>
    <x v="4"/>
    <x v="0"/>
    <x v="1"/>
    <x v="1"/>
    <x v="1"/>
    <x v="1"/>
    <s v="Every Day Office Environment"/>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sets targets and expects me to achieve it"/>
    <s v="Work with 7 to 10 or more people in my team"/>
    <s v="Yes"/>
    <s v="Will work for 7 years or more"/>
    <m/>
  </r>
  <r>
    <d v="2023-04-05T18:27:59"/>
    <s v="India"/>
    <n v="380008"/>
    <x v="0"/>
    <x v="3"/>
    <x v="0"/>
    <x v="1"/>
    <x v="0"/>
    <x v="0"/>
    <x v="3"/>
    <s v="Hybrid Working Environment with less than 3 days a month at office"/>
    <s v="Employer who pushes your limits by enabling an learning environment, and rewards you at the end"/>
    <s v="Self Paced Learning Portals of the Company, Learning by observing others, Manager Teaching you"/>
    <s v="Business Operations in any organization, Look deeply into Data and generate insights, An Artificial Intelligence Specialist / Talking to Robots, Manufacturing / Oil and Gas/ Construction / Hard Physical Work related"/>
    <s v="Manager who sets goal and helps me achieve it"/>
    <s v="Work with 2 to 3 people in my team"/>
    <s v="Yes, I Understand this is gonna happen everywhere"/>
    <s v="This will be hard to do, but if it is the right company I would try"/>
    <m/>
  </r>
  <r>
    <d v="2023-04-05T18:32:47"/>
    <s v="India"/>
    <n v="600073"/>
    <x v="0"/>
    <x v="0"/>
    <x v="1"/>
    <x v="0"/>
    <x v="0"/>
    <x v="0"/>
    <x v="7"/>
    <s v="Fully Remote with Options to travel as and when needed"/>
    <s v="Employer who rewards learning and enables that environment"/>
    <s v="Self Paced Learning Portals of the Company, Learning by observing others, Manager Teaching you"/>
    <s v="Business Operations in any organization, Manage and drive End-to-End Projects or Products, Build and develop a Team, Look deeply into Data and generate insights"/>
    <s v="Manager who sets goal and helps me achieve it"/>
    <s v="Work with 7 to 10 or more people in my team"/>
    <s v="Yes, I Understand this is gonna happen everywhere"/>
    <s v="This will be hard to do, but if it is the right company I would try"/>
    <m/>
  </r>
  <r>
    <d v="2023-04-05T18:44:17"/>
    <s v="India"/>
    <n v="620001"/>
    <x v="0"/>
    <x v="3"/>
    <x v="0"/>
    <x v="1"/>
    <x v="0"/>
    <x v="0"/>
    <x v="8"/>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clearly describes what she/he needs"/>
    <s v="Work with 5 to 6 people in my team"/>
    <s v="Yes, I Understand this is gonna happen everywhere"/>
    <s v="This will be hard to do, but if it is the right company I would try"/>
    <m/>
  </r>
  <r>
    <d v="2023-04-05T18:49:09"/>
    <s v="India"/>
    <n v="401202"/>
    <x v="0"/>
    <x v="3"/>
    <x v="0"/>
    <x v="0"/>
    <x v="1"/>
    <x v="1"/>
    <x v="2"/>
    <s v="Every Day Office Environment"/>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Work as a freelancer and do my thing my way, An Artificial Intelligence Specialist / Talking to Robots, Manufacturing / Oil and Gas/ Construction / Hard Physical Work related"/>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18:55:05"/>
    <s v="India"/>
    <n v="620102"/>
    <x v="1"/>
    <x v="4"/>
    <x v="0"/>
    <x v="0"/>
    <x v="0"/>
    <x v="0"/>
    <x v="7"/>
    <s v="Every Day Office Environment"/>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sets goal and helps me achieve it"/>
    <s v="Work with 5 to 6 people in my team"/>
    <s v="No"/>
    <s v="This will be hard to do, but if it is the right company I would try"/>
    <m/>
  </r>
  <r>
    <d v="2023-04-05T19:00:44"/>
    <s v="India"/>
    <n v="560037"/>
    <x v="0"/>
    <x v="4"/>
    <x v="0"/>
    <x v="0"/>
    <x v="0"/>
    <x v="0"/>
    <x v="1"/>
    <s v="Hybrid Working Environment with more than 15 days a month at office"/>
    <s v="Employer who appreciates learning and enables that environment"/>
    <s v="Self Paced Learning Portals of the Company, Instructor or Expert Learning Programs, Manager Teaching you"/>
    <s v="Business Operations in any organization, Manage and drive End-to-End Projects or Products, Build and develop a Team, Design and Develop amazing software"/>
    <s v="Manager who clearly describes what she/he needs"/>
    <s v="Work alone, Work with 2 to 3 people in my team, Work with 5 to 6 people in my team"/>
    <s v="Yes, I Understand this is gonna happen everywhere"/>
    <s v="This will be hard to do, but if it is the right company I would try"/>
    <m/>
  </r>
  <r>
    <d v="2023-04-05T19:01:49"/>
    <s v="India"/>
    <n v="400053"/>
    <x v="1"/>
    <x v="4"/>
    <x v="2"/>
    <x v="0"/>
    <x v="0"/>
    <x v="0"/>
    <x v="7"/>
    <s v="Every Day Office Environment"/>
    <s v="Employer who appreciates learning and enables that environment"/>
    <s v="Self Paced Learning Portals of the Company, Learning by observing others, Manager Teaching you"/>
    <s v="Teaching in any of the institutes/colleges/online or offline, Design and Develop amazing software, Work as a freelancer and do my thing my way, An Artificial Intelligence Specialist / Talking to Robots"/>
    <s v="Manager who clearly describes what she/he needs"/>
    <s v="Work with 2 to 3 people in my team"/>
    <s v="No"/>
    <s v="This will be hard to do, but if it is the right company I would try"/>
    <m/>
  </r>
  <r>
    <d v="2023-04-05T19:05:07"/>
    <s v="India"/>
    <n v="620002"/>
    <x v="1"/>
    <x v="0"/>
    <x v="0"/>
    <x v="0"/>
    <x v="0"/>
    <x v="0"/>
    <x v="4"/>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ild and develop a Team, Become a content Creator in some platform"/>
    <s v="Manager who explains what is expected, sets a goal and helps achieve it"/>
    <s v="Work with 2 to 3 people in my team"/>
    <s v="No"/>
    <s v="This will be hard to do, but if it is the right company I would try"/>
    <m/>
  </r>
  <r>
    <d v="2023-04-05T19:13:44"/>
    <s v="India"/>
    <n v="711102"/>
    <x v="0"/>
    <x v="0"/>
    <x v="2"/>
    <x v="0"/>
    <x v="0"/>
    <x v="0"/>
    <x v="8"/>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Entrepreneur or Start Up"/>
    <s v="Manager who explains what is expected, sets a goal and helps achieve it"/>
    <s v="Work with 5 to 6 people in my team, Work with 7 to 10 or more people in my team"/>
    <s v="No"/>
    <s v="This will be hard to do, but if it is the right company I would try"/>
    <m/>
  </r>
  <r>
    <d v="2023-04-05T19:16:22"/>
    <s v="India"/>
    <n v="520015"/>
    <x v="1"/>
    <x v="3"/>
    <x v="0"/>
    <x v="1"/>
    <x v="0"/>
    <x v="0"/>
    <x v="0"/>
    <s v="Hybrid Working Environment with less than 3 days a month at office"/>
    <s v="Employer who appreciates learning and enables that environment"/>
    <s v="Self Paced Learning Portals of the Company, Instructor or Expert Learning Programs, Manager Teaching you"/>
    <s v="Business Operations in any organization, Manage and drive End-to-End Projects or Products, Build and develop a Tea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05T19:19:24"/>
    <s v="India"/>
    <n v="607104"/>
    <x v="0"/>
    <x v="3"/>
    <x v="1"/>
    <x v="0"/>
    <x v="0"/>
    <x v="0"/>
    <x v="5"/>
    <s v="Hybrid Working Environment with less than 3 days a month at office"/>
    <s v="Employer who appreciates learning and enables that environment"/>
    <s v="Instructor or Expert Learning Programs, Self Purchased Course from External Platforms, Manager Teaching you"/>
    <s v="Design and Creative strategy in any company, Business Operations in any organization,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05T19:20:25"/>
    <s v="India"/>
    <n v="842002"/>
    <x v="1"/>
    <x v="0"/>
    <x v="1"/>
    <x v="0"/>
    <x v="0"/>
    <x v="0"/>
    <x v="4"/>
    <s v="Hybrid Working Environment with more than 15 days a month at office"/>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Manage and drive End-to-End Projects or Products, Design and Develop amazing software"/>
    <s v="Manager who sets goal and helps me achieve it"/>
    <s v="Work with 2 to 3 people in my team, Work with 5 to 6 people in my team"/>
    <s v="Yes, I Understand this is gonna happen everywhere"/>
    <s v="No way"/>
    <m/>
  </r>
  <r>
    <d v="2023-04-05T19:21:53"/>
    <s v="India"/>
    <n v="517501"/>
    <x v="0"/>
    <x v="0"/>
    <x v="0"/>
    <x v="0"/>
    <x v="0"/>
    <x v="0"/>
    <x v="0"/>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Entrepreneur or Start Up"/>
    <s v="Manager who clearly describes what she/he needs"/>
    <s v="Work with 2 to 3 people in my team"/>
    <s v="Yes, I Understand this is gonna happen everywhere"/>
    <s v="No way"/>
    <m/>
  </r>
  <r>
    <d v="2023-04-05T19:22:07"/>
    <s v="India"/>
    <n v="208027"/>
    <x v="0"/>
    <x v="3"/>
    <x v="0"/>
    <x v="0"/>
    <x v="0"/>
    <x v="0"/>
    <x v="4"/>
    <s v="Every Day Office Environment"/>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Entrepreneur or Start Up"/>
    <s v="Manager who sets goal and helps me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19:26:03"/>
    <s v="India"/>
    <n v="400022"/>
    <x v="0"/>
    <x v="2"/>
    <x v="2"/>
    <x v="3"/>
    <x v="1"/>
    <x v="1"/>
    <x v="8"/>
    <s v="Hybrid Working Environment with less than 3 days a month at office"/>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ufacturing / Oil and Gas/ Construction / Hard Physical Work related"/>
    <s v="Manager who clearly describes what she/he needs"/>
    <s v="Work with 2 to 3 people in my team"/>
    <s v="Yes"/>
    <s v="This will be hard to do, but if it is the right company I would try"/>
    <m/>
  </r>
  <r>
    <d v="2023-04-05T19:27:56"/>
    <s v="India"/>
    <n v="522503"/>
    <x v="0"/>
    <x v="4"/>
    <x v="1"/>
    <x v="0"/>
    <x v="0"/>
    <x v="0"/>
    <x v="4"/>
    <s v="Fully Remote with No option to visit offices"/>
    <s v="Employer who appreciates learning and enables that environment"/>
    <s v="Instructor or Expert Learning Programs, Trial and error by doing side projects within the company, Self Purchased Course from External Platforms"/>
    <s v="Design and Creative strategy in any company, Business Operations in any organization, Manage and drive End-to-End Projects or Products, An Artificial Intelligence Specialist / Talking to Robots"/>
    <s v="Manager who clearly describes what she/he needs"/>
    <s v="Work with 2 to 3 people in my team"/>
    <s v="Yes, I Understand this is gonna happen everywhere"/>
    <s v="No way"/>
    <m/>
  </r>
  <r>
    <d v="2023-04-05T19:29:01"/>
    <s v="India"/>
    <n v="535125"/>
    <x v="0"/>
    <x v="3"/>
    <x v="2"/>
    <x v="0"/>
    <x v="0"/>
    <x v="0"/>
    <x v="2"/>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s v="Business Operations in any organization, Build and develop a Team, Work as a freelancer and do my thing my way, An Artificial Intelligence Specialist / Talking to Robots"/>
    <s v="Manager who explains what is expected, sets a goal and helps achieve it"/>
    <s v="Work with 5 to 6 people in my team"/>
    <s v="Yes, I Understand this is gonna happen everywhere"/>
    <s v="No way"/>
    <m/>
  </r>
  <r>
    <d v="2023-04-05T19:30:56"/>
    <s v="India"/>
    <n v="364001"/>
    <x v="1"/>
    <x v="4"/>
    <x v="0"/>
    <x v="1"/>
    <x v="0"/>
    <x v="0"/>
    <x v="4"/>
    <s v="Every Day Office Environment"/>
    <s v="Employer who appreciates learning and enables that environment"/>
    <s v="Self Paced Learning Portals of the Company, Instructor or Expert Learning Programs, Manager Teaching you"/>
    <s v="Design and Develop amazing software, Work as a freelancer and do my thing my way, Entrepreneur or Start Up, I Want to sell things/Sales"/>
    <s v="Manager who clearly describes what she/he needs"/>
    <s v="Work with 7 to 10 or more people in my team"/>
    <s v="Yes"/>
    <s v="Will work for 7 years or more"/>
    <m/>
  </r>
  <r>
    <d v="2023-04-05T19:38:33"/>
    <s v="India"/>
    <n v="91"/>
    <x v="1"/>
    <x v="0"/>
    <x v="0"/>
    <x v="0"/>
    <x v="0"/>
    <x v="0"/>
    <x v="4"/>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explains what is expected, sets a goal and helps achieve it"/>
    <s v="Work with 5 to 6 people in my team"/>
    <s v="Yes, I Understand this is gonna happen everywhere"/>
    <s v="This will be hard to do, but if it is the right company I would try"/>
    <m/>
  </r>
  <r>
    <d v="2023-04-05T19:50:19"/>
    <s v="India"/>
    <n v="711102"/>
    <x v="0"/>
    <x v="3"/>
    <x v="0"/>
    <x v="1"/>
    <x v="0"/>
    <x v="0"/>
    <x v="5"/>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m/>
  </r>
  <r>
    <d v="2023-04-05T19:53:38"/>
    <s v="India"/>
    <n v="678732"/>
    <x v="1"/>
    <x v="2"/>
    <x v="0"/>
    <x v="0"/>
    <x v="0"/>
    <x v="0"/>
    <x v="4"/>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Build and develop a Team, Work as a freelancer and do my thing my way"/>
    <s v="Manager who explains what is expected, sets a goal and helps achieve it"/>
    <s v="Work alone, Work with 2 to 3 people in my team, Work with 5 to 6 people in my team"/>
    <s v="No"/>
    <s v="This will be hard to do, but if it is the right company I would try"/>
    <m/>
  </r>
  <r>
    <d v="2023-04-05T19:54:53"/>
    <s v="India"/>
    <n v="400064"/>
    <x v="0"/>
    <x v="4"/>
    <x v="0"/>
    <x v="0"/>
    <x v="0"/>
    <x v="0"/>
    <x v="5"/>
    <s v="Every Day Office Environment"/>
    <s v="Employer who appreciates learning and enables that environment"/>
    <s v="Instructor or Expert Learning Programs, Learning by observing others, Manager Teaching you"/>
    <s v="Design and Creative strategy in any company, Entrepreneur or Start Up, I Want to sell things/Sales, Manufacturing / Oil and Gas/ Construction / Hard Physical Work related"/>
    <s v="Manager who sets goal and helps me achieve it"/>
    <s v="Work alone, Work with 7 to 10 or more people in my team, Work with more than 10 people in my team"/>
    <s v="Yes, I Understand this is gonna happen everywhere"/>
    <s v="This will be hard to do, but if it is the right company I would try"/>
    <m/>
  </r>
  <r>
    <d v="2023-04-05T19:55:27"/>
    <s v="India"/>
    <n v="500045"/>
    <x v="0"/>
    <x v="3"/>
    <x v="0"/>
    <x v="0"/>
    <x v="0"/>
    <x v="0"/>
    <x v="1"/>
    <s v="Hybrid Working Environment with less than 3 days a month at office"/>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m/>
  </r>
  <r>
    <d v="2023-04-05T19:56:31"/>
    <s v="Others"/>
    <s v="SY23"/>
    <x v="0"/>
    <x v="2"/>
    <x v="0"/>
    <x v="0"/>
    <x v="1"/>
    <x v="1"/>
    <x v="8"/>
    <s v="Hybrid Working Environment with more than 15 days a month at office"/>
    <s v="Employer who appreciates learning and enables that environment"/>
    <s v="Self Paced Learning Portals of the Company, Learning by observing others, Manager Teaching you"/>
    <s v="Manage and drive End-to-End Projects or Products, Work as a freelancer and do my thing my way, Entrepreneur or Start Up, Manufacturing / Oil and Gas/ Construction / Hard Physical Work related"/>
    <s v="Manager who explains what is expected, sets a goal and helps achieve it"/>
    <s v="Work alone, Work with 2 to 3 people in my team"/>
    <s v="Yes, I Understand this is gonna happen everywhere"/>
    <s v="This will be hard to do, but if it is the right company I would try"/>
    <m/>
  </r>
  <r>
    <d v="2023-04-05T20:13:51"/>
    <s v="India"/>
    <n v="440014"/>
    <x v="0"/>
    <x v="3"/>
    <x v="0"/>
    <x v="0"/>
    <x v="1"/>
    <x v="0"/>
    <x v="0"/>
    <s v="Every Day Office Environment"/>
    <s v="Employer who appreciates learning and enables that environment"/>
    <s v="Instructor or Expert Learning Programs, Learning by observing others, Manager Teaching you"/>
    <s v="Manage and drive End-to-End Projects or Products, Build and develop a Team, Design and Develop amazing software, Become a content Creator in some platform"/>
    <s v="Manager who clearly describes what she/he needs"/>
    <s v="Work alone"/>
    <s v="I have NO other choice"/>
    <s v="No way"/>
    <m/>
  </r>
  <r>
    <d v="2023-04-05T20:20:52"/>
    <s v="India"/>
    <n v="400059"/>
    <x v="1"/>
    <x v="0"/>
    <x v="0"/>
    <x v="0"/>
    <x v="0"/>
    <x v="0"/>
    <x v="4"/>
    <s v="Hybrid Working Environment with less than 3 days a month at office"/>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Look deeply into Data and generate insights"/>
    <s v="Manager who explains what is expected, sets a goal and helps achieve it"/>
    <s v="Work alone, Work with 2 to 3 people in my team"/>
    <s v="No"/>
    <s v="This will be hard to do, but if it is the right company I would try"/>
    <m/>
  </r>
  <r>
    <d v="2023-04-05T20:21:56"/>
    <s v="India"/>
    <n v="442902"/>
    <x v="0"/>
    <x v="2"/>
    <x v="2"/>
    <x v="0"/>
    <x v="0"/>
    <x v="0"/>
    <x v="4"/>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An Artificial Intelligence Specialist / Talking to Robots"/>
    <s v="Manager who explains what is expected, sets a goal and helps achieve it"/>
    <s v="Work with 2 to 3 people in my team"/>
    <s v="No"/>
    <s v="This will be hard to do, but if it is the right company I would try"/>
    <m/>
  </r>
  <r>
    <d v="2023-04-05T20:22:32"/>
    <s v="India"/>
    <n v="600088"/>
    <x v="0"/>
    <x v="4"/>
    <x v="2"/>
    <x v="1"/>
    <x v="0"/>
    <x v="1"/>
    <x v="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Build and develop a Team"/>
    <s v="Manager who sets goal and helps me achieve it"/>
    <s v="Work with 5 to 6 people in my team"/>
    <s v="No"/>
    <s v="This will be hard to do, but if it is the right company I would try"/>
    <m/>
  </r>
  <r>
    <d v="2023-04-05T20:24:05"/>
    <s v="India"/>
    <n v="641402"/>
    <x v="1"/>
    <x v="4"/>
    <x v="1"/>
    <x v="3"/>
    <x v="0"/>
    <x v="1"/>
    <x v="0"/>
    <s v="Hybrid Working Environment with less than 3 days a month at office"/>
    <s v="Employer who appreciates learning and enables that environment"/>
    <s v="Learning by observing others, Trial and error by doing side projects within the company, Self Purchased Course from External Platforms"/>
    <s v="Teaching in any of the institutes/colleges/online or offline, Build and develop a Team, Design and Develop amazing software, I Want to sell things/Sales"/>
    <s v="Manager who clearly describes what she/he needs"/>
    <s v="Work with more than 10 people in my team"/>
    <s v="No"/>
    <s v="No way"/>
    <m/>
  </r>
  <r>
    <d v="2023-04-05T20:25:44"/>
    <s v="India"/>
    <n v="606601"/>
    <x v="0"/>
    <x v="3"/>
    <x v="0"/>
    <x v="1"/>
    <x v="1"/>
    <x v="0"/>
    <x v="2"/>
    <s v="Hybrid Working Environment with more than 15 days a month at office"/>
    <s v="Employer who appreciates learning and enables that environment"/>
    <s v="Instructor or Expert Learning Programs, Learning by observing others, Manager Teaching you"/>
    <s v="Business Operations in any organization, Build and develop a Team,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5T20:29:20"/>
    <s v="India"/>
    <n v="400075"/>
    <x v="1"/>
    <x v="4"/>
    <x v="2"/>
    <x v="0"/>
    <x v="0"/>
    <x v="1"/>
    <x v="4"/>
    <s v="Every Day Office Environment"/>
    <s v="Employer who pushes your limits by enabling an learning environment, and rewards you at the end"/>
    <s v="Instructor or Expert Learning Programs, Learning by observing others, Manager Teaching you"/>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s v="Yes"/>
    <s v="This will be hard to do, but if it is the right company I would try"/>
    <m/>
  </r>
  <r>
    <d v="2023-04-05T20:29:48"/>
    <s v="Others"/>
    <n v="58200"/>
    <x v="0"/>
    <x v="1"/>
    <x v="1"/>
    <x v="1"/>
    <x v="0"/>
    <x v="0"/>
    <x v="2"/>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in a BPO setup for some well known client, Work as a freelancer and do my thing my way, I Want to sell things/Sales"/>
    <s v="Manager who explains what is expected, sets a goal and helps achieve it"/>
    <s v="Work with more than 10 people in my team"/>
    <s v="I have NO other choice"/>
    <s v="No way"/>
    <m/>
  </r>
  <r>
    <d v="2023-04-05T20:31:09"/>
    <s v="India"/>
    <n v="400067"/>
    <x v="0"/>
    <x v="0"/>
    <x v="2"/>
    <x v="0"/>
    <x v="0"/>
    <x v="0"/>
    <x v="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5T20:32:36"/>
    <s v="India"/>
    <n v="452002"/>
    <x v="0"/>
    <x v="4"/>
    <x v="0"/>
    <x v="0"/>
    <x v="1"/>
    <x v="0"/>
    <x v="6"/>
    <s v="Every Day Office Environment"/>
    <s v="Employer who appreciates learning and enables that environment"/>
    <s v="Self Paced Learning Portals of the Company, Learning by observing others, Trial and error by doing side projects within the company"/>
    <s v="Build and develop a Team, Look deeply into Data and generate insights, Entrepreneur or Start Up, Manufacturing / Oil and Gas/ Construction / Hard Physical Work related"/>
    <s v="Manager who sets goal and helps me achieve it"/>
    <s v="Work with 2 to 3 people in my team, Work with 5 to 6 people in my team"/>
    <s v="Yes, I Understand this is gonna happen everywhere"/>
    <s v="This will be hard to do, but if it is the right company I would try"/>
    <m/>
  </r>
  <r>
    <d v="2023-04-05T20:36:00"/>
    <s v="India"/>
    <n v="522101"/>
    <x v="0"/>
    <x v="0"/>
    <x v="2"/>
    <x v="0"/>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Design and Develop amazing software, Work as a freelancer and do my thing my way"/>
    <s v="Manager who clearly describes what she/he needs"/>
    <s v="Work with 5 to 6 people in my team"/>
    <s v="Yes, I Understand this is gonna happen everywhere"/>
    <s v="This will be hard to do, but if it is the right company I would try"/>
    <m/>
  </r>
  <r>
    <d v="2023-04-05T20:38:46"/>
    <s v="India"/>
    <n v="560023"/>
    <x v="1"/>
    <x v="0"/>
    <x v="0"/>
    <x v="0"/>
    <x v="0"/>
    <x v="0"/>
    <x v="0"/>
    <s v="Hybrid Working Environment with more than 15 days a month at office"/>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I have NO other choice"/>
    <s v="No way"/>
    <m/>
  </r>
  <r>
    <d v="2023-04-05T20:45:17"/>
    <s v="India"/>
    <n v="442902"/>
    <x v="1"/>
    <x v="4"/>
    <x v="1"/>
    <x v="0"/>
    <x v="0"/>
    <x v="0"/>
    <x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Design and Develop amazing software"/>
    <s v="Manager who sets goal and helps me achieve it"/>
    <s v="Work with 7 to 10 or more people in my team"/>
    <s v="Yes, I Understand this is gonna happen everywhere"/>
    <s v="This will be hard to do, but if it is the right company I would try"/>
    <m/>
  </r>
  <r>
    <d v="2023-04-05T20:45:18"/>
    <s v="India"/>
    <n v="442902"/>
    <x v="0"/>
    <x v="4"/>
    <x v="1"/>
    <x v="0"/>
    <x v="0"/>
    <x v="0"/>
    <x v="4"/>
    <s v="Fully Remote with Options to travel as and when needed"/>
    <s v="Employer who pushes your limits and doesn't enables learning environment and never rewards you"/>
    <s v="Self Paced Learning Portals of the Company, Instructor or Expert Learning Programs, Self Purchased Course from External Platforms"/>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7 to 10 or more people in my team"/>
    <s v="Yes, I Understand this is gonna happen everywhere"/>
    <s v="This will be hard to do, but if it is the right company I would try"/>
    <m/>
  </r>
  <r>
    <d v="2023-04-05T20:54:23"/>
    <s v="India"/>
    <n v="560034"/>
    <x v="0"/>
    <x v="3"/>
    <x v="0"/>
    <x v="0"/>
    <x v="0"/>
    <x v="0"/>
    <x v="3"/>
    <s v="Hybrid Working Environment with more than 15 days a month at office"/>
    <s v="Employer who rewards learning and enables that environment"/>
    <s v="Instructor or Expert Learning Programs, Learning by observing others, Manager Teaching you"/>
    <s v="Design and Creative strategy in any company, Design and Develop amazing software, Work as a freelancer and do my thing my way, Entrepreneur or Start Up"/>
    <s v="Manager who explains what is expected, sets a goal and helps achieve it"/>
    <s v="Work alone, Work with 7 to 10 or more people in my team, Work with more than 10 people in my team"/>
    <s v="Yes, I Understand this is gonna happen everywhere"/>
    <s v="No way"/>
    <m/>
  </r>
  <r>
    <d v="2023-04-05T21:00:35"/>
    <s v="India"/>
    <n v="560064"/>
    <x v="0"/>
    <x v="4"/>
    <x v="0"/>
    <x v="0"/>
    <x v="0"/>
    <x v="0"/>
    <x v="4"/>
    <s v="Hybrid Working Environment with more than 15 days a month at office"/>
    <s v="Employer who rewards learning and enables that environment"/>
    <s v="Self Paced Learning Portals of the Company, Instructor or Expert Learning Programs, Manager Teaching you"/>
    <s v="Design and Creative strategy in any company, Build and develop a Team, Design and Develop amazing software, Entrepreneur or Start Up"/>
    <s v="Manager who explains what is expected, sets a goal and helps achieve it"/>
    <s v="Work with 5 to 6 people in my team"/>
    <s v="No"/>
    <s v="No way"/>
    <m/>
  </r>
  <r>
    <d v="2023-04-05T21:00:49"/>
    <s v="India"/>
    <n v="560004"/>
    <x v="1"/>
    <x v="2"/>
    <x v="0"/>
    <x v="0"/>
    <x v="0"/>
    <x v="0"/>
    <x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s v="No"/>
    <s v="This will be hard to do, but if it is the right company I would try"/>
    <m/>
  </r>
  <r>
    <d v="2023-04-05T21:05:13"/>
    <s v="India"/>
    <n v="603103"/>
    <x v="1"/>
    <x v="3"/>
    <x v="1"/>
    <x v="0"/>
    <x v="0"/>
    <x v="0"/>
    <x v="1"/>
    <s v="Hybrid Working Environment with less than 3 days a month at office"/>
    <s v="Employer who appreciates learning and enables that environment"/>
    <s v="Self Paced Learning Portals of the Company, Learning by observing others, Manager Teaching you"/>
    <s v="Design and Creative strategy in any company, Build and develop a Team, Look deeply into Data and generate insights, An Artificial Intelligence Specialist / Talking to Robots"/>
    <s v="Manager who sets unrealistic targets"/>
    <s v="Work with 7 to 10 or more people in my team"/>
    <s v="Yes, I Understand this is gonna happen everywhere"/>
    <s v="This will be hard to do, but if it is the right company I would try"/>
    <m/>
  </r>
  <r>
    <d v="2023-04-05T21:05:35"/>
    <s v="India"/>
    <n v="144003"/>
    <x v="0"/>
    <x v="4"/>
    <x v="2"/>
    <x v="3"/>
    <x v="0"/>
    <x v="0"/>
    <x v="1"/>
    <s v="Every Day Office Environment"/>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Work as a freelancer and do my thing my way, Entrepreneur or Start Up"/>
    <s v="Manager who explains what is expected, sets a goal and helps achieve it"/>
    <s v="Work with 5 to 6 people in my team"/>
    <s v="No"/>
    <s v="No way"/>
    <m/>
  </r>
  <r>
    <d v="2023-04-05T21:06:32"/>
    <s v="India"/>
    <n v="800003"/>
    <x v="1"/>
    <x v="4"/>
    <x v="0"/>
    <x v="3"/>
    <x v="0"/>
    <x v="0"/>
    <x v="6"/>
    <s v="Every Day Office Environment"/>
    <s v="Employers who appreciates learning but doesn't enables an learning environment"/>
    <s v="Self Paced Learning Portals of the Company, Learning by observing others, Self Purchased Course from External Platforms"/>
    <s v="Design and Creative strategy in any company, Design and Develop amazing software, Become a content Creator in some platform, Entrepreneur or Start Up"/>
    <s v="Manager who sets targets and expects me to achieve it"/>
    <s v="Work alone, Work with 2 to 3 people in my team"/>
    <s v="Yes, I Understand this is gonna happen everywhere"/>
    <s v="This will be hard to do, but if it is the right company I would try"/>
    <m/>
  </r>
  <r>
    <d v="2023-04-05T21:08:47"/>
    <s v="India"/>
    <n v="380058"/>
    <x v="1"/>
    <x v="1"/>
    <x v="1"/>
    <x v="0"/>
    <x v="0"/>
    <x v="0"/>
    <x v="6"/>
    <s v="Hybrid Working Environment with less than 3 days a month at office"/>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s v="Yes, I Understand this is gonna happen everywhere"/>
    <s v="No way"/>
    <m/>
  </r>
  <r>
    <d v="2023-04-05T21:08:50"/>
    <s v="India"/>
    <n v="400037"/>
    <x v="0"/>
    <x v="3"/>
    <x v="1"/>
    <x v="1"/>
    <x v="1"/>
    <x v="1"/>
    <x v="7"/>
    <s v="Hybrid Working Environment with more than 15 days a month at office"/>
    <s v="Employer who pushes your limits and doesn't enables learning environment and never rewards you"/>
    <s v="Instructor or Expert Learning Programs, Trial and error by doing side projects within the company, Self Purchased Course from External Platforms"/>
    <s v="Build and develop a Team, Look deeply into Data and generate insights, Work as a freelancer and do my thing my way, An Artificial Intelligence Specialist / Talking to Robots"/>
    <s v="Manager who sets goal and helps me achieve it"/>
    <s v="Work with 5 to 6 people in my team"/>
    <s v="Yes"/>
    <s v="This will be hard to do, but if it is the right company I would try"/>
    <m/>
  </r>
  <r>
    <d v="2023-04-05T21:09:36"/>
    <s v="India"/>
    <n v="411040"/>
    <x v="1"/>
    <x v="4"/>
    <x v="0"/>
    <x v="1"/>
    <x v="0"/>
    <x v="0"/>
    <x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Entrepreneur or Start Up, I Want to sell things/Sales, An Artificial Intelligence Specialist / Talking to Robots, Manufacturing / Oil and Gas/ Construction / Hard Physical Work related"/>
    <s v="Manager who clearly describes what she/he needs"/>
    <s v="Work with 2 to 3 people in my team"/>
    <s v="Yes, I Understand this is gonna happen everywhere"/>
    <s v="Will work for 7 years or more"/>
    <m/>
  </r>
  <r>
    <d v="2023-04-05T21:12:33"/>
    <s v="India"/>
    <n v="631209"/>
    <x v="1"/>
    <x v="4"/>
    <x v="2"/>
    <x v="1"/>
    <x v="1"/>
    <x v="0"/>
    <x v="4"/>
    <s v="Every Day Office Environment"/>
    <s v="Employer who appreciates learning and enables that environment"/>
    <s v="Self Paced Learning Portals of the Company, Learning by observing others, Self Purchased Course from External Platforms"/>
    <s v="Teaching in any of the institutes/colleges/online or offline,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r>
  <r>
    <d v="2023-04-05T21:13:46"/>
    <s v="India"/>
    <n v="364002"/>
    <x v="1"/>
    <x v="4"/>
    <x v="1"/>
    <x v="0"/>
    <x v="1"/>
    <x v="1"/>
    <x v="1"/>
    <s v="Fully Remote with Options to travel as and when needed"/>
    <s v="Employer who pushes your limits by enabling an learning environment, and rewards you at the end"/>
    <s v="Self Paced Learning Portals of the Company, Self Purchased Course from External Platforms, Manager Teaching you"/>
    <s v="Design and Creative strategy in any company, Build and develop a Team,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05T21:17:29"/>
    <s v="India"/>
    <n v="500088"/>
    <x v="1"/>
    <x v="4"/>
    <x v="0"/>
    <x v="0"/>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explains what is expected, sets a goal and helps achieve it"/>
    <s v="Work with 5 to 6 people in my team"/>
    <s v="Yes, I Understand this is gonna happen everywhere"/>
    <s v="No way"/>
    <m/>
  </r>
  <r>
    <d v="2023-04-05T21:19:13"/>
    <s v="India"/>
    <n v="524002"/>
    <x v="0"/>
    <x v="3"/>
    <x v="1"/>
    <x v="0"/>
    <x v="0"/>
    <x v="0"/>
    <x v="3"/>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05T21:19:41"/>
    <s v="India"/>
    <n v="110059"/>
    <x v="0"/>
    <x v="4"/>
    <x v="1"/>
    <x v="0"/>
    <x v="0"/>
    <x v="0"/>
    <x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An Artificial Intelligence Specialist / Talking to Robots"/>
    <s v="Manager who sets targets and expects me to achieve it"/>
    <s v="Work alone, Work with 2 to 3 people in my team, Work with 5 to 6 people in my team"/>
    <s v="Yes, I Understand this is gonna happen everywhere"/>
    <s v="This will be hard to do, but if it is the right company I would try"/>
    <m/>
  </r>
  <r>
    <d v="2023-04-05T21:23:46"/>
    <s v="India"/>
    <n v="20201"/>
    <x v="0"/>
    <x v="2"/>
    <x v="0"/>
    <x v="3"/>
    <x v="0"/>
    <x v="1"/>
    <x v="7"/>
    <s v="Fully Remote with No option to visit offices"/>
    <s v="Employers who appreciates learning but doesn't enables an learning environment"/>
    <s v="Self Paced Learning Portals of the Company, Trial and error by doing side projects within the company, Manager Teaching you"/>
    <s v="Business Operations in any organization, Build and develop a Team, Design and Develop amazing software, Work in a BPO setup for some well known client"/>
    <s v="Manager who sets goal and helps me achieve it"/>
    <s v="Work alone, Work with 2 to 3 people in my team, Work with 5 to 6 people in my team, Work with 7 to 10 or more people in my team, Work with more than 10 people in my team"/>
    <s v="No"/>
    <s v="No way"/>
    <m/>
  </r>
  <r>
    <d v="2023-04-05T21:28:29"/>
    <s v="India"/>
    <n v="800001"/>
    <x v="0"/>
    <x v="1"/>
    <x v="0"/>
    <x v="3"/>
    <x v="1"/>
    <x v="1"/>
    <x v="4"/>
    <s v="Hybrid Working Environment with more than 15 days a month at office"/>
    <s v="Employer who pushes your limits and doesn't enables learning environment and never rewards you"/>
    <s v="Self Paced Learning Portals of the Company, Trial and error by doing side projects within the company, Self Purchased Course from External Platforms"/>
    <s v="Design and Creative strategy in any company, Teaching in any of the institutes/colleges/online or offline, Build and develop a Team, Design and Develop amazing software"/>
    <s v="Manager who explains what is expected, sets a goal and helps achieve it"/>
    <s v="Work with 7 to 10 or more people in my team"/>
    <s v="No"/>
    <s v="No way"/>
    <m/>
  </r>
  <r>
    <d v="2023-04-05T21:29:01"/>
    <s v="India"/>
    <n v="515571"/>
    <x v="0"/>
    <x v="4"/>
    <x v="0"/>
    <x v="1"/>
    <x v="1"/>
    <x v="1"/>
    <x v="9"/>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s v="No"/>
    <s v="No way"/>
    <m/>
  </r>
  <r>
    <d v="2023-04-05T21:30:57"/>
    <s v="India"/>
    <n v="517503"/>
    <x v="0"/>
    <x v="3"/>
    <x v="2"/>
    <x v="0"/>
    <x v="1"/>
    <x v="1"/>
    <x v="4"/>
    <s v="Fully Remote with No option to visit offices"/>
    <s v="Employer who rewards learning and enables that environment"/>
    <s v="Learning by observing others, Self Purchased Course from External Platforms, Manager Teaching you"/>
    <s v="Design and Creative strategy in any company, Business Operations in any organization, Build and develop a Team, Entrepreneur or Start Up"/>
    <s v="Manager who sets goal and helps me achieve it"/>
    <s v="Work with 5 to 6 people in my team"/>
    <s v="Yes, I Understand this is gonna happen everywhere"/>
    <s v="This will be hard to do, but if it is the right company I would try"/>
    <m/>
  </r>
  <r>
    <d v="2023-04-05T21:32:17"/>
    <s v="India"/>
    <n v="201306"/>
    <x v="1"/>
    <x v="0"/>
    <x v="2"/>
    <x v="1"/>
    <x v="0"/>
    <x v="0"/>
    <x v="6"/>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Look deeply into Data and generate insights, Work as a freelancer and do my thing my way,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s v="No"/>
    <s v="This will be hard to do, but if it is the right company I would try"/>
    <m/>
  </r>
  <r>
    <d v="2023-04-05T21:32:20"/>
    <s v="India"/>
    <n v="602024"/>
    <x v="1"/>
    <x v="4"/>
    <x v="1"/>
    <x v="0"/>
    <x v="0"/>
    <x v="0"/>
    <x v="4"/>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Work in a BPO setup for some well known client"/>
    <s v="Manager who sets goal and helps me achieve it"/>
    <s v="Work with 7 to 10 or more people in my team, Work with more than 10 people in my team"/>
    <s v="Yes, I Understand this is gonna happen everywhere"/>
    <s v="This will be hard to do, but if it is the right company I would try"/>
    <m/>
  </r>
  <r>
    <d v="2023-04-05T21:35:53"/>
    <s v="India"/>
    <n v="517501"/>
    <x v="0"/>
    <x v="4"/>
    <x v="0"/>
    <x v="1"/>
    <x v="1"/>
    <x v="1"/>
    <x v="1"/>
    <s v="Hybrid Working Environment with more than 15 days a month at office"/>
    <s v="Employer who appreciates learning and enables that environment"/>
    <s v="Self Paced Learning Portals of the Company, Instructor or Expert Learning Programs, Self Purchased Course from External Platforms"/>
    <s v="Teaching in any of the institutes/colleges/online or offline, Build and develop a Team, Work as a freelancer and do my thing my way, I Want to sell things/Sales"/>
    <s v="Manager who sets goal and helps me achieve it"/>
    <s v="Work alone"/>
    <s v="Yes"/>
    <s v="This will be hard to do, but if it is the right company I would try"/>
    <m/>
  </r>
  <r>
    <d v="2023-04-05T21:36:14"/>
    <s v="India"/>
    <n v="560064"/>
    <x v="0"/>
    <x v="3"/>
    <x v="1"/>
    <x v="0"/>
    <x v="0"/>
    <x v="0"/>
    <x v="0"/>
    <s v="Hybrid Working Environment with more than 15 days a month at office"/>
    <s v="Employer who rewards learning and enables that environment"/>
    <s v="Learning by observing others, Trial and error by doing side projects within the company, Manager Teaching you"/>
    <s v="Business Operations in any organization, Work in a BPO setup for some well known client, Entrepreneur or Start Up, I Want to sell things/Sales"/>
    <s v="Manager who explains what is expected, sets a goal and helps achieve it"/>
    <s v="Work with 2 to 3 people in my team, Work with 5 to 6 people in my team"/>
    <s v="Yes, I Understand this is gonna happen everywhere"/>
    <s v="No way"/>
    <m/>
  </r>
  <r>
    <d v="2023-04-05T21:37:17"/>
    <s v="India"/>
    <n v="422101"/>
    <x v="0"/>
    <x v="1"/>
    <x v="0"/>
    <x v="1"/>
    <x v="1"/>
    <x v="0"/>
    <x v="4"/>
    <s v="Fully Remote with No option to visit offices"/>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m/>
  </r>
  <r>
    <d v="2023-04-05T21:37:31"/>
    <s v="India"/>
    <n v="560064"/>
    <x v="1"/>
    <x v="4"/>
    <x v="1"/>
    <x v="0"/>
    <x v="0"/>
    <x v="0"/>
    <x v="4"/>
    <s v="Fully Remote with Options to travel as and when needed"/>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05T21:39:31"/>
    <s v="India"/>
    <n v="517592"/>
    <x v="1"/>
    <x v="3"/>
    <x v="2"/>
    <x v="0"/>
    <x v="0"/>
    <x v="0"/>
    <x v="8"/>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Manage and drive End-to-End Projects or Products, Work in a BPO setup for some well known client, Work as a freelancer and do my thing my way, Entrepreneur or Start Up"/>
    <s v="Manager who sets goal and helps me achieve it"/>
    <s v="Work with 5 to 6 people in my team"/>
    <s v="I have NO other choice"/>
    <s v="No way"/>
    <m/>
  </r>
  <r>
    <d v="2023-04-05T21:40:25"/>
    <s v="India"/>
    <n v="641004"/>
    <x v="1"/>
    <x v="4"/>
    <x v="2"/>
    <x v="1"/>
    <x v="1"/>
    <x v="0"/>
    <x v="3"/>
    <s v="Fully Remote with No option to visit offices"/>
    <s v="Employer who appreciates learning and enables that environment"/>
    <s v="Instructor or Expert Learning Programs, Learning by observing others, Manager Teaching you"/>
    <s v="Business Operations in any organization, Work as a freelancer and do my thing my way, Entrepreneur or Start Up, I Want to sell things/Sales"/>
    <s v="Manager who explains what is expected, sets a goal and helps achieve it"/>
    <s v="Work alone, Work with 2 to 3 people in my team, Work with 5 to 6 people in my team"/>
    <s v="No"/>
    <s v="No way"/>
    <m/>
  </r>
  <r>
    <d v="2023-04-05T21:41:33"/>
    <s v="India"/>
    <n v="600099"/>
    <x v="1"/>
    <x v="0"/>
    <x v="0"/>
    <x v="1"/>
    <x v="0"/>
    <x v="0"/>
    <x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Look deeply into Data and generate insights, Work as a freelancer and do my thing my way, Entrepreneur or Start Up"/>
    <s v="Manager who explains what is expected, sets a goal and helps achieve it"/>
    <s v="Work alone, Work with 2 to 3 people in my team"/>
    <s v="Yes, I Understand this is gonna happen everywhere"/>
    <s v="This will be hard to do, but if it is the right company I would try"/>
    <m/>
  </r>
  <r>
    <d v="2023-04-05T21:41:57"/>
    <s v="India"/>
    <n v="517123"/>
    <x v="0"/>
    <x v="4"/>
    <x v="1"/>
    <x v="3"/>
    <x v="0"/>
    <x v="0"/>
    <x v="1"/>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Work as a freelancer and do my thing my way"/>
    <s v="Manager who clearly describes what she/he needs"/>
    <s v="Work with 2 to 3 people in my team, Work with 5 to 6 people in my team, Work with 7 to 10 or more people in my team, Work with more than 10 people in my team"/>
    <s v="Yes, I Understand this is gonna happen everywhere"/>
    <s v="No way"/>
    <m/>
  </r>
  <r>
    <d v="2023-04-05T21:42:09"/>
    <s v="India"/>
    <n v="641015"/>
    <x v="0"/>
    <x v="4"/>
    <x v="0"/>
    <x v="1"/>
    <x v="1"/>
    <x v="1"/>
    <x v="8"/>
    <s v="Every Day Office Environment"/>
    <s v="Employers who appreciates learning but doesn't enables an learning environment"/>
    <s v="Trial and error by doing side projects within the company, Self Purchased Course from External Platforms, Manager Teaching you"/>
    <s v="Look deeply into Data and generate insights, Work as a freelancer and do my thing my way, I Want to sell things/Sales, Manufacturing / Oil and Gas/ Construction / Hard Physical Work related"/>
    <s v="Manager who sets goal and helps me achieve it"/>
    <s v="Work with 5 to 6 people in my team, Work with more than 10 people in my team"/>
    <s v="I have NO other choice"/>
    <s v="This will be hard to do, but if it is the right company I would try"/>
    <m/>
  </r>
  <r>
    <d v="2023-04-05T21:43:18"/>
    <s v="India"/>
    <n v="560065"/>
    <x v="1"/>
    <x v="3"/>
    <x v="0"/>
    <x v="0"/>
    <x v="0"/>
    <x v="0"/>
    <x v="6"/>
    <s v="Hybrid Working Environment with more than 15 days a month at office"/>
    <s v="Employer who rewards learning and enables that environment"/>
    <s v="Instructor or Expert Learning Programs, Trial and error by doing side projects within the company, Self Purchased Course from External Platforms"/>
    <s v="Design and Creative strategy in any company, Business Operations in any organization,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05T21:44:25"/>
    <s v="India"/>
    <n v="518501"/>
    <x v="0"/>
    <x v="0"/>
    <x v="0"/>
    <x v="0"/>
    <x v="0"/>
    <x v="0"/>
    <x v="3"/>
    <s v="Hybrid Working Environment with less than 3 days a month at office"/>
    <s v="Employer who rewards learning and enables that environment"/>
    <s v="Self Paced Learning Portals of the Company, Instructor or Expert Learning Programs, Self Purchased Course from External Platforms"/>
    <s v="Business Operations in any organization, Manage and drive End-to-End Projects or Products, Design and Develop amazing software, An Artificial Intelligence Specialist / Talking to Robots"/>
    <s v="Manager who explains what is expected, sets a goal and helps achieve it"/>
    <s v="Work with 5 to 6 people in my team"/>
    <s v="Yes, I Understand this is gonna happen everywhere"/>
    <s v="No way"/>
    <m/>
  </r>
  <r>
    <d v="2023-04-05T21:45:01"/>
    <s v="India"/>
    <n v="442902"/>
    <x v="1"/>
    <x v="2"/>
    <x v="2"/>
    <x v="0"/>
    <x v="0"/>
    <x v="0"/>
    <x v="4"/>
    <s v="Every Day Office Environment"/>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Work as a freelancer and do my thing my way, Entrepreneur or Start Up"/>
    <s v="Manager who sets goal and helps me achieve it"/>
    <s v="Work with more than 10 people in my team"/>
    <s v="Yes, I Understand this is gonna happen everywhere"/>
    <s v="This will be hard to do, but if it is the right company I would try"/>
    <m/>
  </r>
  <r>
    <d v="2023-04-05T21:45:54"/>
    <s v="India"/>
    <n v="500036"/>
    <x v="1"/>
    <x v="4"/>
    <x v="0"/>
    <x v="1"/>
    <x v="0"/>
    <x v="0"/>
    <x v="4"/>
    <s v="Every Day Office Environment"/>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sets goal and helps me achieve it"/>
    <s v="Work with 5 to 6 people in my team"/>
    <s v="No"/>
    <s v="This will be hard to do, but if it is the right company I would try"/>
    <m/>
  </r>
  <r>
    <d v="2023-04-05T21:47:32"/>
    <s v="India"/>
    <n v="631209"/>
    <x v="1"/>
    <x v="3"/>
    <x v="0"/>
    <x v="1"/>
    <x v="0"/>
    <x v="0"/>
    <x v="3"/>
    <s v="Every Day Office Environment"/>
    <s v="Employer who rewards learning and enables that environment"/>
    <s v="Trial and error by doing side projects within the company, Self Purchased Course from External Platforms, Manager Teaching you"/>
    <s v="Design and Creative strategy in any company, Business Operations in any organization, Build and develop a Team, Work as a freelancer and do my thing my way"/>
    <s v="Manager who sets goal and helps me achieve it"/>
    <s v="Work with more than 10 people in my team"/>
    <s v="Yes, I Understand this is gonna happen everywhere"/>
    <s v="Will work for 7 years or more"/>
    <m/>
  </r>
  <r>
    <d v="2023-04-05T21:51:49"/>
    <s v="India"/>
    <n v="632007"/>
    <x v="1"/>
    <x v="4"/>
    <x v="0"/>
    <x v="1"/>
    <x v="1"/>
    <x v="1"/>
    <x v="3"/>
    <s v="Every Day Office Environment"/>
    <s v="Employer who rewards learning and enables that environment"/>
    <s v="Self Paced Learning Portals of the Company, Instructor or Expert Learning Programs, Learning by observing others"/>
    <s v="Design and Creative strategy in any company, I Want to sell things/Sales, An Artificial Intelligence Specialist / Talking to Robots, Manufacturing / Oil and Gas/ Construction / Hard Physical Work related"/>
    <s v="Manager who sets goal and helps me achieve it"/>
    <s v="Work alone"/>
    <s v="Yes"/>
    <s v="No way"/>
    <m/>
  </r>
  <r>
    <d v="2023-04-05T21:55:03"/>
    <s v="India"/>
    <n v="515721"/>
    <x v="0"/>
    <x v="2"/>
    <x v="0"/>
    <x v="0"/>
    <x v="0"/>
    <x v="0"/>
    <x v="4"/>
    <s v="Fully Remote with Options to travel as and when needed"/>
    <s v="Employer who rewards learning and enables that environment"/>
    <s v="Instructor or Expert Learning Programs, Learning by observing others, Trial and error by doing side projects within the company"/>
    <s v="Business Operations in any organization, Manage and drive End-to-End Projects or Products, Build and develop a Team, I Want to sell things/Sales"/>
    <s v="Manager who explains what is expected, sets a goal and helps achieve it"/>
    <s v="Work with 5 to 6 people in my team"/>
    <s v="Yes"/>
    <s v="This will be hard to do, but if it is the right company I would try"/>
    <m/>
  </r>
  <r>
    <d v="2023-04-05T21:55:40"/>
    <s v="India"/>
    <n v="641015"/>
    <x v="0"/>
    <x v="2"/>
    <x v="0"/>
    <x v="0"/>
    <x v="0"/>
    <x v="0"/>
    <x v="4"/>
    <s v="Fully Remote with Options to travel as and when needed"/>
    <s v="Employer who rewards learning and enables that environment"/>
    <s v="Self Paced Learning Portals of the Company, Instructor or Expert Learning Programs, Learning by observing others"/>
    <s v="Business Operations in any organization, Entrepreneur or Start Up, I Want to sell things/Sales, Manufacturing / Oil and Gas/ Construction / Hard Physical Work related"/>
    <s v="Manager who explains what is expected, sets a goal and helps achieve it"/>
    <s v="Work with 2 to 3 people in my team, Work with 5 to 6 people in my team, Work with 7 to 10 or more people in my team, Work with more than 10 people in my team"/>
    <s v="I have NO other choice"/>
    <s v="This will be hard to do, but if it is the right company I would try"/>
    <m/>
  </r>
  <r>
    <d v="2023-04-05T21:55:43"/>
    <s v="India"/>
    <n v="500072"/>
    <x v="0"/>
    <x v="4"/>
    <x v="2"/>
    <x v="0"/>
    <x v="1"/>
    <x v="0"/>
    <x v="3"/>
    <s v="Fully Remote with No option to visit offices"/>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s v="Yes, I Understand this is gonna happen everywhere"/>
    <s v="This will be hard to do, but if it is the right company I would try"/>
    <m/>
  </r>
  <r>
    <d v="2023-04-05T22:05:22"/>
    <s v="India"/>
    <n v="410206"/>
    <x v="0"/>
    <x v="2"/>
    <x v="2"/>
    <x v="0"/>
    <x v="0"/>
    <x v="0"/>
    <x v="4"/>
    <s v="Fully Remote with No option to visit offices"/>
    <s v="Employer who appreciates learning and enables that environment"/>
    <s v="Self Paced Learning Portals of the Company, Trial and error by doing side projects within the company, Manager Teaching you"/>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05T22:06:07"/>
    <s v="India"/>
    <n v="577201"/>
    <x v="1"/>
    <x v="0"/>
    <x v="2"/>
    <x v="1"/>
    <x v="0"/>
    <x v="0"/>
    <x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ecome a content Creator in some platform, Entrepreneur or Start Up"/>
    <s v="Manager who explains what is expected, sets a goal and helps achieve it"/>
    <s v="Work with more than 10 people in my team"/>
    <s v="Yes, I Understand this is gonna happen everywhere"/>
    <s v="Will work for 7 years or more"/>
    <m/>
  </r>
  <r>
    <d v="2023-04-05T22:08:43"/>
    <s v="India"/>
    <n v="632007"/>
    <x v="0"/>
    <x v="3"/>
    <x v="1"/>
    <x v="0"/>
    <x v="0"/>
    <x v="0"/>
    <x v="5"/>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Entrepreneur or Start Up"/>
    <s v="Manager who sets goal and helps me achieve it"/>
    <s v="Work with 5 to 6 people in my team"/>
    <s v="Yes, I Understand this is gonna happen everywhere"/>
    <s v="No way"/>
    <m/>
  </r>
  <r>
    <d v="2023-04-05T22:18:04"/>
    <s v="India"/>
    <n v="201009"/>
    <x v="0"/>
    <x v="0"/>
    <x v="2"/>
    <x v="1"/>
    <x v="0"/>
    <x v="0"/>
    <x v="6"/>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s v="Teaching in any of the institutes/colleges/online or offline,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5T22:28:31"/>
    <s v="India"/>
    <n v="510101"/>
    <x v="0"/>
    <x v="3"/>
    <x v="1"/>
    <x v="1"/>
    <x v="0"/>
    <x v="0"/>
    <x v="8"/>
    <s v="Every Day Office Environment"/>
    <s v="Employers who appreciates learning but doesn't enables an learning environment"/>
    <s v="Instructor or Expert Learning Programs, Trial and error by doing side projects within the company, Self Purchased Course from External Platforms"/>
    <s v="Design and Creative strategy in any company, Business Operations in any organization, Look deeply into Data and generate insights, Entrepreneur or Start Up"/>
    <s v="Manager who sets goal and helps me achieve it"/>
    <s v="Work alone"/>
    <s v="I have NO other choice"/>
    <s v="No way"/>
    <m/>
  </r>
  <r>
    <d v="2023-04-05T22:33:36"/>
    <s v="India"/>
    <n v="122001"/>
    <x v="0"/>
    <x v="0"/>
    <x v="2"/>
    <x v="1"/>
    <x v="1"/>
    <x v="1"/>
    <x v="8"/>
    <s v="Fully Remote with Options to travel as and when needed"/>
    <s v="Employer who pushes your limits by enabling an learning environment, and rewards you at the end"/>
    <s v="Self Paced Learning Portals of the Company, Learning by observing others, Manager Teaching you"/>
    <s v="Manage and drive End-to-End Projects or Products, Look deeply into Data and generate insights, Work as a freelancer and do my thing my way, Entrepreneur or Start Up"/>
    <s v="Manager who clearly describes what she/he needs"/>
    <s v="Work alone, Work with 5 to 6 people in my team"/>
    <s v="No"/>
    <s v="Will work for 7 years or more"/>
    <m/>
  </r>
  <r>
    <d v="2023-04-05T22:38:40"/>
    <s v="India"/>
    <n v="305001"/>
    <x v="0"/>
    <x v="4"/>
    <x v="1"/>
    <x v="1"/>
    <x v="1"/>
    <x v="1"/>
    <x v="6"/>
    <s v="Hybrid Working Environment with more than 15 days a month at office"/>
    <s v="Employer who appreciates learning and enables that environment"/>
    <s v="Instructor or Expert Learning Programs, Learning by observing others, Trial and error by doing side projects within the company"/>
    <s v="Teaching in any of the institutes/colleges/online or offline, Look deeply into Data and generate insights, Become a content Creator in some platform, Entrepreneur or Start Up"/>
    <s v="Manager who explains what is expected, sets a goal and helps achieve it"/>
    <s v="Work with 2 to 3 people in my team"/>
    <s v="Yes"/>
    <s v="Will work for 7 years or more"/>
    <m/>
  </r>
  <r>
    <d v="2023-04-05T22:39:17"/>
    <s v="India"/>
    <n v="110059"/>
    <x v="1"/>
    <x v="0"/>
    <x v="0"/>
    <x v="0"/>
    <x v="1"/>
    <x v="0"/>
    <x v="3"/>
    <s v="Fully Remote with No option to visit offices"/>
    <s v="Employer who appreciates learning and enables that environment"/>
    <s v="Self Paced Learning Portals of the Company, Learning by observing others, Trial and error by doing side projects within the company"/>
    <s v="Business Operations in any organization, Work as a freelancer and do my thing my way, Become a content Creator in some platform, Manufacturing / Oil and Gas/ Construction / Hard Physical Work related"/>
    <s v="Manager who explains what is expected, sets a goal and helps achieve it"/>
    <s v="Work with 7 to 10 or more people in my team"/>
    <s v="Yes, I Understand this is gonna happen everywhere"/>
    <s v="No way"/>
    <m/>
  </r>
  <r>
    <d v="2023-04-05T22:39:29"/>
    <s v="India"/>
    <n v="400072"/>
    <x v="0"/>
    <x v="3"/>
    <x v="0"/>
    <x v="0"/>
    <x v="0"/>
    <x v="0"/>
    <x v="4"/>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5T22:43:05"/>
    <s v="India"/>
    <n v="620011"/>
    <x v="1"/>
    <x v="2"/>
    <x v="1"/>
    <x v="0"/>
    <x v="1"/>
    <x v="0"/>
    <x v="7"/>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Build and develop a Team, Entrepreneur or Start Up, I Want to sell things/Sales, Manufacturing / Oil and Gas/ Construction / Hard Physical Work related"/>
    <s v="Manager who sets targets and expects me to achieve it"/>
    <s v="Work with 5 to 6 people in my team"/>
    <s v="Yes"/>
    <s v="No way"/>
    <m/>
  </r>
  <r>
    <d v="2023-04-05T22:45:37"/>
    <s v="India"/>
    <n v="110059"/>
    <x v="1"/>
    <x v="0"/>
    <x v="0"/>
    <x v="3"/>
    <x v="1"/>
    <x v="0"/>
    <x v="0"/>
    <s v="Hybrid Working Environment with less than 3 days a month at office"/>
    <s v="Employer who rewards learning and enables that environment"/>
    <s v="Self Paced Learning Portals of the Company, Learning by observing others, Manager Teaching you"/>
    <s v="Design and Creative strategy in any company, Teaching in any of the institutes/colleges/online or offline, Work as a freelancer and do my thing my way, Manufacturing / Oil and Gas/ Construction / Hard Physical Work related"/>
    <s v="Manager who explains what is expected, sets a goal and helps achieve it"/>
    <s v="Work with 5 to 6 people in my team"/>
    <s v="I have NO other choice"/>
    <s v="No way"/>
    <m/>
  </r>
  <r>
    <d v="2023-04-05T22:58:05"/>
    <s v="India"/>
    <n v="641663"/>
    <x v="1"/>
    <x v="0"/>
    <x v="1"/>
    <x v="0"/>
    <x v="1"/>
    <x v="0"/>
    <x v="7"/>
    <s v="Fully Remote with No option to visit offices"/>
    <s v="Employer who pushes your limits by enabling an learning environment, and rewards you at the end"/>
    <s v="Learning by observing others, Trial and error by doing side projects within the company, Manager Teaching you"/>
    <s v="Teaching in any of the institutes/colleges/online or offline, Business Operations in any organization, Become a content Creator in some platform, Entrepreneur or Start Up"/>
    <s v="Manager who explains what is expected, sets a goal and helps achieve it"/>
    <s v="Work alone"/>
    <s v="No"/>
    <s v="This will be hard to do, but if it is the right company I would try"/>
    <m/>
  </r>
  <r>
    <d v="2023-04-05T22:59:03"/>
    <s v="India"/>
    <n v="641004"/>
    <x v="0"/>
    <x v="4"/>
    <x v="2"/>
    <x v="0"/>
    <x v="1"/>
    <x v="1"/>
    <x v="5"/>
    <s v="Hybrid Working Environment with more than 15 days a month at office"/>
    <s v="Employer who rewards learning and enables that environment"/>
    <s v="Instructor or Expert Learning Programs, Learning by observing others, Manager Teaching you"/>
    <s v="Teaching in any of the institutes/colleges/online or offline, Business Operations in any organization, Build and develop a Team, Entrepreneur or Start Up"/>
    <s v="Manager who sets goal and helps me achieve it"/>
    <s v="Work alone, Work with 2 to 3 people in my team, Work with 5 to 6 people in my team"/>
    <s v="No"/>
    <s v="This will be hard to do, but if it is the right company I would try"/>
    <m/>
  </r>
  <r>
    <d v="2023-04-05T23:09:24"/>
    <s v="India"/>
    <n v="673005"/>
    <x v="1"/>
    <x v="2"/>
    <x v="0"/>
    <x v="0"/>
    <x v="0"/>
    <x v="0"/>
    <x v="4"/>
    <s v="Fully Remote with Options to travel as and when needed"/>
    <s v="Employer who rewards learning and enables that environment"/>
    <s v="Self Paced Learning Portals of the Company,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No"/>
    <s v="This will be hard to do, but if it is the right company I would try"/>
    <m/>
  </r>
  <r>
    <d v="2023-04-05T23:11:57"/>
    <s v="India"/>
    <n v="400067"/>
    <x v="0"/>
    <x v="4"/>
    <x v="2"/>
    <x v="0"/>
    <x v="1"/>
    <x v="1"/>
    <x v="8"/>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more than 10 people in my team"/>
    <s v="No"/>
    <s v="No way"/>
    <m/>
  </r>
  <r>
    <d v="2023-04-05T23:17:53"/>
    <s v="India"/>
    <n v="400067"/>
    <x v="1"/>
    <x v="4"/>
    <x v="2"/>
    <x v="3"/>
    <x v="0"/>
    <x v="0"/>
    <x v="1"/>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Design and Develop amazing software, Entrepreneur or Start Up"/>
    <s v="Manager who explains what is expected, sets a goal and helps achieve it"/>
    <s v="Work with 5 to 6 people in my team, Work with 7 to 10 or more people in my team, Work with more than 10 people in my team"/>
    <s v="No"/>
    <s v="No way"/>
    <m/>
  </r>
  <r>
    <d v="2023-04-05T23:30:22"/>
    <s v="India"/>
    <n v="507002"/>
    <x v="0"/>
    <x v="2"/>
    <x v="0"/>
    <x v="0"/>
    <x v="1"/>
    <x v="0"/>
    <x v="5"/>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Work as a freelancer and do my thing my way, Entrepreneur or Start Up"/>
    <s v="Manager who sets goal and helps me achieve it"/>
    <s v="Work with 2 to 3 people in my team"/>
    <s v="Yes"/>
    <s v="This will be hard to do, but if it is the right company I would try"/>
    <m/>
  </r>
  <r>
    <d v="2023-04-05T23:30:32"/>
    <s v="India"/>
    <n v="574102"/>
    <x v="0"/>
    <x v="3"/>
    <x v="2"/>
    <x v="1"/>
    <x v="0"/>
    <x v="1"/>
    <x v="8"/>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Manage and drive End-to-End Projects or Products"/>
    <s v="Manager who sets targets and expects me to achieve it"/>
    <s v="Work with more than 10 people in my team"/>
    <s v="Yes, I Understand this is gonna happen everywhere"/>
    <s v="This will be hard to do, but if it is the right company I would try"/>
    <m/>
  </r>
  <r>
    <d v="2023-04-06T00:04:27"/>
    <s v="India"/>
    <n v="507002"/>
    <x v="0"/>
    <x v="4"/>
    <x v="0"/>
    <x v="1"/>
    <x v="1"/>
    <x v="1"/>
    <x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with 2 to 3 people in my team"/>
    <s v="No"/>
    <s v="Will work for 7 years or more"/>
    <m/>
  </r>
  <r>
    <d v="2023-04-06T00:04:59"/>
    <s v="India"/>
    <n v="132001"/>
    <x v="0"/>
    <x v="4"/>
    <x v="0"/>
    <x v="0"/>
    <x v="0"/>
    <x v="0"/>
    <x v="4"/>
    <s v="Fully Remote with No option to visit offices"/>
    <s v="Employer who appreciates learning and enables that environment"/>
    <s v="Self Paced Learning Portals of the Company, Instructor or Expert Learning Programs, Manager Teaching you"/>
    <s v="Manage and drive End-to-End Projects or Products, Work in a BPO setup for some well known client, Work as a freelancer and do my thing my way, Manufacturing / Oil and Gas/ Construction / Hard Physical Work related"/>
    <s v="Manager who explains what is expected, sets a goal and helps achieve it"/>
    <s v="Work with 7 to 10 or more people in my team"/>
    <s v="Yes"/>
    <s v="This will be hard to do, but if it is the right company I would try"/>
    <m/>
  </r>
  <r>
    <d v="2023-04-06T00:05:02"/>
    <s v="India"/>
    <n v="314025"/>
    <x v="0"/>
    <x v="0"/>
    <x v="0"/>
    <x v="0"/>
    <x v="1"/>
    <x v="0"/>
    <x v="2"/>
    <s v="Every Day Office Environment"/>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alone, Work with 2 to 3 people in my team, Work with more than 10 people in my team"/>
    <s v="Yes, I Understand this is gonna happen everywhere"/>
    <s v="This will be hard to do, but if it is the right company I would try"/>
    <m/>
  </r>
  <r>
    <d v="2023-04-06T00:16:44"/>
    <s v="India"/>
    <n v="305001"/>
    <x v="1"/>
    <x v="4"/>
    <x v="1"/>
    <x v="0"/>
    <x v="1"/>
    <x v="0"/>
    <x v="3"/>
    <s v="Hybrid Working Environment with less than 3 days a month at office"/>
    <s v="Employer who pushes your limits by enabling an learning environment, and rewards you at the end"/>
    <s v="Self Paced Learning Portals of the Company, Trial and error by doing side projects within the company, Manager Teaching you"/>
    <s v="Entrepreneur or Start Up, I Want to sell things/Sales, An Artificial Intelligence Specialist / Talking to Robots, Manufacturing / Oil and Gas/ Construction / Hard Physical Work related"/>
    <s v="Manager who explains what is expected, sets a goal and helps achieve it"/>
    <s v="Work with 7 to 10 or more people in my team"/>
    <s v="No"/>
    <s v="No way"/>
    <m/>
  </r>
  <r>
    <d v="2023-04-06T00:30:28"/>
    <s v="India"/>
    <n v="382418"/>
    <x v="1"/>
    <x v="4"/>
    <x v="2"/>
    <x v="0"/>
    <x v="0"/>
    <x v="0"/>
    <x v="1"/>
    <s v="Fully Remote with Options to travel as and when needed"/>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Design and Develop amazing software, Entrepreneur or Start Up"/>
    <s v="Manager who explains what is expected, sets a goal and helps achieve it"/>
    <s v="Work with 2 to 3 people in my team, Work with 5 to 6 people in my team"/>
    <s v="No"/>
    <s v="No way"/>
    <m/>
  </r>
  <r>
    <d v="2023-04-06T00:46:18"/>
    <s v="India"/>
    <n v="132001"/>
    <x v="1"/>
    <x v="4"/>
    <x v="0"/>
    <x v="0"/>
    <x v="0"/>
    <x v="0"/>
    <x v="4"/>
    <s v="Hybrid Working Environment with less than 3 days a month at office"/>
    <s v="Employer who pushes your limits by enabling an learning environment, and rewards you at the end"/>
    <s v="Self Paced Learning Portals of the Company, Instructor or Expert Learning Programs, Manager Teaching you"/>
    <s v="Business Operations in any organization, Build and develop a Team, Look deeply into Data and generate insights, Entrepreneur or Start Up"/>
    <s v="Manager who explains what is expected, sets a goal and helps achieve it"/>
    <s v="Work with more than 10 people in my team"/>
    <s v="Yes, I Understand this is gonna happen everywhere"/>
    <s v="No way"/>
    <m/>
  </r>
  <r>
    <d v="2023-04-06T01:35:24"/>
    <s v="Others"/>
    <s v="01-923"/>
    <x v="1"/>
    <x v="0"/>
    <x v="0"/>
    <x v="0"/>
    <x v="1"/>
    <x v="0"/>
    <x v="2"/>
    <s v="Fully Remote with No option to visit offices"/>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Work as a freelancer and do my thing my way, An Artificial Intelligence Specialist / Talking to Robots"/>
    <s v="Manager who explains what is expected, sets a goal and helps achieve it"/>
    <s v="Work alone"/>
    <s v="Yes, I Understand this is gonna happen everywhere"/>
    <s v="This will be hard to do, but if it is the right company I would try"/>
    <m/>
  </r>
  <r>
    <d v="2023-04-06T01:52:42"/>
    <s v="India"/>
    <n v="670562"/>
    <x v="0"/>
    <x v="0"/>
    <x v="0"/>
    <x v="0"/>
    <x v="0"/>
    <x v="1"/>
    <x v="5"/>
    <s v="Every Day Office Environment"/>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m/>
  </r>
  <r>
    <d v="2023-04-06T02:36:15"/>
    <s v="India"/>
    <n v="560094"/>
    <x v="0"/>
    <x v="0"/>
    <x v="0"/>
    <x v="1"/>
    <x v="0"/>
    <x v="0"/>
    <x v="4"/>
    <s v="Fully Remote with Options to travel as and when needed"/>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Design and Develop amazing software"/>
    <s v="Manager who explains what is expected, sets a goal and helps achieve it"/>
    <s v="Work alone, Work with 2 to 3 people in my team"/>
    <s v="I have NO other choice"/>
    <s v="This will be hard to do, but if it is the right company I would try"/>
    <m/>
  </r>
  <r>
    <d v="2023-04-06T04:12:07"/>
    <s v="India"/>
    <n v="560050"/>
    <x v="0"/>
    <x v="2"/>
    <x v="0"/>
    <x v="1"/>
    <x v="1"/>
    <x v="1"/>
    <x v="8"/>
    <s v="Every Day Office Environment"/>
    <s v="Employer who pushes your limits by enabling an learning environment, and rewards you at the end"/>
    <s v="Self Paced Learning Portals of the Company, Instructor or Expert Learning Programs, Learning by observing others"/>
    <s v="Build and develop a Team, Design and Develop amazing software,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m/>
  </r>
  <r>
    <d v="2023-04-06T05:37:00"/>
    <s v="India"/>
    <n v="577127"/>
    <x v="1"/>
    <x v="1"/>
    <x v="1"/>
    <x v="1"/>
    <x v="0"/>
    <x v="0"/>
    <x v="1"/>
    <s v="Fully Remote with Options to travel as and when needed"/>
    <s v="Employer who appreciates learning and enables that environment"/>
    <s v="Learning by observing others, Self Purchased Course from External Platforms, Manager Teaching you"/>
    <s v="Design and Creative strategy in any company, Design and Develop amazing software, Work as a freelancer and do my thing my way, I Want to sell things/Sales"/>
    <s v="Manager who sets goal and helps me achieve it"/>
    <s v="Work alone"/>
    <s v="Yes, I Understand this is gonna happen everywhere"/>
    <s v="Will work for 7 years or more"/>
    <m/>
  </r>
  <r>
    <d v="2023-04-06T05:54:47"/>
    <s v="India"/>
    <n v="151001"/>
    <x v="0"/>
    <x v="3"/>
    <x v="0"/>
    <x v="1"/>
    <x v="0"/>
    <x v="1"/>
    <x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Work as a freelancer and do my thing my way"/>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6T06:00:31"/>
    <s v="Canada"/>
    <s v="N5v3c4"/>
    <x v="0"/>
    <x v="1"/>
    <x v="0"/>
    <x v="1"/>
    <x v="0"/>
    <x v="0"/>
    <x v="3"/>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s v="I have NO other choice"/>
    <s v="This will be hard to do, but if it is the right company I would try"/>
    <m/>
  </r>
  <r>
    <d v="2023-04-06T06:02:33"/>
    <s v="India"/>
    <n v="441009"/>
    <x v="0"/>
    <x v="1"/>
    <x v="2"/>
    <x v="1"/>
    <x v="0"/>
    <x v="0"/>
    <x v="2"/>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4-06T06:10:37"/>
    <s v="India"/>
    <n v="201310"/>
    <x v="0"/>
    <x v="2"/>
    <x v="1"/>
    <x v="0"/>
    <x v="0"/>
    <x v="0"/>
    <x v="4"/>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06T07:09:17"/>
    <s v="India"/>
    <n v="445402"/>
    <x v="0"/>
    <x v="0"/>
    <x v="0"/>
    <x v="0"/>
    <x v="0"/>
    <x v="0"/>
    <x v="8"/>
    <s v="Fully Remote with Options to travel as and when needed"/>
    <s v="Employer who appreciates learning and enables that environment"/>
    <s v="Self Paced Learning Portals of the Company, Self Purchased Course from External Platforms, Manager Teaching you"/>
    <s v="Business Operations in any organization, Build and develop a Team, Work as a freelancer and do my thing my way, Entrepreneur or Start Up"/>
    <s v="Manager who sets unrealistic targets"/>
    <s v="Work with 2 to 3 people in my team"/>
    <s v="Yes, I Understand this is gonna happen everywhere"/>
    <s v="This will be hard to do, but if it is the right company I would try"/>
    <m/>
  </r>
  <r>
    <d v="2023-04-06T07:31:20"/>
    <s v="India"/>
    <n v="110059"/>
    <x v="0"/>
    <x v="3"/>
    <x v="0"/>
    <x v="3"/>
    <x v="1"/>
    <x v="0"/>
    <x v="4"/>
    <s v="Fully Remote with No option to visit offices"/>
    <s v="Employer who rewards learning and enables that environment"/>
    <s v="Self Paced Learning Portals of the Company, Learning by observing others, Self Purchased Course from External Platforms"/>
    <s v="Business Operations in any organization, Work as a freelancer and do my thing my way, Become a content Creator in some platform, Manufacturing / Oil and Gas/ Construction / Hard Physical Work related"/>
    <s v="Manager who clearly describes what she/he needs"/>
    <s v="Work with 7 to 10 or more people in my team"/>
    <s v="I have NO other choice"/>
    <s v="No way"/>
    <m/>
  </r>
  <r>
    <d v="2023-04-06T07:51:55"/>
    <s v="India"/>
    <n v="395009"/>
    <x v="1"/>
    <x v="3"/>
    <x v="0"/>
    <x v="0"/>
    <x v="0"/>
    <x v="0"/>
    <x v="4"/>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4-06T08:06:04"/>
    <s v="India"/>
    <n v="462041"/>
    <x v="0"/>
    <x v="4"/>
    <x v="0"/>
    <x v="0"/>
    <x v="0"/>
    <x v="0"/>
    <x v="0"/>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s v="Business Operations in any organization, Look deeply into Data and generate insights, Entrepreneur or Start Up, Manufacturing / Oil and Gas/ Construction / Hard Physical Work related"/>
    <s v="Manager who sets goal and helps me achieve it"/>
    <s v="Work with 5 to 6 people in my team"/>
    <s v="Yes, I Understand this is gonna happen everywhere"/>
    <s v="No way"/>
    <m/>
  </r>
  <r>
    <d v="2023-04-06T08:52:41"/>
    <s v="India"/>
    <n v="110077"/>
    <x v="0"/>
    <x v="2"/>
    <x v="2"/>
    <x v="1"/>
    <x v="1"/>
    <x v="0"/>
    <x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06T09:00:39"/>
    <s v="India"/>
    <n v="400072"/>
    <x v="0"/>
    <x v="2"/>
    <x v="0"/>
    <x v="1"/>
    <x v="0"/>
    <x v="0"/>
    <x v="0"/>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explains what is expected, sets a goal and helps achieve it"/>
    <s v="Work with more than 10 people in my team"/>
    <s v="Yes, I Understand this is gonna happen everywhere"/>
    <s v="This will be hard to do, but if it is the right company I would try"/>
    <m/>
  </r>
  <r>
    <d v="2023-04-06T09:08:24"/>
    <s v="India"/>
    <n v="680508"/>
    <x v="0"/>
    <x v="4"/>
    <x v="0"/>
    <x v="0"/>
    <x v="0"/>
    <x v="0"/>
    <x v="9"/>
    <s v="Fully Remote with Options to travel as and when needed"/>
    <s v="Employer who rewards learning and enables that environment"/>
    <s v="Instructor or Expert Learning Programs, Self Purchased Course from External Platforms, Manager Teaching you"/>
    <s v="Design and Creative strategy in any company, Build and develop a Team, I Want to sell things/Sales, Manufacturing / Oil and Gas/ Construction / Hard Physical Work related"/>
    <s v="Manager who clearly describes what she/he needs"/>
    <s v="Work with 5 to 6 people in my team"/>
    <s v="I have NO other choice"/>
    <s v="No way"/>
    <m/>
  </r>
  <r>
    <d v="2023-04-06T09:20:29"/>
    <s v="India"/>
    <n v="670011"/>
    <x v="1"/>
    <x v="1"/>
    <x v="2"/>
    <x v="0"/>
    <x v="0"/>
    <x v="0"/>
    <x v="3"/>
    <s v="Hybrid Working Environment with more than 15 days a month at office"/>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5 to 6 people in my team"/>
    <s v="No"/>
    <s v="No way"/>
    <m/>
  </r>
  <r>
    <d v="2023-04-06T09:51:53"/>
    <s v="India"/>
    <n v="201009"/>
    <x v="1"/>
    <x v="2"/>
    <x v="1"/>
    <x v="0"/>
    <x v="1"/>
    <x v="1"/>
    <x v="3"/>
    <s v="Fully Remote with No option to visit offices"/>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s v="Yes, I Understand this is gonna happen everywhere"/>
    <s v="No way"/>
    <m/>
  </r>
  <r>
    <d v="2023-04-06T09:54:17"/>
    <s v="India"/>
    <n v="201009"/>
    <x v="0"/>
    <x v="0"/>
    <x v="1"/>
    <x v="0"/>
    <x v="0"/>
    <x v="1"/>
    <x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Design and Develop amazing software, Work as a freelancer and do my thing my way"/>
    <s v="Manager who explains what is expected, sets a goal and helps achieve it"/>
    <s v="Work alone, Work with 2 to 3 people in my team"/>
    <s v="I have NO other choice"/>
    <s v="No way"/>
    <m/>
  </r>
  <r>
    <d v="2023-04-06T10:00:46"/>
    <s v="India"/>
    <n v="500072"/>
    <x v="0"/>
    <x v="1"/>
    <x v="0"/>
    <x v="1"/>
    <x v="1"/>
    <x v="0"/>
    <x v="1"/>
    <s v="Fully Remote with Options to travel as and when needed"/>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Build and develop a Team, Look deeply into Data and generate insights"/>
    <s v="Manager who sets targets and expects me to achieve it"/>
    <s v="Work with more than 10 people in my team"/>
    <s v="Yes, I Understand this is gonna happen everywhere"/>
    <s v="Will work for 7 years or more"/>
    <m/>
  </r>
  <r>
    <d v="2023-04-06T10:02:25"/>
    <s v="India"/>
    <n v="201009"/>
    <x v="1"/>
    <x v="0"/>
    <x v="1"/>
    <x v="0"/>
    <x v="0"/>
    <x v="0"/>
    <x v="6"/>
    <s v="Hybrid Working Environment with more than 15 days a month at office"/>
    <s v="Employer who rewards learning and enables that environment"/>
    <s v="Instructor or Expert Learning Programs, Learning by observing others, Manager Teaching you"/>
    <s v="Design and Creative strategy in any company, Teaching in any of the institutes/colleges/online or offline, Work in a BPO setup for some well known client, Work as a freelancer and do my thing my way"/>
    <s v="Manager who sets targets and expects me to achieve it"/>
    <s v="Work alone"/>
    <s v="No"/>
    <s v="Will work for 7 years or more"/>
    <m/>
  </r>
  <r>
    <d v="2023-04-06T10:18:54"/>
    <s v="India"/>
    <n v="110017"/>
    <x v="0"/>
    <x v="2"/>
    <x v="0"/>
    <x v="0"/>
    <x v="0"/>
    <x v="0"/>
    <x v="3"/>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Work as a freelancer and do my thing my way, Entrepreneur or Start Up, An Artificial Intelligence Specialist / Talking to Robots"/>
    <s v="Manager who sets goal and helps me achieve it"/>
    <s v="Work with 5 to 6 people in my team"/>
    <s v="Yes, I Understand this is gonna happen everywhere"/>
    <s v="No way"/>
    <m/>
  </r>
  <r>
    <d v="2023-04-06T10:21:19"/>
    <s v="India"/>
    <n v="721422"/>
    <x v="0"/>
    <x v="4"/>
    <x v="2"/>
    <x v="1"/>
    <x v="1"/>
    <x v="0"/>
    <x v="0"/>
    <s v="Fully Remote with Options to travel as and when needed"/>
    <s v="Employer who rewards learning and enables that environment"/>
    <s v="Self Paced Learning Portals of the Company, Trial and error by doing side projects within the company, Self Purchased Course from External Platforms"/>
    <s v="Design and Creative strategy in any company, Teaching in any of the institutes/colleges/online or offline, Build and develop a Team, Look deeply into Data and generate insights"/>
    <s v="Manager who clearly describes what she/he needs"/>
    <s v="Work with 2 to 3 people in my team, Work with 5 to 6 people in my team"/>
    <s v="Yes, I Understand this is gonna happen everywhere"/>
    <s v="This will be hard to do, but if it is the right company I would try"/>
    <m/>
  </r>
  <r>
    <d v="2023-04-06T10:25:48"/>
    <s v="India"/>
    <n v="400610"/>
    <x v="0"/>
    <x v="3"/>
    <x v="1"/>
    <x v="1"/>
    <x v="0"/>
    <x v="0"/>
    <x v="1"/>
    <s v="Hybrid Working Environment with more than 15 days a month at office"/>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Manage and drive End-to-End Projects or Products, Build and develop a Team"/>
    <s v="Manager who sets goal and helps me achieve it"/>
    <s v="Work with more than 10 people in my team"/>
    <s v="No"/>
    <s v="This will be hard to do, but if it is the right company I would try"/>
    <m/>
  </r>
  <r>
    <d v="2023-04-06T10:27:47"/>
    <s v="India"/>
    <n v="201301"/>
    <x v="0"/>
    <x v="1"/>
    <x v="0"/>
    <x v="1"/>
    <x v="0"/>
    <x v="0"/>
    <x v="9"/>
    <s v="Hybrid Working Environment with less than 3 days a month at office"/>
    <s v="Employer who appreciates learning and enables that environment"/>
    <s v="Self Paced Learning Portals of the Company, Instructor or Expert Learning Programs, Manager Teaching you"/>
    <s v="Design and Creative strategy in any company, Teaching in any of the institutes/colleges/online or offline, Manage and drive End-to-End Projects or Products, Build and develop a Team"/>
    <s v="Manager who clearly describes what she/he needs"/>
    <s v="Work with 5 to 6 people in my team"/>
    <s v="Yes, I Understand this is gonna happen everywhere"/>
    <s v="This will be hard to do, but if it is the right company I would try"/>
    <m/>
  </r>
  <r>
    <d v="2023-04-06T10:37:28"/>
    <s v="India"/>
    <n v="201301"/>
    <x v="0"/>
    <x v="4"/>
    <x v="0"/>
    <x v="1"/>
    <x v="0"/>
    <x v="0"/>
    <x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s v="Will work for 7 years or more"/>
    <m/>
  </r>
  <r>
    <d v="2023-04-06T10:42:17"/>
    <s v="India"/>
    <n v="110059"/>
    <x v="1"/>
    <x v="1"/>
    <x v="0"/>
    <x v="1"/>
    <x v="0"/>
    <x v="0"/>
    <x v="7"/>
    <s v="Fully Remote with No option to visit offices"/>
    <s v="Employer who appreciates learning and enables that environment"/>
    <s v="Self Paced Learning Portals of the Company, Learning by observing others, Manager Teaching you"/>
    <s v="Design and Creative strategy in any company, Business Operations in any organization, An Artificial Intelligence Specialist / Talking to Robots, Manufacturing / Oil and Gas/ Construction / Hard Physical Work related"/>
    <s v="Manager who clearly describes what she/he needs"/>
    <s v="Work with 2 to 3 people in my team"/>
    <s v="No"/>
    <s v="No way"/>
    <m/>
  </r>
  <r>
    <d v="2023-04-06T10:50:21"/>
    <s v="India"/>
    <n v="110008"/>
    <x v="0"/>
    <x v="3"/>
    <x v="0"/>
    <x v="1"/>
    <x v="1"/>
    <x v="1"/>
    <x v="9"/>
    <s v="Fully Remote with No option to visit offices"/>
    <s v="Employer who rewards learning and enables that environment"/>
    <s v="Self Paced Learning Portals of the Company, Learning by observing others, Manager Teaching you"/>
    <s v="Design and Creative strategy in any company, Business Operations in any organization, Design and Develop amazing software, Entrepreneur or Start Up"/>
    <s v="Manager who clearly describes what she/he needs"/>
    <s v="Work with 7 to 10 or more people in my team"/>
    <s v="I have NO other choice"/>
    <s v="This will be hard to do, but if it is the right company I would try"/>
    <m/>
  </r>
  <r>
    <d v="2023-04-06T10:56:20"/>
    <s v="India"/>
    <n v="110067"/>
    <x v="1"/>
    <x v="3"/>
    <x v="0"/>
    <x v="0"/>
    <x v="1"/>
    <x v="1"/>
    <x v="5"/>
    <s v="Fully Remote with No option to visit offices"/>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Manufacturing / Oil and Gas/ Construction / Hard Physical Work related"/>
    <s v="Manager who clearly describes what she/he needs"/>
    <s v="Work with more than 10 people in my team"/>
    <s v="Yes"/>
    <s v="No way"/>
    <m/>
  </r>
  <r>
    <d v="2023-04-06T10:58:11"/>
    <s v="India"/>
    <n v="122022"/>
    <x v="1"/>
    <x v="3"/>
    <x v="0"/>
    <x v="1"/>
    <x v="0"/>
    <x v="0"/>
    <x v="4"/>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s v="No"/>
    <s v="Will work for 7 years or more"/>
    <m/>
  </r>
  <r>
    <d v="2023-04-06T11:04:57"/>
    <s v="India"/>
    <n v="110078"/>
    <x v="0"/>
    <x v="3"/>
    <x v="0"/>
    <x v="1"/>
    <x v="1"/>
    <x v="1"/>
    <x v="8"/>
    <s v="Fully Remote with No option to visit offices"/>
    <s v="Employer who appreciates learning and enables that environment"/>
    <s v="Self Paced Learning Portals of the Company, Self Purchased Course from External Platforms, Manager Teaching you"/>
    <s v="Design and Creative strategy in any company, Business Operations in any organization, Manage and drive End-to-End Projects or Products, Manufacturing / Oil and Gas/ Construction / Hard Physical Work related"/>
    <s v="Manager who sets goal and helps me achieve it"/>
    <s v="Work with 7 to 10 or more people in my team"/>
    <s v="Yes"/>
    <s v="No way"/>
    <m/>
  </r>
  <r>
    <d v="2023-04-06T11:11:32"/>
    <s v="India"/>
    <n v="442906"/>
    <x v="0"/>
    <x v="4"/>
    <x v="2"/>
    <x v="0"/>
    <x v="1"/>
    <x v="1"/>
    <x v="2"/>
    <s v="Every Day Office Environment"/>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Become a content Creator in some platform"/>
    <s v="Manager who clearly describes what she/he needs"/>
    <s v="Work alone, Work with 2 to 3 people in my team"/>
    <s v="Yes"/>
    <s v="This will be hard to do, but if it is the right company I would try"/>
    <m/>
  </r>
  <r>
    <d v="2023-04-06T11:14:32"/>
    <s v="India"/>
    <n v="122102"/>
    <x v="1"/>
    <x v="4"/>
    <x v="2"/>
    <x v="1"/>
    <x v="0"/>
    <x v="0"/>
    <x v="1"/>
    <s v="Every Day Office Environment"/>
    <s v="Employer who appreciates learning and enables that environment"/>
    <s v="Instructor or Expert Learning Programs, Learning by observing others, Self Purchased Course from External Platforms"/>
    <s v="Business Operations in any organization, Work as a freelancer and do my thing my way, Entrepreneur or Start Up, I Want to sell things/Sales"/>
    <s v="Manager who sets goal and helps me achieve it"/>
    <s v="Work with 5 to 6 people in my team"/>
    <s v="No"/>
    <s v="No way"/>
    <m/>
  </r>
  <r>
    <d v="2023-04-06T11:18:38"/>
    <s v="India"/>
    <n v="110022"/>
    <x v="1"/>
    <x v="3"/>
    <x v="1"/>
    <x v="1"/>
    <x v="1"/>
    <x v="1"/>
    <x v="8"/>
    <s v="Fully Remote with No option to visit offices"/>
    <s v="Employer who appreciates learning and enables that environment"/>
    <s v="Self Paced Learning Portals of the Company, Learning by observing others, Manager Teaching you"/>
    <s v="Design and Creative strategy in any company, Business Operations in any organization, Become a content Creator in some platform, Manufacturing / Oil and Gas/ Construction / Hard Physical Work related"/>
    <s v="Manager who clearly describes what she/he needs"/>
    <s v="Work with 7 to 10 or more people in my team"/>
    <s v="Yes"/>
    <s v="No way"/>
    <m/>
  </r>
  <r>
    <d v="2023-04-06T11:26:19"/>
    <s v="India"/>
    <n v="110030"/>
    <x v="0"/>
    <x v="4"/>
    <x v="0"/>
    <x v="0"/>
    <x v="0"/>
    <x v="0"/>
    <x v="5"/>
    <s v="Hybrid Working Environment with less than 3 days a month at office"/>
    <s v="Employer who appreciates learning and enables that environment"/>
    <s v="Self Paced Learning Portals of the Company, Instructor or Expert Learning Programs, Learning by observing others"/>
    <s v="Manage and drive End-to-End Projects or Products, Build and develop a Team, Work as a freelancer and do my thing my way, Become a content Creator in some platform"/>
    <s v="Manager who clearly describes what she/he needs"/>
    <s v="Work with 2 to 3 people in my team, Work with 5 to 6 people in my team"/>
    <s v="No"/>
    <s v="No way"/>
    <m/>
  </r>
  <r>
    <d v="2023-04-06T11:32:06"/>
    <s v="India"/>
    <n v="442902"/>
    <x v="0"/>
    <x v="2"/>
    <x v="0"/>
    <x v="3"/>
    <x v="0"/>
    <x v="0"/>
    <x v="1"/>
    <s v="Fully Remote with No option to visit offices"/>
    <s v="Employer who rewards learning and enables that environment"/>
    <s v="Instructor or Expert Learning Programs, Trial and error by doing side projects within the company, Manager Teaching you"/>
    <s v="Teaching in any of the institutes/colleges/online or offline, Look deeply into Data and generate insights, Work as a freelancer and do my thing my way, Become a content Creator in some platform"/>
    <s v="Manager who explains what is expected, sets a goal and helps achieve it"/>
    <s v="Work with 5 to 6 people in my team"/>
    <s v="No"/>
    <s v="No way"/>
    <m/>
  </r>
  <r>
    <d v="2023-04-06T11:40:41"/>
    <s v="India"/>
    <n v="201014"/>
    <x v="0"/>
    <x v="4"/>
    <x v="0"/>
    <x v="0"/>
    <x v="1"/>
    <x v="0"/>
    <x v="5"/>
    <s v="Hybrid Working Environment with less than 3 days a month at office"/>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clearly describes what she/he needs"/>
    <s v="Work with 5 to 6 people in my team"/>
    <s v="No"/>
    <s v="This will be hard to do, but if it is the right company I would try"/>
    <m/>
  </r>
  <r>
    <d v="2023-04-06T11:41:15"/>
    <s v="India"/>
    <n v="110040"/>
    <x v="0"/>
    <x v="4"/>
    <x v="0"/>
    <x v="1"/>
    <x v="0"/>
    <x v="0"/>
    <x v="4"/>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Work as a freelancer and do my thing my way"/>
    <s v="Manager who sets targets and expects me to achieve it"/>
    <s v="Work with 7 to 10 or more people in my team"/>
    <s v="Yes, I Understand this is gonna happen everywhere"/>
    <s v="This will be hard to do, but if it is the right company I would try"/>
    <m/>
  </r>
  <r>
    <d v="2023-04-06T11:43:13"/>
    <s v="India"/>
    <n v="201301"/>
    <x v="0"/>
    <x v="3"/>
    <x v="0"/>
    <x v="1"/>
    <x v="0"/>
    <x v="0"/>
    <x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more than 10 people in my team"/>
    <s v="Yes, I Understand this is gonna happen everywhere"/>
    <s v="Will work for 7 years or more"/>
    <m/>
  </r>
  <r>
    <d v="2023-04-06T11:48:57"/>
    <s v="India"/>
    <n v="110066"/>
    <x v="1"/>
    <x v="2"/>
    <x v="2"/>
    <x v="1"/>
    <x v="0"/>
    <x v="0"/>
    <x v="6"/>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clearly describes what she/he needs"/>
    <s v="Work with 2 to 3 people in my team"/>
    <s v="Yes, I Understand this is gonna happen everywhere"/>
    <s v="Will work for 7 years or more"/>
    <m/>
  </r>
  <r>
    <d v="2023-04-06T11:51:35"/>
    <s v="India"/>
    <n v="342001"/>
    <x v="1"/>
    <x v="0"/>
    <x v="0"/>
    <x v="0"/>
    <x v="0"/>
    <x v="0"/>
    <x v="0"/>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explains what is expected, sets a goal and helps achieve it"/>
    <s v="Work with more than 10 people in my team"/>
    <s v="No"/>
    <s v="This will be hard to do, but if it is the right company I would try"/>
    <m/>
  </r>
  <r>
    <d v="2023-04-06T11:59:04"/>
    <s v="India"/>
    <n v="201301"/>
    <x v="0"/>
    <x v="4"/>
    <x v="1"/>
    <x v="1"/>
    <x v="0"/>
    <x v="0"/>
    <x v="3"/>
    <s v="Hybrid Working Environment with more than 15 days a month at office"/>
    <s v="Employer who rewards learning and enables that environment"/>
    <s v="Instructor or Expert Learning Programs, Learning by observing others, Trial and error by doing side projects within the company"/>
    <s v="Manage and drive End-to-End Projects or Products, Design and Develop amazing software,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This will be hard to do, but if it is the right company I would try"/>
    <m/>
  </r>
  <r>
    <d v="2023-04-06T12:11:22"/>
    <s v="India"/>
    <n v="110045"/>
    <x v="0"/>
    <x v="4"/>
    <x v="2"/>
    <x v="1"/>
    <x v="0"/>
    <x v="0"/>
    <x v="1"/>
    <s v="Every Day Office Environment"/>
    <s v="Employer who pushes your limits by enabling an learning environment, and rewards you at the end"/>
    <s v="Self Paced Learning Portals of the Company, Trial and error by doing side projects within the company, Manager Teaching you"/>
    <s v="Design and Creative strategy in any company, Build and develop a Team, Look deeply into Data and generate insights, Become a content Creator in some platform"/>
    <s v="Manager who sets goal and helps me achieve it"/>
    <s v="Work with 2 to 3 people in my team"/>
    <s v="Yes, I Understand this is gonna happen everywhere"/>
    <s v="Will work for 7 years or more"/>
    <m/>
  </r>
  <r>
    <d v="2023-04-06T12:13:36"/>
    <s v="India"/>
    <n v="855107"/>
    <x v="0"/>
    <x v="1"/>
    <x v="2"/>
    <x v="1"/>
    <x v="0"/>
    <x v="0"/>
    <x v="3"/>
    <s v="Hybrid Working Environment with more than 15 days a month at office"/>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Design and Develop amazing software,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6T12:25:59"/>
    <s v="India"/>
    <n v="521002"/>
    <x v="1"/>
    <x v="4"/>
    <x v="1"/>
    <x v="0"/>
    <x v="0"/>
    <x v="0"/>
    <x v="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2 to 3 people in my team"/>
    <s v="No"/>
    <s v="This will be hard to do, but if it is the right company I would try"/>
    <m/>
  </r>
  <r>
    <d v="2023-04-06T12:30:58"/>
    <s v="India"/>
    <n v="442001"/>
    <x v="1"/>
    <x v="1"/>
    <x v="1"/>
    <x v="0"/>
    <x v="0"/>
    <x v="0"/>
    <x v="9"/>
    <s v="Fully Remote with Options to travel as and when needed"/>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Look deeply into Data and generate insights, Entrepreneur or Start Up"/>
    <s v="Manager who sets goal and helps me achieve it"/>
    <s v="Work with 2 to 3 people in my team, Work with 5 to 6 people in my team, Work with 7 to 10 or more people in my team, Work with more than 10 people in my team"/>
    <s v="I have NO other choice"/>
    <s v="This will be hard to do, but if it is the right company I would try"/>
    <m/>
  </r>
  <r>
    <d v="2023-04-06T12:39:44"/>
    <s v="India"/>
    <n v="521165"/>
    <x v="0"/>
    <x v="1"/>
    <x v="2"/>
    <x v="0"/>
    <x v="0"/>
    <x v="1"/>
    <x v="9"/>
    <s v="Fully Remote with Options to travel as and when needed"/>
    <s v="Employer who rewards learning and enables that environment"/>
    <s v="Self Paced Learning Portals of the Company, Learning by observing others, Self Purchased Course from External Platforms"/>
    <s v="Build and develop a Team, Design and Develop amazing software, Work as a freelancer and do my thing my way, Entrepreneur or Start Up"/>
    <s v="Manager who sets goal and helps me achieve it"/>
    <s v="Work with 5 to 6 people in my team"/>
    <s v="Yes, I Understand this is gonna happen everywhere"/>
    <s v="No way"/>
    <m/>
  </r>
  <r>
    <d v="2023-04-06T12:43:20"/>
    <s v="India"/>
    <n v="110022"/>
    <x v="1"/>
    <x v="0"/>
    <x v="2"/>
    <x v="0"/>
    <x v="1"/>
    <x v="1"/>
    <x v="2"/>
    <s v="Hybrid Working Environment with more than 15 days a month at office"/>
    <s v="Employer who rewards learning and enables that environment"/>
    <s v="Instructor or Expert Learning Programs, Trial and error by doing side projects within the company, Manager Teaching you"/>
    <s v="Design and Creative strategy in any company, Teaching in any of the institutes/colleges/online or offline, Design and Develop amazing software, Become a content Creator in some platform"/>
    <s v="Manager who sets goal and helps me achieve it"/>
    <s v="Work alone"/>
    <s v="Yes, I Understand this is gonna happen everywhere"/>
    <s v="No way"/>
    <m/>
  </r>
  <r>
    <d v="2023-04-06T12:44:14"/>
    <s v="India"/>
    <n v="560028"/>
    <x v="0"/>
    <x v="0"/>
    <x v="0"/>
    <x v="0"/>
    <x v="0"/>
    <x v="0"/>
    <x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Entrepreneur or Start Up"/>
    <s v="Manager who sets goal and helps me achieve it"/>
    <s v="Work with 7 to 10 or more people in my team"/>
    <s v="No"/>
    <s v="No way"/>
    <m/>
  </r>
  <r>
    <d v="2023-04-06T12:44:58"/>
    <s v="India"/>
    <n v="641045"/>
    <x v="0"/>
    <x v="4"/>
    <x v="1"/>
    <x v="0"/>
    <x v="1"/>
    <x v="1"/>
    <x v="2"/>
    <s v="Fully Remote with Options to travel as and when needed"/>
    <s v="Employer who appreciates learning and enables that environment"/>
    <s v="Instructor or Expert Learning Programs, Trial and error by doing side projects within the company, Self Purchased Course from External Platforms"/>
    <s v="Build and develop a Team, Become a content Creator in some platform, I Want to sell things/Sales, An Artificial Intelligence Specialist / Talking to Robots"/>
    <s v="Manager who explains what is expected, sets a goal and helps achieve it"/>
    <s v="Work alone"/>
    <s v="No"/>
    <s v="This will be hard to do, but if it is the right company I would try"/>
    <m/>
  </r>
  <r>
    <d v="2023-04-06T12:55:10"/>
    <s v="India"/>
    <n v="110077"/>
    <x v="1"/>
    <x v="3"/>
    <x v="2"/>
    <x v="0"/>
    <x v="0"/>
    <x v="0"/>
    <x v="7"/>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s v="Yes, I Understand this is gonna happen everywhere"/>
    <s v="No way"/>
    <m/>
  </r>
  <r>
    <d v="2023-04-06T12:55:17"/>
    <s v="India"/>
    <n v="521163"/>
    <x v="0"/>
    <x v="4"/>
    <x v="1"/>
    <x v="0"/>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Design and Develop amazing software,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06T12:57:28"/>
    <s v="India"/>
    <n v="560029"/>
    <x v="0"/>
    <x v="1"/>
    <x v="1"/>
    <x v="0"/>
    <x v="0"/>
    <x v="0"/>
    <x v="1"/>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Build and develop a Team, Design and Develop amazing software, Work as a freelancer and do my thing my way, An Artificial Intelligence Specialist / Talking to Robots"/>
    <s v="Manager who sets goal and helps me achieve it"/>
    <s v="Work with 5 to 6 people in my team, Work with 7 to 10 or more people in my team"/>
    <s v="Yes, I Understand this is gonna happen everywhere"/>
    <s v="No way"/>
    <m/>
  </r>
  <r>
    <d v="2023-04-06T12:58:42"/>
    <s v="India"/>
    <n v="560029"/>
    <x v="0"/>
    <x v="4"/>
    <x v="1"/>
    <x v="0"/>
    <x v="0"/>
    <x v="0"/>
    <x v="7"/>
    <s v="Fully Remote with Options to travel as and when needed"/>
    <s v="Employer who pushes your limits by enabling an learning environment, and rewards you at the end"/>
    <s v="Learning by observing others, Trial and error by doing side projects within the company, Manager Teaching you"/>
    <s v="Build and develop a Team, Look deeply into Data and generate insights, I Want to sell things/Sales, An Artificial Intelligence Specialist / Talking to Robots"/>
    <s v="Manager who sets goal and helps me achieve it"/>
    <s v="Work with 7 to 10 or more people in my team"/>
    <s v="No"/>
    <s v="This will be hard to do, but if it is the right company I would try"/>
    <m/>
  </r>
  <r>
    <d v="2023-04-06T13:14:09"/>
    <s v="India"/>
    <n v="431810"/>
    <x v="0"/>
    <x v="3"/>
    <x v="1"/>
    <x v="0"/>
    <x v="1"/>
    <x v="1"/>
    <x v="9"/>
    <s v="Fully Remote with Options to travel as and when needed"/>
    <s v="Employer who pushes your limits and doesn't enables learning environment and never rewards you"/>
    <s v="Learning by observing others, Trial and error by doing side projects within the company, Self Purchased Course from External Platforms"/>
    <s v="Become a content Creator in some platform, Entrepreneur or Start Up, I Want to sell things/Sale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06T13:29:22"/>
    <s v="India"/>
    <n v="431001"/>
    <x v="0"/>
    <x v="1"/>
    <x v="0"/>
    <x v="0"/>
    <x v="0"/>
    <x v="0"/>
    <x v="4"/>
    <s v="Fully Remote with No option to visit offices"/>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No way"/>
    <m/>
  </r>
  <r>
    <d v="2023-04-06T13:35:59"/>
    <s v="India"/>
    <n v="110045"/>
    <x v="0"/>
    <x v="1"/>
    <x v="0"/>
    <x v="1"/>
    <x v="0"/>
    <x v="0"/>
    <x v="5"/>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s v="Yes, I Understand this is gonna happen everywhere"/>
    <s v="Will work for 7 years or more"/>
    <m/>
  </r>
  <r>
    <d v="2023-04-06T13:39:21"/>
    <s v="India"/>
    <n v="577201"/>
    <x v="1"/>
    <x v="0"/>
    <x v="1"/>
    <x v="0"/>
    <x v="0"/>
    <x v="0"/>
    <x v="4"/>
    <s v="Hybrid Working Environment with more than 15 days a month at office"/>
    <s v="Employer who rewards learning and enables that environment"/>
    <s v="Instructor or Expert Learning Programs, Trial and error by doing side projects within the company, Manager Teaching you"/>
    <s v="Business Operations in any organization, Design and Develop amazing software, Entrepreneur or Start Up, An Artificial Intelligence Specialist / Talking to Robots"/>
    <s v="Manager who explains what is expected, sets a goal and helps achieve it"/>
    <s v="Work with 5 to 6 people in my team, Work with more than 10 people in my team"/>
    <s v="Yes, I Understand this is gonna happen everywhere"/>
    <s v="This will be hard to do, but if it is the right company I would try"/>
    <m/>
  </r>
  <r>
    <d v="2023-04-06T13:47:20"/>
    <s v="India"/>
    <n v="110057"/>
    <x v="0"/>
    <x v="3"/>
    <x v="0"/>
    <x v="1"/>
    <x v="1"/>
    <x v="0"/>
    <x v="9"/>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Build and develop a Team, Work as a freelancer and do my thing my way, Entrepreneur or Start Up"/>
    <s v="Manager who sets goal and helps me achieve it"/>
    <s v="Work with 7 to 10 or more people in my team"/>
    <s v="I have NO other choice"/>
    <s v="This will be hard to do, but if it is the right company I would try"/>
    <m/>
  </r>
  <r>
    <d v="2023-04-06T13:50:52"/>
    <s v="India"/>
    <n v="110085"/>
    <x v="1"/>
    <x v="3"/>
    <x v="0"/>
    <x v="1"/>
    <x v="0"/>
    <x v="0"/>
    <x v="4"/>
    <s v="Every Day Office Environment"/>
    <s v="Employer who pushes your limits by enabling an learning environment, and rewards you at the end"/>
    <s v="Instructor or Expert Learning Programs, Trial and error by doing side projects within the company, Manager Teaching you"/>
    <s v="Business Operations in any organization, Look deeply into Data and generate insights, Work as a freelancer and do my thing my way, I Want to sell things/Sales"/>
    <s v="Manager who sets goal and helps me achieve it"/>
    <s v="Work with 7 to 10 or more people in my team"/>
    <s v="Yes, I Understand this is gonna happen everywhere"/>
    <s v="This will be hard to do, but if it is the right company I would try"/>
    <m/>
  </r>
  <r>
    <d v="2023-04-06T13:52:45"/>
    <s v="India"/>
    <n v="110018"/>
    <x v="1"/>
    <x v="4"/>
    <x v="2"/>
    <x v="1"/>
    <x v="0"/>
    <x v="0"/>
    <x v="2"/>
    <s v="Hybrid Working Environment with less than 3 days a month at office"/>
    <s v="Employer who appreciates learning and enables that environment"/>
    <s v="Self Paced Learning Portals of the Company, Learning by observing others, Manager Teaching you"/>
    <s v="Business Operations in any organization, Build and develop a Team, Work as a freelancer and do my thing my way, An Artificial Intelligence Specialist / Talking to Robots"/>
    <s v="Manager who sets goal and helps me achieve it"/>
    <s v="Work with 7 to 10 or more people in my team"/>
    <s v="No"/>
    <s v="Will work for 7 years or more"/>
    <m/>
  </r>
  <r>
    <d v="2023-04-06T13:57:31"/>
    <s v="India"/>
    <n v="515775"/>
    <x v="0"/>
    <x v="4"/>
    <x v="0"/>
    <x v="1"/>
    <x v="1"/>
    <x v="1"/>
    <x v="7"/>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Work in a BPO setup for some well known client"/>
    <s v="Manager who sets targets and expects me to achieve it"/>
    <s v="Work with 5 to 6 people in my team"/>
    <s v="Yes, I Understand this is gonna happen everywhere"/>
    <s v="Will work for 7 years or more"/>
    <m/>
  </r>
  <r>
    <d v="2023-04-06T14:00:40"/>
    <s v="India"/>
    <n v="122010"/>
    <x v="0"/>
    <x v="0"/>
    <x v="0"/>
    <x v="1"/>
    <x v="0"/>
    <x v="1"/>
    <x v="5"/>
    <s v="Fully Remote with No option to visit offices"/>
    <s v="Employer who appreciates learning and enables that environment"/>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sets goal and helps me achieve it"/>
    <s v="Work with 2 to 3 people in my team"/>
    <s v="Yes, I Understand this is gonna happen everywhere"/>
    <s v="This will be hard to do, but if it is the right company I would try"/>
    <m/>
  </r>
  <r>
    <d v="2023-04-06T14:24:13"/>
    <s v="India"/>
    <n v="401105"/>
    <x v="0"/>
    <x v="3"/>
    <x v="1"/>
    <x v="0"/>
    <x v="0"/>
    <x v="0"/>
    <x v="3"/>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No way"/>
    <m/>
  </r>
  <r>
    <d v="2023-04-06T14:32:56"/>
    <s v="India"/>
    <n v="535218"/>
    <x v="0"/>
    <x v="4"/>
    <x v="2"/>
    <x v="1"/>
    <x v="0"/>
    <x v="0"/>
    <x v="4"/>
    <s v="Hybrid Working Environment with more than 15 days a month at office"/>
    <s v="Employer who reward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Design and Develop amazing software"/>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6T14:33:32"/>
    <s v="India"/>
    <n v="401105"/>
    <x v="0"/>
    <x v="3"/>
    <x v="0"/>
    <x v="1"/>
    <x v="0"/>
    <x v="0"/>
    <x v="4"/>
    <s v="Every Day Office Environment"/>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06T14:33:37"/>
    <s v="India"/>
    <n v="110077"/>
    <x v="0"/>
    <x v="1"/>
    <x v="1"/>
    <x v="0"/>
    <x v="0"/>
    <x v="1"/>
    <x v="4"/>
    <s v="Fully Remote with No option to visit offices"/>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Work as a freelancer and do my thing my way"/>
    <s v="Manager who sets targets and expects me to achieve it"/>
    <s v="Work alone, Work with 7 to 10 or more people in my team, Work with more than 10 people in my team"/>
    <s v="Yes, I Understand this is gonna happen everywhere"/>
    <s v="No way"/>
    <m/>
  </r>
  <r>
    <d v="2023-04-06T14:49:00"/>
    <s v="India"/>
    <n v="401105"/>
    <x v="0"/>
    <x v="3"/>
    <x v="2"/>
    <x v="1"/>
    <x v="0"/>
    <x v="1"/>
    <x v="3"/>
    <s v="Hybrid Working Environment with less than 3 days a month at office"/>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Entrepreneur or Start Up"/>
    <s v="Manager who sets targets and expects me to achieve it"/>
    <s v="Work with 2 to 3 people in my team"/>
    <s v="Yes, I Understand this is gonna happen everywhere"/>
    <s v="This will be hard to do, but if it is the right company I would try"/>
    <m/>
  </r>
  <r>
    <d v="2023-04-06T14:49:18"/>
    <s v="India"/>
    <n v="400086"/>
    <x v="1"/>
    <x v="0"/>
    <x v="2"/>
    <x v="0"/>
    <x v="0"/>
    <x v="0"/>
    <x v="8"/>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6T14:49:19"/>
    <s v="India"/>
    <n v="122001"/>
    <x v="0"/>
    <x v="1"/>
    <x v="2"/>
    <x v="1"/>
    <x v="0"/>
    <x v="0"/>
    <x v="4"/>
    <s v="Hybrid Working Environment with less than 3 days a month at office"/>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Yes, I Understand this is gonna happen everywhere"/>
    <s v="This will be hard to do, but if it is the right company I would try"/>
    <m/>
  </r>
  <r>
    <d v="2023-04-06T15:02:02"/>
    <s v="India"/>
    <n v="401107"/>
    <x v="0"/>
    <x v="4"/>
    <x v="2"/>
    <x v="1"/>
    <x v="0"/>
    <x v="1"/>
    <x v="2"/>
    <s v="Every Day Office Environment"/>
    <s v="Employer who pushes your limits by enabling an learning environment, and rewards you at the end"/>
    <s v="Self Paced Learning Portals of the Company, Learning by observing others, Manager Teaching you"/>
    <s v="Build and develop a Team, Design and Develop amazing software, Look deeply into Data and generate insights, An Artificial Intelligence Specialist / Talking to Robots"/>
    <s v="Manager who sets unrealistic targets"/>
    <s v="Work with 2 to 3 people in my team"/>
    <s v="No"/>
    <s v="No way"/>
    <m/>
  </r>
  <r>
    <d v="2023-04-06T15:05:43"/>
    <s v="India"/>
    <n v="122001"/>
    <x v="0"/>
    <x v="2"/>
    <x v="2"/>
    <x v="1"/>
    <x v="1"/>
    <x v="0"/>
    <x v="4"/>
    <s v="Fully Remote with Options to travel as and when needed"/>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Design and Develop amazing software, An Artificial Intelligence Specialist / Talking to Robots"/>
    <s v="Manager who sets goal and helps me achieve it"/>
    <s v="Work with 2 to 3 people in my team"/>
    <s v="No"/>
    <s v="This will be hard to do, but if it is the right company I would try"/>
    <m/>
  </r>
  <r>
    <d v="2023-04-06T15:23:49"/>
    <s v="India"/>
    <n v="400067"/>
    <x v="1"/>
    <x v="0"/>
    <x v="0"/>
    <x v="3"/>
    <x v="0"/>
    <x v="0"/>
    <x v="7"/>
    <s v="Hybrid Working Environment with more than 15 days a month at office"/>
    <s v="Employer who rewards learning and enables that environment"/>
    <s v="Self Paced Learning Portals of the Company, Learning by observing others, Manager Teaching you"/>
    <s v="Business Operations in any organization, Look deeply into Data and generate insights, Become a content Creator in some platform, An Artificial Intelligence Specialist / Talking to Robots"/>
    <s v="Manager who sets targets and expects me to achieve it"/>
    <s v="Work with 5 to 6 people in my team"/>
    <s v="No"/>
    <s v="No way"/>
    <m/>
  </r>
  <r>
    <d v="2023-04-06T15:33:51"/>
    <s v="United States of America"/>
    <n v="61455"/>
    <x v="0"/>
    <x v="4"/>
    <x v="0"/>
    <x v="3"/>
    <x v="1"/>
    <x v="0"/>
    <x v="5"/>
    <s v="Fully Remote with Options to travel as and when needed"/>
    <s v="Employer who appreciates learning and enables that environment"/>
    <s v="Instructor or Expert Learning Programs, Trial and error by doing side projects within the company, Manager Teaching you"/>
    <s v="Manage and drive End-to-End Projects or Products, Build and develop a Team, Design and Develop amazing software, Become a content Creator in some platform"/>
    <s v="Manager who clearly describes what she/he needs"/>
    <s v="Work with 5 to 6 people in my team"/>
    <s v="No"/>
    <s v="No way"/>
    <m/>
  </r>
  <r>
    <d v="2023-04-06T15:34:15"/>
    <s v="India"/>
    <n v="507115"/>
    <x v="0"/>
    <x v="4"/>
    <x v="0"/>
    <x v="0"/>
    <x v="0"/>
    <x v="0"/>
    <x v="4"/>
    <s v="Fully Remote with Options to travel as and when needed"/>
    <s v="Employer who appreciates learning and enables that environment"/>
    <s v="Self Paced Learning Portals of the Company, Learning by observing others, Self Purchased Course from External Platforms"/>
    <s v="Design and Creative strategy in any company, Business Operations in any organization, Manage and drive End-to-End Projects or Products, Become a content Creator in some platform"/>
    <s v="Manager who clearly describes what she/he needs"/>
    <s v="Work with 5 to 6 people in my team, Work with 7 to 10 or more people in my team, Work with more than 10 people in my team"/>
    <s v="Yes, I Understand this is gonna happen everywhere"/>
    <s v="No way"/>
    <m/>
  </r>
  <r>
    <d v="2023-04-06T15:34:55"/>
    <s v="India"/>
    <n v="507002"/>
    <x v="0"/>
    <x v="0"/>
    <x v="0"/>
    <x v="1"/>
    <x v="1"/>
    <x v="1"/>
    <x v="8"/>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I Want to sell things/Sales, An Artificial Intelligence Specialist / Talking to Robots, Manufacturing / Oil and Gas/ Construction / Hard Physical Work related"/>
    <s v="Manager who sets goal and helps me achieve it"/>
    <s v="Work with more than 10 people in my team"/>
    <s v="Yes"/>
    <s v="Will work for 7 years or more"/>
    <m/>
  </r>
  <r>
    <d v="2023-04-06T15:36:19"/>
    <s v="India"/>
    <n v="380054"/>
    <x v="1"/>
    <x v="4"/>
    <x v="2"/>
    <x v="1"/>
    <x v="1"/>
    <x v="0"/>
    <x v="8"/>
    <s v="Every Day Office Environment"/>
    <s v="Employer who pushes your limits by enabling an learning environment, and rewards you at the end"/>
    <s v="Learning by observing others, Trial and error by doing side projects within the company, Self Purchased Course from External Platforms"/>
    <s v="Work as a freelancer and do my thing my way, Entrepreneur or Start Up, I Want to sell things/Sales,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r>
  <r>
    <d v="2023-04-06T15:36:30"/>
    <s v="India"/>
    <n v="507001"/>
    <x v="0"/>
    <x v="3"/>
    <x v="0"/>
    <x v="0"/>
    <x v="0"/>
    <x v="0"/>
    <x v="2"/>
    <s v="Fully Remote with Options to travel as and when needed"/>
    <s v="Employer who rewards learning and enables that environment"/>
    <s v="Instructor or Expert Learning Programs, Learning by observing others, Self Purchased Course from External Platforms"/>
    <s v="Design and Creative strategy in any company, Build and develop a Team,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06T15:36:46"/>
    <s v="India"/>
    <n v="560096"/>
    <x v="1"/>
    <x v="0"/>
    <x v="1"/>
    <x v="0"/>
    <x v="0"/>
    <x v="0"/>
    <x v="4"/>
    <s v="Hybrid Working Environment with more than 15 days a month at office"/>
    <s v="Employer who rewards learning and enables that environment"/>
    <s v="Self Paced Learning Portals of the Company, Instructor or Expert Learning Programs, Learning by observing others"/>
    <s v="Business Operations in any organization, Build and develop a Team, Work as a freelancer and do my thing my way, Entrepreneur or Start Up"/>
    <s v="Manager who explains what is expected, sets a goal and helps achieve it"/>
    <s v="Work with 2 to 3 people in my team, Work with 5 to 6 people in my team"/>
    <s v="No"/>
    <s v="This will be hard to do, but if it is the right company I would try"/>
    <m/>
  </r>
  <r>
    <d v="2023-04-06T15:39:51"/>
    <s v="India"/>
    <n v="380006"/>
    <x v="0"/>
    <x v="0"/>
    <x v="1"/>
    <x v="1"/>
    <x v="0"/>
    <x v="0"/>
    <x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Work as a freelancer and do my thing my way"/>
    <s v="Manager who explains what is expected, sets a goal and helps achieve it"/>
    <s v="Work with 5 to 6 people in my team"/>
    <s v="No"/>
    <s v="This will be hard to do, but if it is the right company I would try"/>
    <m/>
  </r>
  <r>
    <d v="2023-04-06T15:42:47"/>
    <s v="India"/>
    <n v="507001"/>
    <x v="1"/>
    <x v="3"/>
    <x v="2"/>
    <x v="0"/>
    <x v="1"/>
    <x v="0"/>
    <x v="3"/>
    <s v="Hybrid Working Environment with less than 3 days a month at office"/>
    <s v="Employer who rewards learning and enables that environment"/>
    <s v="Self Paced Learning Portals of the Company, Instructor or Expert Learning Programs, Self Purchased Course from External Platforms"/>
    <s v="Design and Creative strategy in any company, Build and develop a Team, An Artificial Intelligence Specialist / Talking to Robots, Manufacturing / Oil and Gas/ Construction / Hard Physical Work related"/>
    <s v="Manager who explains what is expected, sets a goal and helps achieve it"/>
    <s v="Work with 2 to 3 people in my team"/>
    <s v="Yes, I Understand this is gonna happen everywhere"/>
    <s v="No way"/>
    <m/>
  </r>
  <r>
    <d v="2023-04-06T15:50:34"/>
    <s v="India"/>
    <n v="380026"/>
    <x v="0"/>
    <x v="4"/>
    <x v="2"/>
    <x v="0"/>
    <x v="0"/>
    <x v="0"/>
    <x v="4"/>
    <s v="Hybrid Working Environment with more than 15 days a month at office"/>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ecome a content Creator in some platform, Manufacturing / Oil and Gas/ Construction / Hard Physical Work related"/>
    <s v="Manager who sets goal and helps me achieve it"/>
    <s v="Work with more than 10 people in my team"/>
    <s v="No"/>
    <s v="This will be hard to do, but if it is the right company I would try"/>
    <m/>
  </r>
  <r>
    <d v="2023-04-06T16:09:21"/>
    <s v="Others"/>
    <n v="2911"/>
    <x v="1"/>
    <x v="0"/>
    <x v="0"/>
    <x v="1"/>
    <x v="0"/>
    <x v="0"/>
    <x v="8"/>
    <s v="Fully Remote with Options to travel as and when needed"/>
    <s v="Employer who appreciates learning and enables that environment"/>
    <s v="Self Paced Learning Portals of the Company, Instructor or Expert Learning Programs, Learning by observing others"/>
    <s v="Business Operations in any organization, Build and develop a Team, Design and Develop amazing software,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r>
  <r>
    <d v="2023-04-06T16:15:09"/>
    <s v="India"/>
    <n v="380054"/>
    <x v="1"/>
    <x v="2"/>
    <x v="0"/>
    <x v="1"/>
    <x v="1"/>
    <x v="0"/>
    <x v="9"/>
    <s v="Hybrid Working Environment with more than 15 days a month at office"/>
    <s v="Employer who rewards learning and enables that environment"/>
    <s v="Learning by observing others, Trial and error by doing side projects within the company, Manager Teaching you"/>
    <s v="Business Operations in any organization, Manage and drive End-to-End Projects or Products, Build and develop a Team, I Want to sell things/Sales"/>
    <s v="Manager who explains what is expected, sets a goal and helps achieve it"/>
    <s v="Work with 5 to 6 people in my team"/>
    <s v="I have NO other choice"/>
    <s v="This will be hard to do, but if it is the right company I would try"/>
    <m/>
  </r>
  <r>
    <d v="2023-04-06T16:15:48"/>
    <s v="India"/>
    <n v="173212"/>
    <x v="0"/>
    <x v="4"/>
    <x v="2"/>
    <x v="0"/>
    <x v="0"/>
    <x v="0"/>
    <x v="4"/>
    <s v="Fully Remote with Options to travel as and when needed"/>
    <s v="Employer who pushes your limits by enabling an learning environment, and rewards you at the end"/>
    <s v="Self Paced Learning Portals of the Company, Instructor or Expert Learning Programs, Manager Teaching you"/>
    <s v="Manage and drive End-to-End Projects or Products,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06T16:21:22"/>
    <s v="India"/>
    <n v="507002"/>
    <x v="1"/>
    <x v="2"/>
    <x v="2"/>
    <x v="1"/>
    <x v="1"/>
    <x v="0"/>
    <x v="8"/>
    <s v="Fully Remote with No option to visit offices"/>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Work as a freelancer and do my thing my way, Entrepreneur or Start Up"/>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6T16:26:40"/>
    <s v="India"/>
    <n v="110001"/>
    <x v="1"/>
    <x v="0"/>
    <x v="0"/>
    <x v="1"/>
    <x v="1"/>
    <x v="1"/>
    <x v="1"/>
    <s v="Every Day Office Environment"/>
    <s v="Employer who reward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Build and develop a Team"/>
    <s v="Manager who sets goal and helps me achieve it"/>
    <s v="Work with more than 10 people in my team"/>
    <s v="No"/>
    <s v="Will work for 7 years or more"/>
    <m/>
  </r>
  <r>
    <d v="2023-04-06T16:33:29"/>
    <s v="India"/>
    <n v="500032"/>
    <x v="0"/>
    <x v="0"/>
    <x v="0"/>
    <x v="1"/>
    <x v="0"/>
    <x v="0"/>
    <x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Yes, I Understand this is gonna happen everywhere"/>
    <s v="This will be hard to do, but if it is the right company I would try"/>
    <m/>
  </r>
  <r>
    <d v="2023-04-06T17:01:42"/>
    <s v="India"/>
    <n v="110059"/>
    <x v="1"/>
    <x v="3"/>
    <x v="0"/>
    <x v="1"/>
    <x v="1"/>
    <x v="1"/>
    <x v="8"/>
    <s v="Fully Remote with Options to travel as and when needed"/>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Design and Develop amazing software, Entrepreneur or Start Up"/>
    <s v="Manager who explains what is expected, sets a goal and helps achieve it"/>
    <s v="Work alone, Work with 2 to 3 people in my team"/>
    <s v="Yes, I Understand this is gonna happen everywhere"/>
    <s v="This will be hard to do, but if it is the right company I would try"/>
    <m/>
  </r>
  <r>
    <d v="2023-04-06T17:07:24"/>
    <s v="India"/>
    <n v="110063"/>
    <x v="0"/>
    <x v="4"/>
    <x v="0"/>
    <x v="1"/>
    <x v="1"/>
    <x v="1"/>
    <x v="7"/>
    <s v="Hybrid Working Environment with less than 3 days a month at office"/>
    <s v="Employer who appreciates learning and enables that environment"/>
    <s v="Self Paced Learning Portals of the Company, Instructor or Expert Learning Programs, Manager Teaching you"/>
    <s v="Teaching in any of the institutes/colleges/online or offline, Build and develop a Team, Look deeply into Data and generate insights, Become a content Creator in some platform"/>
    <s v="Manager who sets targets and expects me to achieve it"/>
    <s v="Work with 7 to 10 or more people in my team"/>
    <s v="Yes, I Understand this is gonna happen everywhere"/>
    <s v="No way"/>
    <m/>
  </r>
  <r>
    <d v="2023-04-06T17:10:00"/>
    <s v="India"/>
    <n v="380007"/>
    <x v="1"/>
    <x v="4"/>
    <x v="2"/>
    <x v="0"/>
    <x v="0"/>
    <x v="0"/>
    <x v="6"/>
    <s v="Every Day Office Environment"/>
    <s v="Employer who rewards learning and enables that environment"/>
    <s v="Instructor or Expert Learning Programs, Learning by observing others, Trial and error by doing side projects within the company"/>
    <s v="Design and Creative strategy in any company, Business Operations in any organization, Look deeply into Data and generate insights, I Want to sell things/Sales"/>
    <s v="Manager who clearly describes what she/he needs"/>
    <s v="Work with 5 to 6 people in my team"/>
    <s v="No"/>
    <s v="No way"/>
    <m/>
  </r>
  <r>
    <d v="2023-04-06T17:14:45"/>
    <s v="India"/>
    <n v="500032"/>
    <x v="0"/>
    <x v="4"/>
    <x v="1"/>
    <x v="1"/>
    <x v="1"/>
    <x v="1"/>
    <x v="5"/>
    <s v="Fully Remote with No option to visit offices"/>
    <s v="Employer who pushes your limits by enabling an learning environment, and rewards you at the end"/>
    <s v="Instructor or Expert Learning Programs, Self Purchased Course from External Platforms, Manager Teaching you"/>
    <s v="Teaching in any of the institutes/colleges/online or offline, Business Operations in any organization, Work in a BPO setup for some well known client, Work as a freelancer and do my thing my way"/>
    <s v="Manager who clearly describes what she/he needs"/>
    <s v="Work with 5 to 6 people in my team"/>
    <s v="Yes, I Understand this is gonna happen everywhere"/>
    <s v="Will work for 7 years or more"/>
    <m/>
  </r>
  <r>
    <d v="2023-04-06T17:24:29"/>
    <s v="India"/>
    <n v="507002"/>
    <x v="1"/>
    <x v="0"/>
    <x v="0"/>
    <x v="1"/>
    <x v="1"/>
    <x v="1"/>
    <x v="2"/>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Work as a freelancer and do my thing my way, Entrepreneur or Start Up"/>
    <s v="Manager who clearly describes what she/he needs"/>
    <s v="Work alone, Work with 2 to 3 people in my team"/>
    <s v="Yes, I Understand this is gonna happen everywhere"/>
    <s v="This will be hard to do, but if it is the right company I would try"/>
    <m/>
  </r>
  <r>
    <d v="2023-04-06T17:35:25"/>
    <s v="India"/>
    <n v="641035"/>
    <x v="0"/>
    <x v="3"/>
    <x v="2"/>
    <x v="0"/>
    <x v="0"/>
    <x v="1"/>
    <x v="7"/>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sets goal and helps me achieve it"/>
    <s v="Work with more than 10 people in my team"/>
    <s v="Yes, I Understand this is gonna happen everywhere"/>
    <s v="This will be hard to do, but if it is the right company I would try"/>
    <m/>
  </r>
  <r>
    <d v="2023-04-06T17:44:02"/>
    <s v="India"/>
    <n v="380058"/>
    <x v="1"/>
    <x v="4"/>
    <x v="2"/>
    <x v="0"/>
    <x v="0"/>
    <x v="0"/>
    <x v="1"/>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Work as a freelancer and do my thing my way, Entrepreneur or Start Up"/>
    <s v="Manager who sets goal and helps me achieve it"/>
    <s v="Work with 5 to 6 people in my team"/>
    <s v="Yes, I Understand this is gonna happen everywhere"/>
    <s v="No way"/>
    <m/>
  </r>
  <r>
    <d v="2023-04-06T17:53:58"/>
    <s v="India"/>
    <n v="382330"/>
    <x v="0"/>
    <x v="0"/>
    <x v="0"/>
    <x v="0"/>
    <x v="0"/>
    <x v="0"/>
    <x v="9"/>
    <s v="Every Day Office Environment"/>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Build and develop a Team, Entrepreneur or Start Up, An Artificial Intelligence Specialist / Talking to Robots"/>
    <s v="Manager who sets goal and helps me achieve it"/>
    <s v="Work with 2 to 3 people in my team"/>
    <s v="Yes"/>
    <s v="No way"/>
    <m/>
  </r>
  <r>
    <d v="2023-04-06T17:59:45"/>
    <s v="India"/>
    <n v="621214"/>
    <x v="0"/>
    <x v="0"/>
    <x v="0"/>
    <x v="0"/>
    <x v="0"/>
    <x v="0"/>
    <x v="1"/>
    <s v="Every Day Office Environment"/>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Build and develop a Team, Become a content Creator in some platform"/>
    <s v="Manager who explains what is expected, sets a goal and helps achieve it"/>
    <s v="Work alone"/>
    <s v="Yes, I Understand this is gonna happen everywhere"/>
    <s v="This will be hard to do, but if it is the right company I would try"/>
    <m/>
  </r>
  <r>
    <d v="2023-04-06T18:08:41"/>
    <s v="India"/>
    <n v="110077"/>
    <x v="1"/>
    <x v="4"/>
    <x v="2"/>
    <x v="1"/>
    <x v="0"/>
    <x v="0"/>
    <x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in a BPO setup for some well known client, Become a content Creator in some platform"/>
    <s v="Manager who sets targets and expects me to achieve it"/>
    <s v="Work alone, Work with 5 to 6 people in my team"/>
    <s v="No"/>
    <s v="Will work for 7 years or more"/>
    <m/>
  </r>
  <r>
    <d v="2023-04-06T18:12:14"/>
    <s v="India"/>
    <n v="522101"/>
    <x v="1"/>
    <x v="0"/>
    <x v="2"/>
    <x v="0"/>
    <x v="0"/>
    <x v="0"/>
    <x v="4"/>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Design and Develop amazing software, Work as a freelancer and do my thing my way"/>
    <s v="Manager who clearly describes what she/he needs"/>
    <s v="Work with 2 to 3 people in my team, Work with 5 to 6 people in my team"/>
    <s v="Yes, I Understand this is gonna happen everywhere"/>
    <s v="This will be hard to do, but if it is the right company I would try"/>
    <m/>
  </r>
  <r>
    <d v="2023-04-06T18:15:00"/>
    <s v="India"/>
    <n v="500097"/>
    <x v="0"/>
    <x v="1"/>
    <x v="0"/>
    <x v="0"/>
    <x v="0"/>
    <x v="0"/>
    <x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more than 10 people in my team"/>
    <s v="Yes, I Understand this is gonna happen everywhere"/>
    <s v="This will be hard to do, but if it is the right company I would try"/>
    <m/>
  </r>
  <r>
    <d v="2023-04-06T18:15:34"/>
    <s v="India"/>
    <n v="500086"/>
    <x v="1"/>
    <x v="4"/>
    <x v="2"/>
    <x v="0"/>
    <x v="0"/>
    <x v="0"/>
    <x v="0"/>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Look deeply into Data and generate insights, Become a content Creator in some platform"/>
    <s v="Manager who explains what is expected, sets a goal and helps achieve it"/>
    <s v="Work with 5 to 6 people in my team"/>
    <s v="No"/>
    <s v="No way"/>
    <m/>
  </r>
  <r>
    <d v="2023-04-06T18:16:25"/>
    <s v="India"/>
    <n v="623525"/>
    <x v="1"/>
    <x v="1"/>
    <x v="2"/>
    <x v="0"/>
    <x v="0"/>
    <x v="0"/>
    <x v="1"/>
    <s v="Every Day Office Environment"/>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r>
  <r>
    <d v="2023-04-06T18:32:41"/>
    <s v="Others"/>
    <n v="522236"/>
    <x v="0"/>
    <x v="3"/>
    <x v="0"/>
    <x v="1"/>
    <x v="1"/>
    <x v="1"/>
    <x v="8"/>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Manage and drive End-to-End Projects or Products, Build and develop a Team"/>
    <s v="Manager who sets targets and expects me to achieve it"/>
    <s v="Work with 7 to 10 or more people in my team"/>
    <s v="Yes"/>
    <s v="Will work for 7 years or more"/>
    <m/>
  </r>
  <r>
    <d v="2023-04-06T18:36:15"/>
    <s v="India"/>
    <n v="522101"/>
    <x v="1"/>
    <x v="2"/>
    <x v="1"/>
    <x v="1"/>
    <x v="1"/>
    <x v="1"/>
    <x v="2"/>
    <s v="Hybrid Working Environment with more than 15 days a month at office"/>
    <s v="Employer who appreciate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I Want to sell things/Sales"/>
    <s v="Manager who sets goal and helps me achieve it"/>
    <s v="Work with 5 to 6 people in my team"/>
    <s v="Yes, I Understand this is gonna happen everywhere"/>
    <s v="This will be hard to do, but if it is the right company I would try"/>
    <m/>
  </r>
  <r>
    <d v="2023-04-06T18:37:55"/>
    <s v="India"/>
    <n v="411060"/>
    <x v="1"/>
    <x v="2"/>
    <x v="1"/>
    <x v="0"/>
    <x v="0"/>
    <x v="0"/>
    <x v="2"/>
    <s v="Fully Remote with Options to travel as and when needed"/>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No"/>
    <s v="This will be hard to do, but if it is the right company I would try"/>
    <m/>
  </r>
  <r>
    <d v="2023-04-06T18:45:46"/>
    <s v="India"/>
    <n v="500049"/>
    <x v="1"/>
    <x v="4"/>
    <x v="0"/>
    <x v="0"/>
    <x v="0"/>
    <x v="0"/>
    <x v="3"/>
    <s v="Hybrid Working Environment with more than 15 days a month at office"/>
    <s v="Employer who appreciates learning and enables that environment"/>
    <s v="Self Paced Learning Portals of the Company, Self Purchased Course from External Platforms, Manager Teaching you"/>
    <s v="Teaching in any of the institutes/colleges/online or offline, Work as a freelancer and do my thing my way, Become a content Creator in some platform, Entrepreneur or Start Up"/>
    <s v="Manager who clearly describes what she/he needs"/>
    <s v="Work with 2 to 3 people in my team"/>
    <s v="Yes, I Understand this is gonna happen everywhere"/>
    <s v="This will be hard to do, but if it is the right company I would try"/>
    <m/>
  </r>
  <r>
    <d v="2023-04-06T18:57:04"/>
    <s v="India"/>
    <n v="523001"/>
    <x v="0"/>
    <x v="0"/>
    <x v="2"/>
    <x v="3"/>
    <x v="0"/>
    <x v="0"/>
    <x v="1"/>
    <s v="Hybrid Working Environment with less than 3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Business Operations in any organization, Design and Develop amazing software, Look deeply into Data and generate insights"/>
    <s v="Manager who sets goal and helps me achieve it"/>
    <s v="Work with 5 to 6 people in my team"/>
    <s v="Yes"/>
    <s v="This will be hard to do, but if it is the right company I would try"/>
    <m/>
  </r>
  <r>
    <d v="2023-04-06T19:07:30"/>
    <s v="India"/>
    <n v="507002"/>
    <x v="0"/>
    <x v="0"/>
    <x v="0"/>
    <x v="0"/>
    <x v="0"/>
    <x v="1"/>
    <x v="9"/>
    <s v="Fully Remote with Options to travel as and when needed"/>
    <s v="Employer who pushes your limits and doesn't enables learning environment and never rewards you"/>
    <s v="Self Paced Learning Portals of the Company, Instructor or Expert Learning Programs, Trial and error by doing side projects within the company"/>
    <s v="Manage and drive End-to-End Projects or Products, Design and Develop amazing software, Work in a BPO setup for some well known client, An Artificial Intelligence Specialist / Talking to Robots"/>
    <s v="Manager who explains what is expected, sets a goal and helps achieve it"/>
    <s v="Work with 7 to 10 or more people in my team"/>
    <s v="Yes"/>
    <s v="This will be hard to do, but if it is the right company I would try"/>
    <m/>
  </r>
  <r>
    <d v="2023-04-06T19:25:34"/>
    <s v="India"/>
    <n v="380001"/>
    <x v="0"/>
    <x v="4"/>
    <x v="2"/>
    <x v="0"/>
    <x v="0"/>
    <x v="0"/>
    <x v="1"/>
    <s v="Every Day Office Environment"/>
    <s v="Employer who appreciates learning and enables that environment"/>
    <s v="Learning by observing others, Trial and error by doing side projects within the company, Manager Teaching you"/>
    <s v="Business Operations in any organization, Build and develop a Team, Entrepreneur or Start Up, I Want to sell things/Sales"/>
    <s v="Manager who sets targets and expects me to achieve it"/>
    <s v="Work with 2 to 3 people in my team"/>
    <s v="Yes, I Understand this is gonna happen everywhere"/>
    <s v="This will be hard to do, but if it is the right company I would try"/>
    <m/>
  </r>
  <r>
    <d v="2023-04-06T19:47:27"/>
    <s v="India"/>
    <n v="57001"/>
    <x v="0"/>
    <x v="4"/>
    <x v="2"/>
    <x v="0"/>
    <x v="0"/>
    <x v="0"/>
    <x v="2"/>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Work as a freelancer and do my thing my way, Manufacturing / Oil and Gas/ Construction / Hard Physical Work related"/>
    <s v="Manager who clearly describes what she/he needs"/>
    <s v="Work with 2 to 3 people in my team"/>
    <s v="Yes, I Understand this is gonna happen everywhere"/>
    <s v="No way"/>
    <m/>
  </r>
  <r>
    <d v="2023-04-06T19:52:53"/>
    <s v="India"/>
    <n v="521165"/>
    <x v="1"/>
    <x v="4"/>
    <x v="2"/>
    <x v="0"/>
    <x v="0"/>
    <x v="0"/>
    <x v="4"/>
    <s v="Every Day Office Environment"/>
    <s v="Employer who rewards learning and enables that environment"/>
    <s v="Learning by observing others, Trial and error by doing side projects within the company, Manager Teaching you"/>
    <s v="Design and Creative strategy in any company, Build and develop a Team, Design and Develop amazing software, Look deeply into Data and generate insights"/>
    <s v="Manager who sets goal and helps me achieve it"/>
    <s v="Work with 2 to 3 people in my team"/>
    <s v="No"/>
    <s v="Will work for 7 years or more"/>
    <m/>
  </r>
  <r>
    <d v="2023-04-06T19:53:44"/>
    <s v="India"/>
    <n v="421306"/>
    <x v="0"/>
    <x v="2"/>
    <x v="0"/>
    <x v="0"/>
    <x v="0"/>
    <x v="0"/>
    <x v="9"/>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Become a content Creator in some platform, An Artificial Intelligence Specialist / Talking to Robots"/>
    <s v="Manager who explains what is expected, sets a goal and helps achieve it"/>
    <s v="Work with 5 to 6 people in my team, Work with 7 to 10 or more people in my team"/>
    <s v="Yes, I Understand this is gonna happen everywhere"/>
    <s v="No way"/>
    <m/>
  </r>
  <r>
    <d v="2023-04-06T19:57:58"/>
    <s v="India"/>
    <n v="440024"/>
    <x v="1"/>
    <x v="2"/>
    <x v="0"/>
    <x v="0"/>
    <x v="0"/>
    <x v="1"/>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Work as a freelancer and do my thing my way, Entrepreneur or Start Up"/>
    <s v="Manager who explains what is expected, sets a goal and helps achieve it"/>
    <s v="Work alone, Work with 5 to 6 people in my team"/>
    <s v="No"/>
    <s v="No way"/>
    <m/>
  </r>
  <r>
    <d v="2023-04-06T20:03:47"/>
    <s v="India"/>
    <n v="400607"/>
    <x v="0"/>
    <x v="0"/>
    <x v="0"/>
    <x v="0"/>
    <x v="0"/>
    <x v="0"/>
    <x v="1"/>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Work as a freelancer and do my thing my way"/>
    <s v="Manager who sets targets and expects me to achieve it"/>
    <s v="Work with 2 to 3 people in my team, Work with 5 to 6 people in my team"/>
    <s v="Yes, I Understand this is gonna happen everywhere"/>
    <s v="No way"/>
    <m/>
  </r>
  <r>
    <d v="2023-04-06T20:05:05"/>
    <s v="India"/>
    <n v="522001"/>
    <x v="0"/>
    <x v="2"/>
    <x v="2"/>
    <x v="1"/>
    <x v="0"/>
    <x v="0"/>
    <x v="2"/>
    <s v="Fully Remote with Options to travel as and when needed"/>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Design and Develop amazing software, Entrepreneur or Start Up"/>
    <s v="Manager who explains what is expected, sets a goal and helps achieve it"/>
    <s v="Work with 2 to 3 people in my team, Work with 5 to 6 people in my team"/>
    <s v="No"/>
    <s v="This will be hard to do, but if it is the right company I would try"/>
    <m/>
  </r>
  <r>
    <d v="2023-04-06T20:13:34"/>
    <s v="India"/>
    <n v="400709"/>
    <x v="0"/>
    <x v="4"/>
    <x v="2"/>
    <x v="3"/>
    <x v="1"/>
    <x v="1"/>
    <x v="7"/>
    <s v="Hybrid Working Environment with more than 15 days a month at office"/>
    <s v="Employer who pushes your limits and doesn't enables learning environment and never rewards you"/>
    <s v="Trial and error by doing side projects within the company, Self Purchased Course from External Platforms, Manager Teaching you"/>
    <s v="Design and Creative strategy in any company, Business Operations in any organization, Manage and drive End-to-End Projects or Products, Design and Develop amazing software"/>
    <s v="Manager who sets targets and expects me to achieve it"/>
    <s v="Work with 2 to 3 people in my team, Work with 5 to 6 people in my team, Work with 7 to 10 or more people in my team"/>
    <s v="Yes, I Understand this is gonna happen everywhere"/>
    <s v="This will be hard to do, but if it is the right company I would try"/>
    <m/>
  </r>
  <r>
    <d v="2023-04-06T20:20:13"/>
    <s v="India"/>
    <s v="000000"/>
    <x v="1"/>
    <x v="0"/>
    <x v="2"/>
    <x v="3"/>
    <x v="1"/>
    <x v="1"/>
    <x v="4"/>
    <s v="Fully Remote with No option to visit offices"/>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Work as a freelancer and do my thing my way, Entrepreneur or Start Up"/>
    <s v="Manager who sets unrealistic targets"/>
    <s v="Work with more than 10 people in my team"/>
    <s v="Yes, I Understand this is gonna happen everywhere"/>
    <s v="No way"/>
    <m/>
  </r>
  <r>
    <d v="2023-04-06T20:28:16"/>
    <s v="India"/>
    <n v="400068"/>
    <x v="0"/>
    <x v="4"/>
    <x v="0"/>
    <x v="0"/>
    <x v="1"/>
    <x v="0"/>
    <x v="4"/>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ild and develop a Team,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06T20:48:08"/>
    <s v="United States of America"/>
    <n v="44114"/>
    <x v="0"/>
    <x v="3"/>
    <x v="0"/>
    <x v="0"/>
    <x v="0"/>
    <x v="1"/>
    <x v="9"/>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06T21:10:34"/>
    <s v="India"/>
    <n v="522212"/>
    <x v="1"/>
    <x v="0"/>
    <x v="2"/>
    <x v="0"/>
    <x v="0"/>
    <x v="0"/>
    <x v="5"/>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with 5 to 6 people in my team"/>
    <s v="Yes, I Understand this is gonna happen everywhere"/>
    <s v="No way"/>
    <m/>
  </r>
  <r>
    <d v="2023-04-06T21:19:00"/>
    <s v="Others"/>
    <s v="02-781"/>
    <x v="1"/>
    <x v="2"/>
    <x v="2"/>
    <x v="1"/>
    <x v="0"/>
    <x v="0"/>
    <x v="1"/>
    <s v="Every Day Office Environment"/>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Become a content Creator in some platform, I Want to sell things/Sales"/>
    <s v="Manager who explains what is expected, sets a goal and helps achieve it"/>
    <s v="Work with 7 to 10 or more people in my team"/>
    <s v="Yes, I Understand this is gonna happen everywhere"/>
    <s v="This will be hard to do, but if it is the right company I would try"/>
    <m/>
  </r>
  <r>
    <d v="2023-04-06T21:20:54"/>
    <s v="India"/>
    <n v="641105"/>
    <x v="0"/>
    <x v="0"/>
    <x v="2"/>
    <x v="0"/>
    <x v="1"/>
    <x v="1"/>
    <x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06T21:33:57"/>
    <s v="India"/>
    <n v="400603"/>
    <x v="1"/>
    <x v="2"/>
    <x v="0"/>
    <x v="0"/>
    <x v="1"/>
    <x v="1"/>
    <x v="4"/>
    <s v="Hybrid Working Environment with less than 3 days a month at office"/>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s v="No"/>
    <s v="No way"/>
    <m/>
  </r>
  <r>
    <d v="2023-04-06T22:40:53"/>
    <s v="India"/>
    <n v="670002"/>
    <x v="0"/>
    <x v="1"/>
    <x v="0"/>
    <x v="1"/>
    <x v="0"/>
    <x v="0"/>
    <x v="1"/>
    <s v="Hybrid Working Environment with less than 3 days a month at office"/>
    <s v="Employer who rewards learning and enables that environment"/>
    <s v="Self Paced Learning Portals of the Company, Instructor or Expert Learning Programs, Manager Teaching you"/>
    <s v="Build and develop a Team, Design and Develop amazing software, Look deeply into Data and generate insights, Entrepreneur or Start Up"/>
    <s v="Manager who sets targets and expects me to achieve it"/>
    <s v="Work with 7 to 10 or more people in my team"/>
    <s v="No"/>
    <s v="Will work for 7 years or more"/>
    <m/>
  </r>
  <r>
    <d v="2023-04-06T22:51:54"/>
    <s v="India"/>
    <n v="751012"/>
    <x v="0"/>
    <x v="0"/>
    <x v="0"/>
    <x v="1"/>
    <x v="0"/>
    <x v="0"/>
    <x v="5"/>
    <s v="Hybrid Working Environment with more than 15 days a month at office"/>
    <s v="Employer who appreciate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6T23:37:19"/>
    <s v="India"/>
    <n v="400022"/>
    <x v="1"/>
    <x v="4"/>
    <x v="0"/>
    <x v="3"/>
    <x v="0"/>
    <x v="0"/>
    <x v="4"/>
    <s v="Fully Remote with Options to travel as and when needed"/>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Work as a freelancer and do my thing my way"/>
    <s v="Manager who explains what is expected, sets a goal and helps achieve it"/>
    <s v="Work with 5 to 6 people in my team"/>
    <s v="Yes, I Understand this is gonna happen everywhere"/>
    <s v="No way"/>
    <m/>
  </r>
  <r>
    <d v="2023-04-07T00:01:58"/>
    <s v="India"/>
    <n v="688529"/>
    <x v="1"/>
    <x v="4"/>
    <x v="0"/>
    <x v="0"/>
    <x v="0"/>
    <x v="0"/>
    <x v="5"/>
    <s v="Every Day Office Environment"/>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Business Operations in any organization, I Want to sell things/Sales"/>
    <s v="Manager who clearly describes what she/he needs"/>
    <s v="Work with 5 to 6 people in my team"/>
    <s v="No"/>
    <s v="This will be hard to do, but if it is the right company I would try"/>
    <m/>
  </r>
  <r>
    <d v="2023-04-07T00:32:44"/>
    <s v="India"/>
    <n v="190020"/>
    <x v="1"/>
    <x v="1"/>
    <x v="2"/>
    <x v="3"/>
    <x v="0"/>
    <x v="0"/>
    <x v="8"/>
    <s v="Fully Remote with No option to visit offices"/>
    <s v="Employer who rewards learning and enables that environment"/>
    <s v="Self Paced Learning Portals of the Company, Self Purchased Course from External Platforms,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7 to 10 or more people in my team"/>
    <s v="Yes, I Understand this is gonna happen everywhere"/>
    <s v="No way"/>
    <m/>
  </r>
  <r>
    <d v="2023-04-07T01:24:17"/>
    <s v="India"/>
    <n v="500074"/>
    <x v="0"/>
    <x v="0"/>
    <x v="0"/>
    <x v="0"/>
    <x v="0"/>
    <x v="0"/>
    <x v="2"/>
    <s v="Fully Remote with No option to visit offices"/>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Work as a freelancer and do my thing my way, Entrepreneur or Start Up"/>
    <s v="Manager who sets goal and helps me achieve it"/>
    <s v="Work with 2 to 3 people in my team"/>
    <s v="No"/>
    <s v="No way"/>
    <m/>
  </r>
  <r>
    <d v="2023-04-07T06:04:27"/>
    <s v="India"/>
    <n v="110078"/>
    <x v="0"/>
    <x v="4"/>
    <x v="0"/>
    <x v="1"/>
    <x v="0"/>
    <x v="0"/>
    <x v="5"/>
    <s v="Every Day Office Environment"/>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clearly describes what she/he needs"/>
    <s v="Work with 5 to 6 people in my team"/>
    <s v="Yes, I Understand this is gonna happen everywhere"/>
    <s v="Will work for 7 years or more"/>
    <m/>
  </r>
  <r>
    <d v="2023-04-07T06:47:27"/>
    <s v="India"/>
    <n v="247667"/>
    <x v="1"/>
    <x v="2"/>
    <x v="0"/>
    <x v="1"/>
    <x v="0"/>
    <x v="0"/>
    <x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7T07:28:38"/>
    <s v="India"/>
    <n v="625010"/>
    <x v="1"/>
    <x v="3"/>
    <x v="1"/>
    <x v="1"/>
    <x v="0"/>
    <x v="0"/>
    <x v="4"/>
    <s v="Hybrid Working Environment with less than 3 days a month at office"/>
    <s v="Employer who rewards learning and enables that environment"/>
    <s v="Instructor or Expert Learning Programs, Learning by observing others, Trial and error by doing side projects within the company"/>
    <s v="Manage and drive End-to-End Projects or Products, Build and develop a Team, Look deeply into Data and generate insights, I Want to sell things/Sales"/>
    <s v="Manager who explains what is expected, sets a goal and helps achieve it"/>
    <s v="Work with 7 to 10 or more people in my team"/>
    <s v="Yes, I Understand this is gonna happen everywhere"/>
    <s v="This will be hard to do, but if it is the right company I would try"/>
    <m/>
  </r>
  <r>
    <d v="2023-04-07T08:53:59"/>
    <s v="India"/>
    <n v="400607"/>
    <x v="1"/>
    <x v="3"/>
    <x v="0"/>
    <x v="0"/>
    <x v="1"/>
    <x v="0"/>
    <x v="3"/>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Become a content Creator in some platform, Entrepreneur or Start Up"/>
    <s v="Manager who clearly describes what she/he needs"/>
    <s v="Work alone, Work with 2 to 3 people in my team, Work with 5 to 6 people in my team"/>
    <s v="Yes, I Understand this is gonna happen everywhere"/>
    <s v="No way"/>
    <m/>
  </r>
  <r>
    <d v="2023-04-07T08:57:20"/>
    <s v="India"/>
    <n v="600125"/>
    <x v="0"/>
    <x v="0"/>
    <x v="2"/>
    <x v="1"/>
    <x v="0"/>
    <x v="0"/>
    <x v="2"/>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Entrepreneur or Start Up"/>
    <s v="Manager who clearly describes what she/he needs"/>
    <s v="Work with 7 to 10 or more people in my team"/>
    <s v="Yes, I Understand this is gonna happen everywhere"/>
    <s v="This will be hard to do, but if it is the right company I would try"/>
    <m/>
  </r>
  <r>
    <d v="2023-04-07T09:08:01"/>
    <s v="India"/>
    <n v="560043"/>
    <x v="0"/>
    <x v="0"/>
    <x v="0"/>
    <x v="0"/>
    <x v="0"/>
    <x v="0"/>
    <x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ecome a content Creator in some platform, I Want to sell things/Sales"/>
    <s v="Manager who explains what is expected, sets a goal and helps achieve it"/>
    <s v="Work with 5 to 6 people in my team"/>
    <s v="Yes, I Understand this is gonna happen everywhere"/>
    <s v="This will be hard to do, but if it is the right company I would try"/>
    <m/>
  </r>
  <r>
    <d v="2023-04-07T10:41:23"/>
    <s v="India"/>
    <n v="400607"/>
    <x v="0"/>
    <x v="2"/>
    <x v="1"/>
    <x v="1"/>
    <x v="1"/>
    <x v="0"/>
    <x v="9"/>
    <s v="Hybrid Working Environment with less than 3 days a month at office"/>
    <s v="Employer who rewards learning and enables that environment"/>
    <s v="Learning by observing others, Trial and error by doing side projects within the company, Manager Teaching you"/>
    <s v="Design and Creative strategy in any company, Business Operations in any organization, Build and develop a Team, I Want to sell things/Sales"/>
    <s v="Manager who sets goal and helps me achieve it"/>
    <s v="Work with 2 to 3 people in my team"/>
    <s v="Yes, I Understand this is gonna happen everywhere"/>
    <s v="This will be hard to do, but if it is the right company I would try"/>
    <m/>
  </r>
  <r>
    <d v="2023-04-07T10:48:57"/>
    <s v="India"/>
    <n v="382424"/>
    <x v="1"/>
    <x v="0"/>
    <x v="0"/>
    <x v="1"/>
    <x v="0"/>
    <x v="0"/>
    <x v="4"/>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with 2 to 3 people in my team"/>
    <s v="Yes, I Understand this is gonna happen everywhere"/>
    <s v="This will be hard to do, but if it is the right company I would try"/>
    <m/>
  </r>
  <r>
    <d v="2023-04-07T11:10:41"/>
    <s v="India"/>
    <n v="400607"/>
    <x v="0"/>
    <x v="4"/>
    <x v="0"/>
    <x v="3"/>
    <x v="1"/>
    <x v="0"/>
    <x v="3"/>
    <s v="Hybrid Working Environment with less than 3 days a month at office"/>
    <s v="Employer who appreciates learning and enables that environment"/>
    <s v="Learning by observing others, Trial and error by doing side projects within the company, Self Purchased Course from External Platforms"/>
    <s v="Design and Creative strategy in any company, Business Operations in any organization, Manage and drive End-to-End Projects or Products, I Want to sell things/Sales"/>
    <s v="Manager who sets targets and expects me to achieve it"/>
    <s v="Work with more than 10 people in my team"/>
    <s v="Yes, I Understand this is gonna happen everywhere"/>
    <s v="No way"/>
    <m/>
  </r>
  <r>
    <d v="2023-04-07T11:22:17"/>
    <s v="India"/>
    <n v="400607"/>
    <x v="0"/>
    <x v="0"/>
    <x v="2"/>
    <x v="0"/>
    <x v="1"/>
    <x v="1"/>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07T12:01:54"/>
    <s v="India"/>
    <n v="533001"/>
    <x v="0"/>
    <x v="3"/>
    <x v="2"/>
    <x v="0"/>
    <x v="0"/>
    <x v="0"/>
    <x v="8"/>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m/>
  </r>
  <r>
    <d v="2023-04-07T12:14:14"/>
    <s v="India"/>
    <n v="612001"/>
    <x v="0"/>
    <x v="3"/>
    <x v="0"/>
    <x v="1"/>
    <x v="0"/>
    <x v="0"/>
    <x v="5"/>
    <s v="Fully Remote with Options to travel as and when needed"/>
    <s v="Employer who appreciates learning and enables that environment"/>
    <s v="Instructor or Expert Learning Programs, Trial and error by doing side projects within the company, Manager Teaching you"/>
    <s v="Design and Creative strategy in any company, Design and Develop amazing software, Look deeply into Data and generate insights, Entrepreneur or Start Up"/>
    <s v="Manager who explains what is expected, sets a goal and helps achieve it"/>
    <s v="Work with more than 10 people in my team"/>
    <s v="Yes"/>
    <s v="Will work for 7 years or more"/>
    <m/>
  </r>
  <r>
    <d v="2023-04-07T12:38:25"/>
    <s v="India"/>
    <n v="441002"/>
    <x v="0"/>
    <x v="4"/>
    <x v="1"/>
    <x v="3"/>
    <x v="0"/>
    <x v="0"/>
    <x v="6"/>
    <s v="Fully Remote with No option to visit offices"/>
    <s v="Employer who appreciate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Entrepreneur or Start Up"/>
    <s v="Manager who sets goal and helps me achieve it"/>
    <s v="Work with more than 10 people in my team"/>
    <s v="No"/>
    <s v="No way"/>
    <m/>
  </r>
  <r>
    <d v="2023-04-07T16:16:41"/>
    <s v="India"/>
    <n v="507001"/>
    <x v="0"/>
    <x v="4"/>
    <x v="1"/>
    <x v="1"/>
    <x v="0"/>
    <x v="0"/>
    <x v="0"/>
    <s v="Every Day Office Environment"/>
    <s v="Employer who appreciates learning and enables that environment"/>
    <s v="Self Paced Learning Portals of the Company, Instructor or Expert Learning Programs, Manager Teaching you"/>
    <s v="Teaching in any of the institutes/colleges/online or offline, Manage and drive End-to-End Projects or Products, Look deeply into Data and generate insights, Work as a freelancer and do my thing my way"/>
    <s v="Manager who sets goal and helps me achieve it"/>
    <s v="Work with 5 to 6 people in my team"/>
    <s v="Yes, I Understand this is gonna happen everywhere"/>
    <s v="This will be hard to do, but if it is the right company I would try"/>
    <m/>
  </r>
  <r>
    <d v="2023-04-07T16:17:33"/>
    <s v="India"/>
    <n v="201310"/>
    <x v="1"/>
    <x v="4"/>
    <x v="0"/>
    <x v="0"/>
    <x v="0"/>
    <x v="0"/>
    <x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7T16:55:35"/>
    <s v="India"/>
    <n v="221103"/>
    <x v="0"/>
    <x v="4"/>
    <x v="0"/>
    <x v="0"/>
    <x v="0"/>
    <x v="0"/>
    <x v="1"/>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Business Operations in any organization, Become a content Creator in some platform, An Artificial Intelligence Specialist / Talking to Robots"/>
    <s v="Manager who explains what is expected, sets a goal and helps achieve it"/>
    <s v="Work with more than 10 people in my team"/>
    <s v="No"/>
    <s v="No way"/>
    <m/>
  </r>
  <r>
    <d v="2023-04-07T17:44:45"/>
    <s v="India"/>
    <n v="221010"/>
    <x v="1"/>
    <x v="0"/>
    <x v="2"/>
    <x v="0"/>
    <x v="0"/>
    <x v="0"/>
    <x v="0"/>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Teaching in any of the institutes/colleges/online or offline, Build and develop a Team, Work as a freelancer and do my thing my way"/>
    <s v="Manager who explains what is expected, sets a goal and helps achieve it"/>
    <s v="Work with 7 to 10 or more people in my team"/>
    <s v="Yes, I Understand this is gonna happen everywhere"/>
    <s v="This will be hard to do, but if it is the right company I would try"/>
    <m/>
  </r>
  <r>
    <d v="2023-04-07T17:50:28"/>
    <s v="India"/>
    <n v="251001"/>
    <x v="1"/>
    <x v="4"/>
    <x v="2"/>
    <x v="0"/>
    <x v="0"/>
    <x v="0"/>
    <x v="0"/>
    <s v="Fully Remote with Options to travel as and when needed"/>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07T19:40:12"/>
    <s v="India"/>
    <n v="203001"/>
    <x v="1"/>
    <x v="4"/>
    <x v="2"/>
    <x v="0"/>
    <x v="0"/>
    <x v="0"/>
    <x v="4"/>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Build and develop a Team, Entrepreneur or Start Up"/>
    <s v="Manager who explains what is expected, sets a goal and helps achieve it"/>
    <s v="Work with 2 to 3 people in my team"/>
    <s v="I have NO other choice"/>
    <s v="This will be hard to do, but if it is the right company I would try"/>
    <m/>
  </r>
  <r>
    <d v="2023-04-07T19:45:28"/>
    <s v="India"/>
    <n v="522508"/>
    <x v="0"/>
    <x v="4"/>
    <x v="2"/>
    <x v="1"/>
    <x v="1"/>
    <x v="1"/>
    <x v="8"/>
    <s v="Every Day Office Environment"/>
    <s v="Employer who appreciates learning and enables that environment"/>
    <s v="Self Paced Learning Portals of the Company, Learning by observing others, Self Purchased Course from External Platforms"/>
    <s v="Teaching in any of the institutes/colleges/online or offline, Business Operations in any organization, Design and Develop amazing software, Work in a BPO setup for some well known client"/>
    <s v="Manager who sets goal and helps me achieve it"/>
    <s v="Work with more than 10 people in my team"/>
    <s v="Yes"/>
    <s v="This will be hard to do, but if it is the right company I would try"/>
    <m/>
  </r>
  <r>
    <d v="2023-04-07T19:46:24"/>
    <s v="India"/>
    <n v="243006"/>
    <x v="0"/>
    <x v="0"/>
    <x v="2"/>
    <x v="0"/>
    <x v="0"/>
    <x v="0"/>
    <x v="1"/>
    <s v="Fully Remote with No option to visit offices"/>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Look deeply into Data and generate insights"/>
    <s v="Manager who explains what is expected, sets a goal and helps achieve it"/>
    <s v="Work alone"/>
    <s v="No"/>
    <s v="This will be hard to do, but if it is the right company I would try"/>
    <m/>
  </r>
  <r>
    <d v="2023-04-07T19:47:51"/>
    <s v="India"/>
    <n v="110076"/>
    <x v="1"/>
    <x v="0"/>
    <x v="0"/>
    <x v="0"/>
    <x v="0"/>
    <x v="0"/>
    <x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7T19:57:24"/>
    <s v="India"/>
    <n v="227405"/>
    <x v="0"/>
    <x v="3"/>
    <x v="0"/>
    <x v="1"/>
    <x v="0"/>
    <x v="1"/>
    <x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alone, Work with 2 to 3 people in my team, Work with 5 to 6 people in my team, Work with 7 to 10 or more people in my team, Work with more than 10 people in my team"/>
    <s v="No"/>
    <s v="Will work for 7 years or more"/>
    <m/>
  </r>
  <r>
    <d v="2023-04-07T20:00:39"/>
    <s v="India"/>
    <n v="110084"/>
    <x v="1"/>
    <x v="4"/>
    <x v="2"/>
    <x v="0"/>
    <x v="0"/>
    <x v="0"/>
    <x v="3"/>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7T20:05:04"/>
    <s v="India"/>
    <s v="0129"/>
    <x v="0"/>
    <x v="2"/>
    <x v="0"/>
    <x v="0"/>
    <x v="1"/>
    <x v="0"/>
    <x v="8"/>
    <s v="Hybrid Working Environment with more than 15 days a month at office"/>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Manage and drive End-to-End Projects or Products, Manufacturing / Oil and Gas/ Construction / Hard Physical Work related"/>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7T20:06:21"/>
    <s v="India"/>
    <n v="517501"/>
    <x v="1"/>
    <x v="4"/>
    <x v="1"/>
    <x v="0"/>
    <x v="0"/>
    <x v="0"/>
    <x v="2"/>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Become a content Creator in some platform"/>
    <s v="Manager who sets goal and helps me achieve it"/>
    <s v="Work with 5 to 6 people in my team"/>
    <s v="Yes, I Understand this is gonna happen everywhere"/>
    <s v="This will be hard to do, but if it is the right company I would try"/>
    <m/>
  </r>
  <r>
    <d v="2023-04-07T20:16:34"/>
    <s v="India"/>
    <n v="517503"/>
    <x v="1"/>
    <x v="3"/>
    <x v="0"/>
    <x v="0"/>
    <x v="0"/>
    <x v="0"/>
    <x v="0"/>
    <s v="Every Day Office Environment"/>
    <s v="Employer who appreciates learning and enables that environment"/>
    <s v="Self Paced Learning Portals of the Company, Trial and error by doing side projects within the company, Manager Teaching you"/>
    <s v="Design and Creative strategy in any company, Design and Develop amazing software, Look deeply into Data and generate insights, Work as a freelancer and do my thing my way"/>
    <s v="Manager who explains what is expected, sets a goal and helps achieve it"/>
    <s v="Work with 5 to 6 people in my team"/>
    <s v="No"/>
    <s v="This will be hard to do, but if it is the right company I would try"/>
    <m/>
  </r>
  <r>
    <d v="2023-04-07T20:30:34"/>
    <s v="India"/>
    <n v="560087"/>
    <x v="0"/>
    <x v="2"/>
    <x v="0"/>
    <x v="1"/>
    <x v="1"/>
    <x v="0"/>
    <x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7 to 10 or more people in my team, Work with more than 10 people in my team"/>
    <s v="I have NO other choice"/>
    <s v="This will be hard to do, but if it is the right company I would try"/>
    <m/>
  </r>
  <r>
    <d v="2023-04-07T20:33:55"/>
    <s v="India"/>
    <n v="517510"/>
    <x v="1"/>
    <x v="1"/>
    <x v="0"/>
    <x v="1"/>
    <x v="0"/>
    <x v="0"/>
    <x v="8"/>
    <s v="Fully Remote with No option to visit offices"/>
    <s v="Employers who appreciates learning but doesn't enables an learning environment"/>
    <s v="Trial and error by doing side projects within the company, Self Purchased Course from External Platforms, Manager Teaching you"/>
    <s v="Entrepreneur or Start Up, I Want to sell things/Sales, An Artificial Intelligence Specialist / Talking to Robots, Manufacturing / Oil and Gas/ Construction / Hard Physical Work related"/>
    <s v="Manager who sets unrealistic targets"/>
    <s v="Work with more than 10 people in my team"/>
    <s v="I have NO other choice"/>
    <s v="Will work for 7 years or more"/>
    <m/>
  </r>
  <r>
    <d v="2023-04-07T20:45:34"/>
    <s v="India"/>
    <n v="560087"/>
    <x v="1"/>
    <x v="0"/>
    <x v="1"/>
    <x v="1"/>
    <x v="1"/>
    <x v="0"/>
    <x v="2"/>
    <s v="Hybrid Working Environment with less than 3 days a month at office"/>
    <s v="Employer who appreciates learning and enables that environment"/>
    <s v="Self Paced Learning Portals of the Company, Learning by observing others, Trial and error by doing side projects within the company"/>
    <s v="Design and Develop amazing software, Look deeply into Data and generate insights, Work as a freelancer and do my thing my way, Entrepreneur or Start Up"/>
    <s v="Manager who explains what is expected, sets a goal and helps achieve it"/>
    <s v="Work with more than 10 people in my team"/>
    <s v="No"/>
    <s v="This will be hard to do, but if it is the right company I would try"/>
    <m/>
  </r>
  <r>
    <d v="2023-04-07T21:00:32"/>
    <s v="United States of America"/>
    <n v="99010"/>
    <x v="0"/>
    <x v="4"/>
    <x v="2"/>
    <x v="0"/>
    <x v="0"/>
    <x v="0"/>
    <x v="4"/>
    <s v="Fully Remote with Options to travel as and when needed"/>
    <s v="Employer who rewards learning and enables that environment"/>
    <s v="Self Paced Learning Portals of the Company, Instructor or Expert Learning Programs, Learning by observing others"/>
    <s v="Manage and drive End-to-End Projects or Products, Look deeply into Data and generate insights, Entrepreneur or Start Up, An Artificial Intelligence Specialist / Talking to Robots"/>
    <s v="Manager who clearly describes what she/he needs"/>
    <s v="Work with 2 to 3 people in my team"/>
    <s v="Yes, I Understand this is gonna happen everywhere"/>
    <s v="This will be hard to do, but if it is the right company I would try"/>
    <m/>
  </r>
  <r>
    <d v="2023-04-07T21:06:54"/>
    <s v="India"/>
    <n v="110053"/>
    <x v="0"/>
    <x v="4"/>
    <x v="2"/>
    <x v="0"/>
    <x v="0"/>
    <x v="0"/>
    <x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Work as a freelancer and do my thing my way"/>
    <s v="Manager who clearly describes what she/he needs"/>
    <s v="Work with 5 to 6 people in my team"/>
    <s v="No"/>
    <s v="This will be hard to do, but if it is the right company I would try"/>
    <m/>
  </r>
  <r>
    <d v="2023-04-07T21:17:34"/>
    <s v="India"/>
    <n v="283204"/>
    <x v="1"/>
    <x v="3"/>
    <x v="2"/>
    <x v="1"/>
    <x v="0"/>
    <x v="0"/>
    <x v="4"/>
    <s v="Hybrid Working Environment with more than 15 days a month at office"/>
    <s v="Employer who appreciates learning and enables that environment"/>
    <s v="Instructor or Expert Learning Programs, Learning by observing others, Manager Teaching you"/>
    <s v="Teaching in any of the institutes/colleges/online or offline, Business Operations in any organization, Manage and drive End-to-End Projects or Products, Build and develop a Team"/>
    <s v="Manager who sets goal and helps me achieve it"/>
    <s v="Work with 5 to 6 people in my team"/>
    <s v="No"/>
    <s v="This will be hard to do, but if it is the right company I would try"/>
    <m/>
  </r>
  <r>
    <d v="2023-04-07T21:29:04"/>
    <s v="India"/>
    <n v="560094"/>
    <x v="1"/>
    <x v="3"/>
    <x v="1"/>
    <x v="0"/>
    <x v="0"/>
    <x v="0"/>
    <x v="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s v="Yes, I Understand this is gonna happen everywhere"/>
    <s v="This will be hard to do, but if it is the right company I would try"/>
    <m/>
  </r>
  <r>
    <d v="2023-04-07T21:42:32"/>
    <s v="India"/>
    <n v="110022"/>
    <x v="0"/>
    <x v="4"/>
    <x v="2"/>
    <x v="0"/>
    <x v="0"/>
    <x v="1"/>
    <x v="4"/>
    <s v="Every Day Office Environment"/>
    <s v="Employer who appreciates learning and enables that environment"/>
    <s v="Instructor or Expert Learning Programs, Learning by observing others, Manager Teaching you"/>
    <s v="Manage and drive End-to-End Projects or Products, Design and Develop amazing software, Become a content Creator in some platform,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07T21:46:27"/>
    <s v="India"/>
    <n v="560093"/>
    <x v="1"/>
    <x v="0"/>
    <x v="0"/>
    <x v="1"/>
    <x v="1"/>
    <x v="0"/>
    <x v="4"/>
    <s v="Hybrid Working Environment with less than 3 days a month at office"/>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I Want to sell things/Sales, An Artificial Intelligence Specialist / Talking to Robots"/>
    <s v="Manager who sets goal and helps me achieve it"/>
    <s v="Work with 5 to 6 people in my team"/>
    <s v="No"/>
    <s v="Will work for 7 years or more"/>
    <m/>
  </r>
  <r>
    <d v="2023-04-07T21:59:07"/>
    <s v="India"/>
    <n v="245304"/>
    <x v="1"/>
    <x v="0"/>
    <x v="0"/>
    <x v="0"/>
    <x v="1"/>
    <x v="1"/>
    <x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Entrepreneur or Start Up"/>
    <s v="Manager who sets targets and expects me to achieve it"/>
    <s v="Work with 5 to 6 people in my team"/>
    <s v="Yes"/>
    <s v="No way"/>
    <m/>
  </r>
  <r>
    <d v="2023-04-07T22:10:26"/>
    <s v="India"/>
    <n v="226010"/>
    <x v="1"/>
    <x v="0"/>
    <x v="0"/>
    <x v="0"/>
    <x v="0"/>
    <x v="0"/>
    <x v="8"/>
    <s v="Hybrid Working Environment with more than 15 days a month at office"/>
    <s v="Employer who appreciates learning and enables that environment"/>
    <s v="Instructor or Expert Learning Programs, Learning by observing others, Self Purchased Course from External Platforms"/>
    <s v="Teaching in any of the institutes/colleges/online or offline, Build and develop a Team, Design and Develop amazing software, Look deeply into Data and generate insights"/>
    <s v="Manager who sets goal and helps me achieve it"/>
    <s v="Work with 2 to 3 people in my team"/>
    <s v="Yes, I Understand this is gonna happen everywhere"/>
    <s v="This will be hard to do, but if it is the right company I would try"/>
    <m/>
  </r>
  <r>
    <d v="2023-04-07T22:17:11"/>
    <s v="India"/>
    <n v="201310"/>
    <x v="0"/>
    <x v="3"/>
    <x v="1"/>
    <x v="0"/>
    <x v="1"/>
    <x v="1"/>
    <x v="9"/>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Look deeply into Data and generate insights, An Artificial Intelligence Specialist / Talking to Robots"/>
    <s v="Manager who sets unrealistic target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7T22:43:27"/>
    <s v="India"/>
    <n v="600130"/>
    <x v="1"/>
    <x v="4"/>
    <x v="2"/>
    <x v="1"/>
    <x v="0"/>
    <x v="0"/>
    <x v="3"/>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explains what is expected, sets a goal and helps achieve it"/>
    <s v="Work with 2 to 3 people in my team"/>
    <s v="No"/>
    <s v="This will be hard to do, but if it is the right company I would try"/>
    <m/>
  </r>
  <r>
    <d v="2023-04-07T23:10:56"/>
    <s v="India"/>
    <n v="560055"/>
    <x v="1"/>
    <x v="4"/>
    <x v="2"/>
    <x v="1"/>
    <x v="0"/>
    <x v="0"/>
    <x v="1"/>
    <s v="Hybrid Working Environment with less than 3 days a month at office"/>
    <s v="Employer who appreciates learning and enables that environment"/>
    <s v="Self Paced Learning Portals of the Company, Instructor or Expert Learning Programs, Manager Teaching you"/>
    <s v="Manage and drive End-to-End Projects or Products, Build and develop a Team, Work in a BPO setup for some well known client, Work as a freelancer and do my thing my way"/>
    <s v="Manager who explains what is expected, sets a goal and helps achieve it"/>
    <s v="Work with 5 to 6 people in my team"/>
    <s v="No"/>
    <s v="No way"/>
    <m/>
  </r>
  <r>
    <d v="2023-04-07T23:15:14"/>
    <s v="India"/>
    <n v="400084"/>
    <x v="0"/>
    <x v="4"/>
    <x v="1"/>
    <x v="1"/>
    <x v="0"/>
    <x v="0"/>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m/>
  </r>
  <r>
    <d v="2023-04-07T23:17:36"/>
    <s v="India"/>
    <n v="452016"/>
    <x v="1"/>
    <x v="3"/>
    <x v="0"/>
    <x v="0"/>
    <x v="1"/>
    <x v="1"/>
    <x v="0"/>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clearly describes what she/he needs"/>
    <s v="Work with 5 to 6 people in my team"/>
    <s v="Yes, I Understand this is gonna happen everywhere"/>
    <s v="This will be hard to do, but if it is the right company I would try"/>
    <m/>
  </r>
  <r>
    <d v="2023-04-07T23:23:07"/>
    <s v="India"/>
    <n v="211001"/>
    <x v="0"/>
    <x v="4"/>
    <x v="2"/>
    <x v="3"/>
    <x v="0"/>
    <x v="0"/>
    <x v="5"/>
    <s v="Every Day Office Environment"/>
    <s v="Employer who appreciates learning and enables that environment"/>
    <s v="Self Paced Learning Portals of the Company, Instructor or Expert Learning Programs, Learning by observing others"/>
    <s v="Teaching in any of the institutes/colleges/online or offline, Build and develop a Team, Become a content Creator in some platform, Entrepreneur or Start Up"/>
    <s v="Manager who clearly describes what she/he needs"/>
    <s v="Work with 7 to 10 or more people in my team, Work with more than 10 people in my team"/>
    <s v="Yes, I Understand this is gonna happen everywhere"/>
    <s v="No way"/>
    <m/>
  </r>
  <r>
    <d v="2023-04-07T23:25:16"/>
    <s v="India"/>
    <n v="400067"/>
    <x v="0"/>
    <x v="4"/>
    <x v="0"/>
    <x v="3"/>
    <x v="1"/>
    <x v="0"/>
    <x v="8"/>
    <s v="Fully Remote with No option to visit offices"/>
    <s v="Employer who rewards learning and enables that environment"/>
    <s v="Self Paced Learning Portals of the Company, Instructor or Expert Learning Programs, Learning by observing others"/>
    <s v="Business Operations in any organization, Manage and drive End-to-End Projects or Products, Work in a BPO setup for some well known client, Work as a freelancer and do my thing my way"/>
    <s v="Manager who explains what is expected, sets a goal and helps achieve it"/>
    <s v="Work with 2 to 3 people in my team"/>
    <s v="No"/>
    <s v="No way"/>
    <m/>
  </r>
  <r>
    <d v="2023-04-07T23:56:21"/>
    <s v="India"/>
    <n v="500041"/>
    <x v="1"/>
    <x v="0"/>
    <x v="0"/>
    <x v="0"/>
    <x v="0"/>
    <x v="1"/>
    <x v="2"/>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Work as a freelancer and do my thing my way"/>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8T00:14:27"/>
    <s v="India"/>
    <n v="400086"/>
    <x v="0"/>
    <x v="4"/>
    <x v="2"/>
    <x v="3"/>
    <x v="0"/>
    <x v="0"/>
    <x v="1"/>
    <s v="Fully Remote with No option to visit offices"/>
    <s v="Employer who pushes your limits and doesn't enables learning environment and never rewards you"/>
    <s v="Learning by observing others, Trial and error by doing side projects within the company, Self Purchased Course from External Platforms"/>
    <s v="Business Operations in any organization, Design and Develop amazing software, Look deeply into Data and generate insights, Work in a BPO setup for some well known client"/>
    <s v="Manager who explains what is expected, sets a goal and helps achieve it"/>
    <s v="Work with 2 to 3 people in my team"/>
    <s v="No"/>
    <s v="No way"/>
    <m/>
  </r>
  <r>
    <d v="2023-04-08T00:32:27"/>
    <s v="India"/>
    <n v="411033"/>
    <x v="0"/>
    <x v="3"/>
    <x v="2"/>
    <x v="0"/>
    <x v="1"/>
    <x v="0"/>
    <x v="9"/>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Business Operations in any organization, Entrepreneur or Start Up, I Want to sell things/Sales"/>
    <s v="Manager who sets unrealistic targets"/>
    <s v="Work with 2 to 3 people in my team, Work with 5 to 6 people in my team"/>
    <s v="Yes, I Understand this is gonna happen everywhere"/>
    <s v="No way"/>
    <m/>
  </r>
  <r>
    <d v="2023-04-08T00:55:24"/>
    <s v="India"/>
    <n v="600031"/>
    <x v="0"/>
    <x v="0"/>
    <x v="2"/>
    <x v="1"/>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8T00:55:54"/>
    <s v="India"/>
    <n v="440009"/>
    <x v="0"/>
    <x v="1"/>
    <x v="0"/>
    <x v="1"/>
    <x v="0"/>
    <x v="0"/>
    <x v="4"/>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Manage and drive End-to-End Projects or Products, Design and Develop amazing software,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8T00:59:30"/>
    <s v="India"/>
    <n v="60020"/>
    <x v="1"/>
    <x v="1"/>
    <x v="0"/>
    <x v="0"/>
    <x v="1"/>
    <x v="1"/>
    <x v="8"/>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clearly describes what she/he needs"/>
    <s v="Work with 2 to 3 people in my team, Work with 5 to 6 people in my team"/>
    <s v="Yes, I Understand this is gonna happen everywhere"/>
    <s v="No way"/>
    <m/>
  </r>
  <r>
    <d v="2023-04-08T01:06:12"/>
    <s v="India"/>
    <n v="400701"/>
    <x v="1"/>
    <x v="0"/>
    <x v="1"/>
    <x v="0"/>
    <x v="0"/>
    <x v="1"/>
    <x v="2"/>
    <s v="Fully Remote with No option to visit offices"/>
    <s v="Employer who pushes your limits and doesn't enables learning environment and never rewards you"/>
    <s v="Instructor or Expert Learning Programs, Learning by observing others, Trial and error by doing side projects within the company"/>
    <s v="Manage and drive End-to-End Projects or Products, Look deeply into Data and generate insights, Become a content Creator in some platform, An Artificial Intelligence Specialist / Talking to Robo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8T01:06:58"/>
    <s v="India"/>
    <n v="400024"/>
    <x v="0"/>
    <x v="2"/>
    <x v="1"/>
    <x v="1"/>
    <x v="1"/>
    <x v="1"/>
    <x v="7"/>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Look deeply into Data and generate insights, Work as a freelancer and do my thing my way"/>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08T01:11:27"/>
    <s v="India"/>
    <n v="201009"/>
    <x v="0"/>
    <x v="2"/>
    <x v="0"/>
    <x v="0"/>
    <x v="0"/>
    <x v="0"/>
    <x v="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No way"/>
    <m/>
  </r>
  <r>
    <d v="2023-04-08T01:14:20"/>
    <s v="India"/>
    <n v="201002"/>
    <x v="0"/>
    <x v="1"/>
    <x v="0"/>
    <x v="0"/>
    <x v="0"/>
    <x v="1"/>
    <x v="4"/>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Build and develop a Team, Entrepreneur or Start Up"/>
    <s v="Manager who explains what is expected, sets a goal and helps achieve it"/>
    <s v="Work with 2 to 3 people in my team, Work with more than 10 people in my team"/>
    <s v="Yes, I Understand this is gonna happen everywhere"/>
    <s v="This will be hard to do, but if it is the right company I would try"/>
    <m/>
  </r>
  <r>
    <d v="2023-04-08T01:17:20"/>
    <s v="India"/>
    <n v="201309"/>
    <x v="0"/>
    <x v="1"/>
    <x v="2"/>
    <x v="1"/>
    <x v="0"/>
    <x v="0"/>
    <x v="0"/>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clearly describes what she/he needs"/>
    <s v="Work with 5 to 6 people in my team"/>
    <s v="Yes, I Understand this is gonna happen everywhere"/>
    <s v="This will be hard to do, but if it is the right company I would try"/>
    <m/>
  </r>
  <r>
    <d v="2023-04-08T01:29:09"/>
    <s v="India"/>
    <n v="482020"/>
    <x v="0"/>
    <x v="0"/>
    <x v="0"/>
    <x v="0"/>
    <x v="0"/>
    <x v="0"/>
    <x v="2"/>
    <s v="Every Day Office Environment"/>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Design and Develop amazing software,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r>
  <r>
    <d v="2023-04-08T01:43:29"/>
    <s v="India"/>
    <n v="500056"/>
    <x v="1"/>
    <x v="3"/>
    <x v="2"/>
    <x v="1"/>
    <x v="1"/>
    <x v="1"/>
    <x v="4"/>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Look deeply into Data and generate insights, Work as a freelancer and do my thing my way, An Artificial Intelligence Specialist / Talking to Robots"/>
    <s v="Manager who clearly describes what she/he needs"/>
    <s v="Work with 5 to 6 people in my team"/>
    <s v="Yes, I Understand this is gonna happen everywhere"/>
    <s v="This will be hard to do, but if it is the right company I would try"/>
    <m/>
  </r>
  <r>
    <d v="2023-04-08T02:03:19"/>
    <s v="United Arab Emirates"/>
    <s v="00000"/>
    <x v="0"/>
    <x v="4"/>
    <x v="2"/>
    <x v="0"/>
    <x v="0"/>
    <x v="0"/>
    <x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Entrepreneur or Start Up"/>
    <s v="Manager who clearly describes what she/he needs"/>
    <s v="Work with 5 to 6 people in my team"/>
    <s v="Yes"/>
    <s v="No way"/>
    <m/>
  </r>
  <r>
    <d v="2023-04-08T03:29:12"/>
    <s v="India"/>
    <n v="560029"/>
    <x v="0"/>
    <x v="2"/>
    <x v="2"/>
    <x v="1"/>
    <x v="1"/>
    <x v="0"/>
    <x v="4"/>
    <s v="Fully Remote with Options to travel as and when needed"/>
    <s v="Employer who rewards learning and enables that environment"/>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Work with 5 to 6 people in my team"/>
    <s v="No"/>
    <s v="This will be hard to do, but if it is the right company I would try"/>
    <m/>
  </r>
  <r>
    <d v="2023-04-08T04:17:37"/>
    <s v="India"/>
    <n v="400601"/>
    <x v="0"/>
    <x v="0"/>
    <x v="1"/>
    <x v="0"/>
    <x v="0"/>
    <x v="0"/>
    <x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Design and Develop amazing software, Look deeply into Data and generate insights"/>
    <s v="Manager who sets goal and helps me achieve it"/>
    <s v="Work with 5 to 6 people in my team"/>
    <s v="Yes, I Understand this is gonna happen everywhere"/>
    <s v="This will be hard to do, but if it is the right company I would try"/>
    <m/>
  </r>
  <r>
    <d v="2023-04-08T06:32:43"/>
    <s v="India"/>
    <n v="560004"/>
    <x v="1"/>
    <x v="4"/>
    <x v="0"/>
    <x v="3"/>
    <x v="1"/>
    <x v="0"/>
    <x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ecome a content Creator in some platform, Entrepreneur or Start Up"/>
    <s v="Manager who sets goal and helps me achieve it"/>
    <s v="Work with 5 to 6 people in my team"/>
    <s v="No"/>
    <s v="No way"/>
    <m/>
  </r>
  <r>
    <d v="2023-04-08T06:38:07"/>
    <s v="India"/>
    <n v="781013"/>
    <x v="0"/>
    <x v="1"/>
    <x v="0"/>
    <x v="1"/>
    <x v="1"/>
    <x v="1"/>
    <x v="7"/>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targets and expects me to achieve it"/>
    <s v="Work with 2 to 3 people in my team"/>
    <s v="Yes"/>
    <s v="Will work for 7 years or more"/>
    <m/>
  </r>
  <r>
    <d v="2023-04-08T06:47:20"/>
    <s v="India"/>
    <n v="400029"/>
    <x v="1"/>
    <x v="0"/>
    <x v="0"/>
    <x v="1"/>
    <x v="0"/>
    <x v="0"/>
    <x v="4"/>
    <s v="Fully Remote with Options to travel as and when needed"/>
    <s v="Employer who rewards learning and enables that environment"/>
    <s v="Self Paced Learning Portals of the Company, Trial and error by doing side projects within the company, Manager Teaching you"/>
    <s v="Teaching in any of the institutes/colleges/online or offline, Build and develop a Team, Work as a freelancer and do my thing my way, Entrepreneur or Start Up"/>
    <s v="Manager who explains what is expected, sets a goal and helps achieve it"/>
    <s v="Work with 5 to 6 people in my team"/>
    <s v="Yes, I Understand this is gonna happen everywhere"/>
    <s v="Will work for 7 years or more"/>
    <m/>
  </r>
  <r>
    <d v="2023-04-08T07:10:55"/>
    <s v="India"/>
    <n v="500073"/>
    <x v="0"/>
    <x v="0"/>
    <x v="0"/>
    <x v="0"/>
    <x v="0"/>
    <x v="0"/>
    <x v="1"/>
    <s v="Fully Remote with Options to travel as and when needed"/>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Work as a freelancer and do my thing my way"/>
    <s v="Manager who clearly describes what she/he needs"/>
    <s v="Work with more than 10 people in my team"/>
    <s v="I have NO other choice"/>
    <s v="This will be hard to do, but if it is the right company I would try"/>
    <m/>
  </r>
  <r>
    <d v="2023-04-08T07:29:43"/>
    <s v="India"/>
    <n v="441601"/>
    <x v="0"/>
    <x v="4"/>
    <x v="0"/>
    <x v="1"/>
    <x v="1"/>
    <x v="0"/>
    <x v="9"/>
    <s v="Hybrid Working Environment with more than 15 days a month at office"/>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Will work for 7 years or more"/>
    <m/>
  </r>
  <r>
    <d v="2023-04-08T07:35:39"/>
    <s v="India"/>
    <n v="400066"/>
    <x v="1"/>
    <x v="4"/>
    <x v="0"/>
    <x v="1"/>
    <x v="0"/>
    <x v="0"/>
    <x v="8"/>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clearly describes what she/he needs"/>
    <s v="Work with 2 to 3 people in my team"/>
    <s v="Yes, I Understand this is gonna happen everywhere"/>
    <s v="Will work for 7 years or more"/>
    <m/>
  </r>
  <r>
    <d v="2023-04-08T07:57:35"/>
    <s v="India"/>
    <n v="700102"/>
    <x v="0"/>
    <x v="2"/>
    <x v="0"/>
    <x v="0"/>
    <x v="0"/>
    <x v="0"/>
    <x v="2"/>
    <s v="Hybrid Working Environment with more than 15 days a month at office"/>
    <s v="Employer who appreciates learning and enables that environment"/>
    <s v="Self Paced Learning Portals of the Company, Learning by observing others, Self Purchased Course from External Platforms"/>
    <s v="Design and Creative strategy in any company, Business Operations in any organization, Manage and drive End-to-End Projects or Products, Look deeply into Data and generate insights"/>
    <s v="Manager who clearly describes what she/he needs"/>
    <s v="Work alone, Work with 5 to 6 people in my team"/>
    <s v="Yes, I Understand this is gonna happen everywhere"/>
    <s v="No way"/>
    <m/>
  </r>
  <r>
    <d v="2023-04-08T08:02:57"/>
    <s v="India"/>
    <n v="412308"/>
    <x v="0"/>
    <x v="4"/>
    <x v="1"/>
    <x v="1"/>
    <x v="0"/>
    <x v="0"/>
    <x v="2"/>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No"/>
    <s v="This will be hard to do, but if it is the right company I would try"/>
    <m/>
  </r>
  <r>
    <d v="2023-04-08T08:06:05"/>
    <s v="India"/>
    <n v="313001"/>
    <x v="0"/>
    <x v="4"/>
    <x v="0"/>
    <x v="0"/>
    <x v="0"/>
    <x v="0"/>
    <x v="1"/>
    <s v="Every Day Office Environment"/>
    <s v="Employer who appreciates learning and enables that environment"/>
    <s v="Instructor or Expert Learning Programs, Learning by observing others, Self Purchased Course from External Platforms"/>
    <s v="Design and Develop amazing software, Work as a freelancer and do my thing my way, Entrepreneur or Start Up, Manufacturing / Oil and Gas/ Construction / Hard Physical Work related"/>
    <s v="Manager who sets goal and helps me achieve it"/>
    <s v="Work with 5 to 6 people in my team"/>
    <s v="No"/>
    <s v="This will be hard to do, but if it is the right company I would try"/>
    <m/>
  </r>
  <r>
    <d v="2023-04-08T08:48:31"/>
    <s v="India"/>
    <n v="500039"/>
    <x v="1"/>
    <x v="3"/>
    <x v="0"/>
    <x v="1"/>
    <x v="1"/>
    <x v="1"/>
    <x v="5"/>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r>
  <r>
    <d v="2023-04-08T09:02:11"/>
    <s v="India"/>
    <n v="580023"/>
    <x v="0"/>
    <x v="0"/>
    <x v="0"/>
    <x v="0"/>
    <x v="0"/>
    <x v="0"/>
    <x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5 to 6 people in my team"/>
    <s v="No"/>
    <s v="This will be hard to do, but if it is the right company I would try"/>
    <m/>
  </r>
  <r>
    <d v="2023-04-08T09:07:13"/>
    <s v="India"/>
    <n v="515211"/>
    <x v="0"/>
    <x v="2"/>
    <x v="2"/>
    <x v="1"/>
    <x v="0"/>
    <x v="1"/>
    <x v="2"/>
    <s v="Every Day Office Environment"/>
    <s v="Employer who appreciates learning and enables that environment"/>
    <s v="Self Paced Learning Portals of the Company, Self Purchased Course from External Platforms, Manager Teaching you"/>
    <s v="Look deeply into Data and generate insights, Work as a freelancer and do my thing my way, Entrepreneur or Start Up, An Artificial Intelligence Specialist / Talking to Robots"/>
    <s v="Manager who sets targets and expects me to achieve it"/>
    <s v="Work with 5 to 6 people in my team"/>
    <s v="I have NO other choice"/>
    <s v="No way"/>
    <m/>
  </r>
  <r>
    <d v="2023-04-08T09:44:44"/>
    <s v="Others"/>
    <n v="75400"/>
    <x v="1"/>
    <x v="3"/>
    <x v="0"/>
    <x v="1"/>
    <x v="1"/>
    <x v="1"/>
    <x v="3"/>
    <s v="Hybrid Working Environment with less than 3 days a month at office"/>
    <s v="Employer who appreciates learning and enables that environment"/>
    <s v="Self Paced Learning Portals of the Company, Instructor or Expert Learning Programs, Self Purchased Course from External Platforms"/>
    <s v="Teaching in any of the institutes/colleges/online or offline,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No way"/>
    <m/>
  </r>
  <r>
    <d v="2023-04-08T10:00:01"/>
    <s v="India"/>
    <n v="134109"/>
    <x v="0"/>
    <x v="2"/>
    <x v="1"/>
    <x v="0"/>
    <x v="0"/>
    <x v="0"/>
    <x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5 to 6 people in my team"/>
    <s v="Yes, I Understand this is gonna happen everywhere"/>
    <s v="No way"/>
    <m/>
  </r>
  <r>
    <d v="2023-04-08T10:00:05"/>
    <s v="India"/>
    <n v="517501"/>
    <x v="1"/>
    <x v="3"/>
    <x v="0"/>
    <x v="0"/>
    <x v="1"/>
    <x v="0"/>
    <x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Design and Develop amazing software, An Artificial Intelligence Specialist / Talking to Robots"/>
    <s v="Manager who explains what is expected, sets a goal and helps achieve it"/>
    <s v="Work alone, Work with 2 to 3 people in my team, Work with 5 to 6 people in my team"/>
    <s v="No"/>
    <s v="No way"/>
    <m/>
  </r>
  <r>
    <d v="2023-04-08T10:04:27"/>
    <s v="India"/>
    <n v="600036"/>
    <x v="0"/>
    <x v="2"/>
    <x v="1"/>
    <x v="1"/>
    <x v="0"/>
    <x v="0"/>
    <x v="5"/>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2 to 3 people in my team"/>
    <s v="I have NO other choice"/>
    <s v="This will be hard to do, but if it is the right company I would try"/>
    <m/>
  </r>
  <r>
    <d v="2023-04-08T10:19:10"/>
    <s v="India"/>
    <n v="751007"/>
    <x v="0"/>
    <x v="4"/>
    <x v="0"/>
    <x v="0"/>
    <x v="0"/>
    <x v="0"/>
    <x v="2"/>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Work as a freelancer and do my thing my way"/>
    <s v="Manager who clearly describes what she/he needs"/>
    <s v="Work with 7 to 10 or more people in my team"/>
    <s v="Yes, I Understand this is gonna happen everywhere"/>
    <s v="This will be hard to do, but if it is the right company I would try"/>
    <m/>
  </r>
  <r>
    <d v="2023-04-08T10:32:54"/>
    <s v="India"/>
    <n v="700091"/>
    <x v="1"/>
    <x v="2"/>
    <x v="2"/>
    <x v="1"/>
    <x v="0"/>
    <x v="0"/>
    <x v="2"/>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Design and Develop amazing software, Look deeply into Data and generate insigh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8T10:33:08"/>
    <s v="India"/>
    <n v="600015"/>
    <x v="0"/>
    <x v="2"/>
    <x v="0"/>
    <x v="0"/>
    <x v="1"/>
    <x v="1"/>
    <x v="2"/>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Business Operations in any organization, Look deeply into Data and generate insights, Work in a BPO setup for some well known client, Entrepreneur or Start Up"/>
    <s v="Manager who explains what is expected, sets a goal and helps achieve it"/>
    <s v="Work with 5 to 6 people in my team, Work with 7 to 10 or more people in my team"/>
    <s v="Yes, I Understand this is gonna happen everywhere"/>
    <s v="No way"/>
    <m/>
  </r>
  <r>
    <d v="2023-04-08T10:54:05"/>
    <s v="India"/>
    <n v="530051"/>
    <x v="1"/>
    <x v="0"/>
    <x v="2"/>
    <x v="0"/>
    <x v="0"/>
    <x v="0"/>
    <x v="9"/>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Look deeply into Data and generate insights, Become a content Creator in some platform"/>
    <s v="Manager who clearly describes what she/he needs"/>
    <s v="Work with 2 to 3 people in my team, Work with 5 to 6 people in my team, Work with more than 10 people in my team"/>
    <s v="Yes, I Understand this is gonna happen everywhere"/>
    <s v="No way"/>
    <m/>
  </r>
  <r>
    <d v="2023-04-08T11:12:42"/>
    <s v="India"/>
    <n v="600095"/>
    <x v="0"/>
    <x v="0"/>
    <x v="2"/>
    <x v="1"/>
    <x v="0"/>
    <x v="0"/>
    <x v="2"/>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clearly describes what she/he needs"/>
    <s v="Work with 2 to 3 people in my team, Work with 5 to 6 people in my team, Work with 7 to 10 or more people in my team, Work with more than 10 people in my team"/>
    <s v="No"/>
    <s v="This will be hard to do, but if it is the right company I would try"/>
    <m/>
  </r>
  <r>
    <d v="2023-04-08T11:15:25"/>
    <s v="India"/>
    <n v="442902"/>
    <x v="1"/>
    <x v="0"/>
    <x v="1"/>
    <x v="0"/>
    <x v="1"/>
    <x v="0"/>
    <x v="8"/>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I Want to sell things/Sales, An Artificial Intelligence Specialist / Talking to Robots"/>
    <s v="Manager who sets goal and helps me achieve it"/>
    <s v="Work with 2 to 3 people in my team"/>
    <s v="Yes, I Understand this is gonna happen everywhere"/>
    <s v="This will be hard to do, but if it is the right company I would try"/>
    <m/>
  </r>
  <r>
    <d v="2023-04-08T11:37:32"/>
    <s v="India"/>
    <n v="500060"/>
    <x v="0"/>
    <x v="0"/>
    <x v="1"/>
    <x v="0"/>
    <x v="0"/>
    <x v="0"/>
    <x v="0"/>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m/>
  </r>
  <r>
    <d v="2023-04-08T11:41:41"/>
    <s v="India"/>
    <n v="522202"/>
    <x v="0"/>
    <x v="4"/>
    <x v="0"/>
    <x v="0"/>
    <x v="0"/>
    <x v="0"/>
    <x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Design and Develop amazing software"/>
    <s v="Manager who sets goal and helps me achieve it"/>
    <s v="Work with 2 to 3 people in my team, Work with 5 to 6 people in my team"/>
    <s v="Yes, I Understand this is gonna happen everywhere"/>
    <s v="This will be hard to do, but if it is the right company I would try"/>
    <m/>
  </r>
  <r>
    <d v="2023-04-08T11:50:10"/>
    <s v="India"/>
    <n v="110058"/>
    <x v="0"/>
    <x v="4"/>
    <x v="0"/>
    <x v="1"/>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r>
  <r>
    <d v="2023-04-08T12:01:35"/>
    <s v="India"/>
    <n v="110089"/>
    <x v="1"/>
    <x v="4"/>
    <x v="2"/>
    <x v="1"/>
    <x v="0"/>
    <x v="0"/>
    <x v="9"/>
    <s v="Every Day Office Environment"/>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ild and develop a Team, Design and Develop amazing software"/>
    <s v="Manager who explains what is expected, sets a goal and helps achieve it"/>
    <s v="Work alone, Work with 2 to 3 people in my team"/>
    <s v="I have NO other choice"/>
    <s v="No way"/>
    <m/>
  </r>
  <r>
    <d v="2023-04-08T12:11:00"/>
    <s v="India"/>
    <n v="600117"/>
    <x v="0"/>
    <x v="3"/>
    <x v="0"/>
    <x v="0"/>
    <x v="0"/>
    <x v="0"/>
    <x v="7"/>
    <s v="Hybrid Working Environment with less than 3 days a month at office"/>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with 2 to 3 people in my team"/>
    <s v="Yes, I Understand this is gonna happen everywhere"/>
    <s v="This will be hard to do, but if it is the right company I would try"/>
    <m/>
  </r>
  <r>
    <d v="2023-04-08T12:15:29"/>
    <s v="India"/>
    <n v="600042"/>
    <x v="0"/>
    <x v="4"/>
    <x v="0"/>
    <x v="0"/>
    <x v="0"/>
    <x v="0"/>
    <x v="3"/>
    <s v="Every Day Office Environment"/>
    <s v="Employer who pushes your limits by enabling an learning environment, and rewards you at the end"/>
    <s v="Instructor or Expert Learning Programs, Learning by observing others, Manager Teaching you"/>
    <s v="Business Operations in any organization, Work as a freelancer and do my thing my way, Entrepreneur or Start Up, I Want to sell things/Sales"/>
    <s v="Manager who sets goal and helps me achieve it"/>
    <s v="Work with 2 to 3 people in my team"/>
    <s v="No"/>
    <s v="No way"/>
    <m/>
  </r>
  <r>
    <d v="2023-04-08T12:24:36"/>
    <s v="India"/>
    <n v="753010"/>
    <x v="0"/>
    <x v="3"/>
    <x v="2"/>
    <x v="0"/>
    <x v="0"/>
    <x v="0"/>
    <x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targets and expects me to achieve it"/>
    <s v="Work with 2 to 3 people in my team"/>
    <s v="Yes, I Understand this is gonna happen everywhere"/>
    <s v="This will be hard to do, but if it is the right company I would try"/>
    <m/>
  </r>
  <r>
    <d v="2023-04-08T12:35:02"/>
    <s v="India"/>
    <n v="600100"/>
    <x v="0"/>
    <x v="3"/>
    <x v="1"/>
    <x v="0"/>
    <x v="0"/>
    <x v="1"/>
    <x v="0"/>
    <s v="Fully Remote with Options to travel as and when needed"/>
    <s v="Employer who appreciates learning and enables that environment"/>
    <s v="Self Paced Learning Portals of the Company, Instructor or Expert Learning Programs, Manager Teaching you"/>
    <s v="Design and Creative strategy in any company, Build and develop a Team, Work as a freelancer and do my thing my way,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08T12:43:17"/>
    <s v="India"/>
    <n v="560034"/>
    <x v="0"/>
    <x v="0"/>
    <x v="1"/>
    <x v="0"/>
    <x v="0"/>
    <x v="0"/>
    <x v="2"/>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Design and Develop amazing software,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08T13:03:59"/>
    <s v="India"/>
    <n v="410203"/>
    <x v="0"/>
    <x v="1"/>
    <x v="0"/>
    <x v="1"/>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8T13:17:57"/>
    <s v="India"/>
    <n v="152025"/>
    <x v="1"/>
    <x v="2"/>
    <x v="0"/>
    <x v="0"/>
    <x v="0"/>
    <x v="0"/>
    <x v="7"/>
    <s v="Fully Remote with Options to travel as and when needed"/>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08T13:19:32"/>
    <s v="India"/>
    <n v="400018"/>
    <x v="0"/>
    <x v="2"/>
    <x v="2"/>
    <x v="1"/>
    <x v="1"/>
    <x v="0"/>
    <x v="3"/>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08T13:50:40"/>
    <s v="India"/>
    <n v="560050"/>
    <x v="0"/>
    <x v="2"/>
    <x v="0"/>
    <x v="0"/>
    <x v="0"/>
    <x v="0"/>
    <x v="0"/>
    <s v="Every Day Office Environment"/>
    <s v="Employer who pushes your limits by enabling an learning environment, and rewards you at the end"/>
    <s v="Self Paced Learning Portals of the Company, Learning by observing others, Manager Teaching you"/>
    <s v="Teaching in any of the institutes/colleges/online or offline, Build and develop a Team, Entrepreneur or Start Up, Manufacturing / Oil and Gas/ Construction / Hard Physical Work related"/>
    <s v="Manager who sets targets and expects me to achieve it"/>
    <s v="Work with 5 to 6 people in my team"/>
    <s v="I have NO other choice"/>
    <s v="This will be hard to do, but if it is the right company I would try"/>
    <m/>
  </r>
  <r>
    <d v="2023-04-08T14:27:20"/>
    <s v="India"/>
    <n v="583104"/>
    <x v="0"/>
    <x v="4"/>
    <x v="1"/>
    <x v="1"/>
    <x v="0"/>
    <x v="0"/>
    <x v="5"/>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Build and develop a Team, Look deeply into Data and generate insights, Work as a freelancer and do my thing my way, An Artificial Intelligence Specialist / Talking to Robots"/>
    <s v="Manager who explains what is expected, sets a goal and helps achieve it"/>
    <s v="Work with 5 to 6 people in my team"/>
    <s v="Yes"/>
    <s v="This will be hard to do, but if it is the right company I would try"/>
    <m/>
  </r>
  <r>
    <d v="2023-04-08T14:50:30"/>
    <s v="Others"/>
    <n v="92"/>
    <x v="0"/>
    <x v="0"/>
    <x v="0"/>
    <x v="3"/>
    <x v="0"/>
    <x v="0"/>
    <x v="6"/>
    <s v="Fully Remote with Options to travel as and when needed"/>
    <s v="Employer who rewards learning and enables that environment"/>
    <s v="Self Paced Learning Portals of the Company, Trial and error by doing side projects within the company, Manager Teaching you"/>
    <s v="Design and Creative strategy in any company, Teaching in any of the institutes/colleges/online or offline, Manage and drive End-to-End Projects or Products, Look deeply into Data and generate insights"/>
    <s v="Manager who sets targets and expects me to achieve it"/>
    <s v="Work with 2 to 3 people in my team"/>
    <s v="Yes, I Understand this is gonna happen everywhere"/>
    <s v="No way"/>
    <m/>
  </r>
  <r>
    <d v="2023-04-08T14:52:07"/>
    <s v="India"/>
    <n v="571201"/>
    <x v="0"/>
    <x v="0"/>
    <x v="0"/>
    <x v="1"/>
    <x v="0"/>
    <x v="1"/>
    <x v="1"/>
    <s v="Every Day Office Environment"/>
    <s v="Employer who pushes your limits by enabling an learning environment, and rewards you at the end"/>
    <s v="Self Paced Learning Portals of the Company, Trial and error by doing side projects within the company, Manager Teaching you"/>
    <s v="Build and develop a Team, Entrepreneur or Start Up, An Artificial Intelligence Specialist / Talking to Robots,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r>
  <r>
    <d v="2023-04-08T15:06:56"/>
    <s v="India"/>
    <n v="641007"/>
    <x v="1"/>
    <x v="3"/>
    <x v="1"/>
    <x v="0"/>
    <x v="1"/>
    <x v="1"/>
    <x v="4"/>
    <s v="Hybrid Working Environment with more than 15 days a month at office"/>
    <s v="Employer who rewards learning and enables that environment"/>
    <s v="Self Paced Learning Portals of the Company, Instructor or Expert Learning Programs, Learning by observing others"/>
    <s v="Business Operations in any organization, Build and develop a Team, Look deeply into Data and generate insights,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r>
  <r>
    <d v="2023-04-08T15:54:53"/>
    <s v="India"/>
    <n v="121002"/>
    <x v="0"/>
    <x v="0"/>
    <x v="0"/>
    <x v="0"/>
    <x v="1"/>
    <x v="1"/>
    <x v="5"/>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08T17:02:06"/>
    <s v="India"/>
    <n v="600100"/>
    <x v="0"/>
    <x v="3"/>
    <x v="1"/>
    <x v="0"/>
    <x v="1"/>
    <x v="0"/>
    <x v="0"/>
    <s v="Hybrid Working Environment with more than 15 days a month at office"/>
    <s v="Employer who rewards learning and enables that environment"/>
    <s v="Instructor or Expert Learning Programs, Trial and error by doing side projects within the company, Manager Teaching you"/>
    <s v="Teaching in any of the institutes/colleges/online or offline, I Want to sell things/Sale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08T17:28:34"/>
    <s v="India"/>
    <n v="600100"/>
    <x v="1"/>
    <x v="1"/>
    <x v="2"/>
    <x v="0"/>
    <x v="0"/>
    <x v="1"/>
    <x v="6"/>
    <s v="Hybrid Working Environment with more than 15 days a month at office"/>
    <s v="Employer who appreciates learning and enables that environment"/>
    <s v="Instructor or Expert Learning Programs, Learning by observing others, Trial and error by doing side projects within the company"/>
    <s v="Build and develop a Team, Look deeply into Data and generate insights, Work as a freelancer and do my thing my way, Entrepreneur or Start Up"/>
    <s v="Manager who sets goal and helps me achieve it"/>
    <s v="Work with 5 to 6 people in my team"/>
    <s v="Yes, I Understand this is gonna happen everywhere"/>
    <s v="This will be hard to do, but if it is the right company I would try"/>
    <m/>
  </r>
  <r>
    <d v="2023-04-08T17:29:04"/>
    <s v="United Arab Emirates"/>
    <s v="00000"/>
    <x v="1"/>
    <x v="0"/>
    <x v="0"/>
    <x v="0"/>
    <x v="0"/>
    <x v="0"/>
    <x v="4"/>
    <s v="Every Day Office Environment"/>
    <s v="Employer who appreciates learning and enables that environment"/>
    <s v="Self Paced Learning Portals of the Company, Learning by observing others, Manager Teaching you"/>
    <s v="Design and Creative strategy in any company, Business Operations in any organization, Design and Develop amazing software, Work in a BPO setup for some well known client"/>
    <s v="Manager who sets targets and expects me to achieve it"/>
    <s v="Work with more than 10 people in my team"/>
    <s v="I have NO other choice"/>
    <s v="No way"/>
    <m/>
  </r>
  <r>
    <d v="2023-04-08T17:54:54"/>
    <s v="India"/>
    <n v="623525"/>
    <x v="1"/>
    <x v="4"/>
    <x v="0"/>
    <x v="1"/>
    <x v="0"/>
    <x v="0"/>
    <x v="7"/>
    <s v="Every Day Office Environment"/>
    <s v="Employer who appreciates learning and enables that environment"/>
    <s v="Self Paced Learning Portals of the Company, Learning by observing others, Manager Teaching you"/>
    <s v="Teaching in any of the institutes/colleges/online or offline, Build and develop a Team, Look deeply into Data and generate insights, Become a content Creator in some platform"/>
    <s v="Manager who sets targets and expects me to achieve it"/>
    <s v="Work alone"/>
    <s v="No"/>
    <s v="No way"/>
    <m/>
  </r>
  <r>
    <d v="2023-04-08T17:56:15"/>
    <s v="India"/>
    <n v="623525"/>
    <x v="1"/>
    <x v="3"/>
    <x v="1"/>
    <x v="0"/>
    <x v="0"/>
    <x v="0"/>
    <x v="3"/>
    <s v="Every Day Office Environment"/>
    <s v="Employer who reward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Build and develop a Team, Entrepreneur or Start Up"/>
    <s v="Manager who sets goal and helps me achieve it"/>
    <s v="Work with 2 to 3 people in my team"/>
    <s v="Yes"/>
    <s v="This will be hard to do, but if it is the right company I would try"/>
    <m/>
  </r>
  <r>
    <d v="2023-04-08T18:09:30"/>
    <s v="India"/>
    <n v="231001"/>
    <x v="0"/>
    <x v="3"/>
    <x v="2"/>
    <x v="0"/>
    <x v="0"/>
    <x v="0"/>
    <x v="2"/>
    <s v="Fully Remote with No option to visit offices"/>
    <s v="Employer who appreciates learning and enables that environment"/>
    <s v="Instructor or Expert Learning Programs, Learning by observing others, Self Purchased Course from External Platforms"/>
    <s v="Design and Creative strategy in any company, Manage and drive End-to-End Projects or Products, Build and develop a Team, Look deeply into Data and generate insights"/>
    <s v="Manager who sets goal and helps me achieve it"/>
    <s v="Work with 7 to 10 or more people in my team"/>
    <s v="I have NO other choice"/>
    <s v="No way"/>
    <m/>
  </r>
  <r>
    <d v="2023-04-08T18:15:43"/>
    <s v="India"/>
    <n v="313001"/>
    <x v="1"/>
    <x v="0"/>
    <x v="2"/>
    <x v="1"/>
    <x v="0"/>
    <x v="0"/>
    <x v="1"/>
    <s v="Every Day Office Environment"/>
    <s v="Employer who pushes your limits by enabling an learning environment, and rewards you at the end"/>
    <s v="Learning by observing others, Trial and error by doing side projects within the company, Manager Teaching you"/>
    <s v="Teaching in any of the institutes/colleges/online or offline, Look deeply into Data and generate insights, Entrepreneur or Start Up, I Want to sell things/Sales"/>
    <s v="Manager who explains what is expected, sets a goal and helps achieve it"/>
    <s v="Work with 5 to 6 people in my team, Work with more than 10 people in my team"/>
    <s v="Yes, I Understand this is gonna happen everywhere"/>
    <s v="This will be hard to do, but if it is the right company I would try"/>
    <m/>
  </r>
  <r>
    <d v="2023-04-08T19:00:45"/>
    <s v="India"/>
    <n v="628901"/>
    <x v="1"/>
    <x v="4"/>
    <x v="0"/>
    <x v="0"/>
    <x v="1"/>
    <x v="1"/>
    <x v="4"/>
    <s v="Hybrid Working Environment with less than 3 days a month at office"/>
    <s v="Employer who rewards learning and enables that environment"/>
    <s v="Instructor or Expert Learning Programs, Learning by observing others, Self Purchased Course from External Platforms"/>
    <s v="Business Operations in any organization, Work in a BPO setup for some well known client, Become a content Creator in some platform, Entrepreneur or Start Up"/>
    <s v="Manager who clearly describes what she/he needs"/>
    <s v="Work with 2 to 3 people in my team"/>
    <s v="Yes, I Understand this is gonna happen everywhere"/>
    <s v="This will be hard to do, but if it is the right company I would try"/>
    <m/>
  </r>
  <r>
    <d v="2023-04-08T20:13:31"/>
    <s v="India"/>
    <n v="600117"/>
    <x v="0"/>
    <x v="0"/>
    <x v="0"/>
    <x v="1"/>
    <x v="0"/>
    <x v="0"/>
    <x v="4"/>
    <s v="Hybrid Working Environment with less than 3 days a month at office"/>
    <s v="Employer who rewards learning and enables that environment"/>
    <s v="Self Paced Learning Portals of the Company, Instructor or Expert Learning Programs, Learning by observing others"/>
    <s v="Design and Creative strategy in any company,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08T20:46:47"/>
    <s v="India"/>
    <n v="623525"/>
    <x v="0"/>
    <x v="3"/>
    <x v="1"/>
    <x v="3"/>
    <x v="1"/>
    <x v="1"/>
    <x v="7"/>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sets targets and expects me to achieve it"/>
    <s v="Work alone"/>
    <s v="I have NO other choice"/>
    <s v="No way"/>
    <m/>
  </r>
  <r>
    <d v="2023-04-08T21:01:49"/>
    <s v="India"/>
    <n v="382002"/>
    <x v="0"/>
    <x v="2"/>
    <x v="1"/>
    <x v="1"/>
    <x v="1"/>
    <x v="0"/>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Design and Develop amazing software"/>
    <s v="Manager who sets goal and helps me achieve it"/>
    <s v="Work alone"/>
    <s v="I have NO other choice"/>
    <s v="No way"/>
    <m/>
  </r>
  <r>
    <d v="2023-04-08T21:04:34"/>
    <s v="Canada"/>
    <s v="K0AK4P"/>
    <x v="1"/>
    <x v="0"/>
    <x v="0"/>
    <x v="1"/>
    <x v="1"/>
    <x v="0"/>
    <x v="9"/>
    <s v="Fully Remote with No option to visit offices"/>
    <s v="Employer who pushes your limits by enabling an learning environment, and rewards you at the end"/>
    <s v="Self Paced Learning Portals of the Company, Trial and error by doing side projects within the company, Manager Teaching you"/>
    <s v="Design and Creative strategy in any company, Look deeply into Data and generate insights, Work as a freelancer and do my thing my way, Become a content Creator in some platform"/>
    <s v="Manager who explains what is expected, sets a goal and helps achieve it"/>
    <s v="Work alone"/>
    <s v="Yes"/>
    <s v="No way"/>
    <m/>
  </r>
  <r>
    <d v="2023-04-08T23:05:16"/>
    <s v="India"/>
    <s v="-"/>
    <x v="1"/>
    <x v="3"/>
    <x v="2"/>
    <x v="0"/>
    <x v="0"/>
    <x v="0"/>
    <x v="4"/>
    <s v="Hybrid Working Environment with more than 15 days a month at office"/>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09T02:41:26"/>
    <s v="India"/>
    <n v="431001"/>
    <x v="0"/>
    <x v="3"/>
    <x v="0"/>
    <x v="0"/>
    <x v="1"/>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s v="Yes, I Understand this is gonna happen everywhere"/>
    <s v="This will be hard to do, but if it is the right company I would try"/>
    <m/>
  </r>
  <r>
    <d v="2023-04-09T07:34:30"/>
    <s v="India"/>
    <n v="505327"/>
    <x v="0"/>
    <x v="0"/>
    <x v="0"/>
    <x v="0"/>
    <x v="0"/>
    <x v="0"/>
    <x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09T09:43:17"/>
    <s v="India"/>
    <n v="410505"/>
    <x v="0"/>
    <x v="3"/>
    <x v="2"/>
    <x v="1"/>
    <x v="1"/>
    <x v="0"/>
    <x v="3"/>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Manage and drive End-to-End Projects or Products, Become a content Creator in some platform"/>
    <s v="Manager who explains what is expected, sets a goal and helps achieve it"/>
    <s v="Work with 5 to 6 people in my team"/>
    <s v="No"/>
    <s v="This will be hard to do, but if it is the right company I would try"/>
    <m/>
  </r>
  <r>
    <d v="2023-04-09T11:19:27"/>
    <s v="India"/>
    <n v="575013"/>
    <x v="1"/>
    <x v="1"/>
    <x v="0"/>
    <x v="0"/>
    <x v="0"/>
    <x v="0"/>
    <x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s v="No"/>
    <s v="This will be hard to do, but if it is the right company I would try"/>
    <m/>
  </r>
  <r>
    <d v="2023-04-09T14:10:29"/>
    <s v="India"/>
    <n v="442902"/>
    <x v="0"/>
    <x v="4"/>
    <x v="0"/>
    <x v="3"/>
    <x v="0"/>
    <x v="0"/>
    <x v="1"/>
    <s v="Fully Remote with Options to travel as and when needed"/>
    <s v="Employer who appreciates learning and enables that environment"/>
    <s v="Instructor or Expert Learning Programs, Learning by observing others, Trial and error by doing side projects within the company"/>
    <s v="Teaching in any of the institutes/colleges/online or offline, Design and Develop amazing software, Look deeply into Data and generate insights, An Artificial Intelligence Specialist / Talking to Robots"/>
    <s v="Manager who sets unrealistic targets"/>
    <s v="Work with 2 to 3 people in my team, Work with 5 to 6 people in my team"/>
    <s v="Yes, I Understand this is gonna happen everywhere"/>
    <s v="No way"/>
    <m/>
  </r>
  <r>
    <d v="2023-04-09T14:15:56"/>
    <s v="India"/>
    <n v="442902"/>
    <x v="1"/>
    <x v="3"/>
    <x v="1"/>
    <x v="0"/>
    <x v="1"/>
    <x v="1"/>
    <x v="5"/>
    <s v="Fully Remote with Options to travel as and when needed"/>
    <s v="Employer who pushes your limits and doesn't enables learning environment and never rewards you"/>
    <s v="Instructor or Expert Learning Programs, Trial and error by doing side projects within the company, Self Purchased Course from External Platforms"/>
    <s v="Build and develop a Team, Design and Develop amazing software, Look deeply into Data and generate insights,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r>
  <r>
    <d v="2023-04-09T15:15:11"/>
    <s v="India"/>
    <n v="411902"/>
    <x v="0"/>
    <x v="3"/>
    <x v="2"/>
    <x v="3"/>
    <x v="1"/>
    <x v="1"/>
    <x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sets goal and helps me achieve it"/>
    <s v="Work with 5 to 6 people in my team"/>
    <s v="No"/>
    <s v="This will be hard to do, but if it is the right company I would try"/>
    <m/>
  </r>
  <r>
    <d v="2023-04-09T16:35:40"/>
    <s v="India"/>
    <n v="224001"/>
    <x v="0"/>
    <x v="4"/>
    <x v="0"/>
    <x v="1"/>
    <x v="1"/>
    <x v="1"/>
    <x v="4"/>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Work as a freelancer and do my thing my way, An Artificial Intelligence Specialist / Talking to Robots"/>
    <s v="Manager who sets goal and helps me achieve it"/>
    <s v="Work with 2 to 3 people in my team"/>
    <s v="Yes, I Understand this is gonna happen everywhere"/>
    <s v="This will be hard to do, but if it is the right company I would try"/>
    <m/>
  </r>
  <r>
    <d v="2023-04-09T16:37:45"/>
    <s v="India"/>
    <n v="201009"/>
    <x v="1"/>
    <x v="4"/>
    <x v="0"/>
    <x v="1"/>
    <x v="0"/>
    <x v="1"/>
    <x v="8"/>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Manage and drive End-to-End Projects or Products"/>
    <s v="Manager who clearly describes what she/he needs"/>
    <s v="Work with more than 10 people in my team"/>
    <s v="Yes"/>
    <s v="Will work for 7 years or more"/>
    <m/>
  </r>
  <r>
    <d v="2023-04-09T16:38:11"/>
    <s v="India"/>
    <n v="224001"/>
    <x v="1"/>
    <x v="2"/>
    <x v="0"/>
    <x v="1"/>
    <x v="0"/>
    <x v="1"/>
    <x v="7"/>
    <s v="Every Day Office Environment"/>
    <s v="Employer who appreciates learning and enables that environment"/>
    <s v="Self Paced Learning Portals of the Company, Trial and error by doing side projects within the company, Self Purchased Course from External Platforms"/>
    <s v="Business Operations in any organization, Manage and drive End-to-End Projects or Products, Build and develop a Team, Entrepreneur or Start Up"/>
    <s v="Manager who sets targets and expects me to achieve it"/>
    <s v="Work with 2 to 3 people in my team, Work with 5 to 6 people in my team"/>
    <s v="Yes, I Understand this is gonna happen everywhere"/>
    <s v="This will be hard to do, but if it is the right company I would try"/>
    <m/>
  </r>
  <r>
    <d v="2023-04-09T16:40:09"/>
    <s v="India"/>
    <n v="122002"/>
    <x v="0"/>
    <x v="4"/>
    <x v="0"/>
    <x v="0"/>
    <x v="0"/>
    <x v="0"/>
    <x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Look deeply into Data and generate insights,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09T16:42:39"/>
    <s v="India"/>
    <n v="201310"/>
    <x v="0"/>
    <x v="0"/>
    <x v="1"/>
    <x v="1"/>
    <x v="0"/>
    <x v="0"/>
    <x v="4"/>
    <s v="Fully Remote with Options to travel as and when needed"/>
    <s v="Employer who rewards learning and enables that environment"/>
    <s v="Self Paced Learning Portals of the Company, Instructor or Expert Learning Programs, Self Purchased Course from External Platforms"/>
    <s v="Design and Creative strategy in any company, Manage and drive End-to-End Projects or Products, Design and Develop amazing software, Entrepreneur or Start Up"/>
    <s v="Manager who explains what is expected, sets a goal and helps achieve it"/>
    <s v="Work with 7 to 10 or more people in my team"/>
    <s v="No"/>
    <s v="This will be hard to do, but if it is the right company I would try"/>
    <m/>
  </r>
  <r>
    <d v="2023-04-09T17:09:52"/>
    <s v="India"/>
    <n v="110096"/>
    <x v="0"/>
    <x v="2"/>
    <x v="2"/>
    <x v="1"/>
    <x v="0"/>
    <x v="0"/>
    <x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9T17:18:36"/>
    <s v="India"/>
    <n v="421306"/>
    <x v="1"/>
    <x v="4"/>
    <x v="0"/>
    <x v="0"/>
    <x v="0"/>
    <x v="0"/>
    <x v="5"/>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Look deeply into Data and generate insights, Entrepreneur or Start Up, I Want to sell things/Sales"/>
    <s v="Manager who explains what is expected, sets a goal and helps achieve it"/>
    <s v="Work with more than 10 people in my team"/>
    <s v="Yes, I Understand this is gonna happen everywhere"/>
    <s v="This will be hard to do, but if it is the right company I would try"/>
    <m/>
  </r>
  <r>
    <d v="2023-04-09T17:27:28"/>
    <s v="India"/>
    <n v="247667"/>
    <x v="0"/>
    <x v="2"/>
    <x v="2"/>
    <x v="1"/>
    <x v="0"/>
    <x v="1"/>
    <x v="1"/>
    <s v="Every Day Office Environment"/>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sets targets and expects me to achieve it"/>
    <s v="Work alone"/>
    <s v="Yes"/>
    <s v="This will be hard to do, but if it is the right company I would try"/>
    <m/>
  </r>
  <r>
    <d v="2023-04-09T17:52:50"/>
    <s v="India"/>
    <n v="250002"/>
    <x v="0"/>
    <x v="0"/>
    <x v="1"/>
    <x v="0"/>
    <x v="0"/>
    <x v="0"/>
    <x v="9"/>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s v="No"/>
    <s v="This will be hard to do, but if it is the right company I would try"/>
    <m/>
  </r>
  <r>
    <d v="2023-04-09T18:24:30"/>
    <s v="India"/>
    <n v="500032"/>
    <x v="0"/>
    <x v="2"/>
    <x v="0"/>
    <x v="0"/>
    <x v="0"/>
    <x v="0"/>
    <x v="1"/>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Design and Develop amazing software, Work as a freelancer and do my thing my way,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09T19:22:11"/>
    <s v="India"/>
    <n v="600042"/>
    <x v="0"/>
    <x v="0"/>
    <x v="0"/>
    <x v="0"/>
    <x v="1"/>
    <x v="0"/>
    <x v="0"/>
    <s v="Hybrid Working Environment with more than 15 days a month at office"/>
    <s v="Employer who pushes your limits by enabling an learning environment, and rewards you at the end"/>
    <s v="Learning by observing others, Self Purchased Course from External Platforms, Manager Teaching you"/>
    <s v="Manage and drive End-to-End Projects or Products, Build and develop a Team, Entrepreneur or Start Up,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09T19:33:31"/>
    <s v="India"/>
    <n v="250001"/>
    <x v="1"/>
    <x v="4"/>
    <x v="1"/>
    <x v="1"/>
    <x v="0"/>
    <x v="0"/>
    <x v="1"/>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alone, Work with 2 to 3 people in my team, Work with 5 to 6 people in my team, Work with 7 to 10 or more people in my team"/>
    <s v="No"/>
    <s v="This will be hard to do, but if it is the right company I would try"/>
    <m/>
  </r>
  <r>
    <d v="2023-04-09T20:42:30"/>
    <s v="India"/>
    <n v="110059"/>
    <x v="1"/>
    <x v="0"/>
    <x v="2"/>
    <x v="0"/>
    <x v="0"/>
    <x v="0"/>
    <x v="7"/>
    <s v="Hybrid Working Environment with more than 15 days a month at office"/>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Build and develop a Team, Become a content Creator in some platform"/>
    <s v="Manager who explains what is expected, sets a goal and helps achieve it"/>
    <s v="Work with 2 to 3 people in my team"/>
    <s v="No"/>
    <s v="This will be hard to do, but if it is the right company I would try"/>
    <m/>
  </r>
  <r>
    <d v="2023-04-09T20:45:06"/>
    <s v="India"/>
    <n v="110059"/>
    <x v="1"/>
    <x v="2"/>
    <x v="1"/>
    <x v="1"/>
    <x v="0"/>
    <x v="0"/>
    <x v="0"/>
    <s v="Fully Remote with Options to travel as and when needed"/>
    <s v="Employer who appreciates learning and enables that environment"/>
    <s v="Instructor or Expert Learning Programs, Trial and error by doing side projects within the company, Manager Teaching you"/>
    <s v="Teaching in any of the institutes/colleges/online or offline, Manage and drive End-to-End Projects or Produc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09T22:27:21"/>
    <s v="India"/>
    <n v="122022"/>
    <x v="1"/>
    <x v="3"/>
    <x v="1"/>
    <x v="0"/>
    <x v="0"/>
    <x v="0"/>
    <x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10T09:49:56"/>
    <s v="India"/>
    <n v="462021"/>
    <x v="1"/>
    <x v="3"/>
    <x v="1"/>
    <x v="0"/>
    <x v="1"/>
    <x v="1"/>
    <x v="4"/>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s v="Teaching in any of the institutes/colleges/online or offline, Build and develop a Team, Work in a BPO setup for some well known client, Work as a freelancer and do my thing my way"/>
    <s v="Manager who explains what is expected, sets a goal and helps achieve it"/>
    <s v="Work with 5 to 6 people in my team"/>
    <s v="No"/>
    <s v="This will be hard to do, but if it is the right company I would try"/>
    <m/>
  </r>
  <r>
    <d v="2023-04-10T11:23:55"/>
    <s v="India"/>
    <n v="40095"/>
    <x v="0"/>
    <x v="4"/>
    <x v="0"/>
    <x v="1"/>
    <x v="1"/>
    <x v="1"/>
    <x v="6"/>
    <s v="Every Day Office Environment"/>
    <s v="Employers who appreciates learning but doesn't enables an learning environment"/>
    <s v="Self Paced Learning Portals of the Company, Trial and error by doing side projects within the company, Self Purchased Course from External Platforms"/>
    <s v="Work in a BPO setup for some well known client, Work as a freelancer and do my thing my way, Become a content Creator in some platform, An Artificial Intelligence Specialist / Talking to Robots"/>
    <s v="Manager who sets unrealistic targets"/>
    <s v="Work with more than 10 people in my team"/>
    <s v="Yes"/>
    <s v="No way"/>
    <m/>
  </r>
  <r>
    <d v="2023-04-10T11:42:49"/>
    <s v="India"/>
    <n v="110043"/>
    <x v="0"/>
    <x v="4"/>
    <x v="1"/>
    <x v="0"/>
    <x v="0"/>
    <x v="0"/>
    <x v="6"/>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Business Operations in any organization, Manage and drive End-to-End Projects or Products, Entrepreneur or Start Up"/>
    <s v="Manager who explains what is expected, sets a goal and helps achieve it"/>
    <s v="Work with 5 to 6 people in my team"/>
    <s v="Yes, I Understand this is gonna happen everywhere"/>
    <s v="No way"/>
    <m/>
  </r>
  <r>
    <d v="2023-04-10T11:47:20"/>
    <s v="India"/>
    <n v="132001"/>
    <x v="0"/>
    <x v="0"/>
    <x v="0"/>
    <x v="0"/>
    <x v="0"/>
    <x v="0"/>
    <x v="4"/>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clearly describes what she/he needs"/>
    <s v="Work with 5 to 6 people in my team"/>
    <s v="I have NO other choice"/>
    <s v="Will work for 7 years or more"/>
    <m/>
  </r>
  <r>
    <d v="2023-04-10T12:03:42"/>
    <s v="India"/>
    <n v="250002"/>
    <x v="0"/>
    <x v="0"/>
    <x v="2"/>
    <x v="0"/>
    <x v="0"/>
    <x v="0"/>
    <x v="2"/>
    <s v="Every Day Office Environment"/>
    <s v="Employer who appreciates learning and enables that environment"/>
    <s v="Self Paced Learning Portals of the Company, Instructor or Expert Learning Programs, Trial and error by doing side projects within the company"/>
    <s v="Design and Creative strategy in any company, Design and Develop amazing software, Work as a freelancer and do my thing my way, Entrepreneur or Start Up"/>
    <s v="Manager who clearly describes what she/he needs"/>
    <s v="Work with 5 to 6 people in my team"/>
    <s v="Yes"/>
    <s v="No way"/>
    <m/>
  </r>
  <r>
    <d v="2023-04-11T13:19:26"/>
    <s v="India"/>
    <n v="560061"/>
    <x v="1"/>
    <x v="0"/>
    <x v="0"/>
    <x v="0"/>
    <x v="1"/>
    <x v="0"/>
    <x v="4"/>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Design and Creative strategy in any company, Manage and drive End-to-End Projects or Products,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11T13:31:17"/>
    <s v="Germany"/>
    <n v="10317"/>
    <x v="0"/>
    <x v="1"/>
    <x v="0"/>
    <x v="1"/>
    <x v="0"/>
    <x v="0"/>
    <x v="1"/>
    <s v="Hybrid Working Environment with more than 15 days a month at office"/>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An Artificial Intelligence Specialist / Talking to Robots,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r>
  <r>
    <d v="2023-04-11T13:36:41"/>
    <s v="India"/>
    <n v="110089"/>
    <x v="1"/>
    <x v="4"/>
    <x v="2"/>
    <x v="1"/>
    <x v="0"/>
    <x v="0"/>
    <x v="2"/>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An Artificial Intelligence Specialist / Talking to Robots"/>
    <s v="Manager who explains what is expected, sets a goal and helps achieve it"/>
    <s v="Work with 2 to 3 people in my team, Work with 5 to 6 people in my team"/>
    <s v="I have NO other choice"/>
    <s v="No way"/>
    <m/>
  </r>
  <r>
    <d v="2023-04-11T22:42:29"/>
    <s v="India"/>
    <n v="603209"/>
    <x v="0"/>
    <x v="1"/>
    <x v="2"/>
    <x v="1"/>
    <x v="1"/>
    <x v="1"/>
    <x v="5"/>
    <s v="Fully Remote with No option to visit offices"/>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Look deeply into Data and generate insights"/>
    <s v="Manager who clearly describes what she/he needs"/>
    <s v="Work with 5 to 6 people in my team"/>
    <s v="Yes"/>
    <s v="Will work for 7 years or more"/>
    <m/>
  </r>
  <r>
    <d v="2023-04-12T09:23:39"/>
    <s v="India"/>
    <n v="110026"/>
    <x v="0"/>
    <x v="2"/>
    <x v="1"/>
    <x v="1"/>
    <x v="0"/>
    <x v="0"/>
    <x v="2"/>
    <s v="Every Day Office Environment"/>
    <s v="Employer who appreciates learning and enables that environment"/>
    <s v="Learning by observing others, Trial and error by doing side projects within the company, Manager Teaching you"/>
    <s v="Design and Creative strategy in any company, Business Operations in any organization, Build and develop a Team, Entrepreneur or Start Up"/>
    <s v="Manager who explains what is expected, sets a goal and helps achieve it"/>
    <s v="Work with 2 to 3 people in my team"/>
    <s v="No"/>
    <s v="This will be hard to do, but if it is the right company I would try"/>
    <m/>
  </r>
  <r>
    <d v="2023-04-13T15:22:43"/>
    <s v="India"/>
    <n v="507002"/>
    <x v="0"/>
    <x v="4"/>
    <x v="2"/>
    <x v="0"/>
    <x v="0"/>
    <x v="0"/>
    <x v="2"/>
    <s v="Fully Remote with Options to travel as and when needed"/>
    <s v="Employer who reward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Become a content Creator in some platform"/>
    <s v="Manager who sets goal and helps me achieve it"/>
    <s v="Work with 5 to 6 people in my team"/>
    <s v="Yes"/>
    <s v="Will work for 7 years or more"/>
    <m/>
  </r>
  <r>
    <d v="2023-04-14T10:21:47"/>
    <s v="Others"/>
    <n v="6054"/>
    <x v="0"/>
    <x v="0"/>
    <x v="0"/>
    <x v="1"/>
    <x v="0"/>
    <x v="0"/>
    <x v="1"/>
    <s v="Every Day Office Environment"/>
    <s v="Employer who pushes your limits by enabling an learning environment, and rewards you at the end"/>
    <s v="Self Paced Learning Portals of the Company, Instructor or Expert Learning Programs, Manager Teaching you"/>
    <s v="Manage and drive End-to-End Projects or Products, Design and Develop amazing software, Look deeply into Data and generate insights,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Yes"/>
    <s v="Will work for 7 years or more"/>
    <m/>
  </r>
  <r>
    <d v="2023-04-17T16:05:51"/>
    <s v="India"/>
    <n v="110089"/>
    <x v="0"/>
    <x v="0"/>
    <x v="1"/>
    <x v="1"/>
    <x v="0"/>
    <x v="0"/>
    <x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ecome a content Creator in some platform, Entrepreneur or Start Up"/>
    <s v="Manager who explains what is expected, sets a goal and helps achieve it"/>
    <s v="Work with more than 10 people in my team"/>
    <s v="No"/>
    <s v="Will work for 7 years or more"/>
    <m/>
  </r>
  <r>
    <d v="2023-04-17T17:49:34"/>
    <s v="India"/>
    <n v="440008"/>
    <x v="0"/>
    <x v="0"/>
    <x v="0"/>
    <x v="0"/>
    <x v="0"/>
    <x v="0"/>
    <x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sets goal and helps me achieve it"/>
    <s v="Work with 5 to 6 people in my team"/>
    <s v="Yes"/>
    <s v="Will work for 7 years or more"/>
    <m/>
  </r>
  <r>
    <d v="2023-04-17T17:54:17"/>
    <s v="India"/>
    <n v="441207"/>
    <x v="1"/>
    <x v="4"/>
    <x v="0"/>
    <x v="0"/>
    <x v="0"/>
    <x v="0"/>
    <x v="3"/>
    <s v="Hybrid Working Environment with less than 3 days a month at office"/>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clearly describes what she/he needs"/>
    <s v="Work with 2 to 3 people in my team"/>
    <s v="Yes, I Understand this is gonna happen everywhere"/>
    <s v="This will be hard to do, but if it is the right company I would try"/>
    <m/>
  </r>
  <r>
    <d v="2023-04-23T12:23:22"/>
    <s v="India"/>
    <n v="301001"/>
    <x v="0"/>
    <x v="4"/>
    <x v="0"/>
    <x v="0"/>
    <x v="0"/>
    <x v="0"/>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s v="Yes, I Understand this is gonna happen everywhere"/>
    <s v="This will be hard to do, but if it is the right company I would try"/>
    <m/>
  </r>
  <r>
    <d v="2023-04-27T20:55:47"/>
    <s v="India"/>
    <n v="431203"/>
    <x v="0"/>
    <x v="2"/>
    <x v="0"/>
    <x v="0"/>
    <x v="0"/>
    <x v="0"/>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Look deeply into Data and generate insights, I Want to sell things/Sales"/>
    <s v="Manager who explains what is expected, sets a goal and helps achieve it"/>
    <s v="Work with more than 10 people in my team"/>
    <s v="Yes, I Understand this is gonna happen everywhere"/>
    <s v="This will be hard to do, but if it is the right company I would try"/>
    <m/>
  </r>
  <r>
    <d v="2023-04-27T21:03:12"/>
    <s v="India"/>
    <n v="411047"/>
    <x v="0"/>
    <x v="2"/>
    <x v="1"/>
    <x v="0"/>
    <x v="0"/>
    <x v="0"/>
    <x v="0"/>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Look deeply into Data and generate insights, Work as a freelancer and do my thing my way"/>
    <s v="Manager who explains what is expected, sets a goal and helps achieve it"/>
    <s v="Work alone, Work with 2 to 3 people in my team"/>
    <s v="Yes, I Understand this is gonna happen everywhere"/>
    <s v="This will be hard to do, but if it is the right company I would try"/>
    <m/>
  </r>
  <r>
    <d v="2023-04-27T21:04:00"/>
    <s v="India"/>
    <n v="641035"/>
    <x v="0"/>
    <x v="4"/>
    <x v="0"/>
    <x v="1"/>
    <x v="1"/>
    <x v="1"/>
    <x v="3"/>
    <s v="Hybrid Working Environment with less than 3 days a month at office"/>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r>
  <r>
    <d v="2023-04-27T21:05:08"/>
    <s v="India"/>
    <n v="431133"/>
    <x v="0"/>
    <x v="2"/>
    <x v="1"/>
    <x v="0"/>
    <x v="0"/>
    <x v="0"/>
    <x v="4"/>
    <s v="Hybrid Working Environment with more than 15 days a month at office"/>
    <s v="Employer who rewards learning and enables that environment"/>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sets goal and helps me achieve it"/>
    <s v="Work with 2 to 3 people in my team"/>
    <s v="Yes, I Understand this is gonna happen everywhere"/>
    <s v="This will be hard to do, but if it is the right company I would try"/>
    <m/>
  </r>
  <r>
    <d v="2023-04-27T21:05:43"/>
    <s v="India"/>
    <n v="425001"/>
    <x v="0"/>
    <x v="1"/>
    <x v="0"/>
    <x v="0"/>
    <x v="0"/>
    <x v="1"/>
    <x v="5"/>
    <s v="Hybrid Working Environment with more than 15 days a month at office"/>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An Artificial Intelligence Specialist / Talking to Robots"/>
    <s v="Manager who sets goal and helps me achieve it"/>
    <s v="Work with 5 to 6 people in my team, Work with 7 to 10 or more people in my team, Work with more than 10 people in my team"/>
    <s v="Yes, I Understand this is gonna happen everywhere"/>
    <s v="This will be hard to do, but if it is the right company I would try"/>
    <m/>
  </r>
  <r>
    <d v="2023-04-27T21:06:16"/>
    <s v="India"/>
    <n v="560075"/>
    <x v="1"/>
    <x v="0"/>
    <x v="2"/>
    <x v="0"/>
    <x v="0"/>
    <x v="0"/>
    <x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r>
  <r>
    <d v="2023-04-27T21:06:39"/>
    <s v="India"/>
    <n v="226201"/>
    <x v="0"/>
    <x v="0"/>
    <x v="0"/>
    <x v="0"/>
    <x v="0"/>
    <x v="0"/>
    <x v="3"/>
    <s v="Hybrid Working Environment with more than 15 days a month at office"/>
    <s v="Employer who pushes your limits by enabling an learning environment, and rewards you at the end"/>
    <s v="Instructor or Expert Learning Programs, Self Purchased Course from External Platforms, Manager Teaching you"/>
    <s v="Manage and drive End-to-End Projects or Products, Look deeply into Data and generate insight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27T21:07:05"/>
    <s v="India"/>
    <n v="570003"/>
    <x v="0"/>
    <x v="0"/>
    <x v="2"/>
    <x v="0"/>
    <x v="0"/>
    <x v="0"/>
    <x v="4"/>
    <s v="Hybrid Working Environment with more than 15 days a month at office"/>
    <s v="Employer who rewards learning and enables that environment"/>
    <s v="Learning by observing other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with 2 to 3 people in my team, Work with 5 to 6 people in my team"/>
    <s v="No"/>
    <s v="This will be hard to do, but if it is the right company I would try"/>
    <m/>
  </r>
  <r>
    <d v="2023-04-27T21:07:39"/>
    <s v="India"/>
    <n v="201002"/>
    <x v="0"/>
    <x v="1"/>
    <x v="0"/>
    <x v="0"/>
    <x v="0"/>
    <x v="0"/>
    <x v="5"/>
    <s v="Fully Remote with No option to visit offices"/>
    <s v="Employer who pushes your limits by enabling an learning environment, and rewards you at the end"/>
    <s v="Self Paced Learning Portals of the Company, Instructor or Expert Learning Programs, Manager Teaching you"/>
    <s v="Business Operations in any organization, Look deeply into Data and generate insights, Become a content Creator in some platform, An Artificial Intelligence Specialist / Talking to Robots"/>
    <s v="Manager who explains what is expected, sets a goal and helps achieve it"/>
    <s v="Work with 5 to 6 people in my team"/>
    <s v="No"/>
    <s v="No way"/>
    <m/>
  </r>
  <r>
    <d v="2023-04-27T21:08:59"/>
    <s v="India"/>
    <n v="411041"/>
    <x v="0"/>
    <x v="2"/>
    <x v="0"/>
    <x v="1"/>
    <x v="0"/>
    <x v="0"/>
    <x v="2"/>
    <s v="Hybrid Working Environment with less than 3 days a month at office"/>
    <s v="Employer who rewards learning and enables that environment"/>
    <s v="Self Paced Learning Portals of the Company, Instructor or Expert Learning Programs,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more than 10 people in my team"/>
    <s v="No"/>
    <s v="This will be hard to do, but if it is the right company I would try"/>
    <m/>
  </r>
  <r>
    <d v="2023-04-27T21:09:34"/>
    <s v="India"/>
    <n v="211002"/>
    <x v="1"/>
    <x v="3"/>
    <x v="2"/>
    <x v="1"/>
    <x v="0"/>
    <x v="0"/>
    <x v="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Work with 7 to 10 or more people in my team, Work with more than 10 people in my team"/>
    <s v="No"/>
    <s v="This will be hard to do, but if it is the right company I would try"/>
    <m/>
  </r>
  <r>
    <d v="2023-04-27T21:10:20"/>
    <s v="India"/>
    <n v="201204"/>
    <x v="1"/>
    <x v="4"/>
    <x v="0"/>
    <x v="0"/>
    <x v="1"/>
    <x v="0"/>
    <x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s v="I have NO other choice"/>
    <s v="No way"/>
    <m/>
  </r>
  <r>
    <d v="2023-04-27T21:12:07"/>
    <s v="India"/>
    <n v="503001"/>
    <x v="0"/>
    <x v="3"/>
    <x v="2"/>
    <x v="0"/>
    <x v="1"/>
    <x v="1"/>
    <x v="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27T21:12:16"/>
    <s v="India"/>
    <n v="453441"/>
    <x v="1"/>
    <x v="0"/>
    <x v="0"/>
    <x v="1"/>
    <x v="0"/>
    <x v="0"/>
    <x v="6"/>
    <s v="Fully Remote with Options to travel as and when needed"/>
    <s v="Employer who reward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Work with 5 to 6 people in my team"/>
    <s v="No"/>
    <s v="Will work for 7 years or more"/>
    <m/>
  </r>
  <r>
    <d v="2023-04-27T21:12:27"/>
    <s v="India"/>
    <n v="761001"/>
    <x v="0"/>
    <x v="2"/>
    <x v="2"/>
    <x v="1"/>
    <x v="0"/>
    <x v="0"/>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with 2 to 3 people in my team"/>
    <s v="I have NO other choice"/>
    <s v="This will be hard to do, but if it is the right company I would try"/>
    <m/>
  </r>
  <r>
    <d v="2023-04-27T21:12:38"/>
    <s v="India"/>
    <n v="440030"/>
    <x v="0"/>
    <x v="3"/>
    <x v="0"/>
    <x v="0"/>
    <x v="0"/>
    <x v="0"/>
    <x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7T21:13:10"/>
    <s v="India"/>
    <n v="500068"/>
    <x v="0"/>
    <x v="3"/>
    <x v="0"/>
    <x v="1"/>
    <x v="0"/>
    <x v="0"/>
    <x v="6"/>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7T21:13:33"/>
    <s v="India"/>
    <n v="500072"/>
    <x v="1"/>
    <x v="0"/>
    <x v="1"/>
    <x v="1"/>
    <x v="1"/>
    <x v="1"/>
    <x v="8"/>
    <s v="Fully Remote with Options to travel as and when needed"/>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m/>
  </r>
  <r>
    <d v="2023-04-27T21:13:59"/>
    <s v="India"/>
    <n v="509216"/>
    <x v="0"/>
    <x v="3"/>
    <x v="0"/>
    <x v="1"/>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Build and develop a Team, Look deeply into Data and generate insights, An Artificial Intelligence Specialist / Talking to Robots"/>
    <s v="Manager who sets goal and helps me achieve it"/>
    <s v="Work with 5 to 6 people in my team"/>
    <s v="No"/>
    <s v="This will be hard to do, but if it is the right company I would try"/>
    <m/>
  </r>
  <r>
    <d v="2023-04-27T21:17:22"/>
    <s v="India"/>
    <n v="781012"/>
    <x v="1"/>
    <x v="3"/>
    <x v="0"/>
    <x v="0"/>
    <x v="0"/>
    <x v="0"/>
    <x v="7"/>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2 to 3 people in my team"/>
    <s v="No"/>
    <s v="This will be hard to do, but if it is the right company I would try"/>
    <m/>
  </r>
  <r>
    <d v="2023-04-27T21:18:01"/>
    <s v="India"/>
    <n v="560036"/>
    <x v="1"/>
    <x v="3"/>
    <x v="2"/>
    <x v="1"/>
    <x v="0"/>
    <x v="0"/>
    <x v="6"/>
    <s v="Hybrid Working Environment with less than 3 days a month at office"/>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Look deeply into Data and generate insights, Work as a freelancer and do my thing my way, Become a content Creator in some platform"/>
    <s v="Manager who explains what is expected, sets a goal and helps achieve it"/>
    <s v="Work alone, Work with 2 to 3 people in my team, Work with 5 to 6 people in my team"/>
    <s v="No"/>
    <s v="This will be hard to do, but if it is the right company I would try"/>
    <m/>
  </r>
  <r>
    <d v="2023-04-27T21:18:31"/>
    <s v="India"/>
    <n v="500077"/>
    <x v="1"/>
    <x v="2"/>
    <x v="0"/>
    <x v="1"/>
    <x v="0"/>
    <x v="0"/>
    <x v="2"/>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7T21:20:55"/>
    <s v="India"/>
    <n v="364710"/>
    <x v="1"/>
    <x v="4"/>
    <x v="2"/>
    <x v="0"/>
    <x v="0"/>
    <x v="0"/>
    <x v="0"/>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explains what is expected, sets a goal and helps achieve it"/>
    <s v="Work with 2 to 3 people in my team"/>
    <s v="I have NO other choice"/>
    <s v="No way"/>
    <m/>
  </r>
  <r>
    <d v="2023-04-27T21:21:20"/>
    <s v="India"/>
    <n v="201306"/>
    <x v="1"/>
    <x v="2"/>
    <x v="2"/>
    <x v="1"/>
    <x v="0"/>
    <x v="0"/>
    <x v="5"/>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s v="I have NO other choice"/>
    <s v="This will be hard to do, but if it is the right company I would try"/>
    <m/>
  </r>
  <r>
    <d v="2023-04-27T21:21:38"/>
    <s v="India"/>
    <n v="500005"/>
    <x v="1"/>
    <x v="2"/>
    <x v="1"/>
    <x v="0"/>
    <x v="1"/>
    <x v="0"/>
    <x v="2"/>
    <s v="Every Day Office Environment"/>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Work as a freelancer and do my thing my way, Entrepreneur or Start Up"/>
    <s v="Manager who sets goal and helps me achieve it"/>
    <s v="Work alone, Work with 2 to 3 people in my team, Work with 5 to 6 people in my team"/>
    <s v="No"/>
    <s v="No way"/>
    <m/>
  </r>
  <r>
    <d v="2023-04-27T21:23:38"/>
    <s v="India"/>
    <n v="250002"/>
    <x v="0"/>
    <x v="0"/>
    <x v="0"/>
    <x v="0"/>
    <x v="0"/>
    <x v="0"/>
    <x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Manage and drive End-to-End Projects or Products"/>
    <s v="Manager who explains what is expected, sets a goal and helps achieve it"/>
    <s v="Work with 5 to 6 people in my team"/>
    <s v="Yes, I Understand this is gonna happen everywhere"/>
    <s v="This will be hard to do, but if it is the right company I would try"/>
    <m/>
  </r>
  <r>
    <d v="2023-04-27T21:24:10"/>
    <s v="India"/>
    <n v="400709"/>
    <x v="0"/>
    <x v="3"/>
    <x v="0"/>
    <x v="3"/>
    <x v="0"/>
    <x v="0"/>
    <x v="6"/>
    <s v="Every Day Office Environment"/>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Look deeply into Data and generate insights, Entrepreneur or Start Up"/>
    <s v="Manager who explains what is expected, sets a goal and helps achieve it"/>
    <s v="Work alone, Work with 2 to 3 people in my team, Work with 5 to 6 people in my team, Work with 7 to 10 or more people in my team"/>
    <s v="No"/>
    <s v="No way"/>
    <m/>
  </r>
  <r>
    <d v="2023-04-27T21:24:55"/>
    <s v="India"/>
    <n v="492001"/>
    <x v="0"/>
    <x v="0"/>
    <x v="2"/>
    <x v="0"/>
    <x v="0"/>
    <x v="0"/>
    <x v="2"/>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s v="I have NO other choice"/>
    <s v="This will be hard to do, but if it is the right company I would try"/>
    <m/>
  </r>
  <r>
    <d v="2023-04-27T21:25:04"/>
    <s v="India"/>
    <n v="382028"/>
    <x v="1"/>
    <x v="3"/>
    <x v="0"/>
    <x v="0"/>
    <x v="0"/>
    <x v="0"/>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27T21:25:37"/>
    <s v="India"/>
    <n v="560037"/>
    <x v="1"/>
    <x v="0"/>
    <x v="0"/>
    <x v="0"/>
    <x v="0"/>
    <x v="0"/>
    <x v="4"/>
    <s v="Hybrid Working Environment with less than 3 days a month at office"/>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Work as a freelancer and do my thing my way"/>
    <s v="Manager who explains what is expected, sets a goal and helps achieve it"/>
    <s v="Work with 7 to 10 or more people in my team, Work with more than 10 people in my team"/>
    <s v="No"/>
    <s v="This will be hard to do, but if it is the right company I would try"/>
    <m/>
  </r>
  <r>
    <d v="2023-04-27T21:25:50"/>
    <s v="India"/>
    <n v="401107"/>
    <x v="0"/>
    <x v="4"/>
    <x v="2"/>
    <x v="0"/>
    <x v="1"/>
    <x v="0"/>
    <x v="3"/>
    <s v="Hybrid Working Environment with more than 15 days a month at office"/>
    <s v="Employer who appreciates learning and enables that environment"/>
    <s v="Learning by observing others, Self Purchased Course from External Platforms, Manager Teaching you"/>
    <s v="Business Operations in any organization, Build and develop a Team, Work as a freelancer and do my thing my way, Entrepreneur or Start Up"/>
    <s v="Manager who explains what is expected, sets a goal and helps achieve it"/>
    <s v="Work with 2 to 3 people in my team"/>
    <s v="Yes, I Understand this is gonna happen everywhere"/>
    <s v="No way"/>
    <m/>
  </r>
  <r>
    <d v="2023-04-27T21:26:21"/>
    <s v="India"/>
    <n v="534134"/>
    <x v="1"/>
    <x v="3"/>
    <x v="0"/>
    <x v="1"/>
    <x v="0"/>
    <x v="1"/>
    <x v="3"/>
    <s v="Fully Remote with Options to travel as and when needed"/>
    <s v="Employer who appreciates learning and enables that environment"/>
    <s v="Self Paced Learning Portals of the Company, Learning by observing others, Trial and error by doing side projects within the company"/>
    <s v="Manage and drive End-to-End Projects or Products, Work as a freelancer and do my thing my way, Become a content Creator in some platform, I Want to sell things/Sales"/>
    <s v="Manager who explains what is expected, sets a goal and helps achieve it"/>
    <s v="Work with 2 to 3 people in my team"/>
    <s v="Yes"/>
    <s v="This will be hard to do, but if it is the right company I would try"/>
    <m/>
  </r>
  <r>
    <d v="2023-04-27T21:26:38"/>
    <s v="India"/>
    <n v="247776"/>
    <x v="1"/>
    <x v="4"/>
    <x v="2"/>
    <x v="0"/>
    <x v="0"/>
    <x v="0"/>
    <x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Entrepreneur or Start Up"/>
    <s v="Manager who explains what is expected, sets a goal and helps achieve it"/>
    <s v="Work with 5 to 6 people in my team"/>
    <s v="Yes, I Understand this is gonna happen everywhere"/>
    <s v="No way"/>
    <m/>
  </r>
  <r>
    <d v="2023-04-27T21:27:54"/>
    <s v="India"/>
    <n v="508223"/>
    <x v="0"/>
    <x v="1"/>
    <x v="0"/>
    <x v="1"/>
    <x v="0"/>
    <x v="0"/>
    <x v="0"/>
    <s v="Every Day Office Environment"/>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Become a content Creator in some platform"/>
    <s v="Manager who clearly describes what she/he needs"/>
    <s v="Work alone"/>
    <s v="Yes"/>
    <s v="No way"/>
    <m/>
  </r>
  <r>
    <d v="2023-04-27T21:27:59"/>
    <s v="India"/>
    <n v="484551"/>
    <x v="0"/>
    <x v="3"/>
    <x v="1"/>
    <x v="0"/>
    <x v="1"/>
    <x v="1"/>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as a freelancer and do my thing my way, Become a content Creator in some platform"/>
    <s v="Manager who explains what is expected, sets a goal and helps achieve it"/>
    <s v="Work with 5 to 6 people in my team"/>
    <s v="No"/>
    <s v="No way"/>
    <m/>
  </r>
  <r>
    <d v="2023-04-27T21:31:49"/>
    <s v="India"/>
    <n v="560038"/>
    <x v="0"/>
    <x v="1"/>
    <x v="2"/>
    <x v="0"/>
    <x v="1"/>
    <x v="0"/>
    <x v="5"/>
    <s v="Fully Remote with Options to travel as and when needed"/>
    <s v="Employer who rewards learning and enables that environment"/>
    <s v="Instructor or Expert Learning Programs, Learning by observing others, Self Purchased Course from External Platforms"/>
    <s v="Business Operations in any organization, Work as a freelancer and do my thing my way, Become a content Creator in some platform, I Want to sell things/Sales"/>
    <s v="Manager who clearly describes what she/he needs"/>
    <s v="Work with 7 to 10 or more people in my team"/>
    <s v="No"/>
    <s v="This will be hard to do, but if it is the right company I would try"/>
    <m/>
  </r>
  <r>
    <d v="2023-04-27T21:32:05"/>
    <s v="India"/>
    <n v="781012"/>
    <x v="0"/>
    <x v="4"/>
    <x v="1"/>
    <x v="0"/>
    <x v="0"/>
    <x v="0"/>
    <x v="1"/>
    <s v="Hybrid Working Environment with more than 15 days a month at office"/>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Entrepreneur or Start Up"/>
    <s v="Manager who explains what is expected, sets a goal and helps achieve it"/>
    <s v="Work with 2 to 3 people in my team"/>
    <s v="No"/>
    <s v="This will be hard to do, but if it is the right company I would try"/>
    <m/>
  </r>
  <r>
    <d v="2023-04-27T21:33:00"/>
    <s v="India"/>
    <n v="508284"/>
    <x v="0"/>
    <x v="3"/>
    <x v="0"/>
    <x v="1"/>
    <x v="0"/>
    <x v="0"/>
    <x v="0"/>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7T21:33:24"/>
    <s v="Others"/>
    <n v="805125"/>
    <x v="0"/>
    <x v="2"/>
    <x v="0"/>
    <x v="0"/>
    <x v="1"/>
    <x v="1"/>
    <x v="2"/>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Manage and drive End-to-End Projects or Products, Work as a freelancer and do my thing my way, Entrepreneur or Start Up, An Artificial Intelligence Specialist / Talking to Robots"/>
    <s v="Manager who sets unrealistic targets"/>
    <s v="Work with more than 10 people in my team"/>
    <s v="I have NO other choice"/>
    <s v="This will be hard to do, but if it is the right company I would try"/>
    <m/>
  </r>
  <r>
    <d v="2023-04-27T21:34:21"/>
    <s v="India"/>
    <n v="247554"/>
    <x v="0"/>
    <x v="4"/>
    <x v="0"/>
    <x v="0"/>
    <x v="0"/>
    <x v="1"/>
    <x v="2"/>
    <s v="Fully Remote with Options to travel as and when needed"/>
    <s v="Employer who rewards learning and enables that environment"/>
    <s v="Learning by observing others, Trial and error by doing side projects within the company, Self Purchased Course from External Platforms"/>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s v="Yes, I Understand this is gonna happen everywhere"/>
    <s v="This will be hard to do, but if it is the right company I would try"/>
    <m/>
  </r>
  <r>
    <d v="2023-04-27T21:34:43"/>
    <s v="Others"/>
    <n v="80078"/>
    <x v="0"/>
    <x v="4"/>
    <x v="0"/>
    <x v="0"/>
    <x v="1"/>
    <x v="1"/>
    <x v="8"/>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Design and Creative strategy in any company, Work as a freelancer and do my thing my way, Entrepreneur or Start Up, Manufacturing / Oil and Gas/ Construction / Hard Physical Work related"/>
    <s v="Manager who clearly describes what she/he needs"/>
    <s v="Work alone, Work with 5 to 6 people in my team"/>
    <s v="Yes, I Understand this is gonna happen everywhere"/>
    <s v="This will be hard to do, but if it is the right company I would try"/>
    <m/>
  </r>
  <r>
    <d v="2023-04-27T21:37:31"/>
    <s v="India"/>
    <n v="505001"/>
    <x v="1"/>
    <x v="0"/>
    <x v="0"/>
    <x v="1"/>
    <x v="0"/>
    <x v="0"/>
    <x v="5"/>
    <s v="Hybrid Working Environment with less than 3 days a month at office"/>
    <s v="Employer who appreciates learning and enables that environment"/>
    <s v="Learning by observing others, Self Purchased Course from External Platfor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7T21:40:10"/>
    <s v="India"/>
    <n v="509216"/>
    <x v="0"/>
    <x v="0"/>
    <x v="1"/>
    <x v="1"/>
    <x v="0"/>
    <x v="0"/>
    <x v="3"/>
    <s v="Fully Remote with No option to visit offices"/>
    <s v="Employer who appreciates learning and enables that environment"/>
    <s v="Instructor or Expert Learning Programs, Self Purchased Course from External Platforms, Manager Teaching you"/>
    <s v="Design and Develop amazing software, Work as a freelancer and do my thing my way, Become a content Creator in some platform, An Artificial Intelligence Specialist / Talking to Robots"/>
    <s v="Manager who explains what is expected, sets a goal and helps achieve it"/>
    <s v="Work with 2 to 3 people in my team"/>
    <s v="Yes, I Understand this is gonna happen everywhere"/>
    <s v="Will work for 7 years or more"/>
    <m/>
  </r>
  <r>
    <d v="2023-04-27T21:40:34"/>
    <s v="India"/>
    <n v="500035"/>
    <x v="0"/>
    <x v="1"/>
    <x v="2"/>
    <x v="0"/>
    <x v="1"/>
    <x v="1"/>
    <x v="5"/>
    <s v="Hybrid Working Environment with more than 15 days a month at office"/>
    <s v="Employer who reward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I Want to sell things/Sales"/>
    <s v="Manager who sets goal and helps me achieve it"/>
    <s v="Work with 5 to 6 people in my team"/>
    <s v="No"/>
    <s v="This will be hard to do, but if it is the right company I would try"/>
    <m/>
  </r>
  <r>
    <d v="2023-04-27T21:41:15"/>
    <s v="India"/>
    <n v="250002"/>
    <x v="1"/>
    <x v="0"/>
    <x v="2"/>
    <x v="0"/>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ild and develop a Team, Entrepreneur or Start Up, I Want to sell things/Sales, An Artificial Intelligence Specialist / Talking to Robots"/>
    <s v="Manager who explains what is expected, sets a goal and helps achieve it"/>
    <s v="Work with 7 to 10 or more people in my team"/>
    <s v="No"/>
    <s v="No way"/>
    <m/>
  </r>
  <r>
    <d v="2023-04-27T21:46:06"/>
    <s v="India"/>
    <n v="509216"/>
    <x v="0"/>
    <x v="3"/>
    <x v="0"/>
    <x v="0"/>
    <x v="0"/>
    <x v="0"/>
    <x v="4"/>
    <s v="Hybrid Working Environment with more than 15 days a month at office"/>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Manage and drive End-to-End Projects or Products, Build and develop a Team"/>
    <s v="Manager who explains what is expected, sets a goal and helps achieve it"/>
    <s v="Work with 7 to 10 or more people in my team"/>
    <s v="Yes, I Understand this is gonna happen everywhere"/>
    <s v="This will be hard to do, but if it is the right company I would try"/>
    <m/>
  </r>
  <r>
    <d v="2023-04-27T21:47:09"/>
    <s v="India"/>
    <n v="500008"/>
    <x v="1"/>
    <x v="3"/>
    <x v="2"/>
    <x v="1"/>
    <x v="0"/>
    <x v="1"/>
    <x v="5"/>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Work with 7 to 10 or more people in my team, Work with more than 10 people in my team"/>
    <s v="No"/>
    <s v="This will be hard to do, but if it is the right company I would try"/>
    <m/>
  </r>
  <r>
    <d v="2023-04-27T21:50:58"/>
    <s v="India"/>
    <n v="500092"/>
    <x v="0"/>
    <x v="2"/>
    <x v="0"/>
    <x v="0"/>
    <x v="0"/>
    <x v="0"/>
    <x v="4"/>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7T21:55:45"/>
    <s v="India"/>
    <n v="500016"/>
    <x v="1"/>
    <x v="0"/>
    <x v="2"/>
    <x v="1"/>
    <x v="1"/>
    <x v="0"/>
    <x v="0"/>
    <s v="Every Day Office Environment"/>
    <s v="Employer who pushes your limits by enabling an learning environment, and rewards you at the end"/>
    <s v="Instructor or Expert Learning Programs, Learning by observing others, Manager Teaching you"/>
    <s v="Design and Creative strategy in any company,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m/>
  </r>
  <r>
    <d v="2023-04-27T21:57:11"/>
    <s v="India"/>
    <n v="509385"/>
    <x v="1"/>
    <x v="0"/>
    <x v="0"/>
    <x v="1"/>
    <x v="0"/>
    <x v="0"/>
    <x v="5"/>
    <s v="Every Day Office Environment"/>
    <s v="Employer who appreciates learning and enables that environment"/>
    <s v="Self Paced Learning Portals of the Company, Learning by observing others, Manager Teaching you"/>
    <s v="Design and Creative strategy in any company, Business Operations in any organization, Manage and drive End-to-End Projects or Products, Design and Develop amazing software"/>
    <s v="Manager who explains what is expected, sets a goal and helps achieve it"/>
    <s v="Work with more than 10 people in my team"/>
    <s v="Yes"/>
    <s v="Will work for 7 years or more"/>
    <m/>
  </r>
  <r>
    <d v="2023-04-27T21:58:42"/>
    <s v="India"/>
    <n v="110085"/>
    <x v="1"/>
    <x v="0"/>
    <x v="0"/>
    <x v="0"/>
    <x v="0"/>
    <x v="0"/>
    <x v="0"/>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sets goal and helps me achieve it"/>
    <s v="Work with 5 to 6 people in my team"/>
    <s v="Yes, I Understand this is gonna happen everywhere"/>
    <s v="This will be hard to do, but if it is the right company I would try"/>
    <m/>
  </r>
  <r>
    <d v="2023-04-27T21:59:43"/>
    <s v="India"/>
    <n v="501504"/>
    <x v="0"/>
    <x v="4"/>
    <x v="1"/>
    <x v="0"/>
    <x v="1"/>
    <x v="0"/>
    <x v="4"/>
    <s v="Hybrid Working Environment with less than 3 days a month at office"/>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Manufacturing / Oil and Gas/ Construction / Hard Physical Work related"/>
    <s v="Manager who clearly describes what she/he needs"/>
    <s v="Work with 2 to 3 people in my team"/>
    <s v="Yes, I Understand this is gonna happen everywhere"/>
    <s v="No way"/>
    <m/>
  </r>
  <r>
    <d v="2023-04-27T22:00:02"/>
    <s v="India"/>
    <n v="500037"/>
    <x v="1"/>
    <x v="4"/>
    <x v="0"/>
    <x v="0"/>
    <x v="0"/>
    <x v="0"/>
    <x v="0"/>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27T22:02:16"/>
    <s v="India"/>
    <n v="506002"/>
    <x v="0"/>
    <x v="3"/>
    <x v="0"/>
    <x v="3"/>
    <x v="0"/>
    <x v="0"/>
    <x v="6"/>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Manage and drive End-to-End Projects or Products, Build and develop a Team"/>
    <s v="Manager who sets goal and helps me achieve it"/>
    <s v="Work with 2 to 3 people in my team"/>
    <s v="Yes, I Understand this is gonna happen everywhere"/>
    <s v="No way"/>
    <m/>
  </r>
  <r>
    <d v="2023-04-27T22:08:02"/>
    <s v="India"/>
    <n v="564114"/>
    <x v="1"/>
    <x v="3"/>
    <x v="2"/>
    <x v="0"/>
    <x v="1"/>
    <x v="0"/>
    <x v="2"/>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Look deeply into Data and generate insights, Work as a freelancer and do my thing my way"/>
    <s v="Manager who explains what is expected, sets a goal and helps achieve it"/>
    <s v="Work with 2 to 3 people in my team"/>
    <s v="Yes, I Understand this is gonna happen everywhere"/>
    <s v="No way"/>
    <m/>
  </r>
  <r>
    <d v="2023-04-27T22:08:34"/>
    <s v="India"/>
    <n v="501504"/>
    <x v="1"/>
    <x v="4"/>
    <x v="0"/>
    <x v="0"/>
    <x v="0"/>
    <x v="0"/>
    <x v="4"/>
    <s v="Hybrid Working Environment with more than 15 days a month at office"/>
    <s v="Employer who appreciates learning and enables that environment"/>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No way"/>
    <m/>
  </r>
  <r>
    <d v="2023-04-27T22:08:51"/>
    <s v="India"/>
    <n v="741121"/>
    <x v="1"/>
    <x v="3"/>
    <x v="2"/>
    <x v="0"/>
    <x v="0"/>
    <x v="0"/>
    <x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Work as a freelancer and do my thing my way, Become a content Creator in some platform, Manufacturing / Oil and Gas/ Construction / Hard Physical Work related"/>
    <s v="Manager who sets goal and helps me achieve it"/>
    <s v="Work with 2 to 3 people in my team"/>
    <s v="No"/>
    <s v="This will be hard to do, but if it is the right company I would try"/>
    <m/>
  </r>
  <r>
    <d v="2023-04-27T22:10:51"/>
    <s v="India"/>
    <n v="755051"/>
    <x v="1"/>
    <x v="1"/>
    <x v="2"/>
    <x v="0"/>
    <x v="0"/>
    <x v="0"/>
    <x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Design and Develop amazing software,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r>
  <r>
    <d v="2023-04-27T22:11:27"/>
    <s v="India"/>
    <n v="506315"/>
    <x v="0"/>
    <x v="0"/>
    <x v="1"/>
    <x v="0"/>
    <x v="0"/>
    <x v="0"/>
    <x v="4"/>
    <s v="Fully Remote with No option to visit offices"/>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ecome a content Creator in some platform, Manufacturing / Oil and Gas/ Construction / Hard Physical Work related"/>
    <s v="Manager who sets goal and helps me achieve it"/>
    <s v="Work with 5 to 6 people in my team, Work with 7 to 10 or more people in my team"/>
    <s v="Yes, I Understand this is gonna happen everywhere"/>
    <s v="This will be hard to do, but if it is the right company I would try"/>
    <m/>
  </r>
  <r>
    <d v="2023-04-27T22:14:25"/>
    <s v="India"/>
    <n v="600056"/>
    <x v="1"/>
    <x v="3"/>
    <x v="2"/>
    <x v="0"/>
    <x v="0"/>
    <x v="0"/>
    <x v="4"/>
    <s v="Fully Remote with Options to travel as and when needed"/>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Work as a freelancer and do my thing my way, Become a content Creator in some platform"/>
    <s v="Manager who clearly describes what she/he needs"/>
    <s v="Work alone, Work with 2 to 3 people in my team"/>
    <s v="Yes, I Understand this is gonna happen everywhere"/>
    <s v="No way"/>
    <m/>
  </r>
  <r>
    <d v="2023-04-27T22:14:45"/>
    <s v="India"/>
    <n v="500053"/>
    <x v="0"/>
    <x v="1"/>
    <x v="0"/>
    <x v="1"/>
    <x v="0"/>
    <x v="0"/>
    <x v="3"/>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Design and Develop amazing software, Look deeply into Data and generate insigh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4-27T22:15:05"/>
    <s v="India"/>
    <n v="402030"/>
    <x v="1"/>
    <x v="2"/>
    <x v="2"/>
    <x v="0"/>
    <x v="1"/>
    <x v="0"/>
    <x v="3"/>
    <s v="Every Day Office Environment"/>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Build and develop a Team, Manufacturing / Oil and Gas/ Construction / Hard Physical Work related"/>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27T22:15:34"/>
    <s v="India"/>
    <n v="503201"/>
    <x v="0"/>
    <x v="0"/>
    <x v="1"/>
    <x v="0"/>
    <x v="1"/>
    <x v="0"/>
    <x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Become a content Creator in some platform, Manufacturing / Oil and Gas/ Construction / Hard Physical Work related"/>
    <s v="Manager who explains what is expected, sets a goal and helps achieve it"/>
    <s v="Work with more than 10 people in my team"/>
    <s v="Yes"/>
    <s v="Will work for 7 years or more"/>
    <m/>
  </r>
  <r>
    <d v="2023-04-27T22:15:55"/>
    <s v="India"/>
    <n v="500074"/>
    <x v="1"/>
    <x v="4"/>
    <x v="0"/>
    <x v="1"/>
    <x v="0"/>
    <x v="1"/>
    <x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Design and Develop amazing software"/>
    <s v="Manager who clearly describes what she/he needs"/>
    <s v="Work with 2 to 3 people in my team, Work with 5 to 6 people in my team, Work with more than 10 people in my team"/>
    <s v="Yes, I Understand this is gonna happen everywhere"/>
    <s v="This will be hard to do, but if it is the right company I would try"/>
    <m/>
  </r>
  <r>
    <d v="2023-04-27T22:16:10"/>
    <s v="India"/>
    <n v="600044"/>
    <x v="0"/>
    <x v="1"/>
    <x v="1"/>
    <x v="0"/>
    <x v="1"/>
    <x v="0"/>
    <x v="5"/>
    <s v="Hybrid Working Environment with less than 3 days a month at office"/>
    <s v="Employer who appreciates learning and enables that environment"/>
    <s v="Instructor or Expert Learning Programs, Learning by observing others, Manager Teaching you"/>
    <s v="Teaching in any of the institutes/colleges/online or offline, Business Operations in any organization, Manage and drive End-to-End Projects or Products, Look deeply into Data and generate insights"/>
    <s v="Manager who explains what is expected, sets a goal and helps achieve it"/>
    <s v="Work with 5 to 6 people in my team"/>
    <s v="No"/>
    <s v="No way"/>
    <m/>
  </r>
  <r>
    <d v="2023-04-27T22:16:21"/>
    <s v="India"/>
    <n v="759107"/>
    <x v="1"/>
    <x v="2"/>
    <x v="2"/>
    <x v="3"/>
    <x v="0"/>
    <x v="0"/>
    <x v="6"/>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I Want to sell things/Sales"/>
    <s v="Manager who explains what is expected, sets a goal and helps achieve it"/>
    <s v="Work with 2 to 3 people in my team"/>
    <s v="Yes, I Understand this is gonna happen everywhere"/>
    <s v="No way"/>
    <m/>
  </r>
  <r>
    <d v="2023-04-27T22:16:37"/>
    <s v="India"/>
    <n v="201002"/>
    <x v="1"/>
    <x v="1"/>
    <x v="2"/>
    <x v="1"/>
    <x v="0"/>
    <x v="0"/>
    <x v="2"/>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Work in a BPO setup for some well known client, Work as a freelancer and do my thing my way"/>
    <s v="Manager who explains what is expected, sets a goal and helps achieve it"/>
    <s v="Work with 7 to 10 or more people in my team"/>
    <s v="Yes, I Understand this is gonna happen everywhere"/>
    <s v="This will be hard to do, but if it is the right company I would try"/>
    <m/>
  </r>
  <r>
    <d v="2023-04-27T22:20:11"/>
    <s v="India"/>
    <n v="560091"/>
    <x v="0"/>
    <x v="2"/>
    <x v="0"/>
    <x v="0"/>
    <x v="0"/>
    <x v="1"/>
    <x v="8"/>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clearly describes what she/he needs"/>
    <s v="Work with 2 to 3 people in my team"/>
    <s v="Yes, I Understand this is gonna happen everywhere"/>
    <s v="This will be hard to do, but if it is the right company I would try"/>
    <m/>
  </r>
  <r>
    <d v="2023-04-27T22:20:55"/>
    <s v="India"/>
    <n v="425310"/>
    <x v="1"/>
    <x v="3"/>
    <x v="0"/>
    <x v="0"/>
    <x v="0"/>
    <x v="0"/>
    <x v="4"/>
    <s v="Hybrid Working Environment with more than 15 days a month at office"/>
    <s v="Employer who appreciates learning and enables that environment"/>
    <s v="Self Paced Learning Portals of the Company, Instructor or Expert Learning Programs, Learning by observing others"/>
    <s v="Manage and drive End-to-End Projects or Products, Look deeply into Data and generate insights, Work as a freelancer and do my thing my way, An Artificial Intelligence Specialist / Talking to Robots"/>
    <s v="Manager who explains what is expected, sets a goal and helps achieve it"/>
    <s v="Work alone"/>
    <s v="Yes, I Understand this is gonna happen everywhere"/>
    <s v="This will be hard to do, but if it is the right company I would try"/>
    <m/>
  </r>
  <r>
    <d v="2023-04-27T22:20:56"/>
    <s v="India"/>
    <n v="251201"/>
    <x v="1"/>
    <x v="0"/>
    <x v="2"/>
    <x v="0"/>
    <x v="0"/>
    <x v="0"/>
    <x v="1"/>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Manage and drive End-to-End Projects or Products, Work as a freelancer and do my thing my way, Entrepreneur or Start Up"/>
    <s v="Manager who explains what is expected, sets a goal and helps achieve it"/>
    <s v="Work with 5 to 6 people in my team"/>
    <s v="No"/>
    <s v="This will be hard to do, but if it is the right company I would try"/>
    <m/>
  </r>
  <r>
    <d v="2023-04-27T22:22:21"/>
    <s v="India"/>
    <n v="600025"/>
    <x v="0"/>
    <x v="4"/>
    <x v="0"/>
    <x v="0"/>
    <x v="1"/>
    <x v="1"/>
    <x v="4"/>
    <s v="Every Day Office Environment"/>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Entrepreneur or Start Up"/>
    <s v="Manager who clearly describes what she/he needs"/>
    <s v="Work alone"/>
    <s v="Yes, I Understand this is gonna happen everywhere"/>
    <s v="No way"/>
    <m/>
  </r>
  <r>
    <d v="2023-04-27T22:22:58"/>
    <s v="India"/>
    <n v="500076"/>
    <x v="1"/>
    <x v="0"/>
    <x v="0"/>
    <x v="1"/>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7 to 10 or more people in my team"/>
    <s v="No"/>
    <s v="No way"/>
    <m/>
  </r>
  <r>
    <d v="2023-04-27T22:23:03"/>
    <s v="India"/>
    <n v="263139"/>
    <x v="0"/>
    <x v="1"/>
    <x v="2"/>
    <x v="0"/>
    <x v="0"/>
    <x v="0"/>
    <x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7T22:24:42"/>
    <s v="India"/>
    <n v="600107"/>
    <x v="1"/>
    <x v="4"/>
    <x v="0"/>
    <x v="1"/>
    <x v="0"/>
    <x v="0"/>
    <x v="8"/>
    <s v="Every Day Office Environment"/>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with 2 to 3 people in my team"/>
    <s v="I have NO other choice"/>
    <s v="This will be hard to do, but if it is the right company I would try"/>
    <m/>
  </r>
  <r>
    <d v="2023-04-27T22:25:50"/>
    <s v="India"/>
    <n v="600056"/>
    <x v="1"/>
    <x v="0"/>
    <x v="1"/>
    <x v="0"/>
    <x v="0"/>
    <x v="0"/>
    <x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Entrepreneur or Start Up"/>
    <s v="Manager who clearly describes what she/he needs"/>
    <s v="Work with 5 to 6 people in my team"/>
    <s v="Yes, I Understand this is gonna happen everywhere"/>
    <s v="This will be hard to do, but if it is the right company I would try"/>
    <m/>
  </r>
  <r>
    <d v="2023-04-27T22:30:12"/>
    <s v="India"/>
    <n v="831013"/>
    <x v="1"/>
    <x v="4"/>
    <x v="0"/>
    <x v="0"/>
    <x v="0"/>
    <x v="0"/>
    <x v="0"/>
    <s v="Fully Remote with Options to travel as and when needed"/>
    <s v="Employer who rewards learning and enables that environment"/>
    <s v="Self Paced Learning Portals of the Company, Instructor or Expert Learning Programs, Manager Teaching you"/>
    <s v="Design and Creative strategy in any company, Design and Develop amazing software, Entrepreneur or Start Up, An Artificial Intelligence Specialist / Talking to Robots"/>
    <s v="Manager who sets goal and helps me achieve it"/>
    <s v="Work with 5 to 6 people in my team, Work with 7 to 10 or more people in my team"/>
    <s v="Yes, I Understand this is gonna happen everywhere"/>
    <s v="This will be hard to do, but if it is the right company I would try"/>
    <m/>
  </r>
  <r>
    <d v="2023-04-27T22:32:09"/>
    <s v="India"/>
    <n v="462030"/>
    <x v="1"/>
    <x v="0"/>
    <x v="1"/>
    <x v="1"/>
    <x v="0"/>
    <x v="0"/>
    <x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2 to 3 people in my team, Work with 5 to 6 people in my team"/>
    <s v="I have NO other choice"/>
    <s v="This will be hard to do, but if it is the right company I would try"/>
    <m/>
  </r>
  <r>
    <d v="2023-04-27T22:32:17"/>
    <s v="India"/>
    <n v="492008"/>
    <x v="0"/>
    <x v="3"/>
    <x v="0"/>
    <x v="0"/>
    <x v="1"/>
    <x v="1"/>
    <x v="3"/>
    <s v="Every Day Office Environment"/>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Build and develop a Team, Entrepreneur or Start Up"/>
    <s v="Manager who sets goal and helps me achieve it"/>
    <s v="Work with more than 10 people in my team"/>
    <s v="Yes, I Understand this is gonna happen everywhere"/>
    <s v="No way"/>
    <m/>
  </r>
  <r>
    <d v="2023-04-27T22:37:25"/>
    <s v="India"/>
    <n v="530051"/>
    <x v="1"/>
    <x v="4"/>
    <x v="0"/>
    <x v="1"/>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Work as a freelancer and do my thing my way, An Artificial Intelligence Specialist / Talking to Robots"/>
    <s v="Manager who explains what is expected, sets a goal and helps achieve it"/>
    <s v="Work alone, Work with 2 to 3 people in my team, Work with 5 to 6 people in my team"/>
    <s v="I have NO other choice"/>
    <s v="This will be hard to do, but if it is the right company I would try"/>
    <m/>
  </r>
  <r>
    <d v="2023-04-27T22:37:57"/>
    <s v="India"/>
    <n v="500097"/>
    <x v="1"/>
    <x v="4"/>
    <x v="0"/>
    <x v="0"/>
    <x v="0"/>
    <x v="0"/>
    <x v="2"/>
    <s v="Every Day Office Environment"/>
    <s v="Employer who appreciates learning and enables that environment"/>
    <s v="Self Paced Learning Portals of the Company, Learning by observing others, Manager Teaching you"/>
    <s v="Business Operations in any organization, Manage and drive End-to-End Projects or Produc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27T22:39:16"/>
    <s v="India"/>
    <n v="411027"/>
    <x v="0"/>
    <x v="1"/>
    <x v="0"/>
    <x v="1"/>
    <x v="0"/>
    <x v="0"/>
    <x v="8"/>
    <s v="Every Day Office Environment"/>
    <s v="Employer who pushes your limits by enabling an learning environment, and rewards you at the end"/>
    <s v="Instructor or Expert Learning Programs, Learning by observing others, Manager Teaching you"/>
    <s v="Design and Develop amazing software, Look deeply into Data and generate insights, Work as a freelancer and do my thing my way,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7T22:39:28"/>
    <s v="India"/>
    <n v="492001"/>
    <x v="1"/>
    <x v="4"/>
    <x v="1"/>
    <x v="0"/>
    <x v="0"/>
    <x v="1"/>
    <x v="2"/>
    <s v="Fully Remote with Options to travel as and when needed"/>
    <s v="Employer who pushes your limits by enabling an learning environment, and rewards you at the end"/>
    <s v="Self Paced Learning Portals of the Company, Learning by observing others, Manager Teaching you"/>
    <s v="Design and Creative strategy in any company, Teaching in any of the institutes/colleges/online or offline, Design and Develop amazing software, An Artificial Intelligence Specialist / Talking to Robots"/>
    <s v="Manager who clearly describes what she/he needs"/>
    <s v="Work alone, Work with 2 to 3 people in my team"/>
    <s v="Yes, I Understand this is gonna happen everywhere"/>
    <s v="No way"/>
    <m/>
  </r>
  <r>
    <d v="2023-04-27T22:39:33"/>
    <s v="India"/>
    <n v="411027"/>
    <x v="0"/>
    <x v="0"/>
    <x v="2"/>
    <x v="0"/>
    <x v="1"/>
    <x v="0"/>
    <x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Work as a freelancer and do my thing my way, An Artificial Intelligence Specialist / Talking to Robots"/>
    <s v="Manager who explains what is expected, sets a goal and helps achieve it"/>
    <s v="Work with 5 to 6 people in my team"/>
    <s v="Yes, I Understand this is gonna happen everywhere"/>
    <s v="No way"/>
    <m/>
  </r>
  <r>
    <d v="2023-04-27T22:42:02"/>
    <s v="India"/>
    <n v="191103"/>
    <x v="0"/>
    <x v="4"/>
    <x v="2"/>
    <x v="0"/>
    <x v="0"/>
    <x v="0"/>
    <x v="2"/>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alone"/>
    <s v="Yes, I Understand this is gonna happen everywhere"/>
    <s v="This will be hard to do, but if it is the right company I would try"/>
    <m/>
  </r>
  <r>
    <d v="2023-04-27T22:42:23"/>
    <s v="India"/>
    <n v="201002"/>
    <x v="0"/>
    <x v="0"/>
    <x v="0"/>
    <x v="0"/>
    <x v="0"/>
    <x v="0"/>
    <x v="1"/>
    <s v="Fully Remote with Options to travel as and when needed"/>
    <s v="Employer who appreciates learning and enables that environment"/>
    <s v="Self Paced Learning Portals of the Company,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27T22:49:21"/>
    <s v="India"/>
    <n v="530028"/>
    <x v="0"/>
    <x v="3"/>
    <x v="2"/>
    <x v="1"/>
    <x v="0"/>
    <x v="0"/>
    <x v="4"/>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Look deeply into Data and generate insights"/>
    <s v="Manager who clearly describes what she/he needs"/>
    <s v="Work with 5 to 6 people in my team"/>
    <s v="No"/>
    <s v="This will be hard to do, but if it is the right company I would try"/>
    <m/>
  </r>
  <r>
    <d v="2023-04-27T22:50:00"/>
    <s v="India"/>
    <n v="533201"/>
    <x v="0"/>
    <x v="2"/>
    <x v="2"/>
    <x v="1"/>
    <x v="0"/>
    <x v="0"/>
    <x v="2"/>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27T22:50:28"/>
    <s v="India"/>
    <n v="500060"/>
    <x v="0"/>
    <x v="0"/>
    <x v="0"/>
    <x v="0"/>
    <x v="0"/>
    <x v="0"/>
    <x v="3"/>
    <s v="Every Day Office Environment"/>
    <s v="Employer who appreciates learning and enables that environment"/>
    <s v="Self Paced Learning Portals of the Company, Instructor or Expert Learning Programs, Learning by observing others"/>
    <s v="Business Operations in any organization, Manage and drive End-to-End Projects or Products, Build and develop a Team, Entrepreneur or Start Up"/>
    <s v="Manager who clearly describes what she/he needs"/>
    <s v="Work with 2 to 3 people in my team"/>
    <s v="Yes, I Understand this is gonna happen everywhere"/>
    <s v="This will be hard to do, but if it is the right company I would try"/>
    <m/>
  </r>
  <r>
    <d v="2023-04-27T22:51:09"/>
    <s v="India"/>
    <n v="500053"/>
    <x v="0"/>
    <x v="3"/>
    <x v="0"/>
    <x v="1"/>
    <x v="0"/>
    <x v="1"/>
    <x v="5"/>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s v="Yes, I Understand this is gonna happen everywhere"/>
    <s v="Will work for 7 years or more"/>
    <m/>
  </r>
  <r>
    <d v="2023-04-27T22:53:06"/>
    <s v="India"/>
    <n v="500081"/>
    <x v="0"/>
    <x v="4"/>
    <x v="2"/>
    <x v="0"/>
    <x v="1"/>
    <x v="0"/>
    <x v="7"/>
    <s v="Every Day Office Environment"/>
    <s v="Employer who appreciates learning and enables that environment"/>
    <s v="Self Paced Learning Portals of the Company, Trial and error by doing side projects within the company, Self Purchased Course from External Platforms"/>
    <s v="Entrepreneur or Start Up, I Want to sell things/Sales, An Artificial Intelligence Specialist / Talking to Robots, Manufacturing / Oil and Gas/ Construction / Hard Physical Work related"/>
    <s v="Manager who sets targets and expects me to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7T22:53:08"/>
    <s v="India"/>
    <n v="500034"/>
    <x v="0"/>
    <x v="3"/>
    <x v="1"/>
    <x v="0"/>
    <x v="1"/>
    <x v="1"/>
    <x v="9"/>
    <s v="Fully Remote with Options to travel as and when needed"/>
    <s v="Employer who appreciates learning and enables that environment"/>
    <s v="Instructor or Expert Learning Programs, Learning by observing other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5 to 6 people in my team"/>
    <s v="Yes, I Understand this is gonna happen everywhere"/>
    <s v="No way"/>
    <m/>
  </r>
  <r>
    <d v="2023-04-27T22:53:22"/>
    <s v="India"/>
    <n v="600107"/>
    <x v="1"/>
    <x v="4"/>
    <x v="0"/>
    <x v="0"/>
    <x v="0"/>
    <x v="0"/>
    <x v="9"/>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27T22:54:40"/>
    <s v="India"/>
    <n v="440026"/>
    <x v="1"/>
    <x v="4"/>
    <x v="1"/>
    <x v="0"/>
    <x v="0"/>
    <x v="0"/>
    <x v="1"/>
    <s v="Fully Remote with Options to travel as and when needed"/>
    <s v="Employer who appreciates learning and enables that environment"/>
    <s v="Instructor or Expert Learning Programs, Learning by observing others, Self Purchased Course from External Platforms"/>
    <s v="Design and Creative strategy in any company, Teaching in any of the institutes/colleges/online or offline, Business Operations in any organization, Manufacturing / Oil and Gas/ Construction / Hard Physical Work related"/>
    <s v="Manager who clearly describes what she/he needs"/>
    <s v="Work with 2 to 3 people in my team"/>
    <s v="Yes, I Understand this is gonna happen everywhere"/>
    <s v="No way"/>
    <m/>
  </r>
  <r>
    <d v="2023-04-27T23:03:07"/>
    <s v="India"/>
    <n v="412207"/>
    <x v="0"/>
    <x v="1"/>
    <x v="2"/>
    <x v="1"/>
    <x v="0"/>
    <x v="0"/>
    <x v="4"/>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Creative strategy in any company, Design and Develop amazing software, Look deeply into Data and generate insights,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r>
  <r>
    <d v="2023-04-27T23:04:38"/>
    <s v="India"/>
    <n v="500085"/>
    <x v="0"/>
    <x v="2"/>
    <x v="2"/>
    <x v="0"/>
    <x v="0"/>
    <x v="0"/>
    <x v="0"/>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No way"/>
    <m/>
  </r>
  <r>
    <d v="2023-04-27T23:11:27"/>
    <s v="India"/>
    <n v="466001"/>
    <x v="1"/>
    <x v="4"/>
    <x v="1"/>
    <x v="1"/>
    <x v="1"/>
    <x v="1"/>
    <x v="8"/>
    <s v="Fully Remote with Options to travel as and when needed"/>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sets goal and helps me achieve it"/>
    <s v="Work with 5 to 6 people in my team"/>
    <s v="Yes, I Understand this is gonna happen everywhere"/>
    <s v="This will be hard to do, but if it is the right company I would try"/>
    <m/>
  </r>
  <r>
    <d v="2023-04-27T23:11:50"/>
    <s v="India"/>
    <n v="533210"/>
    <x v="0"/>
    <x v="2"/>
    <x v="2"/>
    <x v="1"/>
    <x v="1"/>
    <x v="1"/>
    <x v="2"/>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7 to 10 or more people in my team"/>
    <s v="Yes, I Understand this is gonna happen everywhere"/>
    <s v="This will be hard to do, but if it is the right company I would try"/>
    <m/>
  </r>
  <r>
    <d v="2023-04-27T23:13:16"/>
    <s v="India"/>
    <n v="496661"/>
    <x v="0"/>
    <x v="0"/>
    <x v="0"/>
    <x v="0"/>
    <x v="1"/>
    <x v="0"/>
    <x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Entrepreneur or Start Up,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27T23:13:57"/>
    <s v="India"/>
    <n v="500085"/>
    <x v="0"/>
    <x v="2"/>
    <x v="2"/>
    <x v="0"/>
    <x v="0"/>
    <x v="0"/>
    <x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s v="Yes, I Understand this is gonna happen everywhere"/>
    <s v="No way"/>
    <m/>
  </r>
  <r>
    <d v="2023-04-27T23:14:46"/>
    <s v="India"/>
    <n v="492001"/>
    <x v="1"/>
    <x v="2"/>
    <x v="0"/>
    <x v="0"/>
    <x v="1"/>
    <x v="0"/>
    <x v="2"/>
    <s v="Fully Remote with Options to travel as and when needed"/>
    <s v="Employer who rewards learning and enables that environment"/>
    <s v="Instructor or Expert Learning Programs, Learning by observing others, Manager Teaching you"/>
    <s v="Work as a freelancer and do my thing my way, Become a content Creator in some platform, Entrepreneur or Start Up, An Artificial Intelligence Specialist / Talking to Robots"/>
    <s v="Manager who explains what is expected, sets a goal and helps achieve it"/>
    <s v="Work with 5 to 6 people in my team"/>
    <s v="Yes, I Understand this is gonna happen everywhere"/>
    <s v="No way"/>
    <m/>
  </r>
  <r>
    <d v="2023-04-27T23:15:15"/>
    <s v="India"/>
    <n v="493221"/>
    <x v="0"/>
    <x v="0"/>
    <x v="1"/>
    <x v="0"/>
    <x v="0"/>
    <x v="0"/>
    <x v="7"/>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Entrepreneur or Start Up"/>
    <s v="Manager who clearly describes what she/he needs"/>
    <s v="Work with 2 to 3 people in my team, Work with 5 to 6 people in my team"/>
    <s v="No"/>
    <s v="This will be hard to do, but if it is the right company I would try"/>
    <m/>
  </r>
  <r>
    <d v="2023-04-27T23:16:29"/>
    <s v="India"/>
    <n v="520003"/>
    <x v="0"/>
    <x v="3"/>
    <x v="1"/>
    <x v="0"/>
    <x v="0"/>
    <x v="0"/>
    <x v="5"/>
    <s v="Hybrid Working Environment with more than 15 days a month at office"/>
    <s v="Employer who appreciates learning and enables that environment"/>
    <s v="Learning by observing others, Trial and error by doing side projects within the company, Self Purchased Course from External Platforms"/>
    <s v="Manage and drive End-to-End Projects or Products, Look deeply into Data and generate insights, Work as a freelancer and do my thing my way, An Artificial Intelligence Specialist / Talking to Robots"/>
    <s v="Manager who sets goal and helps me achieve it"/>
    <s v="Work alone, Work with 2 to 3 people in my team, Work with 5 to 6 people in my team, Work with 7 to 10 or more people in my team, Work with more than 10 people in my team"/>
    <s v="No"/>
    <s v="This will be hard to do, but if it is the right company I would try"/>
    <m/>
  </r>
  <r>
    <d v="2023-04-27T23:16:49"/>
    <s v="India"/>
    <n v="560103"/>
    <x v="0"/>
    <x v="0"/>
    <x v="1"/>
    <x v="1"/>
    <x v="0"/>
    <x v="0"/>
    <x v="1"/>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Entrepreneur or Start Up"/>
    <s v="Manager who explains what is expected, sets a goal and helps achieve it"/>
    <s v="Work with 7 to 10 or more people in my team, Work with more than 10 people in my team"/>
    <s v="No"/>
    <s v="This will be hard to do, but if it is the right company I would try"/>
    <m/>
  </r>
  <r>
    <d v="2023-04-27T23:16:57"/>
    <s v="India"/>
    <n v="176215"/>
    <x v="1"/>
    <x v="4"/>
    <x v="0"/>
    <x v="0"/>
    <x v="0"/>
    <x v="1"/>
    <x v="4"/>
    <s v="Hybrid Working Environment with more than 15 days a month at office"/>
    <s v="Employer who appreciates learning and enables that environment"/>
    <s v="Instructor or Expert Learning Programs, Learning by observing others, Self Purchased Course from External Platforms"/>
    <s v="Design and Creative strategy in any company, Build and develop a Team, Look deeply into Data and generate insights, Entrepreneur or Start Up"/>
    <s v="Manager who clearly describes what she/he needs"/>
    <s v="Work with 2 to 3 people in my team"/>
    <s v="Yes, I Understand this is gonna happen everywhere"/>
    <s v="This will be hard to do, but if it is the right company I would try"/>
    <m/>
  </r>
  <r>
    <d v="2023-04-27T23:18:06"/>
    <s v="India"/>
    <n v="611001"/>
    <x v="0"/>
    <x v="4"/>
    <x v="0"/>
    <x v="1"/>
    <x v="0"/>
    <x v="0"/>
    <x v="1"/>
    <s v="Every Day Office Environment"/>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Look deeply into Data and generate insights,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m/>
  </r>
  <r>
    <d v="2023-04-27T23:19:21"/>
    <s v="India"/>
    <n v="603103"/>
    <x v="1"/>
    <x v="0"/>
    <x v="0"/>
    <x v="1"/>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Become a content Creator in some platform, Entrepreneur or Start Up"/>
    <s v="Manager who sets goal and helps me achieve it"/>
    <s v="Work with 5 to 6 people in my team"/>
    <s v="No"/>
    <s v="Will work for 7 years or more"/>
    <m/>
  </r>
  <r>
    <d v="2023-04-27T23:20:15"/>
    <s v="India"/>
    <n v="492008"/>
    <x v="1"/>
    <x v="3"/>
    <x v="2"/>
    <x v="0"/>
    <x v="0"/>
    <x v="0"/>
    <x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Become a content Creator in some platform"/>
    <s v="Manager who clearly describes what she/he needs"/>
    <s v="Work alone"/>
    <s v="Yes, I Understand this is gonna happen everywhere"/>
    <s v="This will be hard to do, but if it is the right company I would try"/>
    <m/>
  </r>
  <r>
    <d v="2023-04-27T23:30:34"/>
    <s v="India"/>
    <n v="535145"/>
    <x v="0"/>
    <x v="4"/>
    <x v="2"/>
    <x v="1"/>
    <x v="0"/>
    <x v="0"/>
    <x v="2"/>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I Want to sell things/Sales"/>
    <s v="Manager who sets targets and expects me to achieve it"/>
    <s v="Work with 2 to 3 people in my team"/>
    <s v="Yes, I Understand this is gonna happen everywhere"/>
    <s v="This will be hard to do, but if it is the right company I would try"/>
    <m/>
  </r>
  <r>
    <d v="2023-04-27T23:31:04"/>
    <s v="India"/>
    <n v="535003"/>
    <x v="1"/>
    <x v="0"/>
    <x v="2"/>
    <x v="0"/>
    <x v="1"/>
    <x v="1"/>
    <x v="4"/>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7T23:32:21"/>
    <s v="India"/>
    <n v="502279"/>
    <x v="1"/>
    <x v="0"/>
    <x v="0"/>
    <x v="1"/>
    <x v="0"/>
    <x v="0"/>
    <x v="2"/>
    <s v="Hybrid Working Environment with more than 15 days a month at office"/>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Design and Develop amazing software, Work as a freelancer and do my thing my way, Become a content Creator in some platform"/>
    <s v="Manager who sets goal and helps me achieve it"/>
    <s v="Work with 7 to 10 or more people in my team"/>
    <s v="Yes"/>
    <s v="This will be hard to do, but if it is the right company I would try"/>
    <m/>
  </r>
  <r>
    <d v="2023-04-27T23:32:23"/>
    <s v="India"/>
    <n v="500075"/>
    <x v="1"/>
    <x v="3"/>
    <x v="2"/>
    <x v="0"/>
    <x v="1"/>
    <x v="1"/>
    <x v="7"/>
    <s v="Hybrid Working Environment with less than 3 days a month at office"/>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sets targets and expects me to achieve it"/>
    <s v="Work with 7 to 10 or more people in my team, Work with more than 10 people in my team"/>
    <s v="Yes, I Understand this is gonna happen everywhere"/>
    <s v="No way"/>
    <m/>
  </r>
  <r>
    <d v="2023-04-27T23:32:44"/>
    <s v="India"/>
    <n v="679102"/>
    <x v="1"/>
    <x v="0"/>
    <x v="2"/>
    <x v="0"/>
    <x v="0"/>
    <x v="0"/>
    <x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7T23:32:44"/>
    <s v="India"/>
    <n v="533222"/>
    <x v="1"/>
    <x v="4"/>
    <x v="1"/>
    <x v="1"/>
    <x v="1"/>
    <x v="0"/>
    <x v="5"/>
    <s v="Fully Remote with Options to travel as and when needed"/>
    <s v="Employer who rewards learning and enables that environment"/>
    <s v="Instructor or Expert Learning Programs, Learning by observing others, Manager Teaching you"/>
    <s v="Design and Creative strategy in any company, Build and develop a Team, Work as a freelancer and do my thing my way, An Artificial Intelligence Specialist / Talking to Robo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27T23:33:20"/>
    <s v="India"/>
    <n v="768017"/>
    <x v="0"/>
    <x v="2"/>
    <x v="0"/>
    <x v="1"/>
    <x v="0"/>
    <x v="0"/>
    <x v="4"/>
    <s v="Fully Remote with Options to travel as and when needed"/>
    <s v="Employer who rewards learning and enables that environment"/>
    <s v="Self Paced Learning Portals of the Company, Instructor or Expert Learning Programs, Learning by observing others"/>
    <s v="Teaching in any of the institutes/colleges/online or offline, Business Operations in any organization,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27T23:36:58"/>
    <s v="India"/>
    <n v="500006"/>
    <x v="1"/>
    <x v="4"/>
    <x v="2"/>
    <x v="1"/>
    <x v="1"/>
    <x v="0"/>
    <x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Work as a freelancer and do my thing my way,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7T23:44:01"/>
    <s v="India"/>
    <n v="440035"/>
    <x v="1"/>
    <x v="1"/>
    <x v="1"/>
    <x v="0"/>
    <x v="0"/>
    <x v="0"/>
    <x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explains what is expected, sets a goal and helps achieve it"/>
    <s v="Work with 5 to 6 people in my team"/>
    <s v="No"/>
    <s v="This will be hard to do, but if it is the right company I would try"/>
    <m/>
  </r>
  <r>
    <d v="2023-04-27T23:45:06"/>
    <s v="India"/>
    <n v="390023"/>
    <x v="0"/>
    <x v="3"/>
    <x v="2"/>
    <x v="0"/>
    <x v="1"/>
    <x v="1"/>
    <x v="5"/>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Look deeply into Data and generate insights, Work as a freelancer and do my thing my way, Entrepreneur or Start Up"/>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27T23:48:42"/>
    <s v="India"/>
    <n v="440024"/>
    <x v="0"/>
    <x v="1"/>
    <x v="2"/>
    <x v="1"/>
    <x v="0"/>
    <x v="0"/>
    <x v="4"/>
    <s v="Fully Remote with Options to travel as and when needed"/>
    <s v="Employer who rewards learning and enables that environment"/>
    <s v="Self Paced Learning Portals of the Company, Trial and error by doing side projects within the company, Self Purchased Course from External Platforms"/>
    <s v="Design and Creative strategy in any company, Business Operations in any organization, Design and Develop amazing software,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7T23:50:22"/>
    <s v="India"/>
    <n v="509110"/>
    <x v="1"/>
    <x v="4"/>
    <x v="0"/>
    <x v="1"/>
    <x v="1"/>
    <x v="1"/>
    <x v="8"/>
    <s v="Fully Remote with No option to visit offices"/>
    <s v="Employer who appreciates learning and enables that environment"/>
    <s v="Self Paced Learning Portals of the Company, Instructor or Expert Learning Programs, Manager Teaching you"/>
    <s v="Design and Creative strategy in any company, Business Operations in any organization, Work in a BPO setup for some well known client, Entrepreneur or Start Up"/>
    <s v="Manager who clearly describes what she/he needs"/>
    <s v="Work alone"/>
    <s v="Yes"/>
    <s v="Will work for 7 years or more"/>
    <m/>
  </r>
  <r>
    <d v="2023-04-27T23:50:30"/>
    <s v="India"/>
    <n v="679101"/>
    <x v="0"/>
    <x v="2"/>
    <x v="1"/>
    <x v="0"/>
    <x v="0"/>
    <x v="0"/>
    <x v="4"/>
    <s v="Hybrid Working Environment with more than 15 days a month at office"/>
    <s v="Employer who rewards learning and enables that environment"/>
    <s v="Self Paced Learning Portals of the Company, Instructor or Expert Learning Programs, Learning by observing others"/>
    <s v="Teaching in any of the institutes/colleges/online or offline, Build and develop a Team, Look deeply into Data and generate insights, Work in a BPO setup for some well known client"/>
    <s v="Manager who explains what is expected, sets a goal and helps achieve it"/>
    <s v="Work with 2 to 3 people in my team"/>
    <s v="I have NO other choice"/>
    <s v="This will be hard to do, but if it is the right company I would try"/>
    <m/>
  </r>
  <r>
    <d v="2023-04-27T23:50:38"/>
    <s v="India"/>
    <n v="535145"/>
    <x v="0"/>
    <x v="4"/>
    <x v="2"/>
    <x v="1"/>
    <x v="0"/>
    <x v="0"/>
    <x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Design and Develop amazing software"/>
    <s v="Manager who clearly describes what she/he needs"/>
    <s v="Work with 5 to 6 people in my team"/>
    <s v="Yes, I Understand this is gonna happen everywhere"/>
    <s v="This will be hard to do, but if it is the right company I would try"/>
    <m/>
  </r>
  <r>
    <d v="2023-04-27T23:57:33"/>
    <s v="India"/>
    <n v="440008"/>
    <x v="1"/>
    <x v="0"/>
    <x v="2"/>
    <x v="0"/>
    <x v="0"/>
    <x v="0"/>
    <x v="1"/>
    <s v="Fully Remote with Options to travel as and when needed"/>
    <s v="Employer who pushes your limits by enabling an learning environment, and rewards you at the end"/>
    <s v="Self Paced Learning Portals of the Company, Instructor or Expert Learning Programs, Manager Teaching you"/>
    <s v="Teaching in any of the institutes/colleges/online or offline, Work in a BPO setup for some well known client,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27T23:57:49"/>
    <s v="India"/>
    <n v="500062"/>
    <x v="0"/>
    <x v="4"/>
    <x v="2"/>
    <x v="1"/>
    <x v="0"/>
    <x v="0"/>
    <x v="1"/>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Design and Develop amazing software, Work in a BPO setup for some well known client"/>
    <s v="Manager who explains what is expected, sets a goal and helps achieve it"/>
    <s v="Work with more than 10 people in my team"/>
    <s v="Yes, I Understand this is gonna happen everywhere"/>
    <s v="This will be hard to do, but if it is the right company I would try"/>
    <m/>
  </r>
  <r>
    <d v="2023-04-28T00:02:07"/>
    <s v="India"/>
    <n v="679103"/>
    <x v="1"/>
    <x v="3"/>
    <x v="0"/>
    <x v="0"/>
    <x v="0"/>
    <x v="0"/>
    <x v="1"/>
    <s v="Every Day Office Environment"/>
    <s v="Employer who appreciates learning and enables that environment"/>
    <s v="Self Paced Learning Portals of the Company, Learning by observing others, Self Purchased Course from External Platforms"/>
    <s v="Teaching in any of the institutes/colleges/online or offline, Manage and drive End-to-End Projects or Products, Look deeply into Data and generate insights, Work as a freelancer and do my thing my way"/>
    <s v="Manager who clearly describes what she/he needs"/>
    <s v="Work with 7 to 10 or more people in my team"/>
    <s v="No"/>
    <s v="This will be hard to do, but if it is the right company I would try"/>
    <m/>
  </r>
  <r>
    <d v="2023-04-28T00:03:05"/>
    <s v="India"/>
    <n v="500007"/>
    <x v="0"/>
    <x v="3"/>
    <x v="0"/>
    <x v="1"/>
    <x v="0"/>
    <x v="0"/>
    <x v="5"/>
    <s v="Every Day Office Environment"/>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alone"/>
    <s v="Yes, I Understand this is gonna happen everywhere"/>
    <s v="This will be hard to do, but if it is the right company I would try"/>
    <m/>
  </r>
  <r>
    <d v="2023-04-28T00:09:12"/>
    <s v="India"/>
    <n v="440008"/>
    <x v="1"/>
    <x v="1"/>
    <x v="0"/>
    <x v="1"/>
    <x v="0"/>
    <x v="0"/>
    <x v="4"/>
    <s v="Fully Remote with Options to travel as and when needed"/>
    <s v="Employers who appreciates learning but doesn't enables an learning environment"/>
    <s v="Self Paced Learning Portals of the Company, Instructor or Expert Learning Programs, Self Purchased Course from External Platforms"/>
    <s v="Design and Creative strategy in any company, Business Operations in any organization,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8T00:11:13"/>
    <s v="India"/>
    <n v="803110"/>
    <x v="0"/>
    <x v="0"/>
    <x v="1"/>
    <x v="3"/>
    <x v="1"/>
    <x v="1"/>
    <x v="2"/>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Design and Develop amazing software, Entrepreneur or Start Up, I Want to sell things/Sales"/>
    <s v="Manager who sets targets and expects me to achieve it"/>
    <s v="Work with 5 to 6 people in my team"/>
    <s v="Yes, I Understand this is gonna happen everywhere"/>
    <s v="This will be hard to do, but if it is the right company I would try"/>
    <m/>
  </r>
  <r>
    <d v="2023-04-28T00:14:41"/>
    <s v="India"/>
    <n v="401303"/>
    <x v="0"/>
    <x v="3"/>
    <x v="2"/>
    <x v="1"/>
    <x v="1"/>
    <x v="0"/>
    <x v="2"/>
    <s v="Every Day Office Environment"/>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28T00:15:03"/>
    <s v="United States of America"/>
    <n v="90001"/>
    <x v="0"/>
    <x v="3"/>
    <x v="2"/>
    <x v="0"/>
    <x v="0"/>
    <x v="0"/>
    <x v="9"/>
    <s v="Every Day Office Environment"/>
    <s v="Employer who appreciates learning and enables that environment"/>
    <s v="Self Paced Learning Portals of the Company, Instructor or Expert Learning Programs, Manager Teaching you"/>
    <s v="Business Operations in any organization, Build and develop a Team, Entrepreneur or Start Up, I Want to sell things/Sales"/>
    <s v="Manager who explains what is expected, sets a goal and helps achieve it"/>
    <s v="Work with 7 to 10 or more people in my team"/>
    <s v="Yes"/>
    <s v="Will work for 7 years or more"/>
    <m/>
  </r>
  <r>
    <d v="2023-04-28T00:15:29"/>
    <s v="India"/>
    <n v="281001"/>
    <x v="0"/>
    <x v="2"/>
    <x v="2"/>
    <x v="0"/>
    <x v="0"/>
    <x v="0"/>
    <x v="5"/>
    <s v="Fully Remote with Options to travel as and when needed"/>
    <s v="Employer who appreciates learning and enables that environment"/>
    <s v="Self Paced Learning Portals of the Company, Instructor or Expert Learning Programs, Self Purchased Course from External Platforms"/>
    <s v="Look deeply into Data and generate insights, Work as a freelancer and do my thing my way, Entrepreneur or Start Up,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8T00:16:52"/>
    <s v="India"/>
    <n v="440018"/>
    <x v="0"/>
    <x v="3"/>
    <x v="0"/>
    <x v="0"/>
    <x v="1"/>
    <x v="0"/>
    <x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explains what is expected, sets a goal and helps achieve it"/>
    <s v="Work with more than 10 people in my team"/>
    <s v="Yes, I Understand this is gonna happen everywhere"/>
    <s v="No way"/>
    <m/>
  </r>
  <r>
    <d v="2023-04-28T00:23:34"/>
    <s v="India"/>
    <n v="760004"/>
    <x v="0"/>
    <x v="4"/>
    <x v="1"/>
    <x v="0"/>
    <x v="0"/>
    <x v="0"/>
    <x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Look deeply into Data and generate insights"/>
    <s v="Manager who explains what is expected, sets a goal and helps achieve it"/>
    <s v="Work alone"/>
    <s v="No"/>
    <s v="This will be hard to do, but if it is the right company I would try"/>
    <m/>
  </r>
  <r>
    <d v="2023-04-28T00:28:58"/>
    <s v="India"/>
    <n v="440008"/>
    <x v="1"/>
    <x v="4"/>
    <x v="1"/>
    <x v="0"/>
    <x v="1"/>
    <x v="0"/>
    <x v="2"/>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Business Operations in any organization, Work as a freelancer and do my thing my way, Become a content Creator in some platform, Entrepreneur or Start Up"/>
    <s v="Manager who sets goal and helps me achieve it"/>
    <s v="Work with 2 to 3 people in my team"/>
    <s v="No"/>
    <s v="This will be hard to do, but if it is the right company I would try"/>
    <m/>
  </r>
  <r>
    <d v="2023-04-28T00:45:50"/>
    <s v="India"/>
    <n v="560100"/>
    <x v="1"/>
    <x v="3"/>
    <x v="0"/>
    <x v="1"/>
    <x v="1"/>
    <x v="1"/>
    <x v="4"/>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No"/>
    <s v="Will work for 7 years or more"/>
    <m/>
  </r>
  <r>
    <d v="2023-04-28T00:46:03"/>
    <s v="India"/>
    <n v="440024"/>
    <x v="1"/>
    <x v="3"/>
    <x v="0"/>
    <x v="0"/>
    <x v="0"/>
    <x v="0"/>
    <x v="3"/>
    <s v="Hybrid Working Environment with more than 15 days a month at office"/>
    <s v="Employer who rewards learning and enables that environment"/>
    <s v="Instructor or Expert Learning Programs, Learning by observing others, Trial and error by doing side projects within the company"/>
    <s v="Design and Creative strategy in any company, Business Operations in any organization, Become a content Creator in some platform, Entrepreneur or Start Up"/>
    <s v="Manager who explains what is expected, sets a goal and helps achieve it"/>
    <s v="Work with 5 to 6 people in my team"/>
    <s v="No"/>
    <s v="This will be hard to do, but if it is the right company I would try"/>
    <m/>
  </r>
  <r>
    <d v="2023-04-28T01:03:21"/>
    <s v="India"/>
    <n v="121009"/>
    <x v="1"/>
    <x v="4"/>
    <x v="0"/>
    <x v="0"/>
    <x v="0"/>
    <x v="0"/>
    <x v="6"/>
    <s v="Every Day Office Environment"/>
    <s v="Employer who appreciates learning and enables that environment"/>
    <s v="Instructor or Expert Learning Programs, Trial and error by doing side projects within the company, Manager Teaching you"/>
    <s v="Design and Creative strategy in any company, Business Operations in any organization, Look deeply into Data and generate insights, Become a content Creator in some platform"/>
    <s v="Manager who explains what is expected, sets a goal and helps achieve it"/>
    <s v="Work with 2 to 3 people in my team"/>
    <s v="Yes"/>
    <s v="This will be hard to do, but if it is the right company I would try"/>
    <m/>
  </r>
  <r>
    <d v="2023-04-28T01:10:18"/>
    <s v="India"/>
    <n v="490023"/>
    <x v="0"/>
    <x v="0"/>
    <x v="2"/>
    <x v="1"/>
    <x v="0"/>
    <x v="1"/>
    <x v="5"/>
    <s v="Hybrid Working Environment with more than 15 days a month at office"/>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Design and Develop amazing software"/>
    <s v="Manager who explains what is expected, sets a goal and helps achieve it"/>
    <s v="Work with 2 to 3 people in my team, Work with 5 to 6 people in my team"/>
    <s v="Yes"/>
    <s v="Will work for 7 years or more"/>
    <m/>
  </r>
  <r>
    <d v="2023-04-28T01:11:52"/>
    <s v="India"/>
    <n v="500062"/>
    <x v="1"/>
    <x v="4"/>
    <x v="0"/>
    <x v="0"/>
    <x v="0"/>
    <x v="0"/>
    <x v="4"/>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clearly describes what she/he needs"/>
    <s v="Work with 5 to 6 people in my team, Work with 7 to 10 or more people in my team"/>
    <s v="No"/>
    <s v="This will be hard to do, but if it is the right company I would try"/>
    <m/>
  </r>
  <r>
    <d v="2023-04-28T01:17:18"/>
    <s v="India"/>
    <n v="524001"/>
    <x v="1"/>
    <x v="3"/>
    <x v="2"/>
    <x v="0"/>
    <x v="0"/>
    <x v="1"/>
    <x v="3"/>
    <s v="Fully Remote with Options to travel as and when needed"/>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m/>
  </r>
  <r>
    <d v="2023-04-28T01:24:43"/>
    <s v="India"/>
    <n v="500097"/>
    <x v="1"/>
    <x v="3"/>
    <x v="1"/>
    <x v="1"/>
    <x v="0"/>
    <x v="0"/>
    <x v="1"/>
    <s v="Hybrid Working Environment with less than 3 days a month at office"/>
    <s v="Employer who rewards learning and enables that environment"/>
    <s v="Self Paced Learning Portals of the Company, Instructor or Expert Learning Programs, Learning by observing others"/>
    <s v="Design and Creative strategy in any company, Business Operations in any organization, Design and Develop amazing software, Entrepreneur or Start Up"/>
    <s v="Manager who sets goal and helps me achieve it"/>
    <s v="Work with 5 to 6 people in my team"/>
    <s v="No"/>
    <s v="This will be hard to do, but if it is the right company I would try"/>
    <m/>
  </r>
  <r>
    <d v="2023-04-28T02:28:12"/>
    <s v="India"/>
    <n v="600122"/>
    <x v="1"/>
    <x v="2"/>
    <x v="0"/>
    <x v="0"/>
    <x v="0"/>
    <x v="0"/>
    <x v="1"/>
    <s v="Every Day Office Environment"/>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m/>
  </r>
  <r>
    <d v="2023-04-28T03:47:19"/>
    <s v="India"/>
    <n v="600049"/>
    <x v="1"/>
    <x v="2"/>
    <x v="1"/>
    <x v="1"/>
    <x v="0"/>
    <x v="1"/>
    <x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Design and Develop amazing software, Look deeply into Data and generate insights"/>
    <s v="Manager who explains what is expected, sets a goal and helps achieve it"/>
    <s v="Work alone, Work with 5 to 6 people in my team"/>
    <s v="I have NO other choice"/>
    <s v="No way"/>
    <m/>
  </r>
  <r>
    <d v="2023-04-28T04:46:34"/>
    <s v="India"/>
    <n v="500047"/>
    <x v="0"/>
    <x v="0"/>
    <x v="2"/>
    <x v="1"/>
    <x v="0"/>
    <x v="0"/>
    <x v="3"/>
    <s v="Fully Remote with No option to visit offices"/>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Will work for 7 years or more"/>
    <m/>
  </r>
  <r>
    <d v="2023-04-28T04:54:01"/>
    <s v="Others"/>
    <s v="GL50"/>
    <x v="1"/>
    <x v="0"/>
    <x v="0"/>
    <x v="1"/>
    <x v="0"/>
    <x v="0"/>
    <x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An Artificial Intelligence Specialist / Talking to Robots"/>
    <s v="Manager who explains what is expected, sets a goal and helps achieve it"/>
    <s v="Work with 7 to 10 or more people in my team"/>
    <s v="Yes, I Understand this is gonna happen everywhere"/>
    <s v="Will work for 7 years or more"/>
    <m/>
  </r>
  <r>
    <d v="2023-04-28T05:11:22"/>
    <s v="India"/>
    <n v="500037"/>
    <x v="0"/>
    <x v="0"/>
    <x v="1"/>
    <x v="1"/>
    <x v="1"/>
    <x v="1"/>
    <x v="4"/>
    <s v="Every Day Office Environment"/>
    <s v="Employer who reward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28T05:18:40"/>
    <s v="India"/>
    <n v="501218"/>
    <x v="1"/>
    <x v="4"/>
    <x v="1"/>
    <x v="0"/>
    <x v="1"/>
    <x v="0"/>
    <x v="5"/>
    <s v="Hybrid Working Environment with less than 3 days a month at office"/>
    <s v="Employer who pushes your limits by enabling an learning environment, and rewards you at the end"/>
    <s v="Self Paced Learning Portals of the Company, Instructor or Expert Learning Programs, Manager Teaching you"/>
    <s v="Design and Creative strategy in any company, Design and Develop amazing software, Look deeply into Data and generate insights,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m/>
  </r>
  <r>
    <d v="2023-04-28T05:23:51"/>
    <s v="India"/>
    <n v="530046"/>
    <x v="1"/>
    <x v="4"/>
    <x v="2"/>
    <x v="0"/>
    <x v="0"/>
    <x v="0"/>
    <x v="7"/>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8T06:03:44"/>
    <s v="India"/>
    <n v="530051"/>
    <x v="0"/>
    <x v="3"/>
    <x v="2"/>
    <x v="0"/>
    <x v="0"/>
    <x v="0"/>
    <x v="4"/>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r>
  <r>
    <d v="2023-04-28T06:16:29"/>
    <s v="India"/>
    <n v="501510"/>
    <x v="1"/>
    <x v="4"/>
    <x v="0"/>
    <x v="1"/>
    <x v="0"/>
    <x v="0"/>
    <x v="4"/>
    <s v="Fully Remote with Options to travel as and when needed"/>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Design and Develop amazing software, Work in a BPO setup for some well known client"/>
    <s v="Manager who sets goal and helps me achieve it"/>
    <s v="Work with 5 to 6 people in my team"/>
    <s v="Yes, I Understand this is gonna happen everywhere"/>
    <s v="Will work for 7 years or more"/>
    <m/>
  </r>
  <r>
    <d v="2023-04-28T06:19:31"/>
    <s v="India"/>
    <n v="530051"/>
    <x v="1"/>
    <x v="4"/>
    <x v="0"/>
    <x v="3"/>
    <x v="0"/>
    <x v="0"/>
    <x v="1"/>
    <s v="Fully Remote with Options to travel as and when needed"/>
    <s v="Employer who pushes your limits by enabling an learning environment, and rewards you at the end"/>
    <s v="Self Paced Learning Portals of the Company, Instructor or Expert Learning Programs, Learning by observing others"/>
    <s v="Become a content Creator in some platform, Entrepreneur or Start Up, I Want to sell things/Sales, An Artificial Intelligence Specialist / Talking to Robots"/>
    <s v="Manager who explains what is expected, sets a goal and helps achieve it"/>
    <s v="Work with 2 to 3 people in my team"/>
    <s v="No"/>
    <s v="No way"/>
    <m/>
  </r>
  <r>
    <d v="2023-04-28T06:22:29"/>
    <s v="India"/>
    <n v="530029"/>
    <x v="0"/>
    <x v="2"/>
    <x v="1"/>
    <x v="0"/>
    <x v="0"/>
    <x v="0"/>
    <x v="1"/>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Look deeply into Data and generate insights, Become a content Creator in some platform, An Artificial Intelligence Specialist / Talking to Robots"/>
    <s v="Manager who explains what is expected, sets a goal and helps achieve it"/>
    <s v="Work with 5 to 6 people in my team"/>
    <s v="No"/>
    <s v="This will be hard to do, but if it is the right company I would try"/>
    <m/>
  </r>
  <r>
    <d v="2023-04-28T06:23:52"/>
    <s v="India"/>
    <n v="530007"/>
    <x v="1"/>
    <x v="2"/>
    <x v="2"/>
    <x v="0"/>
    <x v="0"/>
    <x v="0"/>
    <x v="0"/>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Look deeply into Data and generate insights, An Artificial Intelligence Specialist / Talking to Robots"/>
    <s v="Manager who explains what is expected, sets a goal and helps achieve it"/>
    <s v="Work alone"/>
    <s v="I have NO other choice"/>
    <s v="This will be hard to do, but if it is the right company I would try"/>
    <m/>
  </r>
  <r>
    <d v="2023-04-28T06:28:47"/>
    <s v="India"/>
    <s v="Lahari"/>
    <x v="1"/>
    <x v="4"/>
    <x v="1"/>
    <x v="1"/>
    <x v="0"/>
    <x v="0"/>
    <x v="0"/>
    <s v="Hybrid Working Environment with more than 15 days a month at office"/>
    <s v="Employer who appreciates learning and enables that environment"/>
    <s v="Self Paced Learning Portals of the Company, Instructor or Expert Learning Programs, Manager Teaching you"/>
    <s v="Design and Creative strategy in any company, Business Operations in any organization, Build and develop a Team, Design and Develop amazing software"/>
    <s v="Manager who sets targets and expects me to achieve it"/>
    <s v="Work with 5 to 6 people in my team"/>
    <s v="Yes, I Understand this is gonna happen everywhere"/>
    <s v="Will work for 7 years or more"/>
    <m/>
  </r>
  <r>
    <d v="2023-04-28T06:37:17"/>
    <s v="India"/>
    <n v="221304"/>
    <x v="0"/>
    <x v="0"/>
    <x v="2"/>
    <x v="0"/>
    <x v="0"/>
    <x v="0"/>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clearly describes what she/he needs"/>
    <s v="Work alone, Work with 2 to 3 people in my team, Work with 5 to 6 people in my team, Work with 7 to 10 or more people in my team, Work with more than 10 people in my team"/>
    <s v="Yes"/>
    <s v="No way"/>
    <m/>
  </r>
  <r>
    <d v="2023-04-28T06:47:00"/>
    <s v="India"/>
    <n v="110025"/>
    <x v="0"/>
    <x v="1"/>
    <x v="2"/>
    <x v="0"/>
    <x v="1"/>
    <x v="0"/>
    <x v="0"/>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No way"/>
    <m/>
  </r>
  <r>
    <d v="2023-04-28T06:54:26"/>
    <s v="India"/>
    <n v="530029"/>
    <x v="1"/>
    <x v="0"/>
    <x v="0"/>
    <x v="1"/>
    <x v="0"/>
    <x v="0"/>
    <x v="4"/>
    <s v="Every Day Office Environment"/>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Design and Develop amazing software"/>
    <s v="Manager who explains what is expected, sets a goal and helps achieve it"/>
    <s v="Work with more than 10 people in my team"/>
    <s v="Yes, I Understand this is gonna happen everywhere"/>
    <s v="This will be hard to do, but if it is the right company I would try"/>
    <m/>
  </r>
  <r>
    <d v="2023-04-28T06:58:04"/>
    <s v="India"/>
    <n v="243001"/>
    <x v="1"/>
    <x v="4"/>
    <x v="0"/>
    <x v="0"/>
    <x v="0"/>
    <x v="0"/>
    <x v="8"/>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Work as a freelancer and do my thing my way"/>
    <s v="Manager who sets goal and helps me achieve it"/>
    <s v="Work with 2 to 3 people in my team"/>
    <s v="I have NO other choice"/>
    <s v="This will be hard to do, but if it is the right company I would try"/>
    <m/>
  </r>
  <r>
    <d v="2023-04-28T07:10:28"/>
    <s v="India"/>
    <n v="530051"/>
    <x v="1"/>
    <x v="3"/>
    <x v="2"/>
    <x v="0"/>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I Want to sell things/Sales, Manufacturing / Oil and Gas/ Construction / Hard Physical Work related"/>
    <s v="Manager who clearly describes what she/he needs"/>
    <s v="Work with 2 to 3 people in my team"/>
    <s v="Yes, I Understand this is gonna happen everywhere"/>
    <s v="This will be hard to do, but if it is the right company I would try"/>
    <m/>
  </r>
  <r>
    <d v="2023-04-28T07:38:29"/>
    <s v="India"/>
    <n v="500098"/>
    <x v="0"/>
    <x v="0"/>
    <x v="0"/>
    <x v="0"/>
    <x v="0"/>
    <x v="0"/>
    <x v="9"/>
    <s v="Fully Remote with Options to travel as and when needed"/>
    <s v="Employer who pushes your limits by enabling an learning environment, and rewards you at the end"/>
    <s v="Instructor or Expert Learning Programs, Learning by observing others, Self Purchased Course from External Platforms"/>
    <s v="Look deeply into Data and generate insights, Work as a freelancer and do my thing my way, Entrepreneur or Start Up, An Artificial Intelligence Specialist / Talking to Robots"/>
    <s v="Manager who clearly describes what she/he needs"/>
    <s v="Work alone"/>
    <s v="Yes, I Understand this is gonna happen everywhere"/>
    <s v="This will be hard to do, but if it is the right company I would try"/>
    <m/>
  </r>
  <r>
    <d v="2023-04-28T07:40:45"/>
    <s v="India"/>
    <n v="534197"/>
    <x v="0"/>
    <x v="3"/>
    <x v="2"/>
    <x v="1"/>
    <x v="0"/>
    <x v="0"/>
    <x v="6"/>
    <s v="Every Day Office Environment"/>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Design and Develop amazing software"/>
    <s v="Manager who explains what is expected, sets a goal and helps achieve it"/>
    <s v="Work with 5 to 6 people in my team"/>
    <s v="Yes"/>
    <s v="This will be hard to do, but if it is the right company I would try"/>
    <m/>
  </r>
  <r>
    <d v="2023-04-28T07:51:55"/>
    <s v="India"/>
    <n v="535003"/>
    <x v="1"/>
    <x v="3"/>
    <x v="1"/>
    <x v="0"/>
    <x v="0"/>
    <x v="0"/>
    <x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Work in a BPO setup for some well known client, An Artificial Intelligence Specialist / Talking to Robots"/>
    <s v="Manager who explains what is expected, sets a goal and helps achieve it"/>
    <s v="Work with 2 to 3 people in my team, Work with 5 to 6 people in my team"/>
    <s v="No"/>
    <s v="Will work for 7 years or more"/>
    <m/>
  </r>
  <r>
    <d v="2023-04-28T07:59:03"/>
    <s v="India"/>
    <n v="500082"/>
    <x v="1"/>
    <x v="0"/>
    <x v="2"/>
    <x v="1"/>
    <x v="0"/>
    <x v="0"/>
    <x v="7"/>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explains what is expected, sets a goal and helps achieve it"/>
    <s v="Work with more than 10 people in my team"/>
    <s v="No"/>
    <s v="This will be hard to do, but if it is the right company I would try"/>
    <m/>
  </r>
  <r>
    <d v="2023-04-28T08:02:37"/>
    <s v="India"/>
    <n v="395006"/>
    <x v="0"/>
    <x v="2"/>
    <x v="0"/>
    <x v="1"/>
    <x v="0"/>
    <x v="0"/>
    <x v="3"/>
    <s v="Hybrid Working Environment with more than 15 days a month at office"/>
    <s v="Employer who appreciates learning and enables that environment"/>
    <s v="Self Paced Learning Portals of the Company, Instructor or Expert Learning Programs, Manager Teaching you"/>
    <s v="Business Operations in any organization, Build and develop a Team, Entrepreneur or Start Up, An Artificial Intelligence Specialist / Talking to Robots"/>
    <s v="Manager who explains what is expected, sets a goal and helps achieve it"/>
    <s v="Work alone, Work with 5 to 6 people in my team"/>
    <s v="Yes, I Understand this is gonna happen everywhere"/>
    <s v="This will be hard to do, but if it is the right company I would try"/>
    <m/>
  </r>
  <r>
    <d v="2023-04-28T08:05:51"/>
    <s v="India"/>
    <n v="500054"/>
    <x v="1"/>
    <x v="2"/>
    <x v="2"/>
    <x v="0"/>
    <x v="1"/>
    <x v="0"/>
    <x v="4"/>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Manage and drive End-to-End Projects or Products, Build and develop a Team, Work as a freelancer and do my thing my way, An Artificial Intelligence Specialist / Talking to Robots"/>
    <s v="Manager who explains what is expected, sets a goal and helps achieve it"/>
    <s v="Work with 5 to 6 people in my team"/>
    <s v="No"/>
    <s v="This will be hard to do, but if it is the right company I would try"/>
    <m/>
  </r>
  <r>
    <d v="2023-04-28T08:06:22"/>
    <s v="Others"/>
    <n v="4701"/>
    <x v="1"/>
    <x v="4"/>
    <x v="0"/>
    <x v="0"/>
    <x v="0"/>
    <x v="0"/>
    <x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m/>
  </r>
  <r>
    <d v="2023-04-28T08:11:06"/>
    <s v="India"/>
    <n v="600056"/>
    <x v="1"/>
    <x v="0"/>
    <x v="2"/>
    <x v="0"/>
    <x v="0"/>
    <x v="0"/>
    <x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5 to 6 people in my team"/>
    <s v="Yes, I Understand this is gonna happen everywhere"/>
    <s v="No way"/>
    <m/>
  </r>
  <r>
    <d v="2023-04-28T08:13:06"/>
    <s v="India"/>
    <n v="531031"/>
    <x v="0"/>
    <x v="0"/>
    <x v="1"/>
    <x v="0"/>
    <x v="0"/>
    <x v="0"/>
    <x v="5"/>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I Want to sell things/Sales"/>
    <s v="Manager who sets goal and helps me achieve it"/>
    <s v="Work with 7 to 10 or more people in my team"/>
    <s v="Yes, I Understand this is gonna happen everywhere"/>
    <s v="This will be hard to do, but if it is the right company I would try"/>
    <m/>
  </r>
  <r>
    <d v="2023-04-28T08:17:17"/>
    <s v="India"/>
    <n v="533435"/>
    <x v="0"/>
    <x v="4"/>
    <x v="0"/>
    <x v="1"/>
    <x v="0"/>
    <x v="0"/>
    <x v="3"/>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s v="Business Operations in any organization, Manage and drive End-to-End Projects or Products, Build and develop a Team, Entrepreneur or Start Up"/>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8T08:20:54"/>
    <s v="India"/>
    <n v="403801"/>
    <x v="1"/>
    <x v="0"/>
    <x v="0"/>
    <x v="1"/>
    <x v="1"/>
    <x v="1"/>
    <x v="8"/>
    <s v="Every Day Office Environment"/>
    <s v="Employer who appreciates learning and enables that environment"/>
    <s v="Self Paced Learning Portals of the Company, Learning by observing others, Self Purchased Course from External Platforms"/>
    <s v="Design and Creative strategy in any company, Work as a freelancer and do my thing my way, Entrepreneur or Start Up, An Artificial Intelligence Specialist / Talking to Robots"/>
    <s v="Manager who clearly describes what she/he needs"/>
    <s v="Work with 5 to 6 people in my team"/>
    <s v="No"/>
    <s v="This will be hard to do, but if it is the right company I would try"/>
    <m/>
  </r>
  <r>
    <d v="2023-04-28T08:25:09"/>
    <s v="India"/>
    <n v="424307"/>
    <x v="0"/>
    <x v="1"/>
    <x v="0"/>
    <x v="1"/>
    <x v="0"/>
    <x v="0"/>
    <x v="5"/>
    <s v="Hybrid Working Environment with less than 3 days a month at office"/>
    <s v="Employer who appreciates learning and enables that environment"/>
    <s v="Self Paced Learning Portals of the Company, Learning by observing others, Self Purchased Course from External Platforms"/>
    <s v="Design and Creative strategy in any company, Design and Develop amazing software, Entrepreneur or Start Up, An Artificial Intelligence Specialist / Talking to Robots"/>
    <s v="Manager who clearly describes what she/he needs"/>
    <s v="Work with 5 to 6 people in my team"/>
    <s v="Yes, I Understand this is gonna happen everywhere"/>
    <s v="This will be hard to do, but if it is the right company I would try"/>
    <m/>
  </r>
  <r>
    <d v="2023-04-28T08:25:13"/>
    <s v="India"/>
    <n v="201303"/>
    <x v="0"/>
    <x v="3"/>
    <x v="0"/>
    <x v="0"/>
    <x v="0"/>
    <x v="1"/>
    <x v="3"/>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Work as a freelancer and do my thing my way, Entrepreneur or Start Up"/>
    <s v="Manager who explains what is expected, sets a goal and helps achieve it"/>
    <s v="Work with 5 to 6 people in my team"/>
    <s v="No"/>
    <s v="No way"/>
    <m/>
  </r>
  <r>
    <d v="2023-04-28T08:35:14"/>
    <s v="India"/>
    <n v="515122"/>
    <x v="1"/>
    <x v="3"/>
    <x v="0"/>
    <x v="0"/>
    <x v="0"/>
    <x v="0"/>
    <x v="4"/>
    <s v="Fully Remote with No option to visit offices"/>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Build and develop a Team, Design and Develop amazing software"/>
    <s v="Manager who explains what is expected, sets a goal and helps achieve it"/>
    <s v="Work with more than 10 people in my team"/>
    <s v="Yes, I Understand this is gonna happen everywhere"/>
    <s v="No way"/>
    <m/>
  </r>
  <r>
    <d v="2023-04-28T08:47:13"/>
    <s v="India"/>
    <n v="530026"/>
    <x v="1"/>
    <x v="0"/>
    <x v="0"/>
    <x v="0"/>
    <x v="0"/>
    <x v="0"/>
    <x v="5"/>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sets unrealistic targets"/>
    <s v="Work with 5 to 6 people in my team"/>
    <s v="Yes, I Understand this is gonna happen everywhere"/>
    <s v="This will be hard to do, but if it is the right company I would try"/>
    <m/>
  </r>
  <r>
    <d v="2023-04-28T08:55:35"/>
    <s v="India"/>
    <n v="143602"/>
    <x v="0"/>
    <x v="0"/>
    <x v="1"/>
    <x v="0"/>
    <x v="1"/>
    <x v="1"/>
    <x v="9"/>
    <s v="Hybrid Working Environment with more than 15 days a month at office"/>
    <s v="Employer who pushes your limits and doesn't enables learning environment and never rewards you"/>
    <s v="Instructor or Expert Learning Programs, Learning by observing others, Manager Teaching you"/>
    <s v="Teaching in any of the institutes/colleges/online or offline, Build and develop a Team, Become a content Creator in some platfor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8T09:11:18"/>
    <s v="India"/>
    <n v="562106"/>
    <x v="0"/>
    <x v="0"/>
    <x v="0"/>
    <x v="0"/>
    <x v="0"/>
    <x v="0"/>
    <x v="4"/>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No way"/>
    <m/>
  </r>
  <r>
    <d v="2023-04-28T09:13:40"/>
    <s v="India"/>
    <n v="581336"/>
    <x v="0"/>
    <x v="4"/>
    <x v="1"/>
    <x v="0"/>
    <x v="0"/>
    <x v="0"/>
    <x v="7"/>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An Artificial Intelligence Specialist / Talking to Robots, Manufacturing / Oil and Gas/ Construction / Hard Physical Work related"/>
    <s v="Manager who clearly describes what she/he needs"/>
    <s v="Work with 2 to 3 people in my team, Work with 5 to 6 people in my team"/>
    <s v="Yes, I Understand this is gonna happen everywhere"/>
    <s v="This will be hard to do, but if it is the right company I would try"/>
    <m/>
  </r>
  <r>
    <d v="2023-04-28T09:14:28"/>
    <s v="India"/>
    <n v="440035"/>
    <x v="1"/>
    <x v="4"/>
    <x v="0"/>
    <x v="1"/>
    <x v="0"/>
    <x v="0"/>
    <x v="1"/>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Design and Develop amazing software, Entrepreneur or Start Up"/>
    <s v="Manager who explains what is expected, sets a goal and helps achieve it"/>
    <s v="Work with 2 to 3 people in my team"/>
    <s v="Yes, I Understand this is gonna happen everywhere"/>
    <s v="This will be hard to do, but if it is the right company I would try"/>
    <m/>
  </r>
  <r>
    <d v="2023-04-28T09:18:56"/>
    <s v="India"/>
    <n v="423203"/>
    <x v="0"/>
    <x v="3"/>
    <x v="2"/>
    <x v="0"/>
    <x v="0"/>
    <x v="0"/>
    <x v="7"/>
    <s v="Fully Remote with Options to travel as and when needed"/>
    <s v="Employers who appreciates learning but doesn't enables an learning environment"/>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28T09:24:10"/>
    <s v="India"/>
    <n v="201204"/>
    <x v="1"/>
    <x v="4"/>
    <x v="0"/>
    <x v="1"/>
    <x v="0"/>
    <x v="0"/>
    <x v="4"/>
    <s v="Every Day Office Environment"/>
    <s v="Employer who appreciates learning and enables that environment"/>
    <s v="Self Paced Learning Portals of the Company, Instructor or Expert Learning Programs, Learning by observing others"/>
    <s v="Design and Creative strategy in any company, Become a content Creator in some platform, I Want to sell things/Sales, Manufacturing / Oil and Gas/ Construction / Hard Physical Work related"/>
    <s v="Manager who sets goal and helps me achieve it"/>
    <s v="Work alone"/>
    <s v="Yes"/>
    <s v="This will be hard to do, but if it is the right company I would try"/>
    <m/>
  </r>
  <r>
    <d v="2023-04-28T09:37:43"/>
    <s v="India"/>
    <n v="534002"/>
    <x v="1"/>
    <x v="4"/>
    <x v="2"/>
    <x v="1"/>
    <x v="0"/>
    <x v="0"/>
    <x v="7"/>
    <s v="Hybrid Working Environment with more than 15 days a month at office"/>
    <s v="Employer who rewards learning and enables that environment"/>
    <s v="Self Paced Learning Portals of the Company, Instructor or Expert Learning Programs, Manager Teaching you"/>
    <s v="Design and Creative strategy in any company, Business Operations in any organization, Build and develop a Team, Design and Develop amazing software"/>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09:48:46"/>
    <s v="India"/>
    <n v="560068"/>
    <x v="1"/>
    <x v="4"/>
    <x v="0"/>
    <x v="0"/>
    <x v="0"/>
    <x v="0"/>
    <x v="4"/>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Become a content Creator in some platform, Entrepreneur or Start Up"/>
    <s v="Manager who explains what is expected, sets a goal and helps achieve it"/>
    <s v="Work with 5 to 6 people in my team"/>
    <s v="No"/>
    <s v="This will be hard to do, but if it is the right company I would try"/>
    <m/>
  </r>
  <r>
    <d v="2023-04-28T09:52:50"/>
    <s v="India"/>
    <n v="530002"/>
    <x v="1"/>
    <x v="0"/>
    <x v="0"/>
    <x v="0"/>
    <x v="0"/>
    <x v="0"/>
    <x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Work as a freelancer and do my thing my way, Entrepreneur or Start Up"/>
    <s v="Manager who explains what is expected, sets a goal and helps achieve it"/>
    <s v="Work with 5 to 6 people in my team"/>
    <s v="No"/>
    <s v="This will be hard to do, but if it is the right company I would try"/>
    <m/>
  </r>
  <r>
    <d v="2023-04-28T09:57:53"/>
    <s v="India"/>
    <n v="560079"/>
    <x v="0"/>
    <x v="4"/>
    <x v="0"/>
    <x v="1"/>
    <x v="1"/>
    <x v="1"/>
    <x v="4"/>
    <s v="Every Day Office Environment"/>
    <s v="Employer who pushes your limits by enabling an learning environment, and rewards you at the end"/>
    <s v="Learning by observing others, Trial and error by doing side projects within the company, Manager Teaching you"/>
    <s v="Manage and drive End-to-End Projects or Products, Become a content Creator in some platform, I Want to sell things/Sales, Manufacturing / Oil and Gas/ Construction / Hard Physical Work related"/>
    <s v="Manager who clearly describes what she/he needs"/>
    <s v="Work with 7 to 10 or more people in my team"/>
    <s v="I have NO other choice"/>
    <s v="This will be hard to do, but if it is the right company I would try"/>
    <m/>
  </r>
  <r>
    <d v="2023-04-28T10:03:25"/>
    <s v="India"/>
    <n v="530002"/>
    <x v="1"/>
    <x v="0"/>
    <x v="1"/>
    <x v="0"/>
    <x v="0"/>
    <x v="0"/>
    <x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2 to 3 people in my team"/>
    <s v="No"/>
    <s v="No way"/>
    <m/>
  </r>
  <r>
    <d v="2023-04-28T10:04:59"/>
    <s v="India"/>
    <n v="110091"/>
    <x v="0"/>
    <x v="2"/>
    <x v="1"/>
    <x v="1"/>
    <x v="0"/>
    <x v="0"/>
    <x v="8"/>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m/>
  </r>
  <r>
    <d v="2023-04-28T10:06:49"/>
    <s v="India"/>
    <n v="560100"/>
    <x v="0"/>
    <x v="4"/>
    <x v="0"/>
    <x v="1"/>
    <x v="0"/>
    <x v="1"/>
    <x v="0"/>
    <s v="Fully Remote with Options to travel as and when needed"/>
    <s v="Employer who rewards learning and enables that environment"/>
    <s v="Self Paced Learning Portals of the Company, Learning by observing others, Self Purchased Course from External Platforms"/>
    <s v="Design and Creative strategy in any company, Business Operations in any organization, Work in a BPO setup for some well known client, Manufacturing / Oil and Gas/ Construction / Hard Physical Work related"/>
    <s v="Manager who clearly describes what she/he needs"/>
    <s v="Work alone"/>
    <s v="Yes"/>
    <s v="No way"/>
    <m/>
  </r>
  <r>
    <d v="2023-04-28T10:07:03"/>
    <s v="India"/>
    <n v="530024"/>
    <x v="0"/>
    <x v="2"/>
    <x v="0"/>
    <x v="0"/>
    <x v="0"/>
    <x v="0"/>
    <x v="5"/>
    <s v="Hybrid Working Environment with more than 15 days a month at office"/>
    <s v="Employer who appreciates learning and enables that environment"/>
    <s v="Instructor or Expert Learning Programs, Learning by observing others, Manager Teaching you"/>
    <s v="Design and Creative strategy in any company, Business Operations in any organization, Design and Develop amazing software, Entrepreneur or Start Up"/>
    <s v="Manager who clearly describes what she/he needs"/>
    <s v="Work with 5 to 6 people in my team"/>
    <s v="Yes, I Understand this is gonna happen everywhere"/>
    <s v="This will be hard to do, but if it is the right company I would try"/>
    <m/>
  </r>
  <r>
    <d v="2023-04-28T10:09:44"/>
    <s v="India"/>
    <n v="533005"/>
    <x v="1"/>
    <x v="0"/>
    <x v="0"/>
    <x v="0"/>
    <x v="0"/>
    <x v="0"/>
    <x v="2"/>
    <s v="Hybrid Working Environment with more than 15 days a month at office"/>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28T10:10:36"/>
    <s v="India"/>
    <n v="501301"/>
    <x v="0"/>
    <x v="2"/>
    <x v="0"/>
    <x v="0"/>
    <x v="0"/>
    <x v="0"/>
    <x v="3"/>
    <s v="Hybrid Working Environment with more than 15 days a month at office"/>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alone, Work with 2 to 3 people in my team"/>
    <s v="Yes, I Understand this is gonna happen everywhere"/>
    <s v="No way"/>
    <m/>
  </r>
  <r>
    <d v="2023-04-28T10:11:44"/>
    <s v="India"/>
    <n v="562112"/>
    <x v="0"/>
    <x v="0"/>
    <x v="1"/>
    <x v="0"/>
    <x v="1"/>
    <x v="0"/>
    <x v="6"/>
    <s v="Hybrid Working Environment with less than 3 days a month at office"/>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Teaching in any of the institutes/colleges/online or offline, Entrepreneur or Start Up, Manufacturing / Oil and Gas/ Construction / Hard Physical Work related"/>
    <s v="Manager who clearly describes what she/he needs"/>
    <s v="Work alone, Work with 5 to 6 people in my team"/>
    <s v="No"/>
    <s v="No way"/>
    <m/>
  </r>
  <r>
    <d v="2023-04-28T10:13:08"/>
    <s v="India"/>
    <n v="500085"/>
    <x v="0"/>
    <x v="4"/>
    <x v="0"/>
    <x v="0"/>
    <x v="0"/>
    <x v="0"/>
    <x v="3"/>
    <s v="Every Day Office Environment"/>
    <s v="Employer who appreciates learning and enables that environment"/>
    <s v="Self Paced Learning Portals of the Company, Self Purchased Course from External Platforms, Manager Teaching you"/>
    <s v="Business Operations in any organization, Build and develop a Team, Work as a freelancer and do my thing my way, An Artificial Intelligence Specialist / Talking to Robots"/>
    <s v="Manager who clearly describes what she/he needs"/>
    <s v="Work with 7 to 10 or more people in my team"/>
    <s v="Yes, I Understand this is gonna happen everywhere"/>
    <s v="No way"/>
    <m/>
  </r>
  <r>
    <d v="2023-04-28T10:22:51"/>
    <s v="India"/>
    <n v="110091"/>
    <x v="0"/>
    <x v="3"/>
    <x v="0"/>
    <x v="1"/>
    <x v="0"/>
    <x v="0"/>
    <x v="2"/>
    <s v="Hybrid Working Environment with more than 15 days a month at office"/>
    <s v="Employer who reward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Work as a freelancer and do my thing my way"/>
    <s v="Manager who sets goal and helps me achieve it"/>
    <s v="Work with 7 to 10 or more people in my team, Work with more than 10 people in my team"/>
    <s v="Yes, I Understand this is gonna happen everywhere"/>
    <s v="This will be hard to do, but if it is the right company I would try"/>
    <m/>
  </r>
  <r>
    <d v="2023-04-28T10:23:42"/>
    <s v="India"/>
    <n v="560067"/>
    <x v="0"/>
    <x v="4"/>
    <x v="2"/>
    <x v="1"/>
    <x v="1"/>
    <x v="1"/>
    <x v="2"/>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Work as a freelancer and do my thing my way"/>
    <s v="Manager who explains what is expected, sets a goal and helps achieve it"/>
    <s v="Work with more than 10 people in my team"/>
    <s v="Yes, I Understand this is gonna happen everywhere"/>
    <s v="Will work for 7 years or more"/>
    <m/>
  </r>
  <r>
    <d v="2023-04-28T10:25:18"/>
    <s v="India"/>
    <n v="462001"/>
    <x v="1"/>
    <x v="3"/>
    <x v="0"/>
    <x v="0"/>
    <x v="0"/>
    <x v="0"/>
    <x v="3"/>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8T10:25:32"/>
    <s v="India"/>
    <n v="799006"/>
    <x v="0"/>
    <x v="4"/>
    <x v="0"/>
    <x v="3"/>
    <x v="1"/>
    <x v="1"/>
    <x v="5"/>
    <s v="Fully Remote with Options to travel as and when needed"/>
    <s v="Employer who pushes your limits by enabling an learning environment, and rewards you at the end"/>
    <s v="Self Paced Learning Portals of the Company, Instructor or Expert Learning Programs, Learning by observing others"/>
    <s v="Manage and drive End-to-End Projects or Products, Design and Develop amazing software, Entrepreneur or Start Up, I Want to sell things/Sales"/>
    <s v="Manager who sets goal and helps me achieve it"/>
    <s v="Work with 2 to 3 people in my team, Work with 5 to 6 people in my team"/>
    <s v="Yes, I Understand this is gonna happen everywhere"/>
    <s v="No way"/>
    <m/>
  </r>
  <r>
    <d v="2023-04-28T10:35:40"/>
    <s v="India"/>
    <n v="800024"/>
    <x v="0"/>
    <x v="4"/>
    <x v="2"/>
    <x v="1"/>
    <x v="0"/>
    <x v="0"/>
    <x v="3"/>
    <s v="Hybrid Working Environment with less than 3 days a month at office"/>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I Want to sell things/Sales"/>
    <s v="Manager who clearly describes what she/he needs"/>
    <s v="Work with 7 to 10 or more people in my team, Work with more than 10 people in my team"/>
    <s v="Yes, I Understand this is gonna happen everywhere"/>
    <s v="This will be hard to do, but if it is the right company I would try"/>
    <m/>
  </r>
  <r>
    <d v="2023-04-28T10:36:34"/>
    <s v="United Arab Emirates"/>
    <n v="111111"/>
    <x v="0"/>
    <x v="3"/>
    <x v="1"/>
    <x v="1"/>
    <x v="0"/>
    <x v="0"/>
    <x v="6"/>
    <s v="Hybrid Working Environment with less than 3 days a month at office"/>
    <s v="Employer who appreciates learning and enables that environment"/>
    <s v="Learning by observing others, Trial and error by doing side projects within the company, Self Purchased Course from External Platforms"/>
    <s v="Design and Creative strategy in any company, Work in a BPO setup for some well known client, Work as a freelancer and do my thing my way, Become a content Creator in some platform"/>
    <s v="Manager who sets targets and expects me to achieve it"/>
    <s v="Work alone"/>
    <s v="No"/>
    <s v="No way"/>
    <m/>
  </r>
  <r>
    <d v="2023-04-28T10:39:28"/>
    <s v="India"/>
    <n v="700157"/>
    <x v="0"/>
    <x v="4"/>
    <x v="2"/>
    <x v="0"/>
    <x v="0"/>
    <x v="0"/>
    <x v="4"/>
    <s v="Every Day Office Environment"/>
    <s v="Employer who rewards learning and enables that environment"/>
    <s v="Self Paced Learning Portals of the Company, Instructor or Expert Learning Programs, Manager Teaching you"/>
    <s v="Design and Creative strategy in any company, Look deeply into Data and generate insights, Become a content Creator in some platform, An Artificial Intelligence Specialist / Talking to Robots"/>
    <s v="Manager who sets goal and helps me achieve it"/>
    <s v="Work with 2 to 3 people in my team"/>
    <s v="Yes, I Understand this is gonna happen everywhere"/>
    <s v="This will be hard to do, but if it is the right company I would try"/>
    <m/>
  </r>
  <r>
    <d v="2023-04-28T10:42:20"/>
    <s v="India"/>
    <n v="533201"/>
    <x v="1"/>
    <x v="4"/>
    <x v="2"/>
    <x v="1"/>
    <x v="0"/>
    <x v="0"/>
    <x v="3"/>
    <s v="Hybrid Working Environment with less than 3 days a month at office"/>
    <s v="Employer who pushes your limits by enabling an learning environment, and rewards you at the end"/>
    <s v="Self Paced Learning Portals of the Company, Instructor or Expert Learning Programs, Manager Teaching you"/>
    <s v="Teaching in any of the institutes/colleges/online or offline, Business Operations in any organization, Work as a freelancer and do my thing my way, Become a content Creator in some platform"/>
    <s v="Manager who explains what is expected, sets a goal and helps achieve it"/>
    <s v="Work alone, Work with 2 to 3 people in my team"/>
    <s v="Yes, I Understand this is gonna happen everywhere"/>
    <s v="This will be hard to do, but if it is the right company I would try"/>
    <m/>
  </r>
  <r>
    <d v="2023-04-28T10:42:25"/>
    <s v="India"/>
    <n v="700056"/>
    <x v="0"/>
    <x v="4"/>
    <x v="2"/>
    <x v="1"/>
    <x v="0"/>
    <x v="0"/>
    <x v="0"/>
    <s v="Fully Remote with Options to travel as and when needed"/>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Become a content Creator in some platform"/>
    <s v="Manager who clearly describes what she/he needs"/>
    <s v="Work alone, Work with 2 to 3 people in my team"/>
    <s v="Yes, I Understand this is gonna happen everywhere"/>
    <s v="Will work for 7 years or more"/>
    <m/>
  </r>
  <r>
    <d v="2023-04-28T10:42:28"/>
    <s v="India"/>
    <n v="641402"/>
    <x v="0"/>
    <x v="2"/>
    <x v="2"/>
    <x v="1"/>
    <x v="0"/>
    <x v="0"/>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clearly describes what she/he needs"/>
    <s v="Work with 2 to 3 people in my team"/>
    <s v="Yes, I Understand this is gonna happen everywhere"/>
    <s v="This will be hard to do, but if it is the right company I would try"/>
    <m/>
  </r>
  <r>
    <d v="2023-04-28T10:42:52"/>
    <s v="India"/>
    <n v="700036"/>
    <x v="0"/>
    <x v="2"/>
    <x v="1"/>
    <x v="1"/>
    <x v="0"/>
    <x v="0"/>
    <x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Work as a freelancer and do my thing my way, Become a content Creator in some platform"/>
    <s v="Manager who explains what is expected, sets a goal and helps achieve it"/>
    <s v="Work alone, Work with 2 to 3 people in my team, Work with 5 to 6 people in my team"/>
    <s v="No"/>
    <s v="This will be hard to do, but if it is the right company I would try"/>
    <m/>
  </r>
  <r>
    <d v="2023-04-28T10:44:07"/>
    <s v="India"/>
    <n v="560047"/>
    <x v="0"/>
    <x v="3"/>
    <x v="1"/>
    <x v="0"/>
    <x v="1"/>
    <x v="1"/>
    <x v="7"/>
    <s v="Fully Remote with No option to visit offices"/>
    <s v="Employer who appreciates learning and enables that environment"/>
    <s v="Self Paced Learning Portals of the Company, Learning by observing others, Self Purchased Course from External Platforms"/>
    <s v="Build and develop a Team, Design and Develop amazing software, I Want to sell things/Sales, Manufacturing / Oil and Gas/ Construction / Hard Physical Work related"/>
    <s v="Manager who clearly describes what she/he needs"/>
    <s v="Work with 2 to 3 people in my team"/>
    <s v="I have NO other choice"/>
    <s v="This will be hard to do, but if it is the right company I would try"/>
    <m/>
  </r>
  <r>
    <d v="2023-04-28T10:44:46"/>
    <s v="India"/>
    <n v="400049"/>
    <x v="0"/>
    <x v="2"/>
    <x v="0"/>
    <x v="0"/>
    <x v="0"/>
    <x v="0"/>
    <x v="8"/>
    <s v="Every Day Office Environment"/>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ild and develop a Team, Look deeply into Data and generate insights, Entrepreneur or Start Up"/>
    <s v="Manager who explains what is expected, sets a goal and helps achieve it"/>
    <s v="Work with 5 to 6 people in my team"/>
    <s v="Yes"/>
    <s v="This will be hard to do, but if it is the right company I would try"/>
    <m/>
  </r>
  <r>
    <d v="2023-04-28T10:45:06"/>
    <s v="India"/>
    <n v="741101"/>
    <x v="1"/>
    <x v="4"/>
    <x v="0"/>
    <x v="0"/>
    <x v="0"/>
    <x v="0"/>
    <x v="4"/>
    <s v="Fully Remote with Options to travel as and when needed"/>
    <s v="Employer who pushes your limits by enabling an learning environment, and rewards you at the end"/>
    <s v="Instructor or Expert Learning Programs, Learning by observing other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7 to 10 or more people in my team"/>
    <s v="No"/>
    <s v="This will be hard to do, but if it is the right company I would try"/>
    <m/>
  </r>
  <r>
    <d v="2023-04-28T10:45:47"/>
    <s v="India"/>
    <n v="700028"/>
    <x v="0"/>
    <x v="1"/>
    <x v="2"/>
    <x v="1"/>
    <x v="1"/>
    <x v="1"/>
    <x v="8"/>
    <s v="Fully Remote with Options to travel as and when needed"/>
    <s v="Employer who rewards learning and enables that environment"/>
    <s v="Self Paced Learning Portals of the Company, Learning by observing others, Manager Teaching you"/>
    <s v="Design and Creative strategy in any company, Teaching in any of the institutes/colleges/online or offline, Manage and drive End-to-End Projects or Products, An Artificial Intelligence Specialist / Talking to Robots"/>
    <s v="Manager who clearly describes what she/he needs"/>
    <s v="Work with 2 to 3 people in my team"/>
    <s v="No"/>
    <s v="This will be hard to do, but if it is the right company I would try"/>
    <m/>
  </r>
  <r>
    <d v="2023-04-28T10:46:11"/>
    <s v="India"/>
    <n v="700060"/>
    <x v="0"/>
    <x v="1"/>
    <x v="1"/>
    <x v="0"/>
    <x v="0"/>
    <x v="0"/>
    <x v="4"/>
    <s v="Fully Remote with No option to visit offices"/>
    <s v="Employer who pushes your limits by enabling an learning environment, and rewards you at the end"/>
    <s v="Instructor or Expert Learning Programs, Trial and error by doing side projects within the company, Manager Teaching you"/>
    <s v="Teaching in any of the institutes/colleges/online or offline, Manage and drive End-to-End Projects or Products, Build and develop a Team, Become a content Creator in some platform"/>
    <s v="Manager who explains what is expected, sets a goal and helps achieve it"/>
    <s v="Work with 2 to 3 people in my team"/>
    <s v="Yes, I Understand this is gonna happen everywhere"/>
    <s v="No way"/>
    <m/>
  </r>
  <r>
    <d v="2023-04-28T10:46:41"/>
    <s v="India"/>
    <n v="530040"/>
    <x v="1"/>
    <x v="0"/>
    <x v="2"/>
    <x v="1"/>
    <x v="0"/>
    <x v="0"/>
    <x v="7"/>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Work in a BPO setup for some well known client, Become a content Creator in some platform"/>
    <s v="Manager who clearly describes what she/he needs"/>
    <s v="Work with more than 10 people in my team"/>
    <s v="Yes, I Understand this is gonna happen everywhere"/>
    <s v="This will be hard to do, but if it is the right company I would try"/>
    <m/>
  </r>
  <r>
    <d v="2023-04-28T10:46:42"/>
    <s v="India"/>
    <n v="563132"/>
    <x v="0"/>
    <x v="2"/>
    <x v="2"/>
    <x v="0"/>
    <x v="0"/>
    <x v="0"/>
    <x v="1"/>
    <s v="Hybrid Working Environment with less than 3 days a month at office"/>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m/>
  </r>
  <r>
    <d v="2023-04-28T10:47:22"/>
    <s v="India"/>
    <n v="757001"/>
    <x v="0"/>
    <x v="4"/>
    <x v="0"/>
    <x v="1"/>
    <x v="0"/>
    <x v="1"/>
    <x v="5"/>
    <s v="Hybrid Working Environment with more than 15 days a month at office"/>
    <s v="Employer who rewards learning and enables that environment"/>
    <s v="Self Paced Learning Portals of the Company, Instructor or Expert Learning Programs, Self Purchased Course from External Platforms"/>
    <s v="Design and Creative strategy in any company, Business Operations in any organization, Manage and drive End-to-End Projects or Products, Build and develop a Team"/>
    <s v="Manager who sets goal and helps me achieve it"/>
    <s v="Work with 5 to 6 people in my team"/>
    <s v="No"/>
    <s v="No way"/>
    <m/>
  </r>
  <r>
    <d v="2023-04-28T10:48:38"/>
    <s v="India"/>
    <n v="562106"/>
    <x v="0"/>
    <x v="3"/>
    <x v="0"/>
    <x v="0"/>
    <x v="0"/>
    <x v="0"/>
    <x v="1"/>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Entrepreneur or Start Up, I Want to sell things/Sales, An Artificial Intelligence Specialist / Talking to Robots"/>
    <s v="Manager who sets goal and helps me achieve it"/>
    <s v="Work with 2 to 3 people in my team"/>
    <s v="Yes, I Understand this is gonna happen everywhere"/>
    <s v="No way"/>
    <m/>
  </r>
  <r>
    <d v="2023-04-28T10:50:46"/>
    <s v="India"/>
    <n v="700060"/>
    <x v="0"/>
    <x v="2"/>
    <x v="0"/>
    <x v="1"/>
    <x v="1"/>
    <x v="1"/>
    <x v="8"/>
    <s v="Every Day Office Environment"/>
    <s v="Employer who pushes your limits by enabling an learning environment, and rewards you at the end"/>
    <s v="Self Paced Learning Portals of the Company, Instructor or Expert Learning Programs, Trial and error by doing side projects within the company"/>
    <s v="Build and develop a Team, Entrepreneur or Start Up, I Want to sell things/Sales, Manufacturing / Oil and Gas/ Construction / Hard Physical Work related"/>
    <s v="Manager who explains what is expected, sets a goal and helps achieve it"/>
    <s v="Work with 7 to 10 or more people in my team, Work with more than 10 people in my team"/>
    <s v="No"/>
    <s v="Will work for 7 years or more"/>
    <m/>
  </r>
  <r>
    <d v="2023-04-28T10:51:05"/>
    <s v="India"/>
    <n v="440008"/>
    <x v="0"/>
    <x v="1"/>
    <x v="0"/>
    <x v="1"/>
    <x v="0"/>
    <x v="0"/>
    <x v="4"/>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8T10:51:58"/>
    <s v="India"/>
    <n v="700040"/>
    <x v="0"/>
    <x v="0"/>
    <x v="2"/>
    <x v="1"/>
    <x v="0"/>
    <x v="0"/>
    <x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Entrepreneur or Start Up"/>
    <s v="Manager who clearly describes what she/he needs"/>
    <s v="Work with 5 to 6 people in my team"/>
    <s v="Yes, I Understand this is gonna happen everywhere"/>
    <s v="Will work for 7 years or more"/>
    <m/>
  </r>
  <r>
    <d v="2023-04-28T10:52:00"/>
    <s v="India"/>
    <n v="700039"/>
    <x v="0"/>
    <x v="0"/>
    <x v="0"/>
    <x v="1"/>
    <x v="0"/>
    <x v="0"/>
    <x v="6"/>
    <s v="Every Day Office Environment"/>
    <s v="Employer who pushes your limits by enabling an learning environment, and rewards you at the end"/>
    <s v="Learning by observing others, Trial and error by doing side projects within the company, Manager Teaching you"/>
    <s v="Business Operations in any organization, Manage and drive End-to-End Projects or Products, Build and develop a Team, I Want to sell things/Sales"/>
    <s v="Manager who explains what is expected, sets a goal and helps achieve it"/>
    <s v="Work with more than 10 people in my team"/>
    <s v="Yes"/>
    <s v="Will work for 7 years or more"/>
    <m/>
  </r>
  <r>
    <d v="2023-04-28T10:52:07"/>
    <s v="India"/>
    <n v="563106"/>
    <x v="0"/>
    <x v="3"/>
    <x v="0"/>
    <x v="0"/>
    <x v="0"/>
    <x v="0"/>
    <x v="1"/>
    <s v="Hybrid Working Environment with less than 3 days a month at office"/>
    <s v="Employer who rewards learning and enables that environment"/>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clearly describes what she/he needs"/>
    <s v="Work with 2 to 3 people in my team"/>
    <s v="No"/>
    <s v="This will be hard to do, but if it is the right company I would try"/>
    <m/>
  </r>
  <r>
    <d v="2023-04-28T10:54:33"/>
    <s v="India"/>
    <n v="760001"/>
    <x v="0"/>
    <x v="0"/>
    <x v="0"/>
    <x v="0"/>
    <x v="0"/>
    <x v="0"/>
    <x v="5"/>
    <s v="Hybrid Working Environment with more than 15 days a month at office"/>
    <s v="Employer who pushes your limits by enabling an learning environment, and rewards you at the end"/>
    <s v="Instructor or Expert Learning Programs, Learning by observing others, Manager Teaching you"/>
    <s v="Build and develop a Team, Look deeply into Data and generate insights, Work as a freelancer and do my thing my way, Entrepreneur or Start Up"/>
    <s v="Manager who sets goal and helps me achieve it"/>
    <s v="Work with 7 to 10 or more people in my team, Work with more than 10 people in my team"/>
    <s v="Yes, I Understand this is gonna happen everywhere"/>
    <s v="This will be hard to do, but if it is the right company I would try"/>
    <m/>
  </r>
  <r>
    <d v="2023-04-28T10:58:25"/>
    <s v="India"/>
    <n v="247001"/>
    <x v="0"/>
    <x v="4"/>
    <x v="2"/>
    <x v="0"/>
    <x v="0"/>
    <x v="0"/>
    <x v="1"/>
    <s v="Fully Remote with Options to travel as and when needed"/>
    <s v="Employer who pushes your limits by enabling an learning environment, and rewards you at the end"/>
    <s v="Self Paced Learning Portals of the Company, Instructor or Expert Learning Programs, Manager Teaching you"/>
    <s v="Manage and drive End-to-End Projects or Products, Build and develop a Team, Look deeply into Data and generate insights, Work as a freelancer and do my thing my way"/>
    <s v="Manager who explains what is expected, sets a goal and helps achieve it"/>
    <s v="Work with 2 to 3 people in my team"/>
    <s v="No"/>
    <s v="This will be hard to do, but if it is the right company I would try"/>
    <m/>
  </r>
  <r>
    <d v="2023-04-28T10:58:58"/>
    <s v="India"/>
    <n v="208001"/>
    <x v="1"/>
    <x v="3"/>
    <x v="2"/>
    <x v="1"/>
    <x v="0"/>
    <x v="0"/>
    <x v="7"/>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28T11:00:30"/>
    <s v="India"/>
    <n v="534002"/>
    <x v="1"/>
    <x v="4"/>
    <x v="0"/>
    <x v="0"/>
    <x v="1"/>
    <x v="0"/>
    <x v="7"/>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Build and develop a Team"/>
    <s v="Manager who sets goal and helps me achieve it"/>
    <s v="Work with 2 to 3 people in my team"/>
    <s v="Yes, I Understand this is gonna happen everywhere"/>
    <s v="This will be hard to do, but if it is the right company I would try"/>
    <m/>
  </r>
  <r>
    <d v="2023-04-28T11:00:35"/>
    <s v="India"/>
    <n v="500018"/>
    <x v="0"/>
    <x v="4"/>
    <x v="1"/>
    <x v="0"/>
    <x v="0"/>
    <x v="0"/>
    <x v="2"/>
    <s v="Hybrid Working Environment with less than 3 days a month at office"/>
    <s v="Employer who appreciates learning and enables that environment"/>
    <s v="Self Paced Learning Portals of the Company, Instructor or Expert Learning Programs, Self Purchased Course from External Platforms"/>
    <s v="Business Operations in any organization, Work as a freelancer and do my thing my way,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28T11:03:45"/>
    <s v="India"/>
    <n v="530001"/>
    <x v="1"/>
    <x v="2"/>
    <x v="2"/>
    <x v="1"/>
    <x v="0"/>
    <x v="0"/>
    <x v="2"/>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Manage and drive End-to-End Projects or Products, Build and develop a Team,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28T11:07:28"/>
    <s v="India"/>
    <n v="533201"/>
    <x v="0"/>
    <x v="4"/>
    <x v="2"/>
    <x v="1"/>
    <x v="0"/>
    <x v="0"/>
    <x v="3"/>
    <s v="Hybrid Working Environment with more than 15 days a month at office"/>
    <s v="Employer who appreciates learning and enables that environment"/>
    <s v="Self Paced Learning Portals of the Company, Instructor or Expert Learning Programs, Manager Teaching you"/>
    <s v="Design and Creative strategy in any company, Business Operations in any organization, Build and develop a Team, Work as a freelancer and do my thing my way"/>
    <s v="Manager who sets goal and helps me achieve it"/>
    <s v="Work with 5 to 6 people in my team"/>
    <s v="No"/>
    <s v="This will be hard to do, but if it is the right company I would try"/>
    <m/>
  </r>
  <r>
    <d v="2023-04-28T11:07:35"/>
    <s v="India"/>
    <n v="826001"/>
    <x v="1"/>
    <x v="3"/>
    <x v="2"/>
    <x v="0"/>
    <x v="1"/>
    <x v="0"/>
    <x v="9"/>
    <s v="Hybrid Working Environment with more than 15 days a month at office"/>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Look deeply into Data and generate insights, Entrepreneur or Start Up"/>
    <s v="Manager who clearly describes what she/he needs"/>
    <s v="Work alone, Work with 2 to 3 people in my team"/>
    <s v="Yes, I Understand this is gonna happen everywhere"/>
    <s v="This will be hard to do, but if it is the right company I would try"/>
    <m/>
  </r>
  <r>
    <d v="2023-04-28T11:12:26"/>
    <s v="India"/>
    <n v="533211"/>
    <x v="0"/>
    <x v="4"/>
    <x v="2"/>
    <x v="1"/>
    <x v="1"/>
    <x v="1"/>
    <x v="8"/>
    <s v="Every Day Office Environment"/>
    <s v="Employer who rewards learning and enables that environment"/>
    <s v="Instructor or Expert Learning Programs, Self Purchased Course from External Platforms, Manager Teaching you"/>
    <s v="Design and Creative strategy in any company, Work as a freelancer and do my thing my way, I Want to sell things/Sales, Manufacturing / Oil and Gas/ Construction / Hard Physical Work related"/>
    <s v="Manager who sets targets and expects me to achieve it"/>
    <s v="Work with more than 10 people in my team"/>
    <s v="Yes, I Understand this is gonna happen everywhere"/>
    <s v="Will work for 7 years or more"/>
    <m/>
  </r>
  <r>
    <d v="2023-04-28T11:13:28"/>
    <s v="India"/>
    <n v="560047"/>
    <x v="1"/>
    <x v="4"/>
    <x v="0"/>
    <x v="0"/>
    <x v="1"/>
    <x v="1"/>
    <x v="8"/>
    <s v="Hybrid Working Environment with less than 3 days a month at office"/>
    <s v="Employer who rewards learning and enables that environment"/>
    <s v="Self Paced Learning Portals of the Company, Learning by observing others, Manager Teaching you"/>
    <s v="Design and Creative strategy in any company, Teaching in any of the institutes/colleges/online or offline, Manage and drive End-to-End Projects or Products, Work as a freelancer and do my thing my way"/>
    <s v="Manager who clearly describes what she/he needs"/>
    <s v="Work with 2 to 3 people in my team"/>
    <s v="Yes"/>
    <s v="This will be hard to do, but if it is the right company I would try"/>
    <m/>
  </r>
  <r>
    <d v="2023-04-28T11:14:49"/>
    <s v="India"/>
    <n v="421302"/>
    <x v="0"/>
    <x v="4"/>
    <x v="1"/>
    <x v="0"/>
    <x v="0"/>
    <x v="1"/>
    <x v="8"/>
    <s v="Hybrid Working Environment with less than 3 days a month at office"/>
    <s v="Employer who rewards learning and enables that environment"/>
    <s v="Instructor or Expert Learning Programs, Trial and error by doing side projects within the company, Manager Teaching you"/>
    <s v="Teaching in any of the institutes/colleges/online or offline, Look deeply into Data and generate insights, Become a content Creator in some platform, I Want to sell things/Sales"/>
    <s v="Manager who explains what is expected, sets a goal and helps achieve it"/>
    <s v="Work with 5 to 6 people in my team"/>
    <s v="Yes, I Understand this is gonna happen everywhere"/>
    <s v="This will be hard to do, but if it is the right company I would try"/>
    <m/>
  </r>
  <r>
    <d v="2023-04-28T11:16:27"/>
    <s v="India"/>
    <n v="395009"/>
    <x v="1"/>
    <x v="4"/>
    <x v="2"/>
    <x v="1"/>
    <x v="0"/>
    <x v="0"/>
    <x v="0"/>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Look deeply into Data and generate insights,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1:25:03"/>
    <s v="India"/>
    <n v="500018"/>
    <x v="1"/>
    <x v="4"/>
    <x v="0"/>
    <x v="0"/>
    <x v="1"/>
    <x v="0"/>
    <x v="6"/>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Manage and drive End-to-End Projects or Products"/>
    <s v="Manager who sets goal and helps me achieve it"/>
    <s v="Work with 7 to 10 or more people in my team"/>
    <s v="Yes"/>
    <s v="This will be hard to do, but if it is the right company I would try"/>
    <m/>
  </r>
  <r>
    <d v="2023-04-28T11:25:41"/>
    <s v="India"/>
    <n v="793006"/>
    <x v="1"/>
    <x v="3"/>
    <x v="0"/>
    <x v="0"/>
    <x v="0"/>
    <x v="0"/>
    <x v="3"/>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in a BPO setup for some well known client, Work as a freelancer and do my thing my way, Become a content Creator in some platform"/>
    <s v="Manager who explains what is expected, sets a goal and helps achieve it"/>
    <s v="Work with 2 to 3 people in my team"/>
    <s v="Yes, I Understand this is gonna happen everywhere"/>
    <s v="No way"/>
    <m/>
  </r>
  <r>
    <d v="2023-04-28T11:25:42"/>
    <s v="India"/>
    <n v="560100"/>
    <x v="1"/>
    <x v="0"/>
    <x v="0"/>
    <x v="1"/>
    <x v="0"/>
    <x v="0"/>
    <x v="0"/>
    <s v="Hybrid Working Environment with less than 3 days a month at office"/>
    <s v="Employer who reward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r>
  <r>
    <d v="2023-04-28T11:30:57"/>
    <s v="India"/>
    <n v="110024"/>
    <x v="0"/>
    <x v="3"/>
    <x v="0"/>
    <x v="1"/>
    <x v="0"/>
    <x v="0"/>
    <x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Entrepreneur or Start Up"/>
    <s v="Manager who explains what is expected, sets a goal and helps achieve it"/>
    <s v="Work alone, Work with 5 to 6 people in my team"/>
    <s v="Yes, I Understand this is gonna happen everywhere"/>
    <s v="This will be hard to do, but if it is the right company I would try"/>
    <m/>
  </r>
  <r>
    <d v="2023-04-28T11:31:12"/>
    <s v="India"/>
    <n v="761001"/>
    <x v="0"/>
    <x v="1"/>
    <x v="2"/>
    <x v="0"/>
    <x v="0"/>
    <x v="0"/>
    <x v="0"/>
    <s v="Hybrid Working Environment with less than 3 days a month at office"/>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11:32:24"/>
    <s v="India"/>
    <n v="250001"/>
    <x v="1"/>
    <x v="2"/>
    <x v="2"/>
    <x v="0"/>
    <x v="0"/>
    <x v="0"/>
    <x v="0"/>
    <s v="Every Day Office Environment"/>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8T11:38:51"/>
    <s v="India"/>
    <n v="500085"/>
    <x v="1"/>
    <x v="4"/>
    <x v="2"/>
    <x v="1"/>
    <x v="0"/>
    <x v="1"/>
    <x v="3"/>
    <s v="Fully Remote with No option to visit offices"/>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Look deeply into Data and generate insights, Work as a freelancer and do my thing my way"/>
    <s v="Manager who explains what is expected, sets a goal and helps achieve it"/>
    <s v="Work with 2 to 3 people in my team"/>
    <s v="No"/>
    <s v="This will be hard to do, but if it is the right company I would try"/>
    <m/>
  </r>
  <r>
    <d v="2023-04-28T11:40:24"/>
    <s v="India"/>
    <n v="700086"/>
    <x v="0"/>
    <x v="0"/>
    <x v="0"/>
    <x v="1"/>
    <x v="0"/>
    <x v="0"/>
    <x v="1"/>
    <s v="Fully Remote with Options to travel as and when needed"/>
    <s v="Employer who appreciates learning and enables that environment"/>
    <s v="Self Paced Learning Portals of the Company, Instructor or Expert Learning Programs, Learning by observing others"/>
    <s v="Manage and drive End-to-End Projects or Products, Design and Develop amazing software, Entrepreneur or Start Up, An Artificial Intelligence Specialist / Talking to Robots"/>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m/>
  </r>
  <r>
    <d v="2023-04-28T11:43:03"/>
    <s v="India"/>
    <n v="500097"/>
    <x v="1"/>
    <x v="4"/>
    <x v="0"/>
    <x v="0"/>
    <x v="1"/>
    <x v="0"/>
    <x v="5"/>
    <s v="Hybrid Working Environment with less than 3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Build and develop a Team, Work as a freelancer and do my thing my way"/>
    <s v="Manager who explains what is expected, sets a goal and helps achieve it"/>
    <s v="Work with 7 to 10 or more people in my team, Work with more than 10 people in my team"/>
    <s v="Yes, I Understand this is gonna happen everywhere"/>
    <s v="No way"/>
    <m/>
  </r>
  <r>
    <d v="2023-04-28T11:46:53"/>
    <s v="India"/>
    <n v="826004"/>
    <x v="0"/>
    <x v="3"/>
    <x v="0"/>
    <x v="0"/>
    <x v="0"/>
    <x v="0"/>
    <x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Manage and drive End-to-End Projects or Products, Look deeply into Data and generate insights"/>
    <s v="Manager who clearly describes what she/he needs"/>
    <s v="Work alone, Work with 2 to 3 people in my team, Work with 5 to 6 people in my team"/>
    <s v="Yes, I Understand this is gonna happen everywhere"/>
    <s v="No way"/>
    <m/>
  </r>
  <r>
    <d v="2023-04-28T11:50:06"/>
    <s v="India"/>
    <n v="414003"/>
    <x v="0"/>
    <x v="2"/>
    <x v="0"/>
    <x v="0"/>
    <x v="0"/>
    <x v="0"/>
    <x v="8"/>
    <s v="Fully Remote with Options to travel as and when needed"/>
    <s v="Employer who pushes your limits by enabling an learning environment, and rewards you at the end"/>
    <s v="Self Paced Learning Portals of the Company, Trial and error by doing side projects within the company, Self Purchased Course from External Platforms"/>
    <s v="Design and Creative strategy in any company, Teaching in any of the institutes/colleges/online or offline, Business Operations in any organization, Become a content Creator in some platform"/>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11:54:39"/>
    <s v="India"/>
    <n v="500084"/>
    <x v="1"/>
    <x v="4"/>
    <x v="2"/>
    <x v="0"/>
    <x v="0"/>
    <x v="0"/>
    <x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I Want to sell things/Sales"/>
    <s v="Manager who explains what is expected, sets a goal and helps achieve it"/>
    <s v="Work with 7 to 10 or more people in my team"/>
    <s v="Yes, I Understand this is gonna happen everywhere"/>
    <s v="This will be hard to do, but if it is the right company I would try"/>
    <m/>
  </r>
  <r>
    <d v="2023-04-28T11:55:29"/>
    <s v="India"/>
    <n v="560091"/>
    <x v="1"/>
    <x v="3"/>
    <x v="2"/>
    <x v="1"/>
    <x v="0"/>
    <x v="0"/>
    <x v="4"/>
    <s v="Hybrid Working Environment with more than 15 days a month at office"/>
    <s v="Employer who appreciates learning and enables that environment"/>
    <s v="Self Paced Learning Portals of the Company, Instructor or Expert Learning Programs, Learning by observing others"/>
    <s v="Manage and drive End-to-End Projects or Products, Design and Develop amazing software, Look deeply into Data and generate insights, An Artificial Intelligence Specialist / Talking to Robots"/>
    <s v="Manager who clearly describes what she/he needs"/>
    <s v="Work with 5 to 6 people in my team"/>
    <s v="Yes, I Understand this is gonna happen everywhere"/>
    <s v="This will be hard to do, but if it is the right company I would try"/>
    <m/>
  </r>
  <r>
    <d v="2023-04-28T11:57:58"/>
    <s v="India"/>
    <n v="560062"/>
    <x v="0"/>
    <x v="3"/>
    <x v="2"/>
    <x v="1"/>
    <x v="0"/>
    <x v="0"/>
    <x v="4"/>
    <s v="Hybrid Working Environment with more than 15 days a month at office"/>
    <s v="Employer who pushes your limits by enabling an learning environment, and rewards you at the end"/>
    <s v="Self Paced Learning Portals of the Company, Learning by observing others, Manager Teaching you"/>
    <s v="Design and Creative strategy in any company, Build and develop a Team, Entrepreneur or Start Up, I Want to sell things/Sales"/>
    <s v="Manager who explains what is expected, sets a goal and helps achieve it"/>
    <s v="Work with 5 to 6 people in my team"/>
    <s v="No"/>
    <s v="This will be hard to do, but if it is the right company I would try"/>
    <m/>
  </r>
  <r>
    <d v="2023-04-28T12:02:11"/>
    <s v="India"/>
    <n v="700053"/>
    <x v="0"/>
    <x v="0"/>
    <x v="1"/>
    <x v="0"/>
    <x v="0"/>
    <x v="0"/>
    <x v="0"/>
    <s v="Hybrid Working Environment with more than 15 days a month at office"/>
    <s v="Employer who rewards learning and enables that environment"/>
    <s v="Instructor or Expert Learning Programs, Learning by observing others, Trial and error by doing side projects within the company"/>
    <s v="Design and Creative strategy in any company, Manage and drive End-to-End Projects or Products, Build and develop a Team, I Want to sell things/Sales"/>
    <s v="Manager who explains what is expected, sets a goal and helps achieve it"/>
    <s v="Work with 5 to 6 people in my team"/>
    <s v="Yes, I Understand this is gonna happen everywhere"/>
    <s v="No way"/>
    <m/>
  </r>
  <r>
    <d v="2023-04-28T12:14:55"/>
    <s v="India"/>
    <n v="570031"/>
    <x v="1"/>
    <x v="3"/>
    <x v="2"/>
    <x v="1"/>
    <x v="1"/>
    <x v="1"/>
    <x v="4"/>
    <s v="Hybrid Working Environment with more than 15 days a month at office"/>
    <s v="Employer who rewards learning and enables that environment"/>
    <s v="Instructor or Expert Learning Programs, Trial and error by doing side projects within the company, Manager Teaching you"/>
    <s v="Design and Creative strategy in any company, Business Operations in any organization, Build and develop a Team, Design and Develop amazing software"/>
    <s v="Manager who clearly describes what she/he needs"/>
    <s v="Work with 2 to 3 people in my team, Work with 5 to 6 people in my team"/>
    <s v="Yes, I Understand this is gonna happen everywhere"/>
    <s v="This will be hard to do, but if it is the right company I would try"/>
    <m/>
  </r>
  <r>
    <d v="2023-04-28T12:18:50"/>
    <s v="India"/>
    <n v="700039"/>
    <x v="0"/>
    <x v="0"/>
    <x v="1"/>
    <x v="1"/>
    <x v="0"/>
    <x v="1"/>
    <x v="5"/>
    <s v="Hybrid Working Environment with less than 3 days a month at office"/>
    <s v="Employer who reward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Become a content Creator in some platform"/>
    <s v="Manager who explains what is expected, sets a goal and helps achieve it"/>
    <s v="Work with 5 to 6 people in my team"/>
    <s v="Yes"/>
    <s v="This will be hard to do, but if it is the right company I would try"/>
    <m/>
  </r>
  <r>
    <d v="2023-04-28T12:23:50"/>
    <s v="India"/>
    <n v="825301"/>
    <x v="0"/>
    <x v="0"/>
    <x v="0"/>
    <x v="0"/>
    <x v="1"/>
    <x v="0"/>
    <x v="6"/>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ild and develop a Team, Look deeply into Data and generate insights, Entrepreneur or Start Up, An Artificial Intelligence Specialist / Talking to Robots"/>
    <s v="Manager who sets goal and helps me achieve it"/>
    <s v="Work with more than 10 people in my team"/>
    <s v="I have NO other choice"/>
    <s v="No way"/>
    <m/>
  </r>
  <r>
    <d v="2023-04-28T12:25:17"/>
    <s v="India"/>
    <n v="682316"/>
    <x v="1"/>
    <x v="3"/>
    <x v="0"/>
    <x v="0"/>
    <x v="0"/>
    <x v="0"/>
    <x v="5"/>
    <s v="Every Day Office Environment"/>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Become a content Creator in some platform, Entrepreneur or Start Up"/>
    <s v="Manager who explains what is expected, sets a goal and helps achieve it"/>
    <s v="Work with 2 to 3 people in my team"/>
    <s v="I have NO other choice"/>
    <s v="Will work for 7 years or more"/>
    <m/>
  </r>
  <r>
    <d v="2023-04-28T12:27:12"/>
    <s v="India"/>
    <n v="440034"/>
    <x v="0"/>
    <x v="3"/>
    <x v="0"/>
    <x v="0"/>
    <x v="0"/>
    <x v="0"/>
    <x v="5"/>
    <s v="Hybrid Working Environment with more than 15 days a month at office"/>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This will be hard to do, but if it is the right company I would try"/>
    <m/>
  </r>
  <r>
    <d v="2023-04-28T12:27:57"/>
    <s v="India"/>
    <n v="390022"/>
    <x v="1"/>
    <x v="1"/>
    <x v="2"/>
    <x v="0"/>
    <x v="0"/>
    <x v="0"/>
    <x v="4"/>
    <s v="Fully Remote with Options to travel as and when needed"/>
    <s v="Employer who rewards learning and enables that environment"/>
    <s v="Self Paced Learning Portals of the Company, Trial and error by doing side projects within the company, Self Purchased Course from External Platforms"/>
    <s v="Design and Creative strategy in any company, Build and develop a Team, Design and Develop amazing software,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r>
  <r>
    <d v="2023-04-28T12:28:07"/>
    <s v="India"/>
    <n v="560020"/>
    <x v="1"/>
    <x v="1"/>
    <x v="1"/>
    <x v="1"/>
    <x v="0"/>
    <x v="0"/>
    <x v="4"/>
    <s v="Fully Remote with Options to travel as and when needed"/>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Design and Develop amazing software, Look deeply into Data and generate insights"/>
    <s v="Manager who explains what is expected, sets a goal and helps achieve it"/>
    <s v="Work with 5 to 6 people in my team"/>
    <s v="No"/>
    <s v="This will be hard to do, but if it is the right company I would try"/>
    <m/>
  </r>
  <r>
    <d v="2023-04-28T12:30:06"/>
    <s v="India"/>
    <n v="124001"/>
    <x v="0"/>
    <x v="4"/>
    <x v="2"/>
    <x v="1"/>
    <x v="0"/>
    <x v="0"/>
    <x v="2"/>
    <s v="Hybrid Working Environment with more than 15 days a month at office"/>
    <s v="Employer who appreciate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sets goal and helps me achieve it"/>
    <s v="Work with 2 to 3 people in my team"/>
    <s v="Yes, I Understand this is gonna happen everywhere"/>
    <s v="This will be hard to do, but if it is the right company I would try"/>
    <m/>
  </r>
  <r>
    <d v="2023-04-28T12:30:27"/>
    <s v="India"/>
    <n v="560100"/>
    <x v="1"/>
    <x v="0"/>
    <x v="2"/>
    <x v="1"/>
    <x v="0"/>
    <x v="0"/>
    <x v="0"/>
    <s v="Fully Remote with Options to travel as and when needed"/>
    <s v="Employer who appreciates learning and enables that environment"/>
    <s v="Self Paced Learning Portals of the Company, Instructor or Expert Learning Programs, Self Purchased Course from External Platforms"/>
    <s v="Business Operations in any organization, Manage and drive End-to-End Projects or Products, Build and develop a Team, Look deeply into Data and generate insights"/>
    <s v="Manager who explains what is expected, sets a goal and helps achieve it"/>
    <s v="Work with more than 10 people in my team"/>
    <s v="Yes, I Understand this is gonna happen everywhere"/>
    <s v="Will work for 7 years or more"/>
    <m/>
  </r>
  <r>
    <d v="2023-04-28T12:30:28"/>
    <s v="India"/>
    <n v="390019"/>
    <x v="1"/>
    <x v="4"/>
    <x v="0"/>
    <x v="1"/>
    <x v="0"/>
    <x v="0"/>
    <x v="4"/>
    <s v="Fully Remote with Options to travel as and when needed"/>
    <s v="Employer who appreciate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Work in a BPO setup for some well known client, Work as a freelancer and do my thing my way"/>
    <s v="Manager who sets goal and helps me achieve it"/>
    <s v="Work with 5 to 6 people in my team"/>
    <s v="Yes, I Understand this is gonna happen everywhere"/>
    <s v="Will work for 7 years or more"/>
    <m/>
  </r>
  <r>
    <d v="2023-04-28T12:31:03"/>
    <s v="India"/>
    <n v="110093"/>
    <x v="0"/>
    <x v="0"/>
    <x v="0"/>
    <x v="1"/>
    <x v="0"/>
    <x v="0"/>
    <x v="4"/>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Work as a freelancer and do my thing my way, Entrepreneur or Start Up, An Artificial Intelligence Specialist / Talking to Robots"/>
    <s v="Manager who sets goal and helps me achieve it"/>
    <s v="Work with 5 to 6 people in my team"/>
    <s v="Yes, I Understand this is gonna happen everywhere"/>
    <s v="This will be hard to do, but if it is the right company I would try"/>
    <m/>
  </r>
  <r>
    <d v="2023-04-28T12:36:27"/>
    <s v="India"/>
    <n v="411048"/>
    <x v="0"/>
    <x v="4"/>
    <x v="2"/>
    <x v="1"/>
    <x v="1"/>
    <x v="1"/>
    <x v="5"/>
    <s v="Hybrid Working Environment with more than 15 days a month at office"/>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Manage and drive End-to-End Projects or Products, Look deeply into Data and generate insights, An Artificial Intelligence Specialist / Talking to Robots"/>
    <s v="Manager who explains what is expected, sets a goal and helps achieve it"/>
    <s v="Work alone, Work with 5 to 6 people in my team"/>
    <s v="I have NO other choice"/>
    <s v="Will work for 7 years or more"/>
    <m/>
  </r>
  <r>
    <d v="2023-04-28T12:38:38"/>
    <s v="India"/>
    <n v="828105"/>
    <x v="1"/>
    <x v="4"/>
    <x v="0"/>
    <x v="1"/>
    <x v="1"/>
    <x v="0"/>
    <x v="4"/>
    <s v="Every Day Office Environment"/>
    <s v="Employer who appreciates learning and enables that environment"/>
    <s v="Instructor or Expert Learning Programs, Trial and error by doing side projects within the company, Manager Teaching you"/>
    <s v="Design and Creative strategy in any company, Business Operations in any organization, Build and develop a Team, Work as a freelancer and do my thing my way"/>
    <s v="Manager who sets goal and helps me achieve it"/>
    <s v="Work with 2 to 3 people in my team"/>
    <s v="Yes, I Understand this is gonna happen everywhere"/>
    <s v="This will be hard to do, but if it is the right company I would try"/>
    <m/>
  </r>
  <r>
    <d v="2023-04-28T12:39:52"/>
    <s v="India"/>
    <n v="244412"/>
    <x v="0"/>
    <x v="0"/>
    <x v="0"/>
    <x v="0"/>
    <x v="0"/>
    <x v="0"/>
    <x v="6"/>
    <s v="Fully Remote with Options to travel as and when needed"/>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Manufacturing / Oil and Gas/ Construction / Hard Physical Work related"/>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r>
  <r>
    <d v="2023-04-28T12:42:01"/>
    <s v="India"/>
    <n v="560047"/>
    <x v="1"/>
    <x v="3"/>
    <x v="0"/>
    <x v="0"/>
    <x v="0"/>
    <x v="0"/>
    <x v="4"/>
    <s v="Fully Remote with Options to travel as and when needed"/>
    <s v="Employer who appreciates learning and enables that environment"/>
    <s v="Self Paced Learning Portals of the Company, Instructor or Expert Learning Programs, Manager Teaching you"/>
    <s v="Design and Creative strategy in any company, Entrepreneur or Start Up, An Artificial Intelligence Specialist / Talking to Robots, Manufacturing / Oil and Gas/ Construction / Hard Physical Work related"/>
    <s v="Manager who sets goal and helps me achieve it"/>
    <s v="Work alone"/>
    <s v="Yes, I Understand this is gonna happen everywhere"/>
    <s v="This will be hard to do, but if it is the right company I would try"/>
    <m/>
  </r>
  <r>
    <d v="2023-04-28T12:43:34"/>
    <s v="Others"/>
    <n v="700032"/>
    <x v="1"/>
    <x v="0"/>
    <x v="1"/>
    <x v="3"/>
    <x v="1"/>
    <x v="1"/>
    <x v="4"/>
    <s v="Fully Remote with No option to visit offices"/>
    <s v="Employers who appreciates learning but doesn't enables an learning environment"/>
    <s v="Self Paced Learning Portals of the Company, Instructor or Expert Learning Programs, Learning by observing others"/>
    <s v="Work in a BPO setup for some well known client, Work as a freelancer and do my thing my way, An Artificial Intelligence Specialist / Talking to Robots, Manufacturing / Oil and Gas/ Construction / Hard Physical Work related"/>
    <s v="Manager who sets goal and helps me achieve it"/>
    <s v="Work with more than 10 people in my team"/>
    <s v="Yes"/>
    <s v="Will work for 7 years or more"/>
    <m/>
  </r>
  <r>
    <d v="2023-04-28T12:45:59"/>
    <s v="India"/>
    <n v="508210"/>
    <x v="0"/>
    <x v="3"/>
    <x v="2"/>
    <x v="0"/>
    <x v="0"/>
    <x v="0"/>
    <x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Look deeply into Data and generate insights, An Artificial Intelligence Specialist / Talking to Robots"/>
    <s v="Manager who explains what is expected, sets a goal and helps achieve it"/>
    <s v="Work with 5 to 6 people in my team"/>
    <s v="No"/>
    <s v="No way"/>
    <m/>
  </r>
  <r>
    <d v="2023-04-28T12:47:07"/>
    <s v="India"/>
    <n v="700006"/>
    <x v="1"/>
    <x v="3"/>
    <x v="1"/>
    <x v="0"/>
    <x v="1"/>
    <x v="0"/>
    <x v="9"/>
    <s v="Fully Remote with Options to travel as and when needed"/>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I Want to sell things/Sales, An Artificial Intelligence Specialist / Talking to Robots"/>
    <s v="Manager who clearly describes what she/he needs"/>
    <s v="Work with 5 to 6 people in my team"/>
    <s v="No"/>
    <s v="This will be hard to do, but if it is the right company I would try"/>
    <m/>
  </r>
  <r>
    <d v="2023-04-28T12:50:23"/>
    <s v="India"/>
    <n v="637404"/>
    <x v="1"/>
    <x v="3"/>
    <x v="0"/>
    <x v="0"/>
    <x v="0"/>
    <x v="0"/>
    <x v="2"/>
    <s v="Hybrid Working Environment with less than 3 days a month at office"/>
    <s v="Employer who appreciates learning and enables that environment"/>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explains what is expected, sets a goal and helps achieve it"/>
    <s v="Work with more than 10 people in my team"/>
    <s v="Yes, I Understand this is gonna happen everywhere"/>
    <s v="No way"/>
    <m/>
  </r>
  <r>
    <d v="2023-04-28T12:50:52"/>
    <s v="India"/>
    <n v="854305"/>
    <x v="0"/>
    <x v="2"/>
    <x v="0"/>
    <x v="0"/>
    <x v="0"/>
    <x v="1"/>
    <x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Look deeply into Data and generate insights, An Artificial Intelligence Specialist / Talking to Robots"/>
    <s v="Manager who clearly describes what she/he needs"/>
    <s v="Work with 5 to 6 people in my team"/>
    <s v="Yes"/>
    <s v="No way"/>
    <m/>
  </r>
  <r>
    <d v="2023-04-28T12:51:40"/>
    <s v="India"/>
    <n v="221011"/>
    <x v="0"/>
    <x v="4"/>
    <x v="0"/>
    <x v="1"/>
    <x v="1"/>
    <x v="1"/>
    <x v="5"/>
    <s v="Every Day Office Environment"/>
    <s v="Employer who rewards learning and enables that environment"/>
    <s v="Instructor or Expert Learning Programs, Self Purchased Course from External Platforms, Manager Teaching you"/>
    <s v="Teaching in any of the institutes/colleges/online or offline, Business Operations in any organization, Look deeply into Data and generate insights,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28T12:53:05"/>
    <s v="India"/>
    <n v="91"/>
    <x v="1"/>
    <x v="1"/>
    <x v="0"/>
    <x v="0"/>
    <x v="0"/>
    <x v="0"/>
    <x v="4"/>
    <s v="Fully Remote with Options to travel as and when needed"/>
    <s v="Employer who appreciates learning and enables that environment"/>
    <s v="Self Paced Learning Portals of the Company, Learning by observing others, Trial and error by doing side projects within the company"/>
    <s v="Teaching in any of the institutes/colleges/online or offline, Manage and drive End-to-End Projects or Products, Build and develop a Team, Entrepreneur or Start Up"/>
    <s v="Manager who sets goal and helps me achieve it"/>
    <s v="Work with 5 to 6 people in my team"/>
    <s v="Yes, I Understand this is gonna happen everywhere"/>
    <s v="This will be hard to do, but if it is the right company I would try"/>
    <m/>
  </r>
  <r>
    <d v="2023-04-28T12:55:03"/>
    <s v="India"/>
    <n v="396436"/>
    <x v="0"/>
    <x v="0"/>
    <x v="0"/>
    <x v="0"/>
    <x v="0"/>
    <x v="0"/>
    <x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Design and Develop amazing software,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28T12:58:30"/>
    <s v="India"/>
    <n v="533005"/>
    <x v="1"/>
    <x v="3"/>
    <x v="2"/>
    <x v="0"/>
    <x v="0"/>
    <x v="1"/>
    <x v="5"/>
    <s v="Hybrid Working Environment with less than 3 days a month at office"/>
    <s v="Employer who appreciates learning and enables that environment"/>
    <s v="Instructor or Expert Learning Programs, Trial and error by doing side projects within the company, Manager Teaching you"/>
    <s v="Design and Creative strategy in any company, Manage and drive End-to-End Projects or Products, Build and develop a Team, Design and Develop amazing software"/>
    <s v="Manager who sets goal and helps me achieve it"/>
    <s v="Work with 2 to 3 people in my team"/>
    <s v="Yes, I Understand this is gonna happen everywhere"/>
    <s v="This will be hard to do, but if it is the right company I would try"/>
    <m/>
  </r>
  <r>
    <d v="2023-04-28T12:59:51"/>
    <s v="India"/>
    <n v="533005"/>
    <x v="0"/>
    <x v="2"/>
    <x v="2"/>
    <x v="0"/>
    <x v="0"/>
    <x v="0"/>
    <x v="2"/>
    <s v="Hybrid Working Environment with more than 15 days a month at office"/>
    <s v="Employer who rewards learning and enables that environment"/>
    <s v="Self Paced Learning Portals of the Company, Learning by observing others, Trial and error by doing side projects within the company"/>
    <s v="Manage and drive End-to-End Projects or Products, Look deeply into Data and generate insights, Work in a BPO setup for some well known client,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28T12:59:56"/>
    <s v="India"/>
    <n v="506167"/>
    <x v="0"/>
    <x v="2"/>
    <x v="1"/>
    <x v="0"/>
    <x v="0"/>
    <x v="0"/>
    <x v="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Design and Develop amazing software,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28T13:00:06"/>
    <s v="India"/>
    <n v="611001"/>
    <x v="1"/>
    <x v="1"/>
    <x v="0"/>
    <x v="0"/>
    <x v="1"/>
    <x v="0"/>
    <x v="7"/>
    <s v="Hybrid Working Environment with more than 15 days a month at office"/>
    <s v="Employer who pushes your limits and doesn't enables learning environment and never rewards you"/>
    <s v="Instructor or Expert Learning Programs, Learning by observing others, Trial and error by doing side projects within the company"/>
    <s v="Design and Creative strategy in any company, Business Operations in any organization, Build and develop a Team, Manufacturing / Oil and Gas/ Construction / Hard Physical Work related"/>
    <s v="Manager who sets targets and expects me to achieve it"/>
    <s v="Work with 5 to 6 people in my team, Work with 7 to 10 or more people in my team"/>
    <s v="No"/>
    <s v="This will be hard to do, but if it is the right company I would try"/>
    <m/>
  </r>
  <r>
    <d v="2023-04-28T13:04:22"/>
    <s v="India"/>
    <n v="324005"/>
    <x v="0"/>
    <x v="2"/>
    <x v="1"/>
    <x v="0"/>
    <x v="0"/>
    <x v="0"/>
    <x v="2"/>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siness Operations in any organization, Look deeply into Data and generate insights, Become a content Creator in some platform"/>
    <s v="Manager who explains what is expected, sets a goal and helps achieve it"/>
    <s v="Work with 2 to 3 people in my team"/>
    <s v="Yes, I Understand this is gonna happen everywhere"/>
    <s v="No way"/>
    <m/>
  </r>
  <r>
    <d v="2023-04-28T13:09:24"/>
    <s v="India"/>
    <n v="411057"/>
    <x v="0"/>
    <x v="0"/>
    <x v="2"/>
    <x v="0"/>
    <x v="0"/>
    <x v="0"/>
    <x v="2"/>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clearly describes what she/he needs"/>
    <s v="Work with 5 to 6 people in my team"/>
    <s v="No"/>
    <s v="This will be hard to do, but if it is the right company I would try"/>
    <m/>
  </r>
  <r>
    <d v="2023-04-28T13:10:04"/>
    <s v="India"/>
    <n v="534245"/>
    <x v="1"/>
    <x v="2"/>
    <x v="0"/>
    <x v="0"/>
    <x v="0"/>
    <x v="0"/>
    <x v="8"/>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Teaching in any of the institutes/colleges/online or offline, Manage and drive End-to-End Projects or Products, Build and develop a Team"/>
    <s v="Manager who sets goal and helps me achieve it"/>
    <s v="Work with more than 10 people in my team"/>
    <s v="No"/>
    <s v="This will be hard to do, but if it is the right company I would try"/>
    <m/>
  </r>
  <r>
    <d v="2023-04-28T13:14:41"/>
    <s v="India"/>
    <n v="110085"/>
    <x v="0"/>
    <x v="2"/>
    <x v="2"/>
    <x v="1"/>
    <x v="0"/>
    <x v="0"/>
    <x v="8"/>
    <s v="Hybrid Working Environment with more than 15 days a month at office"/>
    <s v="Employer who rewards learning and enables that environment"/>
    <s v="Learning by observing others, Trial and error by doing side projects within the company, Manager Teaching you"/>
    <s v="Business Operations in any organization, Design and Develop amazing software, Look deeply into Data and generate insights, Work as a freelancer and do my thing my way"/>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8T13:18:48"/>
    <s v="India"/>
    <n v="506167"/>
    <x v="0"/>
    <x v="1"/>
    <x v="2"/>
    <x v="1"/>
    <x v="1"/>
    <x v="1"/>
    <x v="5"/>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Work as a freelancer and do my thing my way"/>
    <s v="Manager who clearly describes what she/he needs"/>
    <s v="Work with more than 10 people in my team"/>
    <s v="Yes, I Understand this is gonna happen everywhere"/>
    <s v="Will work for 7 years or more"/>
    <m/>
  </r>
  <r>
    <d v="2023-04-28T13:19:16"/>
    <s v="India"/>
    <n v="500056"/>
    <x v="0"/>
    <x v="4"/>
    <x v="0"/>
    <x v="1"/>
    <x v="1"/>
    <x v="0"/>
    <x v="8"/>
    <s v="Hybrid Working Environment with less than 3 days a month at office"/>
    <s v="Employer who appreciates learning and enables that environment"/>
    <s v="Instructor or Expert Learning Programs, Learning by observing others, Self Purchased Course from External Platforms"/>
    <s v="Design and Creative strategy in any company, Business Operations in any organization, Design and Develop amazing software, Entrepreneur or Start Up"/>
    <s v="Manager who clearly describes what she/he needs"/>
    <s v="Work with 5 to 6 people in my team, Work with more than 10 people in my team"/>
    <s v="Yes, I Understand this is gonna happen everywhere"/>
    <s v="This will be hard to do, but if it is the right company I would try"/>
    <m/>
  </r>
  <r>
    <d v="2023-04-28T13:20:49"/>
    <s v="India"/>
    <n v="502279"/>
    <x v="1"/>
    <x v="4"/>
    <x v="2"/>
    <x v="0"/>
    <x v="0"/>
    <x v="0"/>
    <x v="4"/>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Design and Develop amazing software, Look deeply into Data and generate insights,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8T13:21:41"/>
    <s v="India"/>
    <n v="533448"/>
    <x v="1"/>
    <x v="4"/>
    <x v="1"/>
    <x v="0"/>
    <x v="0"/>
    <x v="0"/>
    <x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No way"/>
    <m/>
  </r>
  <r>
    <d v="2023-04-28T13:25:21"/>
    <s v="India"/>
    <n v="533201"/>
    <x v="0"/>
    <x v="2"/>
    <x v="1"/>
    <x v="1"/>
    <x v="1"/>
    <x v="0"/>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13:31:44"/>
    <s v="India"/>
    <n v="560076"/>
    <x v="1"/>
    <x v="0"/>
    <x v="1"/>
    <x v="0"/>
    <x v="0"/>
    <x v="0"/>
    <x v="1"/>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m/>
  </r>
  <r>
    <d v="2023-04-28T13:37:41"/>
    <s v="India"/>
    <n v="440024"/>
    <x v="0"/>
    <x v="0"/>
    <x v="2"/>
    <x v="1"/>
    <x v="0"/>
    <x v="0"/>
    <x v="3"/>
    <s v="Every Day Office Environment"/>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Work as a freelancer and do my thing my way, Manufacturing / Oil and Gas/ Construction / Hard Physical Work related"/>
    <s v="Manager who explains what is expected, sets a goal and helps achieve it"/>
    <s v="Work alone, Work with 2 to 3 people in my team, Work with 5 to 6 people in my team, Work with 7 to 10 or more people in my team, Work with more than 10 people in my team"/>
    <s v="Yes"/>
    <s v="No way"/>
    <m/>
  </r>
  <r>
    <d v="2023-04-28T13:43:06"/>
    <s v="India"/>
    <n v="533201"/>
    <x v="0"/>
    <x v="4"/>
    <x v="2"/>
    <x v="0"/>
    <x v="0"/>
    <x v="0"/>
    <x v="2"/>
    <s v="Fully Remote with Options to travel as and when needed"/>
    <s v="Employer who pushes your limits by enabling an learning environment, and rewards you at the end"/>
    <s v="Self Paced Learning Portals of the Company, Instructor or Expert Learning Programs, Learning by observing others"/>
    <s v="Build and develop a Team, Design and Develop amazing software, Entrepreneur or Start Up, An Artificial Intelligence Specialist / Talking to Robots"/>
    <s v="Manager who sets goal and helps me achieve it"/>
    <s v="Work with 7 to 10 or more people in my team"/>
    <s v="Yes, I Understand this is gonna happen everywhere"/>
    <s v="No way"/>
    <m/>
  </r>
  <r>
    <d v="2023-04-28T13:48:41"/>
    <s v="India"/>
    <n v="413001"/>
    <x v="0"/>
    <x v="0"/>
    <x v="0"/>
    <x v="0"/>
    <x v="0"/>
    <x v="0"/>
    <x v="4"/>
    <s v="Fully Remote with Options to travel as and when needed"/>
    <s v="Employer who rewards learning and enables that environment"/>
    <s v="Self Paced Learning Portals of the Company, Instructor or Expert Learning Programs, Manager Teaching you"/>
    <s v="Design and Creative strategy in any company, Business Operations in any organization, Manage and drive End-to-End Projects or Products, Look deeply into Data and generate insights"/>
    <s v="Manager who explains what is expected, sets a goal and helps achieve it"/>
    <s v="Work with 2 to 3 people in my team, Work with 5 to 6 people in my team"/>
    <s v="I have NO other choice"/>
    <s v="This will be hard to do, but if it is the right company I would try"/>
    <m/>
  </r>
  <r>
    <d v="2023-04-28T13:50:55"/>
    <s v="India"/>
    <n v="518512"/>
    <x v="0"/>
    <x v="4"/>
    <x v="2"/>
    <x v="1"/>
    <x v="0"/>
    <x v="0"/>
    <x v="4"/>
    <s v="Hybrid Working Environment with more than 15 days a month at office"/>
    <s v="Employer who appreciates learning and enables that environment"/>
    <s v="Instructor or Expert Learning Programs, Learning by observing other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more than 10 people in my team"/>
    <s v="Yes, I Understand this is gonna happen everywhere"/>
    <s v="This will be hard to do, but if it is the right company I would try"/>
    <m/>
  </r>
  <r>
    <d v="2023-04-28T13:51:44"/>
    <s v="India"/>
    <n v="506314"/>
    <x v="0"/>
    <x v="0"/>
    <x v="2"/>
    <x v="0"/>
    <x v="0"/>
    <x v="1"/>
    <x v="5"/>
    <s v="Fully Remote with No option to visit offices"/>
    <s v="Employer who appreciates learning and enables that environment"/>
    <s v="Instructor or Expert Learning Programs, Trial and error by doing side projects within the company, Manager Teaching you"/>
    <s v="Teaching in any of the institutes/colleges/online or offline, Build and develop a Team, Entrepreneur or Start Up, Manufacturing / Oil and Gas/ Construction / Hard Physical Work related"/>
    <s v="Manager who clearly describes what she/he needs"/>
    <s v="Work with 5 to 6 people in my team, Work with 7 to 10 or more people in my team"/>
    <s v="Yes"/>
    <s v="This will be hard to do, but if it is the right company I would try"/>
    <m/>
  </r>
  <r>
    <d v="2023-04-28T13:51:46"/>
    <s v="India"/>
    <n v="500018"/>
    <x v="0"/>
    <x v="0"/>
    <x v="1"/>
    <x v="1"/>
    <x v="0"/>
    <x v="0"/>
    <x v="1"/>
    <s v="Every Day Office Environment"/>
    <s v="Employer who pushes your limits by enabling an learning environment, and rewards you at the end"/>
    <s v="Self Paced Learning Portals of the Company, Instructor or Expert Learning Programs, Learning by observing others"/>
    <s v="Become a content Creator in some platform, Entrepreneur or Start Up, I Want to sell things/Sale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28T13:52:55"/>
    <s v="India"/>
    <n v="421503"/>
    <x v="0"/>
    <x v="0"/>
    <x v="1"/>
    <x v="0"/>
    <x v="0"/>
    <x v="0"/>
    <x v="5"/>
    <s v="Hybrid Working Environment with less than 3 days a month at office"/>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Build and develop a Team, Look deeply into Data and generate insights"/>
    <s v="Manager who clearly describes what she/he needs"/>
    <s v="Work with 5 to 6 people in my team"/>
    <s v="Yes, I Understand this is gonna happen everywhere"/>
    <s v="This will be hard to do, but if it is the right company I would try"/>
    <m/>
  </r>
  <r>
    <d v="2023-04-28T13:53:35"/>
    <s v="India"/>
    <n v="411057"/>
    <x v="0"/>
    <x v="0"/>
    <x v="1"/>
    <x v="0"/>
    <x v="1"/>
    <x v="1"/>
    <x v="5"/>
    <s v="Fully Remote with Options to travel as and when needed"/>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An Artificial Intelligence Specialist / Talking to Robots"/>
    <s v="Manager who clearly describes what she/he needs"/>
    <s v="Work alone, Work with 2 to 3 people in my team, Work with 5 to 6 people in my team"/>
    <s v="Yes, I Understand this is gonna happen everywhere"/>
    <s v="This will be hard to do, but if it is the right company I would try"/>
    <m/>
  </r>
  <r>
    <d v="2023-04-28T13:57:40"/>
    <s v="India"/>
    <n v="700029"/>
    <x v="0"/>
    <x v="1"/>
    <x v="0"/>
    <x v="1"/>
    <x v="0"/>
    <x v="0"/>
    <x v="0"/>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8T14:03:43"/>
    <s v="India"/>
    <n v="400009"/>
    <x v="1"/>
    <x v="4"/>
    <x v="1"/>
    <x v="1"/>
    <x v="0"/>
    <x v="0"/>
    <x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Design and Develop amazing software, Entrepreneur or Start Up"/>
    <s v="Manager who explains what is expected, sets a goal and helps achieve it"/>
    <s v="Work with 5 to 6 people in my team, Work with 7 to 10 or more people in my team"/>
    <s v="No"/>
    <s v="This will be hard to do, but if it is the right company I would try"/>
    <m/>
  </r>
  <r>
    <d v="2023-04-28T14:07:20"/>
    <s v="India"/>
    <n v="411044"/>
    <x v="0"/>
    <x v="0"/>
    <x v="0"/>
    <x v="0"/>
    <x v="0"/>
    <x v="0"/>
    <x v="0"/>
    <s v="Hybrid Working Environment with less than 3 days a month at office"/>
    <s v="Employer who pushes your limits by enabling an learning environment, and rewards you at the end"/>
    <s v="Self Paced Learning Portals of the Company, Trial and error by doing side projects within the company, Self Purchased Course from External Platforms"/>
    <s v="Build and develop a Team, Design and Develop amazing software, Look deeply into Data and generate insights, Entrepreneur or Start Up"/>
    <s v="Manager who explains what is expected, sets a goal and helps achieve it"/>
    <s v="Work with 5 to 6 people in my team"/>
    <s v="Yes, I Understand this is gonna happen everywhere"/>
    <s v="No way"/>
    <m/>
  </r>
  <r>
    <d v="2023-04-28T14:07:45"/>
    <s v="India"/>
    <n v="560036"/>
    <x v="0"/>
    <x v="1"/>
    <x v="2"/>
    <x v="0"/>
    <x v="1"/>
    <x v="1"/>
    <x v="9"/>
    <s v="Hybrid Working Environment with more than 15 days a month at office"/>
    <s v="Employer who rewards learning and enables that environment"/>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with more than 10 people in my team"/>
    <s v="Yes, I Understand this is gonna happen everywhere"/>
    <s v="No way"/>
    <m/>
  </r>
  <r>
    <d v="2023-04-28T14:09:02"/>
    <s v="India"/>
    <n v="500053"/>
    <x v="0"/>
    <x v="0"/>
    <x v="2"/>
    <x v="1"/>
    <x v="0"/>
    <x v="0"/>
    <x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Work as a freelancer and do my thing my way, Entrepreneur or Start Up"/>
    <s v="Manager who clearly describes what she/he needs"/>
    <s v="Work alone"/>
    <s v="Yes, I Understand this is gonna happen everywhere"/>
    <s v="This will be hard to do, but if it is the right company I would try"/>
    <m/>
  </r>
  <r>
    <d v="2023-04-28T14:09:55"/>
    <s v="India"/>
    <n v="440013"/>
    <x v="0"/>
    <x v="3"/>
    <x v="1"/>
    <x v="0"/>
    <x v="1"/>
    <x v="0"/>
    <x v="2"/>
    <s v="Fully Remote with No option to visit offices"/>
    <s v="Employer who rewards learning and enables that environment"/>
    <s v="Instructor or Expert Learning Programs, Self Purchased Course from External Platforms, Manager Teaching you"/>
    <s v="Design and Creative strategy in any company, Teaching in any of the institutes/colleges/online or offline, Work as a freelancer and do my thing my way, Entrepreneur or Start Up"/>
    <s v="Manager who explains what is expected, sets a goal and helps achieve it"/>
    <s v="Work with more than 10 people in my team"/>
    <s v="No"/>
    <s v="This will be hard to do, but if it is the right company I would try"/>
    <m/>
  </r>
  <r>
    <d v="2023-04-28T14:11:02"/>
    <s v="India"/>
    <n v="221405"/>
    <x v="1"/>
    <x v="4"/>
    <x v="1"/>
    <x v="1"/>
    <x v="0"/>
    <x v="0"/>
    <x v="3"/>
    <s v="Every Day Office Environment"/>
    <s v="Employer who appreciates learning and enables that environment"/>
    <s v="Self Paced Learning Portals of the Company, Instructor or Expert Learning Programs, Learning by observing others"/>
    <s v="Business Operations in any organization, Build and develop a Team, Entrepreneur or Start Up, I Want to sell things/Sales"/>
    <s v="Manager who sets goal and helps me achieve it"/>
    <s v="Work with 5 to 6 people in my team"/>
    <s v="Yes, I Understand this is gonna happen everywhere"/>
    <s v="Will work for 7 years or more"/>
    <m/>
  </r>
  <r>
    <d v="2023-04-28T14:16:06"/>
    <s v="India"/>
    <n v="411058"/>
    <x v="0"/>
    <x v="2"/>
    <x v="1"/>
    <x v="0"/>
    <x v="1"/>
    <x v="0"/>
    <x v="5"/>
    <s v="Fully Remote with Options to travel as and when needed"/>
    <s v="Employer who rewards learning and enables that environment"/>
    <s v="Self Paced Learning Portals of the Company, Instructor or Expert Learning Programs, Trial and error by doing side projects within the company"/>
    <s v="Teaching in any of the institutes/colleges/online or offline, Build and develop a Team, Design and Develop amazing software, Entrepreneur or Start Up"/>
    <s v="Manager who clearly describes what she/he needs"/>
    <s v="Work with 2 to 3 people in my team"/>
    <s v="No"/>
    <s v="No way"/>
    <m/>
  </r>
  <r>
    <d v="2023-04-28T14:19:38"/>
    <s v="India"/>
    <n v="520012"/>
    <x v="1"/>
    <x v="2"/>
    <x v="2"/>
    <x v="0"/>
    <x v="0"/>
    <x v="0"/>
    <x v="4"/>
    <s v="Every Day Office Environment"/>
    <s v="Employer who appreciates learning and enables that environment"/>
    <s v="Instructor or Expert Learning Programs, Learning by observing others, Manager Teaching you"/>
    <s v="Design and Creative strategy in any company, Manage and drive End-to-End Projects or Products, Work as a freelancer and do my thing my way, Entrepreneur or Start Up"/>
    <s v="Manager who clearly describes what she/he needs"/>
    <s v="Work with 2 to 3 people in my team"/>
    <s v="No"/>
    <s v="This will be hard to do, but if it is the right company I would try"/>
    <m/>
  </r>
  <r>
    <d v="2023-04-28T14:19:51"/>
    <s v="India"/>
    <n v="535002"/>
    <x v="1"/>
    <x v="1"/>
    <x v="1"/>
    <x v="0"/>
    <x v="0"/>
    <x v="0"/>
    <x v="8"/>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Work in a BPO setup for some well known client, Work as a freelancer and do my thing my way"/>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4:20:10"/>
    <s v="India"/>
    <n v="638401"/>
    <x v="1"/>
    <x v="3"/>
    <x v="0"/>
    <x v="1"/>
    <x v="1"/>
    <x v="1"/>
    <x v="7"/>
    <s v="Hybrid Working Environment with more than 15 days a month at office"/>
    <s v="Employer who appreciates learning and enables that environment"/>
    <s v="Learning by observing others, Self Purchased Course from External Platforms, Manager Teaching you"/>
    <s v="Design and Creative strategy in any company, Manage and drive End-to-End Projects or Products, Design and Develop amazing software, Manufacturing / Oil and Gas/ Construction / Hard Physical Work related"/>
    <s v="Manager who explains what is expected, sets a goal and helps achieve it"/>
    <s v="Work with 2 to 3 people in my team, Work with 5 to 6 people in my team, Work with 7 to 10 or more people in my team"/>
    <s v="Yes"/>
    <s v="Will work for 7 years or more"/>
    <m/>
  </r>
  <r>
    <d v="2023-04-28T14:20:16"/>
    <s v="India"/>
    <n v="500040"/>
    <x v="1"/>
    <x v="2"/>
    <x v="0"/>
    <x v="1"/>
    <x v="0"/>
    <x v="0"/>
    <x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Design and Develop amazing software,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14:23:36"/>
    <s v="India"/>
    <n v="641006"/>
    <x v="1"/>
    <x v="4"/>
    <x v="2"/>
    <x v="0"/>
    <x v="0"/>
    <x v="0"/>
    <x v="1"/>
    <s v="Fully Remote with Options to travel as and when needed"/>
    <s v="Employer who pushes your limits by enabling an learning environment, and rewards you at the end"/>
    <s v="Self Paced Learning Portals of the Company, Learning by observing others, Self Purchased Course from External Platforms"/>
    <s v="Design and Creative strategy in any company, Manage and drive End-to-End Projects or Products, Design and Develop amazing software,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m/>
  </r>
  <r>
    <d v="2023-04-28T14:23:46"/>
    <s v="India"/>
    <n v="600097"/>
    <x v="1"/>
    <x v="1"/>
    <x v="2"/>
    <x v="1"/>
    <x v="1"/>
    <x v="1"/>
    <x v="2"/>
    <s v="Every Day Office Environment"/>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r>
  <r>
    <d v="2023-04-28T14:26:52"/>
    <s v="India"/>
    <n v="620002"/>
    <x v="0"/>
    <x v="2"/>
    <x v="2"/>
    <x v="0"/>
    <x v="1"/>
    <x v="1"/>
    <x v="5"/>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8T14:33:00"/>
    <s v="India"/>
    <n v="642114"/>
    <x v="0"/>
    <x v="2"/>
    <x v="2"/>
    <x v="3"/>
    <x v="0"/>
    <x v="0"/>
    <x v="1"/>
    <s v="Hybrid Working Environment with more than 15 days a month at office"/>
    <s v="Employers who appreciates learning but doesn't enables an learning environment"/>
    <s v="Self Paced Learning Portals of the Company, Learning by observing others, Manager Teaching you"/>
    <s v="Business Operations in any organization, Manage and drive End-to-End Projects or Products, Build and develop a Team, Design and Develop amazing software"/>
    <s v="Manager who clearly describes what she/he needs"/>
    <s v="Work with 5 to 6 people in my team, Work with 7 to 10 or more people in my team"/>
    <s v="I have NO other choice"/>
    <s v="No way"/>
    <m/>
  </r>
  <r>
    <d v="2023-04-28T14:36:25"/>
    <s v="India"/>
    <n v="122016"/>
    <x v="0"/>
    <x v="0"/>
    <x v="1"/>
    <x v="1"/>
    <x v="1"/>
    <x v="0"/>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Work in a BPO setup for some well known client, Entrepreneur or Start Up"/>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4:38:01"/>
    <s v="India"/>
    <n v="631151"/>
    <x v="0"/>
    <x v="4"/>
    <x v="0"/>
    <x v="1"/>
    <x v="0"/>
    <x v="0"/>
    <x v="4"/>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with 5 to 6 people in my team"/>
    <s v="No"/>
    <s v="Will work for 7 years or more"/>
    <m/>
  </r>
  <r>
    <d v="2023-04-28T14:38:04"/>
    <s v="India"/>
    <n v="411044"/>
    <x v="0"/>
    <x v="0"/>
    <x v="2"/>
    <x v="0"/>
    <x v="0"/>
    <x v="0"/>
    <x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ecome a content Creator in some platform, Entrepreneur or Start Up"/>
    <s v="Manager who explains what is expected, sets a goal and helps achieve it"/>
    <s v="Work alone, Work with 2 to 3 people in my team, Work with 5 to 6 people in my team, Work with 7 to 10 or more people in my team, Work with more than 10 people in my team"/>
    <s v="No"/>
    <s v="This will be hard to do, but if it is the right company I would try"/>
    <m/>
  </r>
  <r>
    <d v="2023-04-28T14:39:36"/>
    <s v="India"/>
    <n v="440013"/>
    <x v="0"/>
    <x v="3"/>
    <x v="1"/>
    <x v="0"/>
    <x v="0"/>
    <x v="0"/>
    <x v="8"/>
    <s v="Every Day Office Environment"/>
    <s v="Employer who appreciates learning and enables that environment"/>
    <s v="Self Paced Learning Portals of the Company, Instructor or Expert Learning Programs, Manager Teaching you"/>
    <s v="Manage and drive End-to-End Projects or Products, Build and develop a Team, Design and Develop amazing software, Entrepreneur or Start Up"/>
    <s v="Manager who sets goal and helps me achieve it"/>
    <s v="Work with 5 to 6 people in my team"/>
    <s v="Yes, I Understand this is gonna happen everywhere"/>
    <s v="This will be hard to do, but if it is the right company I would try"/>
    <m/>
  </r>
  <r>
    <d v="2023-04-28T14:40:43"/>
    <s v="India"/>
    <n v="110006"/>
    <x v="0"/>
    <x v="0"/>
    <x v="0"/>
    <x v="1"/>
    <x v="1"/>
    <x v="0"/>
    <x v="4"/>
    <s v="Fully Remote with Options to travel as and when needed"/>
    <s v="Employer who pushes your limits by enabling an learning environment, and rewards you at the end"/>
    <s v="Instructor or Expert Learning Programs, Learning by observing others, Manager Teaching you"/>
    <s v="Design and Develop amazing software,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m/>
  </r>
  <r>
    <d v="2023-04-28T14:40:43"/>
    <s v="India"/>
    <n v="410210"/>
    <x v="0"/>
    <x v="0"/>
    <x v="2"/>
    <x v="1"/>
    <x v="1"/>
    <x v="1"/>
    <x v="2"/>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4:40:51"/>
    <s v="India"/>
    <n v="603102"/>
    <x v="0"/>
    <x v="0"/>
    <x v="0"/>
    <x v="0"/>
    <x v="0"/>
    <x v="0"/>
    <x v="6"/>
    <s v="Hybrid Working Environment with more than 15 days a month at office"/>
    <s v="Employer who appreciates learning and enables that environment"/>
    <s v="Self Paced Learning Portals of the Company, Instructor or Expert Learning Programs, Self Purchased Course from External Platforms"/>
    <s v="Teaching in any of the institutes/colleges/online or offline, Business Operations in any organization, Look deeply into Data and generate insights, Work in a BPO setup for some well known client"/>
    <s v="Manager who explains what is expected, sets a goal and helps achieve it"/>
    <s v="Work with 7 to 10 or more people in my team"/>
    <s v="Yes, I Understand this is gonna happen everywhere"/>
    <s v="This will be hard to do, but if it is the right company I would try"/>
    <m/>
  </r>
  <r>
    <d v="2023-04-28T14:42:50"/>
    <s v="India"/>
    <n v="828307"/>
    <x v="1"/>
    <x v="0"/>
    <x v="2"/>
    <x v="0"/>
    <x v="1"/>
    <x v="0"/>
    <x v="4"/>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Work as a freelancer and do my thing my way, Entrepreneur or Start Up"/>
    <s v="Manager who clearly describes what she/he needs"/>
    <s v="Work with 2 to 3 people in my team"/>
    <s v="Yes, I Understand this is gonna happen everywhere"/>
    <s v="This will be hard to do, but if it is the right company I would try"/>
    <m/>
  </r>
  <r>
    <d v="2023-04-28T14:44:51"/>
    <s v="India"/>
    <n v="600049"/>
    <x v="1"/>
    <x v="4"/>
    <x v="1"/>
    <x v="1"/>
    <x v="0"/>
    <x v="0"/>
    <x v="8"/>
    <s v="Hybrid Working Environment with more than 15 days a month at office"/>
    <s v="Employer who appreciates learning and enables that environment"/>
    <s v="Instructor or Expert Learning Programs, Learning by observing others, Manager Teaching you"/>
    <s v="Business Operations in any organization, Manage and drive End-to-End Projects or Products, Build and develop a Team, Become a content Creator in some platform"/>
    <s v="Manager who sets goal and helps me achieve it"/>
    <s v="Work with more than 10 people in my team"/>
    <s v="No"/>
    <s v="This will be hard to do, but if it is the right company I would try"/>
    <m/>
  </r>
  <r>
    <d v="2023-04-28T14:52:21"/>
    <s v="India"/>
    <n v="600032"/>
    <x v="0"/>
    <x v="2"/>
    <x v="2"/>
    <x v="0"/>
    <x v="0"/>
    <x v="0"/>
    <x v="5"/>
    <s v="Hybrid Working Environment with less than 3 days a month at office"/>
    <s v="Employer who appreciates learning and enables that environment"/>
    <s v="Self Paced Learning Portals of the Company, Instructor or Expert Learning Programs, Manager Teaching you"/>
    <s v="Business Operations in any organization, Build and develop a Team, Look deeply into Data and generate insights, I Want to sell things/Sales"/>
    <s v="Manager who sets goal and helps me achieve it"/>
    <s v="Work with 7 to 10 or more people in my team"/>
    <s v="Yes, I Understand this is gonna happen everywhere"/>
    <s v="No way"/>
    <m/>
  </r>
  <r>
    <d v="2023-04-28T14:53:29"/>
    <s v="India"/>
    <n v="89"/>
    <x v="0"/>
    <x v="2"/>
    <x v="0"/>
    <x v="0"/>
    <x v="1"/>
    <x v="0"/>
    <x v="4"/>
    <s v="Fully Remote with No option to visit offices"/>
    <s v="Employer who rewards learning and enables that environment"/>
    <s v="Self Paced Learning Portals of the Company, Instructor or Expert Learning Programs, Self Purchased Course from External Platforms"/>
    <s v="Design and Creative strategy in any company, Build and develop a Team, Work in a BPO setup for some well known client, Entrepreneur or Start Up"/>
    <s v="Manager who sets goal and helps me achieve it"/>
    <s v="Work with 2 to 3 people in my team"/>
    <s v="Yes, I Understand this is gonna happen everywhere"/>
    <s v="Will work for 7 years or more"/>
    <m/>
  </r>
  <r>
    <d v="2023-04-28T14:58:23"/>
    <s v="India"/>
    <n v="600083"/>
    <x v="1"/>
    <x v="0"/>
    <x v="0"/>
    <x v="1"/>
    <x v="0"/>
    <x v="0"/>
    <x v="7"/>
    <s v="Fully Remote with Options to travel as and when needed"/>
    <s v="Employer who pushes your limits and doesn't enables learning environment and never rewards you"/>
    <s v="Learning by observing others, Trial and error by doing side projects within the company, Manager Teaching you"/>
    <s v="Design and Creative strategy in any company, Manage and drive End-to-End Projects or Products, Work in a BPO setup for some well known client, I Want to sell things/Sales"/>
    <s v="Manager who sets goal and helps me achieve it"/>
    <s v="Work with more than 10 people in my team"/>
    <s v="No"/>
    <s v="No way"/>
    <m/>
  </r>
  <r>
    <d v="2023-04-28T15:01:35"/>
    <s v="India"/>
    <n v="562106"/>
    <x v="1"/>
    <x v="1"/>
    <x v="0"/>
    <x v="0"/>
    <x v="0"/>
    <x v="0"/>
    <x v="8"/>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m/>
  </r>
  <r>
    <d v="2023-04-28T15:01:42"/>
    <s v="India"/>
    <n v="201003"/>
    <x v="1"/>
    <x v="4"/>
    <x v="0"/>
    <x v="1"/>
    <x v="0"/>
    <x v="0"/>
    <x v="4"/>
    <s v="Every Day Office Environment"/>
    <s v="Employer who appreciates learning and enables that environment"/>
    <s v="Instructor or Expert Learning Programs, Learning by observing others, Manager Teaching you"/>
    <s v="Design and Creative strategy in any company, Business Operations in any organization, Build and develop a Team, Entrepreneur or Start Up"/>
    <s v="Manager who explains what is expected, sets a goal and helps achieve it"/>
    <s v="Work with 5 to 6 people in my team"/>
    <s v="Yes, I Understand this is gonna happen everywhere"/>
    <s v="Will work for 7 years or more"/>
    <m/>
  </r>
  <r>
    <d v="2023-04-28T15:06:22"/>
    <s v="India"/>
    <n v="500072"/>
    <x v="0"/>
    <x v="3"/>
    <x v="0"/>
    <x v="0"/>
    <x v="0"/>
    <x v="0"/>
    <x v="4"/>
    <s v="Hybrid Working Environment with less than 3 days a month at office"/>
    <s v="Employer who appreciates learning and enables that environment"/>
    <s v="Self Paced Learning Portals of the Company, Learning by observing others, Manager Teaching you"/>
    <s v="Business Operations in any organization, Manage and drive End-to-End Projects or Products, Work as a freelancer and do my thing my way, I Want to sell things/Sales"/>
    <s v="Manager who explains what is expected, sets a goal and helps achieve it"/>
    <s v="Work with 5 to 6 people in my team"/>
    <s v="Yes, I Understand this is gonna happen everywhere"/>
    <s v="No way"/>
    <m/>
  </r>
  <r>
    <d v="2023-04-28T15:07:32"/>
    <s v="India"/>
    <n v="520007"/>
    <x v="0"/>
    <x v="4"/>
    <x v="0"/>
    <x v="1"/>
    <x v="0"/>
    <x v="0"/>
    <x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2 to 3 people in my team, Work with more than 10 people in my team"/>
    <s v="No"/>
    <s v="No way"/>
    <m/>
  </r>
  <r>
    <d v="2023-04-28T15:15:26"/>
    <s v="India"/>
    <n v="600095"/>
    <x v="0"/>
    <x v="2"/>
    <x v="2"/>
    <x v="0"/>
    <x v="0"/>
    <x v="0"/>
    <x v="3"/>
    <s v="Hybrid Working Environment with more than 15 days a month at office"/>
    <s v="Employer who appreciates learning and enables that environment"/>
    <s v="Instructor or Expert Learning Programs, Learning by observing others, Manager Teaching you"/>
    <s v="Business Operations in any organization, Design and Develop amazing software, Look deeply into Data and generate insights, An Artificial Intelligence Specialist / Talking to Robots"/>
    <s v="Manager who explains what is expected, sets a goal and helps achieve it"/>
    <s v="Work with 5 to 6 people in my team"/>
    <s v="I have NO other choice"/>
    <s v="No way"/>
    <m/>
  </r>
  <r>
    <d v="2023-04-28T15:19:25"/>
    <s v="India"/>
    <n v="400601"/>
    <x v="0"/>
    <x v="0"/>
    <x v="0"/>
    <x v="1"/>
    <x v="0"/>
    <x v="0"/>
    <x v="7"/>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targets and expects me to achieve it"/>
    <s v="Work alone, Work with 7 to 10 or more people in my team"/>
    <s v="Yes, I Understand this is gonna happen everywhere"/>
    <s v="This will be hard to do, but if it is the right company I would try"/>
    <m/>
  </r>
  <r>
    <d v="2023-04-28T15:25:13"/>
    <s v="India"/>
    <n v="410206"/>
    <x v="0"/>
    <x v="2"/>
    <x v="2"/>
    <x v="0"/>
    <x v="0"/>
    <x v="0"/>
    <x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Manufacturing / Oil and Gas/ Construction / Hard Physical Work related"/>
    <s v="Manager who explains what is expected, sets a goal and helps achieve it"/>
    <s v="Work with 7 to 10 or more people in my team"/>
    <s v="Yes, I Understand this is gonna happen everywhere"/>
    <s v="This will be hard to do, but if it is the right company I would try"/>
    <m/>
  </r>
  <r>
    <d v="2023-04-28T15:47:53"/>
    <s v="India"/>
    <n v="122101"/>
    <x v="0"/>
    <x v="0"/>
    <x v="1"/>
    <x v="0"/>
    <x v="1"/>
    <x v="0"/>
    <x v="8"/>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Design and Develop amazing software"/>
    <s v="Manager who explains what is expected, sets a goal and helps achieve it"/>
    <s v="Work with 2 to 3 people in my team"/>
    <s v="Yes, I Understand this is gonna happen everywhere"/>
    <s v="This will be hard to do, but if it is the right company I would try"/>
    <m/>
  </r>
  <r>
    <d v="2023-04-28T15:57:41"/>
    <s v="United States of America"/>
    <n v="21228"/>
    <x v="1"/>
    <x v="0"/>
    <x v="0"/>
    <x v="0"/>
    <x v="0"/>
    <x v="0"/>
    <x v="7"/>
    <s v="Hybrid Working Environment with more than 15 days a month at office"/>
    <s v="Employer who appreciates learning and enables that environment"/>
    <s v="Instructor or Expert Learning Programs, Learning by observing others, Manager Teaching you"/>
    <s v="Teaching in any of the institutes/colleges/online or offline, Work as a freelancer and do my thing my way, Become a content Creator in some platform, I Want to sell things/Sales"/>
    <s v="Manager who explains what is expected, sets a goal and helps achieve it"/>
    <s v="Work alone, Work with 2 to 3 people in my team"/>
    <s v="I have NO other choice"/>
    <s v="No way"/>
    <m/>
  </r>
  <r>
    <d v="2023-04-28T16:00:09"/>
    <s v="India"/>
    <n v="600083"/>
    <x v="0"/>
    <x v="3"/>
    <x v="2"/>
    <x v="0"/>
    <x v="0"/>
    <x v="0"/>
    <x v="3"/>
    <s v="Hybrid Working Environment with more than 15 days a month at office"/>
    <s v="Employer who pushes your limits and doesn't enables learning environment and never rewards you"/>
    <s v="Self Paced Learning Portals of the Company, Instructor or Expert Learning Program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28T16:04:04"/>
    <s v="India"/>
    <n v="110045"/>
    <x v="0"/>
    <x v="4"/>
    <x v="0"/>
    <x v="1"/>
    <x v="0"/>
    <x v="1"/>
    <x v="7"/>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clearly describes what she/he needs"/>
    <s v="Work with 7 to 10 or more people in my team"/>
    <s v="Yes"/>
    <s v="This will be hard to do, but if it is the right company I would try"/>
    <m/>
  </r>
  <r>
    <d v="2023-04-28T16:04:34"/>
    <s v="India"/>
    <n v="522007"/>
    <x v="0"/>
    <x v="4"/>
    <x v="1"/>
    <x v="1"/>
    <x v="0"/>
    <x v="0"/>
    <x v="4"/>
    <s v="Every Day Office Environment"/>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Business Operations in any organization, Entrepreneur or Start Up"/>
    <s v="Manager who explains what is expected, sets a goal and helps achieve it"/>
    <s v="Work with more than 10 people in my team"/>
    <s v="I have NO other choice"/>
    <s v="This will be hard to do, but if it is the right company I would try"/>
    <m/>
  </r>
  <r>
    <d v="2023-04-28T16:05:00"/>
    <s v="India"/>
    <n v="636302"/>
    <x v="0"/>
    <x v="0"/>
    <x v="0"/>
    <x v="0"/>
    <x v="1"/>
    <x v="0"/>
    <x v="7"/>
    <s v="Hybrid Working Environment with less than 3 days a month at office"/>
    <s v="Employer who appreciates learning and enables that environment"/>
    <s v="Learning by observing others, Trial and error by doing side projects within the company, Manager Teaching you"/>
    <s v="Business Operations in any organization, Build and develop a Team, Entrepreneur or Start Up,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28T16:08:23"/>
    <s v="India"/>
    <n v="492008"/>
    <x v="1"/>
    <x v="3"/>
    <x v="0"/>
    <x v="1"/>
    <x v="0"/>
    <x v="0"/>
    <x v="2"/>
    <s v="Fully Remote with Options to travel as and when needed"/>
    <s v="Employer who rewards learning and enables that environment"/>
    <s v="Self Paced Learning Portals of the Company, Learning by observing others, Trial and error by doing side projects within the company"/>
    <s v="Teaching in any of the institutes/colleges/online or offline, Business Operations in any organization, An Artificial Intelligence Specialist / Talking to Robots, Manufacturing / Oil and Gas/ Construction / Hard Physical Work related"/>
    <s v="Manager who explains what is expected, sets a goal and helps achieve it"/>
    <s v="Work with 2 to 3 people in my team"/>
    <s v="No"/>
    <s v="Will work for 7 years or more"/>
    <m/>
  </r>
  <r>
    <d v="2023-04-28T16:09:18"/>
    <s v="India"/>
    <n v="500074"/>
    <x v="0"/>
    <x v="4"/>
    <x v="0"/>
    <x v="1"/>
    <x v="1"/>
    <x v="1"/>
    <x v="8"/>
    <s v="Every Day Office Environment"/>
    <s v="Employer who appreciates learning and enables that environment"/>
    <s v="Self Paced Learning Portals of the Company, Learning by observing others, Manager Teaching you"/>
    <s v="Design and Creative strategy in any company, Business Operations in any organization, Build and develop a Team, Look deeply into Data and generate insights"/>
    <s v="Manager who explains what is expected, sets a goal and helps achieve it"/>
    <s v="Work with 5 to 6 people in my team, Work with more than 10 people in my team"/>
    <s v="Yes, I Understand this is gonna happen everywhere"/>
    <s v="Will work for 7 years or more"/>
    <m/>
  </r>
  <r>
    <d v="2023-04-28T16:10:11"/>
    <s v="India"/>
    <n v="482003"/>
    <x v="1"/>
    <x v="3"/>
    <x v="2"/>
    <x v="1"/>
    <x v="0"/>
    <x v="0"/>
    <x v="3"/>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sets goal and helps me achieve it"/>
    <s v="Work with 5 to 6 people in my team"/>
    <s v="Yes"/>
    <s v="This will be hard to do, but if it is the right company I would try"/>
    <m/>
  </r>
  <r>
    <d v="2023-04-28T16:11:44"/>
    <s v="India"/>
    <n v="760002"/>
    <x v="0"/>
    <x v="4"/>
    <x v="2"/>
    <x v="1"/>
    <x v="0"/>
    <x v="0"/>
    <x v="7"/>
    <s v="Every Day Office Environment"/>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6:11:52"/>
    <s v="India"/>
    <n v="600033"/>
    <x v="1"/>
    <x v="1"/>
    <x v="0"/>
    <x v="1"/>
    <x v="0"/>
    <x v="0"/>
    <x v="4"/>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Look deeply into Data and generate insights"/>
    <s v="Manager who explains what is expected, sets a goal and helps achieve it"/>
    <s v="Work with 2 to 3 people in my team"/>
    <s v="No"/>
    <s v="This will be hard to do, but if it is the right company I would try"/>
    <m/>
  </r>
  <r>
    <d v="2023-04-28T16:13:23"/>
    <s v="India"/>
    <n v="411041"/>
    <x v="1"/>
    <x v="2"/>
    <x v="2"/>
    <x v="1"/>
    <x v="0"/>
    <x v="0"/>
    <x v="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Look deeply into Data and generate insights,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28T16:14:01"/>
    <s v="India"/>
    <n v="560100"/>
    <x v="1"/>
    <x v="4"/>
    <x v="2"/>
    <x v="0"/>
    <x v="0"/>
    <x v="0"/>
    <x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Work in a BPO setup for some well known client, Entrepreneur or Start Up"/>
    <s v="Manager who clearly describes what she/he needs"/>
    <s v="Work with 5 to 6 people in my team"/>
    <s v="Yes, I Understand this is gonna happen everywhere"/>
    <s v="No way"/>
    <m/>
  </r>
  <r>
    <d v="2023-04-28T16:26:17"/>
    <s v="India"/>
    <n v="505208"/>
    <x v="1"/>
    <x v="2"/>
    <x v="0"/>
    <x v="0"/>
    <x v="0"/>
    <x v="0"/>
    <x v="0"/>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Look deeply into Data and generate insights"/>
    <s v="Manager who clearly describes what she/he needs"/>
    <s v="Work with 5 to 6 people in my team"/>
    <s v="I have NO other choice"/>
    <s v="No way"/>
    <m/>
  </r>
  <r>
    <d v="2023-04-28T16:29:43"/>
    <s v="India"/>
    <n v="637107"/>
    <x v="1"/>
    <x v="0"/>
    <x v="0"/>
    <x v="0"/>
    <x v="0"/>
    <x v="0"/>
    <x v="4"/>
    <s v="Every Day Office Environment"/>
    <s v="Employer who reward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sets goal and helps me achieve it"/>
    <s v="Work with 2 to 3 people in my team"/>
    <s v="Yes, I Understand this is gonna happen everywhere"/>
    <s v="This will be hard to do, but if it is the right company I would try"/>
    <m/>
  </r>
  <r>
    <d v="2023-04-28T16:32:48"/>
    <s v="India"/>
    <n v="678706"/>
    <x v="0"/>
    <x v="2"/>
    <x v="1"/>
    <x v="0"/>
    <x v="0"/>
    <x v="0"/>
    <x v="8"/>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in a BPO setup for some well known client, An Artificial Intelligence Specialist / Talking to Robots"/>
    <s v="Manager who sets goal and helps me achieve it"/>
    <s v="Work with 2 to 3 people in my team, Work with 5 to 6 people in my team"/>
    <s v="No"/>
    <s v="This will be hard to do, but if it is the right company I would try"/>
    <m/>
  </r>
  <r>
    <d v="2023-04-28T16:37:10"/>
    <s v="India"/>
    <n v="506366"/>
    <x v="0"/>
    <x v="4"/>
    <x v="2"/>
    <x v="1"/>
    <x v="0"/>
    <x v="1"/>
    <x v="4"/>
    <s v="Fully Remote with Options to travel as and when needed"/>
    <s v="Employer who appreciates learning and enables that environment"/>
    <s v="Self Paced Learning Portals of the Company, Instructor or Expert Learning Programs, Learning by observing others"/>
    <s v="Build and develop a Team, Design and Develop amazing software, Look deeply into Data and generate insights,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28T16:37:11"/>
    <s v="India"/>
    <n v="600056"/>
    <x v="0"/>
    <x v="3"/>
    <x v="2"/>
    <x v="1"/>
    <x v="0"/>
    <x v="0"/>
    <x v="7"/>
    <s v="Hybrid Working Environment with less than 3 days a month at office"/>
    <s v="Employer who pushes your limits and doesn't enables learning environment and never rewards you"/>
    <s v="Self Paced Learning Portals of the Company, Instructor or Expert Learning Programs, Learning by observing others"/>
    <s v="Design and Creative strategy in any company, Teaching in any of the institutes/colleges/online or offline, Business Operations in any organization, Work as a freelancer and do my thing my way"/>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r>
  <r>
    <d v="2023-04-28T16:39:01"/>
    <s v="India"/>
    <n v="627117"/>
    <x v="1"/>
    <x v="4"/>
    <x v="1"/>
    <x v="1"/>
    <x v="0"/>
    <x v="0"/>
    <x v="4"/>
    <s v="Fully Remote with No option to visit offices"/>
    <s v="Employer who appreciates learning and enables that environment"/>
    <s v="Self Paced Learning Portals of the Company,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explains what is expected, sets a goal and helps achieve it"/>
    <s v="Work with 5 to 6 people in my team"/>
    <s v="No"/>
    <s v="This will be hard to do, but if it is the right company I would try"/>
    <m/>
  </r>
  <r>
    <d v="2023-04-28T16:39:52"/>
    <s v="India"/>
    <n v="226017"/>
    <x v="1"/>
    <x v="3"/>
    <x v="0"/>
    <x v="0"/>
    <x v="0"/>
    <x v="0"/>
    <x v="1"/>
    <s v="Fully Remote with Options to travel as and when needed"/>
    <s v="Employer who appreciates learning and enables that environment"/>
    <s v="Instructor or Expert Learning Programs, Learning by observing others, Trial and error by doing side projects within the company"/>
    <s v="Teaching in any of the institutes/colleges/online or offline,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8T16:41:17"/>
    <s v="India"/>
    <n v="201013"/>
    <x v="1"/>
    <x v="4"/>
    <x v="1"/>
    <x v="1"/>
    <x v="1"/>
    <x v="1"/>
    <x v="5"/>
    <s v="Hybrid Working Environment with less than 3 days a month at office"/>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Build and develop a Team, Work in a BPO setup for some well known client"/>
    <s v="Manager who explains what is expected, sets a goal and helps achieve it"/>
    <s v="Work with 5 to 6 people in my team"/>
    <s v="Yes, I Understand this is gonna happen everywhere"/>
    <s v="Will work for 7 years or more"/>
    <m/>
  </r>
  <r>
    <d v="2023-04-28T16:42:53"/>
    <s v="India"/>
    <n v="505001"/>
    <x v="0"/>
    <x v="3"/>
    <x v="0"/>
    <x v="0"/>
    <x v="1"/>
    <x v="1"/>
    <x v="9"/>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Design and Creative strategy in any company, Manage and drive End-to-End Projects or Products, Design and Develop amazing software, Work as a freelancer and do my thing my way"/>
    <s v="Manager who explains what is expected, sets a goal and helps achieve it"/>
    <s v="Work with 7 to 10 or more people in my team"/>
    <s v="Yes, I Understand this is gonna happen everywhere"/>
    <s v="No way"/>
    <m/>
  </r>
  <r>
    <d v="2023-04-28T16:42:56"/>
    <s v="India"/>
    <n v="638401"/>
    <x v="1"/>
    <x v="2"/>
    <x v="0"/>
    <x v="1"/>
    <x v="0"/>
    <x v="0"/>
    <x v="0"/>
    <s v="Hybrid Working Environment with less than 3 days a month at office"/>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Work as a freelancer and do my thing my way, An Artificial Intelligence Specialist / Talking to Robots"/>
    <s v="Manager who sets targets and expects me to achieve it"/>
    <s v="Work with more than 10 people in my team"/>
    <s v="No"/>
    <s v="This will be hard to do, but if it is the right company I would try"/>
    <m/>
  </r>
  <r>
    <d v="2023-04-28T16:45:52"/>
    <s v="India"/>
    <n v="505209"/>
    <x v="1"/>
    <x v="1"/>
    <x v="0"/>
    <x v="0"/>
    <x v="0"/>
    <x v="0"/>
    <x v="5"/>
    <s v="Fully Remote with Options to travel as and when needed"/>
    <s v="Employer who appreciate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28T16:48:10"/>
    <s v="India"/>
    <n v="508111"/>
    <x v="1"/>
    <x v="4"/>
    <x v="1"/>
    <x v="0"/>
    <x v="0"/>
    <x v="0"/>
    <x v="4"/>
    <s v="Hybrid Working Environment with more than 15 days a month at office"/>
    <s v="Employer who pushes your limits and doesn't enables learning environment and never rewards you"/>
    <s v="Self Paced Learning Portals of the Company, Instructor or Expert Learning Programs, Learning by observing others"/>
    <s v="Business Operations in any organization, Manage and drive End-to-End Projects or Products, Design and Develop amazing software, An Artificial Intelligence Specialist / Talking to Robots"/>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r>
  <r>
    <d v="2023-04-28T16:51:43"/>
    <s v="India"/>
    <n v="505209"/>
    <x v="1"/>
    <x v="4"/>
    <x v="0"/>
    <x v="0"/>
    <x v="0"/>
    <x v="1"/>
    <x v="8"/>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16:54:10"/>
    <s v="India"/>
    <n v="635801"/>
    <x v="0"/>
    <x v="3"/>
    <x v="1"/>
    <x v="0"/>
    <x v="0"/>
    <x v="1"/>
    <x v="8"/>
    <s v="Fully Remote with Options to travel as and when needed"/>
    <s v="Employer who appreciates learning and enables that environment"/>
    <s v="Self Paced Learning Portals of the Company, Learning by observing others, Self Purchased Course from External Platforms"/>
    <s v="Design and Creative strategy in any company, Business Operations in any organization, Look deeply into Data and generate insights,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28T16:56:56"/>
    <s v="India"/>
    <n v="505209"/>
    <x v="1"/>
    <x v="0"/>
    <x v="0"/>
    <x v="0"/>
    <x v="1"/>
    <x v="0"/>
    <x v="5"/>
    <s v="Fully Remote with Options to travel as and when needed"/>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This will be hard to do, but if it is the right company I would try"/>
    <m/>
  </r>
  <r>
    <d v="2023-04-28T17:13:17"/>
    <s v="India"/>
    <n v="508234"/>
    <x v="0"/>
    <x v="3"/>
    <x v="2"/>
    <x v="0"/>
    <x v="0"/>
    <x v="1"/>
    <x v="8"/>
    <s v="Fully Remote with Options to travel as and when needed"/>
    <s v="Employer who rewards learning and enables that environment"/>
    <s v="Self Paced Learning Portals of the Company, Instructor or Expert Learning Programs, Self Purchased Course from External Platforms"/>
    <s v="Design and Creative strategy in any company, Teaching in any of the institutes/colleges/online or offline, Build and develop a Team, An Artificial Intelligence Specialist / Talking to Robots"/>
    <s v="Manager who sets goal and helps me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7:20:54"/>
    <s v="India"/>
    <n v="826004"/>
    <x v="0"/>
    <x v="0"/>
    <x v="2"/>
    <x v="0"/>
    <x v="1"/>
    <x v="1"/>
    <x v="5"/>
    <s v="Fully Remote with Options to travel as and when needed"/>
    <s v="Employer who rewards learning and enables that environment"/>
    <s v="Instructor or Expert Learning Programs, Trial and error by doing side projects within the company, Self Purchased Course from External Platforms"/>
    <s v="Design and Creative strategy in any company, Manage and drive End-to-End Projects or Products, Look deeply into Data and generate insights, Work as a freelancer and do my thing my way"/>
    <s v="Manager who explains what is expected, sets a goal and helps achieve it"/>
    <s v="Work with 2 to 3 people in my team, Work with 5 to 6 people in my team"/>
    <s v="No"/>
    <s v="No way"/>
    <m/>
  </r>
  <r>
    <d v="2023-04-28T17:25:02"/>
    <s v="India"/>
    <n v="201002"/>
    <x v="1"/>
    <x v="4"/>
    <x v="0"/>
    <x v="0"/>
    <x v="0"/>
    <x v="0"/>
    <x v="1"/>
    <s v="Every Day Office Environment"/>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Business Operations in any organization, Entrepreneur or Start Up"/>
    <s v="Manager who explains what is expected, sets a goal and helps achieve it"/>
    <s v="Work with 7 to 10 or more people in my team, Work with more than 10 people in my team"/>
    <s v="I have NO other choice"/>
    <s v="This will be hard to do, but if it is the right company I would try"/>
    <m/>
  </r>
  <r>
    <d v="2023-04-28T17:26:22"/>
    <s v="India"/>
    <n v="600049"/>
    <x v="1"/>
    <x v="3"/>
    <x v="1"/>
    <x v="0"/>
    <x v="0"/>
    <x v="0"/>
    <x v="1"/>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Design and Develop amazing software, Look deeply into Data and generate insights, Entrepreneur or Start Up"/>
    <s v="Manager who explains what is expected, sets a goal and helps achieve it"/>
    <s v="Work with 2 to 3 people in my team"/>
    <s v="Yes, I Understand this is gonna happen everywhere"/>
    <s v="No way"/>
    <m/>
  </r>
  <r>
    <d v="2023-04-28T17:29:56"/>
    <s v="India"/>
    <n v="826001"/>
    <x v="0"/>
    <x v="0"/>
    <x v="0"/>
    <x v="0"/>
    <x v="0"/>
    <x v="0"/>
    <x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Look deeply into Data and generate insights, An Artificial Intelligence Specialist / Talking to Robo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7:31:42"/>
    <s v="India"/>
    <n v="492001"/>
    <x v="0"/>
    <x v="0"/>
    <x v="0"/>
    <x v="0"/>
    <x v="0"/>
    <x v="0"/>
    <x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Look deeply into Data and generate insights, Entrepreneur or Start Up, An Artificial Intelligence Specialist / Talking to Robots"/>
    <s v="Manager who sets goal and helps me achieve it"/>
    <s v="Work with 5 to 6 people in my team"/>
    <s v="Yes, I Understand this is gonna happen everywhere"/>
    <s v="No way"/>
    <m/>
  </r>
  <r>
    <d v="2023-04-28T17:37:10"/>
    <s v="India"/>
    <n v="560073"/>
    <x v="0"/>
    <x v="1"/>
    <x v="2"/>
    <x v="1"/>
    <x v="1"/>
    <x v="1"/>
    <x v="3"/>
    <s v="Hybrid Working Environment with less than 3 days a month at office"/>
    <s v="Employer who rewards learning and enables that environment"/>
    <s v="Learning by observing others, Self Purchased Course from External Platforms, Manager Teaching you"/>
    <s v="Design and Creative strategy in any company, Design and Develop amazing software, Look deeply into Data and generate insights, Work as a freelancer and do my thing my way"/>
    <s v="Manager who explains what is expected, sets a goal and helps achieve it"/>
    <s v="Work with more than 10 people in my team"/>
    <s v="Yes"/>
    <s v="Will work for 7 years or more"/>
    <m/>
  </r>
  <r>
    <d v="2023-04-28T17:39:45"/>
    <s v="India"/>
    <n v="759001"/>
    <x v="0"/>
    <x v="0"/>
    <x v="2"/>
    <x v="1"/>
    <x v="0"/>
    <x v="0"/>
    <x v="5"/>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alone"/>
    <s v="Yes, I Understand this is gonna happen everywhere"/>
    <s v="This will be hard to do, but if it is the right company I would try"/>
    <m/>
  </r>
  <r>
    <d v="2023-04-28T17:40:28"/>
    <s v="India"/>
    <n v="505209"/>
    <x v="0"/>
    <x v="4"/>
    <x v="0"/>
    <x v="0"/>
    <x v="0"/>
    <x v="0"/>
    <x v="4"/>
    <s v="Fully Remote with Options to travel as and when needed"/>
    <s v="Employer who pushes your limits and doesn't enables learning environment and never rewards you"/>
    <s v="Self Paced Learning Portals of the Company, Learning by observing others, Self Purchased Course from External Platforms"/>
    <s v="Teaching in any of the institutes/colleges/online or offline, Manage and drive End-to-End Projects or Products, Build and develop a Team, Become a content Creator in some platform"/>
    <s v="Manager who sets goal and helps me achieve it"/>
    <s v="Work with 5 to 6 people in my team"/>
    <s v="Yes, I Understand this is gonna happen everywhere"/>
    <s v="This will be hard to do, but if it is the right company I would try"/>
    <m/>
  </r>
  <r>
    <d v="2023-04-28T17:43:33"/>
    <s v="India"/>
    <n v="600005"/>
    <x v="0"/>
    <x v="4"/>
    <x v="2"/>
    <x v="1"/>
    <x v="0"/>
    <x v="0"/>
    <x v="1"/>
    <s v="Every Day Office Environment"/>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Become a content Creator in some platform"/>
    <s v="Manager who clearly describes what she/he needs"/>
    <s v="Work with more than 10 people in my team"/>
    <s v="No"/>
    <s v="This will be hard to do, but if it is the right company I would try"/>
    <m/>
  </r>
  <r>
    <d v="2023-04-28T17:45:12"/>
    <s v="India"/>
    <n v="607001"/>
    <x v="0"/>
    <x v="0"/>
    <x v="0"/>
    <x v="0"/>
    <x v="0"/>
    <x v="0"/>
    <x v="4"/>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m/>
  </r>
  <r>
    <d v="2023-04-28T17:47:55"/>
    <s v="India"/>
    <n v="560096"/>
    <x v="0"/>
    <x v="3"/>
    <x v="1"/>
    <x v="3"/>
    <x v="1"/>
    <x v="1"/>
    <x v="2"/>
    <s v="Hybrid Working Environment with less than 3 days a month at office"/>
    <s v="Employer who pushes your limits by enabling an learning environment, and rewards you at the end"/>
    <s v="Trial and error by doing side projects within the company, Self Purchased Course from External Platforms, Manager Teaching you"/>
    <s v="Design and Creative strategy in any company, Become a content Creator in some platform, Entrepreneur or Start Up, An Artificial Intelligence Specialist / Talking to Robots"/>
    <s v="Manager who sets goal and helps me achieve it"/>
    <s v="Work with 5 to 6 people in my team, Work with 7 to 10 or more people in my team"/>
    <s v="Yes"/>
    <s v="No way"/>
    <m/>
  </r>
  <r>
    <d v="2023-04-28T17:49:49"/>
    <s v="India"/>
    <n v="500013"/>
    <x v="1"/>
    <x v="3"/>
    <x v="2"/>
    <x v="0"/>
    <x v="0"/>
    <x v="0"/>
    <x v="5"/>
    <s v="Fully Remote with No option to visit offices"/>
    <s v="Employer who appreciates learning and enables that environment"/>
    <s v="Self Paced Learning Portals of the Company, Instructor or Expert Learning Programs, Learning by observing others"/>
    <s v="Teaching in any of the institutes/colleges/online or offline, Manage and drive End-to-End Projects or Products, Build and develop a Team, Design and Develop amazing software"/>
    <s v="Manager who sets goal and helps me achieve it"/>
    <s v="Work with 2 to 3 people in my team, Work with more than 10 people in my team"/>
    <s v="Yes, I Understand this is gonna happen everywhere"/>
    <s v="No way"/>
    <m/>
  </r>
  <r>
    <d v="2023-04-28T17:50:13"/>
    <s v="India"/>
    <n v="765002"/>
    <x v="0"/>
    <x v="0"/>
    <x v="2"/>
    <x v="0"/>
    <x v="0"/>
    <x v="0"/>
    <x v="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explains what is expected, sets a goal and helps achieve it"/>
    <s v="Work with 5 to 6 people in my team"/>
    <s v="No"/>
    <s v="This will be hard to do, but if it is the right company I would try"/>
    <m/>
  </r>
  <r>
    <d v="2023-04-28T17:52:19"/>
    <s v="India"/>
    <n v="505209"/>
    <x v="1"/>
    <x v="0"/>
    <x v="0"/>
    <x v="0"/>
    <x v="0"/>
    <x v="1"/>
    <x v="4"/>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Entrepreneur or Start Up, I Want to sell things/Sales, An Artificial Intelligence Specialist / Talking to Robot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28T17:53:54"/>
    <s v="India"/>
    <n v="560107"/>
    <x v="0"/>
    <x v="2"/>
    <x v="0"/>
    <x v="0"/>
    <x v="0"/>
    <x v="0"/>
    <x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28T17:53:57"/>
    <s v="India"/>
    <n v="505122"/>
    <x v="0"/>
    <x v="0"/>
    <x v="2"/>
    <x v="1"/>
    <x v="0"/>
    <x v="0"/>
    <x v="4"/>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2 to 3 people in my team"/>
    <s v="Yes"/>
    <s v="This will be hard to do, but if it is the right company I would try"/>
    <m/>
  </r>
  <r>
    <d v="2023-04-28T17:57:19"/>
    <s v="India"/>
    <n v="763002"/>
    <x v="1"/>
    <x v="4"/>
    <x v="0"/>
    <x v="1"/>
    <x v="0"/>
    <x v="0"/>
    <x v="2"/>
    <s v="Fully Remote with No option to visit offices"/>
    <s v="Employer who appreciates learning and enables that environment"/>
    <s v="Self Paced Learning Portals of the Company, Instructor or Expert Learning Programs, Manager Teaching you"/>
    <s v="Teaching in any of the institutes/colleges/online or offline, Business Operations in any organization, Work as a freelancer and do my thing my way, Entrepreneur or Start Up"/>
    <s v="Manager who sets targets and expects me to achieve it"/>
    <s v="Work with 5 to 6 people in my team"/>
    <s v="No"/>
    <s v="This will be hard to do, but if it is the right company I would try"/>
    <m/>
  </r>
  <r>
    <d v="2023-04-28T17:59:14"/>
    <s v="India"/>
    <n v="500072"/>
    <x v="1"/>
    <x v="4"/>
    <x v="2"/>
    <x v="1"/>
    <x v="0"/>
    <x v="0"/>
    <x v="1"/>
    <s v="Fully Remote with No option to visit offices"/>
    <s v="Employer who appreciates learning and enables that environment"/>
    <s v="Instructor or Expert Learning Programs, Learning by observing others, Manager Teaching you"/>
    <s v="Business Operations in any organization, Build and develop a Team, Look deeply into Data and generate insights, Work as a freelancer and do my thing my way"/>
    <s v="Manager who clearly describes what she/he needs"/>
    <s v="Work with 5 to 6 people in my team"/>
    <s v="Yes, I Understand this is gonna happen everywhere"/>
    <s v="This will be hard to do, but if it is the right company I would try"/>
    <m/>
  </r>
  <r>
    <d v="2023-04-28T17:59:18"/>
    <s v="India"/>
    <n v="505208"/>
    <x v="1"/>
    <x v="4"/>
    <x v="0"/>
    <x v="0"/>
    <x v="0"/>
    <x v="0"/>
    <x v="1"/>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sets targets and expects me to achieve it"/>
    <s v="Work with 2 to 3 people in my team"/>
    <s v="No"/>
    <s v="This will be hard to do, but if it is the right company I would try"/>
    <m/>
  </r>
  <r>
    <d v="2023-04-28T17:59:35"/>
    <s v="India"/>
    <n v="560068"/>
    <x v="1"/>
    <x v="2"/>
    <x v="0"/>
    <x v="1"/>
    <x v="0"/>
    <x v="0"/>
    <x v="5"/>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8T17:59:35"/>
    <s v="India"/>
    <n v="600054"/>
    <x v="1"/>
    <x v="3"/>
    <x v="1"/>
    <x v="0"/>
    <x v="0"/>
    <x v="1"/>
    <x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18:00:53"/>
    <s v="India"/>
    <n v="560107"/>
    <x v="0"/>
    <x v="2"/>
    <x v="1"/>
    <x v="0"/>
    <x v="0"/>
    <x v="0"/>
    <x v="4"/>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Work in a BPO setup for some well known client,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r>
  <r>
    <d v="2023-04-28T18:01:52"/>
    <s v="India"/>
    <n v="600119"/>
    <x v="0"/>
    <x v="0"/>
    <x v="0"/>
    <x v="1"/>
    <x v="0"/>
    <x v="0"/>
    <x v="8"/>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8T18:09:45"/>
    <s v="India"/>
    <n v="700082"/>
    <x v="0"/>
    <x v="2"/>
    <x v="1"/>
    <x v="1"/>
    <x v="0"/>
    <x v="0"/>
    <x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ild and develop a Team, Work as a freelancer and do my thing my way, Entrepreneur or Start Up"/>
    <s v="Manager who sets goal and helps me achieve it"/>
    <s v="Work with 5 to 6 people in my team"/>
    <s v="Yes, I Understand this is gonna happen everywhere"/>
    <s v="This will be hard to do, but if it is the right company I would try"/>
    <m/>
  </r>
  <r>
    <d v="2023-04-28T18:32:23"/>
    <s v="India"/>
    <n v="530004"/>
    <x v="1"/>
    <x v="4"/>
    <x v="1"/>
    <x v="0"/>
    <x v="1"/>
    <x v="1"/>
    <x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Work as a freelancer and do my thing my way"/>
    <s v="Manager who sets goal and helps me achieve it"/>
    <s v="Work alone"/>
    <s v="Yes"/>
    <s v="This will be hard to do, but if it is the right company I would try"/>
    <m/>
  </r>
  <r>
    <d v="2023-04-28T18:33:39"/>
    <s v="India"/>
    <n v="190015"/>
    <x v="1"/>
    <x v="4"/>
    <x v="0"/>
    <x v="3"/>
    <x v="0"/>
    <x v="0"/>
    <x v="3"/>
    <s v="Hybrid Working Environment with less than 3 days a month at office"/>
    <s v="Employer who rewards learning and enables that environment"/>
    <s v="Self Paced Learning Portals of the Company, Instructor or Expert Learning Programs, Trial and error by doing side projects within the company"/>
    <s v="Teaching in any of the institutes/colleges/online or offline, Work as a freelancer and do my thing my way, Become a content Creator in some platform, Entrepreneur or Start Up"/>
    <s v="Manager who sets goal and helps me achieve it"/>
    <s v="Work with more than 10 people in my team"/>
    <s v="Yes, I Understand this is gonna happen everywhere"/>
    <s v="No way"/>
    <m/>
  </r>
  <r>
    <d v="2023-04-28T18:43:49"/>
    <s v="India"/>
    <n v="110062"/>
    <x v="0"/>
    <x v="0"/>
    <x v="0"/>
    <x v="0"/>
    <x v="1"/>
    <x v="1"/>
    <x v="8"/>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Develop amazing software, Entrepreneur or Start Up, An Artificial Intelligence Specialist / Talking to Robots, Manufacturing / Oil and Gas/ Construction / Hard Physical Work related"/>
    <s v="Manager who clearly describes what she/he needs"/>
    <s v="Work with 5 to 6 people in my team, Work with 7 to 10 or more people in my team"/>
    <s v="I have NO other choice"/>
    <s v="No way"/>
    <m/>
  </r>
  <r>
    <d v="2023-04-28T18:53:20"/>
    <s v="India"/>
    <n v="804453"/>
    <x v="0"/>
    <x v="0"/>
    <x v="0"/>
    <x v="1"/>
    <x v="1"/>
    <x v="1"/>
    <x v="3"/>
    <s v="Fully Remote with Options to travel as and when needed"/>
    <s v="Employer who appreciates learning and enables that environment"/>
    <s v="Instructor or Expert Learning Programs, Learning by observing others, Trial and error by doing side projects within the company"/>
    <s v="Work as a freelancer and do my thing my way, Become a content Creator in some platform, I Want to sell things/Sales, An Artificial Intelligence Specialist / Talking to Robots"/>
    <s v="Manager who clearly describes what she/he needs"/>
    <s v="Work with 2 to 3 people in my team"/>
    <s v="Yes, I Understand this is gonna happen everywhere"/>
    <s v="This will be hard to do, but if it is the right company I would try"/>
    <m/>
  </r>
  <r>
    <d v="2023-04-28T18:53:38"/>
    <s v="India"/>
    <n v="560107"/>
    <x v="0"/>
    <x v="4"/>
    <x v="0"/>
    <x v="1"/>
    <x v="1"/>
    <x v="1"/>
    <x v="1"/>
    <s v="Every Day Office Environment"/>
    <s v="Employer who appreciates learning and enables that environment"/>
    <s v="Self Paced Learning Portals of the Company, Learning by observing others, Trial and error by doing side projects within the company"/>
    <s v="Work in a BPO setup for some well known client, I Want to sell things/Sales, An Artificial Intelligence Specialist / Talking to Robots, Manufacturing / Oil and Gas/ Construction / Hard Physical Work related"/>
    <s v="Manager who clearly describes what she/he needs"/>
    <s v="Work alone, Work with more than 10 people in my team"/>
    <s v="Yes"/>
    <s v="Will work for 7 years or more"/>
    <m/>
  </r>
  <r>
    <d v="2023-04-28T18:54:02"/>
    <s v="India"/>
    <n v="560022"/>
    <x v="0"/>
    <x v="0"/>
    <x v="0"/>
    <x v="0"/>
    <x v="0"/>
    <x v="1"/>
    <x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Look deeply into Data and generate insights"/>
    <s v="Manager who explains what is expected, sets a goal and helps achieve it"/>
    <s v="Work alone, Work with 2 to 3 people in my team, Work with 7 to 10 or more people in my team"/>
    <s v="Yes, I Understand this is gonna happen everywhere"/>
    <s v="This will be hard to do, but if it is the right company I would try"/>
    <m/>
  </r>
  <r>
    <d v="2023-04-28T18:56:47"/>
    <s v="India"/>
    <n v="500020"/>
    <x v="0"/>
    <x v="0"/>
    <x v="0"/>
    <x v="0"/>
    <x v="1"/>
    <x v="0"/>
    <x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Work as a freelancer and do my thing my way, Entrepreneur or Start Up"/>
    <s v="Manager who sets goal and helps me achieve it"/>
    <s v="Work alone"/>
    <s v="Yes"/>
    <s v="No way"/>
    <m/>
  </r>
  <r>
    <d v="2023-04-28T19:00:45"/>
    <s v="India"/>
    <n v="192202"/>
    <x v="1"/>
    <x v="0"/>
    <x v="2"/>
    <x v="0"/>
    <x v="0"/>
    <x v="0"/>
    <x v="7"/>
    <s v="Hybrid Working Environment with more than 15 days a month at office"/>
    <s v="Employer who appreciates learning and enables that environment"/>
    <s v="Self Paced Learning Portals of the Company, Instructor or Expert Learning Programs, Learning by observing others"/>
    <s v="Manage and drive End-to-End Projects or Products, Work in a BPO setup for some well known client, Become a content Creator in some platform, I Want to sell things/Sales"/>
    <s v="Manager who sets goal and helps me achieve it"/>
    <s v="Work with 2 to 3 people in my team"/>
    <s v="Yes, I Understand this is gonna happen everywhere"/>
    <s v="This will be hard to do, but if it is the right company I would try"/>
    <m/>
  </r>
  <r>
    <d v="2023-04-28T19:07:46"/>
    <s v="India"/>
    <n v="759001"/>
    <x v="1"/>
    <x v="0"/>
    <x v="2"/>
    <x v="0"/>
    <x v="0"/>
    <x v="0"/>
    <x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Manage and drive End-to-End Projects or Products, Build and develop a Team,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28T19:10:47"/>
    <s v="India"/>
    <n v="847211"/>
    <x v="0"/>
    <x v="4"/>
    <x v="2"/>
    <x v="0"/>
    <x v="0"/>
    <x v="1"/>
    <x v="7"/>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Entrepreneur or Start Up, Manufacturing / Oil and Gas/ Construction / Hard Physical Work related"/>
    <s v="Manager who clearly describes what she/he needs"/>
    <s v="Work with 5 to 6 people in my team"/>
    <s v="Yes, I Understand this is gonna happen everywhere"/>
    <s v="This will be hard to do, but if it is the right company I would try"/>
    <m/>
  </r>
  <r>
    <d v="2023-04-28T19:11:54"/>
    <s v="India"/>
    <n v="440024"/>
    <x v="0"/>
    <x v="0"/>
    <x v="2"/>
    <x v="0"/>
    <x v="0"/>
    <x v="0"/>
    <x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Look deeply into Data and generate insights"/>
    <s v="Manager who explains what is expected, sets a goal and helps achieve it"/>
    <s v="Work with 5 to 6 people in my team"/>
    <s v="Yes, I Understand this is gonna happen everywhere"/>
    <s v="No way"/>
    <m/>
  </r>
  <r>
    <d v="2023-04-28T19:14:11"/>
    <s v="India"/>
    <n v="581336"/>
    <x v="1"/>
    <x v="4"/>
    <x v="2"/>
    <x v="1"/>
    <x v="0"/>
    <x v="0"/>
    <x v="8"/>
    <s v="Fully Remote with No option to visit offices"/>
    <s v="Employer who rewards learning and enables that environment"/>
    <s v="Self Paced Learning Portals of the Company, Instructor or Expert Learning Programs, Learning by observing others"/>
    <s v="Design and Creative strategy in any company, Teaching in any of the institutes/colleges/online or offline, Become a content Creator in some platform, Entrepreneur or Start Up"/>
    <s v="Manager who clearly describes what she/he needs"/>
    <s v="Work with 2 to 3 people in my team, Work with 5 to 6 people in my team"/>
    <s v="Yes, I Understand this is gonna happen everywhere"/>
    <s v="Will work for 7 years or more"/>
    <m/>
  </r>
  <r>
    <d v="2023-04-28T19:18:53"/>
    <s v="India"/>
    <n v="500089"/>
    <x v="1"/>
    <x v="4"/>
    <x v="2"/>
    <x v="0"/>
    <x v="0"/>
    <x v="0"/>
    <x v="1"/>
    <s v="Fully Remote with Options to travel as and when needed"/>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Work as a freelancer and do my thing my way, Entrepreneur or Start Up"/>
    <s v="Manager who sets goal and helps me achieve it"/>
    <s v="Work with 5 to 6 people in my team"/>
    <s v="No"/>
    <s v="This will be hard to do, but if it is the right company I would try"/>
    <m/>
  </r>
  <r>
    <d v="2023-04-28T19:33:05"/>
    <s v="India"/>
    <n v="560107"/>
    <x v="0"/>
    <x v="2"/>
    <x v="2"/>
    <x v="0"/>
    <x v="0"/>
    <x v="0"/>
    <x v="7"/>
    <s v="Hybrid Working Environment with more than 15 days a month at office"/>
    <s v="Employer who pushes your limits by enabling an learning environment, and rewards you at the end"/>
    <s v="Instructor or Expert Learning Programs, Learning by observing others, Manager Teaching you"/>
    <s v="Business Operations in any organization, Build and develop a Team,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s v="Yes, I Understand this is gonna happen everywhere"/>
    <s v="This will be hard to do, but if it is the right company I would try"/>
    <m/>
  </r>
  <r>
    <d v="2023-04-28T19:34:20"/>
    <s v="India"/>
    <n v="144021"/>
    <x v="0"/>
    <x v="4"/>
    <x v="0"/>
    <x v="0"/>
    <x v="1"/>
    <x v="1"/>
    <x v="3"/>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Design and Develop amazing software, Become a content Creator in some platform, I Want to sell things/Sales"/>
    <s v="Manager who explains what is expected, sets a goal and helps achieve it"/>
    <s v="Work with 7 to 10 or more people in my team"/>
    <s v="Yes, I Understand this is gonna happen everywhere"/>
    <s v="This will be hard to do, but if it is the right company I would try"/>
    <m/>
  </r>
  <r>
    <d v="2023-04-28T19:34:42"/>
    <s v="India"/>
    <n v="690514"/>
    <x v="0"/>
    <x v="0"/>
    <x v="0"/>
    <x v="0"/>
    <x v="0"/>
    <x v="0"/>
    <x v="1"/>
    <s v="Every Day Office Environment"/>
    <s v="Employer who appreciates learning and enables that environment"/>
    <s v="Instructor or Expert Learning Programs, Learning by observing others, Manager Teaching you"/>
    <s v="Design and Creative strategy in any company, Business Operations in any organization, Look deeply into Data and generate insights, Become a content Creator in some platform"/>
    <s v="Manager who sets goal and helps me achieve it"/>
    <s v="Work with more than 10 people in my team"/>
    <s v="Yes, I Understand this is gonna happen everywhere"/>
    <s v="This will be hard to do, but if it is the right company I would try"/>
    <m/>
  </r>
  <r>
    <d v="2023-04-28T19:36:08"/>
    <s v="India"/>
    <n v="110009"/>
    <x v="0"/>
    <x v="4"/>
    <x v="2"/>
    <x v="0"/>
    <x v="0"/>
    <x v="0"/>
    <x v="2"/>
    <s v="Hybrid Working Environment with more than 15 days a month at office"/>
    <s v="Employer who pushes your limits by enabling an learning environment, and rewards you at the end"/>
    <s v="Self Paced Learning Portals of the Company, Learning by observing others, Manager Teaching you"/>
    <s v="Teaching in any of the institutes/colleges/online or offline, Become a content Creator in some platform, Entrepreneur or Start Up, I Want to sell things/Sales"/>
    <s v="Manager who sets goal and helps me achieve it"/>
    <s v="Work alone"/>
    <s v="Yes, I Understand this is gonna happen everywhere"/>
    <s v="No way"/>
    <m/>
  </r>
  <r>
    <d v="2023-04-28T19:37:57"/>
    <s v="India"/>
    <n v="603001"/>
    <x v="0"/>
    <x v="3"/>
    <x v="1"/>
    <x v="1"/>
    <x v="0"/>
    <x v="0"/>
    <x v="6"/>
    <s v="Fully Remote with Options to travel as and when needed"/>
    <s v="Employer who appreciates learning and enables that environment"/>
    <s v="Self Paced Learning Portals of the Company, Learning by observing others, Trial and error by doing side projects within the company"/>
    <s v="Business Operations in any organization, Look deeply into Data and generate insights, Entrepreneur or Start Up, I Want to sell things/Sales"/>
    <s v="Manager who clearly describes what she/he needs"/>
    <s v="Work with 7 to 10 or more people in my team"/>
    <s v="Yes, I Understand this is gonna happen everywhere"/>
    <s v="This will be hard to do, but if it is the right company I would try"/>
    <m/>
  </r>
  <r>
    <d v="2023-04-28T19:42:00"/>
    <s v="India"/>
    <n v="530016"/>
    <x v="1"/>
    <x v="4"/>
    <x v="0"/>
    <x v="1"/>
    <x v="0"/>
    <x v="0"/>
    <x v="3"/>
    <s v="Every Day Office Environment"/>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Design and Develop amazing software,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28T19:44:29"/>
    <s v="India"/>
    <n v="603001"/>
    <x v="1"/>
    <x v="2"/>
    <x v="2"/>
    <x v="0"/>
    <x v="0"/>
    <x v="0"/>
    <x v="0"/>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No"/>
    <s v="No way"/>
    <m/>
  </r>
  <r>
    <d v="2023-04-28T19:46:23"/>
    <s v="India"/>
    <n v="753001"/>
    <x v="1"/>
    <x v="4"/>
    <x v="1"/>
    <x v="1"/>
    <x v="1"/>
    <x v="1"/>
    <x v="7"/>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Entrepreneur or Start Up, An Artificial Intelligence Specialist / Talking to Robots"/>
    <s v="Manager who explains what is expected, sets a goal and helps achieve it"/>
    <s v="Work with 5 to 6 people in my team"/>
    <s v="Yes, I Understand this is gonna happen everywhere"/>
    <s v="Will work for 7 years or more"/>
    <m/>
  </r>
  <r>
    <d v="2023-04-28T19:50:32"/>
    <s v="India"/>
    <n v="600073"/>
    <x v="1"/>
    <x v="3"/>
    <x v="1"/>
    <x v="0"/>
    <x v="0"/>
    <x v="0"/>
    <x v="4"/>
    <s v="Hybrid Working Environment with less than 3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Look deeply into Data and generate insights"/>
    <s v="Manager who explains what is expected, sets a goal and helps achieve it"/>
    <s v="Work with more than 10 people in my team"/>
    <s v="Yes, I Understand this is gonna happen everywhere"/>
    <s v="No way"/>
    <m/>
  </r>
  <r>
    <d v="2023-04-28T19:51:00"/>
    <s v="India"/>
    <n v="500010"/>
    <x v="0"/>
    <x v="4"/>
    <x v="0"/>
    <x v="0"/>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Build and develop a Team, Design and Develop amazing software"/>
    <s v="Manager who explains what is expected, sets a goal and helps achieve it"/>
    <s v="Work with 5 to 6 people in my team"/>
    <s v="Yes, I Understand this is gonna happen everywhere"/>
    <s v="No way"/>
    <m/>
  </r>
  <r>
    <d v="2023-04-28T19:56:45"/>
    <s v="India"/>
    <n v="530072"/>
    <x v="1"/>
    <x v="2"/>
    <x v="2"/>
    <x v="0"/>
    <x v="0"/>
    <x v="1"/>
    <x v="3"/>
    <s v="Hybrid Working Environment with less than 3 days a month at office"/>
    <s v="Employer who rewards learning and enables that environment"/>
    <s v="Self Paced Learning Portals of the Company, Learning by observing others, Trial and error by doing side projects within the company"/>
    <s v="Manage and drive End-to-End Projects or Products, Work as a freelancer and do my thing my way, Entrepreneur or Start Up,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28T20:00:29"/>
    <s v="India"/>
    <n v="530001"/>
    <x v="1"/>
    <x v="4"/>
    <x v="2"/>
    <x v="1"/>
    <x v="0"/>
    <x v="0"/>
    <x v="4"/>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explains what is expected, sets a goal and helps achieve it"/>
    <s v="Work with more than 10 people in my team"/>
    <s v="Yes, I Understand this is gonna happen everywhere"/>
    <s v="This will be hard to do, but if it is the right company I would try"/>
    <m/>
  </r>
  <r>
    <d v="2023-04-28T20:01:02"/>
    <s v="India"/>
    <n v="502032"/>
    <x v="1"/>
    <x v="0"/>
    <x v="1"/>
    <x v="1"/>
    <x v="0"/>
    <x v="0"/>
    <x v="7"/>
    <s v="Every Day Office Environment"/>
    <s v="Employer who appreciates learning and enables that environment"/>
    <s v="Self Paced Learning Portals of the Company, Instructor or Expert Learning Programs, Learning by observing others"/>
    <s v="Design and Creative strategy in any company, Build and develop a Team, Look deeply into Data and generate insights, Work as a freelancer and do my thing my way"/>
    <s v="Manager who clearly describes what she/he needs"/>
    <s v="Work with 5 to 6 people in my team"/>
    <s v="Yes, I Understand this is gonna happen everywhere"/>
    <s v="This will be hard to do, but if it is the right company I would try"/>
    <m/>
  </r>
  <r>
    <d v="2023-04-28T20:01:46"/>
    <s v="India"/>
    <n v="533201"/>
    <x v="0"/>
    <x v="4"/>
    <x v="1"/>
    <x v="0"/>
    <x v="0"/>
    <x v="0"/>
    <x v="4"/>
    <s v="Fully Remote with Options to travel as and when needed"/>
    <s v="Employer who appreciates learning and enables that environment"/>
    <s v="Self Paced Learning Portals of the Company, Instructor or Expert Learning Programs, Trial and error by doing side projects within the company"/>
    <s v="Business Operations in any organization, Design and Develop amazing software, Look deeply into Data and generate insights, An Artificial Intelligence Specialist / Talking to Robots"/>
    <s v="Manager who explains what is expected, sets a goal and helps achieve it"/>
    <s v="Work alone, Work with 2 to 3 people in my team"/>
    <s v="Yes, I Understand this is gonna happen everywhere"/>
    <s v="No way"/>
    <m/>
  </r>
  <r>
    <d v="2023-04-28T20:05:15"/>
    <s v="India"/>
    <n v="607803"/>
    <x v="1"/>
    <x v="0"/>
    <x v="0"/>
    <x v="0"/>
    <x v="0"/>
    <x v="0"/>
    <x v="4"/>
    <s v="Hybrid Working Environment with more than 15 days a month at office"/>
    <s v="Employer who appreciates learning and enables that environment"/>
    <s v="Self Paced Learning Portals of the Company, Instructor or Expert Learning Programs, Manager Teaching you"/>
    <s v="Design and Creative strategy in any company, Teaching in any of the institutes/colleges/online or offline, Design and Develop amazing software, Entrepreneur or Start Up"/>
    <s v="Manager who sets goal and helps me achieve it"/>
    <s v="Work with 7 to 10 or more people in my team"/>
    <s v="Yes, I Understand this is gonna happen everywhere"/>
    <s v="This will be hard to do, but if it is the right company I would try"/>
    <m/>
  </r>
  <r>
    <d v="2023-04-28T20:16:14"/>
    <s v="India"/>
    <n v="560094"/>
    <x v="1"/>
    <x v="0"/>
    <x v="0"/>
    <x v="0"/>
    <x v="0"/>
    <x v="0"/>
    <x v="6"/>
    <s v="Fully Remote with Options to travel as and when needed"/>
    <s v="Employer who appreciates learning and enables that environment"/>
    <s v="Self Paced Learning Portals of the Company, Learning by observing others, Trial and error by doing side projects within the company"/>
    <s v="Design and Creative strategy in any company, Business Operations in any organization, Manage and drive End-to-End Projects or Products, Build and develop a Team"/>
    <s v="Manager who clearly describes what she/he needs"/>
    <s v="Work with 5 to 6 people in my team"/>
    <s v="Yes, I Understand this is gonna happen everywhere"/>
    <s v="This will be hard to do, but if it is the right company I would try"/>
    <m/>
  </r>
  <r>
    <d v="2023-04-28T20:18:02"/>
    <s v="India"/>
    <n v="509334"/>
    <x v="1"/>
    <x v="0"/>
    <x v="0"/>
    <x v="0"/>
    <x v="0"/>
    <x v="0"/>
    <x v="1"/>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m/>
  </r>
  <r>
    <d v="2023-04-28T20:21:09"/>
    <s v="India"/>
    <n v="531034"/>
    <x v="0"/>
    <x v="2"/>
    <x v="2"/>
    <x v="0"/>
    <x v="0"/>
    <x v="0"/>
    <x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Work as a freelancer and do my thing my way, Entrepreneur or Start Up, Manufacturing / Oil and Gas/ Construction / Hard Physical Work related"/>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28T20:21:38"/>
    <s v="India"/>
    <n v="500085"/>
    <x v="1"/>
    <x v="4"/>
    <x v="2"/>
    <x v="0"/>
    <x v="0"/>
    <x v="0"/>
    <x v="4"/>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Manage and drive End-to-End Projects or Products, Look deeply into Data and generate insights, Manufacturing / Oil and Gas/ Construction / Hard Physical Work related"/>
    <s v="Manager who explains what is expected, sets a goal and helps achieve it"/>
    <s v="Work with 2 to 3 people in my team"/>
    <s v="Yes, I Understand this is gonna happen everywhere"/>
    <s v="No way"/>
    <m/>
  </r>
  <r>
    <d v="2023-04-28T20:25:40"/>
    <s v="India"/>
    <n v="760001"/>
    <x v="1"/>
    <x v="4"/>
    <x v="2"/>
    <x v="0"/>
    <x v="0"/>
    <x v="0"/>
    <x v="1"/>
    <s v="Every Day Office Environment"/>
    <s v="Employer who appreciates learning and enables that environment"/>
    <s v="Self Paced Learning Portals of the Company, Instructor or Expert Learning Programs, Learning by observing others"/>
    <s v="Teaching in any of the institutes/colleges/online or offline, Look deeply into Data and generate insights, Become a content Creator in some platform, An Artificial Intelligence Specialist / Talking to Robots"/>
    <s v="Manager who explains what is expected, sets a goal and helps achieve it"/>
    <s v="Work with 5 to 6 people in my team"/>
    <s v="No"/>
    <s v="This will be hard to do, but if it is the right company I would try"/>
    <m/>
  </r>
  <r>
    <d v="2023-04-28T20:30:01"/>
    <s v="India"/>
    <n v="410210"/>
    <x v="0"/>
    <x v="0"/>
    <x v="1"/>
    <x v="0"/>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8T20:33:40"/>
    <s v="India"/>
    <n v="641035"/>
    <x v="0"/>
    <x v="2"/>
    <x v="0"/>
    <x v="1"/>
    <x v="0"/>
    <x v="0"/>
    <x v="5"/>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Work as a freelancer and do my thing my way,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28T20:42:52"/>
    <s v="India"/>
    <n v="560073"/>
    <x v="0"/>
    <x v="0"/>
    <x v="1"/>
    <x v="0"/>
    <x v="1"/>
    <x v="1"/>
    <x v="0"/>
    <s v="Fully Remote with Options to travel as and when needed"/>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Build and develop a Team, Work in a BPO setup for some well known client, Entrepreneur or Start Up"/>
    <s v="Manager who explains what is expected, sets a goal and helps achieve it"/>
    <s v="Work with 2 to 3 people in my team"/>
    <s v="Yes, I Understand this is gonna happen everywhere"/>
    <s v="This will be hard to do, but if it is the right company I would try"/>
    <m/>
  </r>
  <r>
    <d v="2023-04-28T20:47:30"/>
    <s v="India"/>
    <n v="503110"/>
    <x v="1"/>
    <x v="2"/>
    <x v="2"/>
    <x v="0"/>
    <x v="0"/>
    <x v="0"/>
    <x v="9"/>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Design and Develop amazing software, Work as a freelancer and do my thing my way"/>
    <s v="Manager who explains what is expected, sets a goal and helps achieve it"/>
    <s v="Work with 2 to 3 people in my team"/>
    <s v="Yes, I Understand this is gonna happen everywhere"/>
    <s v="No way"/>
    <m/>
  </r>
  <r>
    <d v="2023-04-28T20:47:48"/>
    <s v="India"/>
    <n v="400601"/>
    <x v="1"/>
    <x v="1"/>
    <x v="0"/>
    <x v="1"/>
    <x v="1"/>
    <x v="1"/>
    <x v="2"/>
    <s v="Every Day Office Environment"/>
    <s v="Employer who pushes your limits by enabling an learning environment, and rewards you at the end"/>
    <s v="Instructor or Expert Learning Programs, Learning by observing others, Self Purchased Course from External Platforms"/>
    <s v="Teaching in any of the institutes/colleges/online or offline, Business Operations in any organization, Build and develop a Team, Entrepreneur or Start Up"/>
    <s v="Manager who explains what is expected, sets a goal and helps achieve it"/>
    <s v="Work with 7 to 10 or more people in my team"/>
    <s v="Yes"/>
    <s v="Will work for 7 years or more"/>
    <m/>
  </r>
  <r>
    <d v="2023-04-28T20:51:24"/>
    <s v="India"/>
    <n v="192301"/>
    <x v="1"/>
    <x v="2"/>
    <x v="0"/>
    <x v="1"/>
    <x v="0"/>
    <x v="0"/>
    <x v="6"/>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Design and Develop amazing software, Look deeply into Data and generate insights"/>
    <s v="Manager who clearly describes what she/he needs"/>
    <s v="Work with more than 10 people in my team"/>
    <s v="Yes, I Understand this is gonna happen everywhere"/>
    <s v="Will work for 7 years or more"/>
    <m/>
  </r>
  <r>
    <d v="2023-04-28T20:54:40"/>
    <s v="India"/>
    <n v="560003"/>
    <x v="1"/>
    <x v="4"/>
    <x v="1"/>
    <x v="3"/>
    <x v="0"/>
    <x v="0"/>
    <x v="1"/>
    <s v="Hybrid Working Environment with more than 15 days a month at office"/>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s v="Yes, I Understand this is gonna happen everywhere"/>
    <s v="No way"/>
    <m/>
  </r>
  <r>
    <d v="2023-04-28T20:55:42"/>
    <s v="India"/>
    <n v="500028"/>
    <x v="0"/>
    <x v="1"/>
    <x v="1"/>
    <x v="0"/>
    <x v="0"/>
    <x v="0"/>
    <x v="3"/>
    <s v="Fully Remote with No option to visit offices"/>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ild and develop a Team,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r>
  <r>
    <d v="2023-04-28T20:55:52"/>
    <s v="India"/>
    <n v="424001"/>
    <x v="0"/>
    <x v="3"/>
    <x v="0"/>
    <x v="1"/>
    <x v="0"/>
    <x v="0"/>
    <x v="5"/>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28T20:59:06"/>
    <s v="India"/>
    <n v="500077"/>
    <x v="0"/>
    <x v="4"/>
    <x v="0"/>
    <x v="1"/>
    <x v="0"/>
    <x v="0"/>
    <x v="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Manage and drive End-to-End Projects or Products, Design and Develop amazing software, An Artificial Intelligence Specialist / Talking to Robots, Manufacturing / Oil and Gas/ Construction / Hard Physical Work related"/>
    <s v="Manager who sets targets and expects me to achieve it"/>
    <s v="Work with 7 to 10 or more people in my team"/>
    <s v="Yes, I Understand this is gonna happen everywhere"/>
    <s v="This will be hard to do, but if it is the right company I would try"/>
    <m/>
  </r>
  <r>
    <d v="2023-04-28T20:59:41"/>
    <s v="India"/>
    <n v="600041"/>
    <x v="1"/>
    <x v="0"/>
    <x v="2"/>
    <x v="1"/>
    <x v="0"/>
    <x v="0"/>
    <x v="1"/>
    <s v="Hybrid Working Environment with more than 15 days a month at office"/>
    <s v="Employer who appreciates learning and enables that environment"/>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No way"/>
    <m/>
  </r>
  <r>
    <d v="2023-04-28T21:00:32"/>
    <s v="India"/>
    <n v="560090"/>
    <x v="0"/>
    <x v="0"/>
    <x v="0"/>
    <x v="0"/>
    <x v="0"/>
    <x v="0"/>
    <x v="1"/>
    <s v="Every Day Office Environment"/>
    <s v="Employer who pushes your limits by enabling an learning environment, and rewards you at the end"/>
    <s v="Self Paced Learning Portals of the Company, Instructor or Expert Learning Programs, Manager Teaching you"/>
    <s v="Design and Creative strategy in any company, Business Operations in any organization, Entrepreneur or Start Up, Manufacturing / Oil and Gas/ Construction / Hard Physical Work related"/>
    <s v="Manager who sets targets and expects me to achieve it"/>
    <s v="Work with more than 10 people in my team"/>
    <s v="Yes, I Understand this is gonna happen everywhere"/>
    <s v="This will be hard to do, but if it is the right company I would try"/>
    <m/>
  </r>
  <r>
    <d v="2023-04-28T21:03:29"/>
    <s v="India"/>
    <n v="500028"/>
    <x v="0"/>
    <x v="0"/>
    <x v="1"/>
    <x v="0"/>
    <x v="0"/>
    <x v="0"/>
    <x v="4"/>
    <s v="Fully Remote with No option to visit offices"/>
    <s v="Employer who pushes your limits by enabling an learning environment, and rewards you at the end"/>
    <s v="Self Paced Learning Portals of the Company, Instructor or Expert Learning Programs, Manager Teaching you"/>
    <s v="Design and Creative strategy in any company, Teaching in any of the institutes/colleges/online or offline, Business Operations in any organization, Build and develop a Team"/>
    <s v="Manager who explains what is expected, sets a goal and helps achieve it"/>
    <s v="Work with 7 to 10 or more people in my team"/>
    <s v="Yes, I Understand this is gonna happen everywhere"/>
    <s v="This will be hard to do, but if it is the right company I would try"/>
    <m/>
  </r>
  <r>
    <d v="2023-04-28T21:07:34"/>
    <s v="India"/>
    <n v="492001"/>
    <x v="0"/>
    <x v="2"/>
    <x v="2"/>
    <x v="1"/>
    <x v="0"/>
    <x v="1"/>
    <x v="4"/>
    <s v="Hybrid Working Environment with more than 15 days a month at office"/>
    <s v="Employer who appreciates learning and enables that environment"/>
    <s v="Self Paced Learning Portals of the Company, Instructor or Expert Learning Programs, Self Purchased Course from External Platforms"/>
    <s v="Business Operations in any organization, Work in a BPO setup for some well known client, Entrepreneur or Start Up, Manufacturing / Oil and Gas/ Construction / Hard Physical Work related"/>
    <s v="Manager who clearly describes what she/he needs"/>
    <s v="Work with 2 to 3 people in my team"/>
    <s v="Yes"/>
    <s v="This will be hard to do, but if it is the right company I would try"/>
    <m/>
  </r>
  <r>
    <d v="2023-04-28T21:10:54"/>
    <s v="India"/>
    <n v="191101"/>
    <x v="1"/>
    <x v="4"/>
    <x v="1"/>
    <x v="0"/>
    <x v="1"/>
    <x v="0"/>
    <x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ild and develop a Team, Look deeply into Data and generate insights, Become a content Creator in some platform"/>
    <s v="Manager who sets goal and helps me achieve it"/>
    <s v="Work with more than 10 people in my team"/>
    <s v="No"/>
    <s v="This will be hard to do, but if it is the right company I would try"/>
    <m/>
  </r>
  <r>
    <d v="2023-04-28T21:17:32"/>
    <s v="India"/>
    <n v="500028"/>
    <x v="0"/>
    <x v="0"/>
    <x v="0"/>
    <x v="0"/>
    <x v="0"/>
    <x v="1"/>
    <x v="8"/>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Work as a freelancer and do my thing my way, Become a content Creator in some platform, Entrepreneur or Start Up"/>
    <s v="Manager who sets goal and helps me achieve it"/>
    <s v="Work with more than 10 people in my team"/>
    <s v="No"/>
    <s v="No way"/>
    <m/>
  </r>
  <r>
    <d v="2023-04-28T21:19:48"/>
    <s v="India"/>
    <n v="563125"/>
    <x v="1"/>
    <x v="4"/>
    <x v="0"/>
    <x v="1"/>
    <x v="1"/>
    <x v="1"/>
    <x v="4"/>
    <s v="Fully Remote with No option to visit offices"/>
    <s v="Employer who appreciates learning and enables that environment"/>
    <s v="Self Paced Learning Portals of the Company, Instructor or Expert Learning Programs, Learning by observing others"/>
    <s v="Teaching in any of the institutes/colleges/online or offline, Build and develop a Team, Become a content Creator in some platform, Entrepreneur or Start Up"/>
    <s v="Manager who sets goal and helps me achieve it"/>
    <s v="Work with 7 to 10 or more people in my team"/>
    <s v="Yes, I Understand this is gonna happen everywhere"/>
    <s v="Will work for 7 years or more"/>
    <m/>
  </r>
  <r>
    <d v="2023-04-28T21:20:41"/>
    <s v="India"/>
    <n v="110044"/>
    <x v="0"/>
    <x v="4"/>
    <x v="0"/>
    <x v="1"/>
    <x v="1"/>
    <x v="1"/>
    <x v="1"/>
    <s v="Every Day Office Environment"/>
    <s v="Employer who appreciates learning and enables that environment"/>
    <s v="Learning by observing others, Trial and error by doing side projects within the company, Manager Teaching you"/>
    <s v="Teaching in any of the institutes/colleges/online or offline, Business Operations in any organization, Design and Develop amazing software, Look deeply into Data and generate insights"/>
    <s v="Manager who clearly describes what she/he needs"/>
    <s v="Work alone, Work with 2 to 3 people in my team, Work with 5 to 6 people in my team"/>
    <s v="I have NO other choice"/>
    <s v="Will work for 7 years or more"/>
    <m/>
  </r>
  <r>
    <d v="2023-04-28T21:23:05"/>
    <s v="India"/>
    <n v="505209"/>
    <x v="0"/>
    <x v="3"/>
    <x v="2"/>
    <x v="3"/>
    <x v="0"/>
    <x v="0"/>
    <x v="1"/>
    <s v="Fully Remote with Options to travel as and when needed"/>
    <s v="Employer who appreciates learning and enables that environment"/>
    <s v="Instructor or Expert Learning Programs, Learning by observing others, Manager Teaching you"/>
    <s v="Design and Creative strategy in any company, Business Operations in any organization, Build and develop a Team, Work as a freelancer and do my thing my way"/>
    <s v="Manager who explains what is expected, sets a goal and helps achieve it"/>
    <s v="Work with 5 to 6 people in my team"/>
    <s v="No"/>
    <s v="No way"/>
    <m/>
  </r>
  <r>
    <d v="2023-04-28T21:24:52"/>
    <s v="India"/>
    <n v="505211"/>
    <x v="0"/>
    <x v="0"/>
    <x v="0"/>
    <x v="0"/>
    <x v="1"/>
    <x v="1"/>
    <x v="1"/>
    <s v="Every Day Office Environment"/>
    <s v="Employer who appreciates learning and enables that environment"/>
    <s v="Self Paced Learning Portals of the Company, Self Purchased Course from External Platforms, Manager Teaching you"/>
    <s v="Design and Creative strategy in any company, Work in a BPO setup for some well known client, An Artificial Intelligence Specialist / Talking to Robots, Manufacturing / Oil and Gas/ Construction / Hard Physical Work related"/>
    <s v="Manager who explains what is expected, sets a goal and helps achieve it"/>
    <s v="Work with 5 to 6 people in my team, Work with 7 to 10 or more people in my team, Work with more than 10 people in my team"/>
    <s v="Yes"/>
    <s v="This will be hard to do, but if it is the right company I would try"/>
    <m/>
  </r>
  <r>
    <d v="2023-04-28T21:28:05"/>
    <s v="India"/>
    <n v="713103"/>
    <x v="1"/>
    <x v="1"/>
    <x v="0"/>
    <x v="0"/>
    <x v="1"/>
    <x v="1"/>
    <x v="3"/>
    <s v="Hybrid Working Environment with less than 3 days a month at office"/>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Look deeply into Data and generate insights"/>
    <s v="Manager who sets goal and helps me achieve it"/>
    <s v="Work with 2 to 3 people in my team"/>
    <s v="Yes, I Understand this is gonna happen everywhere"/>
    <s v="This will be hard to do, but if it is the right company I would try"/>
    <m/>
  </r>
  <r>
    <d v="2023-04-28T21:37:39"/>
    <s v="India"/>
    <n v="411014"/>
    <x v="0"/>
    <x v="0"/>
    <x v="0"/>
    <x v="0"/>
    <x v="0"/>
    <x v="0"/>
    <x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Entrepreneur or Start Up"/>
    <s v="Manager who explains what is expected, sets a goal and helps achieve it"/>
    <s v="Work with more than 10 people in my team"/>
    <s v="Yes"/>
    <s v="This will be hard to do, but if it is the right company I would try"/>
    <m/>
  </r>
  <r>
    <d v="2023-04-28T21:40:53"/>
    <s v="India"/>
    <n v="68"/>
    <x v="0"/>
    <x v="2"/>
    <x v="2"/>
    <x v="0"/>
    <x v="1"/>
    <x v="0"/>
    <x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No way"/>
    <m/>
  </r>
  <r>
    <d v="2023-04-28T21:43:10"/>
    <s v="India"/>
    <n v="411032"/>
    <x v="0"/>
    <x v="3"/>
    <x v="0"/>
    <x v="0"/>
    <x v="1"/>
    <x v="1"/>
    <x v="2"/>
    <s v="Hybrid Working Environment with more than 15 days a month at office"/>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Look deeply into Data and generate insights, Entrepreneur or Start Up, An Artificial Intelligence Specialist / Talking to Robots"/>
    <s v="Manager who explains what is expected, sets a goal and helps achieve it"/>
    <s v="Work with more than 10 people in my team"/>
    <s v="Yes, I Understand this is gonna happen everywhere"/>
    <s v="No way"/>
    <m/>
  </r>
  <r>
    <d v="2023-04-28T21:47:37"/>
    <s v="India"/>
    <n v="603209"/>
    <x v="0"/>
    <x v="2"/>
    <x v="0"/>
    <x v="1"/>
    <x v="0"/>
    <x v="0"/>
    <x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s v="Yes, I Understand this is gonna happen everywhere"/>
    <s v="This will be hard to do, but if it is the right company I would try"/>
    <m/>
  </r>
  <r>
    <d v="2023-04-28T21:50:26"/>
    <s v="India"/>
    <n v="841221"/>
    <x v="1"/>
    <x v="0"/>
    <x v="0"/>
    <x v="1"/>
    <x v="1"/>
    <x v="1"/>
    <x v="7"/>
    <s v="Every Day Office Environment"/>
    <s v="Employer who rewards learning and enables that environment"/>
    <s v="Self Paced Learning Portals of the Company, Instructor or Expert Learning Programs, Learning by observing others"/>
    <s v="Look deeply into Data and generate insights, Work in a BPO setup for some well known client, Work as a freelancer and do my thing my way, Become a content Creator in some platform"/>
    <s v="Manager who sets targets and expects me to achieve it"/>
    <s v="Work with 5 to 6 people in my team"/>
    <s v="Yes"/>
    <s v="Will work for 7 years or more"/>
    <m/>
  </r>
  <r>
    <d v="2023-04-28T21:52:14"/>
    <s v="India"/>
    <n v="803302"/>
    <x v="1"/>
    <x v="4"/>
    <x v="1"/>
    <x v="0"/>
    <x v="0"/>
    <x v="1"/>
    <x v="0"/>
    <s v="Every Day Office Environment"/>
    <s v="Employer who appreciates learning and enables that environment"/>
    <s v="Learning by observing others, Trial and error by doing side projects within the company, Self Purchased Course from External Platforms"/>
    <s v="Manage and drive End-to-End Projects or Products, Look deeply into Data and generate insights, Entrepreneur or Start Up, I Want to sell things/Sales"/>
    <s v="Manager who sets targets and expects me to achieve it"/>
    <s v="Work with 2 to 3 people in my team"/>
    <s v="I have NO other choice"/>
    <s v="Will work for 7 years or more"/>
    <m/>
  </r>
  <r>
    <d v="2023-04-28T21:55:52"/>
    <s v="India"/>
    <n v="201310"/>
    <x v="1"/>
    <x v="2"/>
    <x v="2"/>
    <x v="0"/>
    <x v="1"/>
    <x v="0"/>
    <x v="0"/>
    <s v="Every Day Office Environment"/>
    <s v="Employer who reward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I Want to sell things/Sales"/>
    <s v="Manager who explains what is expected, sets a goal and helps achieve it"/>
    <s v="Work with 2 to 3 people in my team, Work with 5 to 6 people in my team"/>
    <s v="No"/>
    <s v="No way"/>
    <m/>
  </r>
  <r>
    <d v="2023-04-28T21:56:36"/>
    <s v="India"/>
    <n v="201308"/>
    <x v="1"/>
    <x v="2"/>
    <x v="1"/>
    <x v="1"/>
    <x v="0"/>
    <x v="0"/>
    <x v="0"/>
    <s v="Fully Remote with No option to visit offices"/>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ecome a content Creator in some platform, Entrepreneur or Start Up"/>
    <s v="Manager who explains what is expected, sets a goal and helps achieve it"/>
    <s v="Work alone, Work with 2 to 3 people in my team"/>
    <s v="Yes, I Understand this is gonna happen everywhere"/>
    <s v="Will work for 7 years or more"/>
    <m/>
  </r>
  <r>
    <d v="2023-04-28T21:58:09"/>
    <s v="India"/>
    <n v="803302"/>
    <x v="1"/>
    <x v="4"/>
    <x v="1"/>
    <x v="0"/>
    <x v="0"/>
    <x v="0"/>
    <x v="4"/>
    <s v="Fully Remote with No option to visit offices"/>
    <s v="Employer who pushes your limits by enabling an learning environment, and rewards you at the end"/>
    <s v="Instructor or Expert Learning Programs, Learning by observing others, Manager Teaching you"/>
    <s v="Business Operations in any organization, Design and Develop amazing software, Work as a freelancer and do my thing my way, An Artificial Intelligence Specialist / Talking to Robots"/>
    <s v="Manager who explains what is expected, sets a goal and helps achieve it"/>
    <s v="Work with 2 to 3 people in my team"/>
    <s v="No"/>
    <s v="This will be hard to do, but if it is the right company I would try"/>
    <m/>
  </r>
  <r>
    <d v="2023-04-28T21:58:33"/>
    <s v="India"/>
    <n v="600073"/>
    <x v="1"/>
    <x v="3"/>
    <x v="1"/>
    <x v="3"/>
    <x v="0"/>
    <x v="0"/>
    <x v="9"/>
    <s v="Hybrid Working Environment with more than 15 days a month at office"/>
    <s v="Employer who rewards learning and enables that environment"/>
    <s v="Instructor or Expert Learning Programs, Self Purchased Course from External Platforms, Manager Teaching you"/>
    <s v="Business Operations in any organization, Become a content Creator in some platform, Entrepreneur or Start Up, An Artificial Intelligence Specialist / Talking to Robots"/>
    <s v="Manager who clearly describes what she/he needs"/>
    <s v="Work alone"/>
    <s v="No"/>
    <s v="This will be hard to do, but if it is the right company I would try"/>
    <m/>
  </r>
  <r>
    <d v="2023-04-28T21:59:52"/>
    <s v="India"/>
    <n v="803303"/>
    <x v="0"/>
    <x v="4"/>
    <x v="1"/>
    <x v="1"/>
    <x v="0"/>
    <x v="0"/>
    <x v="1"/>
    <s v="Fully Remote with Options to travel as and when needed"/>
    <s v="Employer who pushes your limits by enabling an learning environment, and rewards you at the end"/>
    <s v="Instructor or Expert Learning Programs, Learning by observing others, Self Purchased Course from External Platforms"/>
    <s v="Teaching in any of the institutes/colleges/online or offline, Manage and drive End-to-End Projects or Products, Design and Develop amazing software, Entrepreneur or Start Up"/>
    <s v="Manager who explains what is expected, sets a goal and helps achieve it"/>
    <s v="Work with 7 to 10 or more people in my team"/>
    <s v="No"/>
    <s v="No way"/>
    <m/>
  </r>
  <r>
    <d v="2023-04-28T22:05:45"/>
    <s v="India"/>
    <n v="247667"/>
    <x v="1"/>
    <x v="0"/>
    <x v="2"/>
    <x v="1"/>
    <x v="0"/>
    <x v="1"/>
    <x v="4"/>
    <s v="Hybrid Working Environment with more than 15 days a month at office"/>
    <s v="Employer who pushes your limits by enabling an learning environment, and rewards you at the end"/>
    <s v="Self Paced Learning Portals of the Company, Learning by observing others, Manager Teaching you"/>
    <s v="Teaching in any of the institutes/colleges/online or offline, Business Operations in any organization, Manage and drive End-to-End Projects or Products, Design and Develop amazing software"/>
    <s v="Manager who clearly describes what she/he needs"/>
    <s v="Work with more than 10 people in my team"/>
    <s v="Yes, I Understand this is gonna happen everywhere"/>
    <s v="Will work for 7 years or more"/>
    <m/>
  </r>
  <r>
    <d v="2023-04-28T22:06:40"/>
    <s v="India"/>
    <n v="201310"/>
    <x v="1"/>
    <x v="1"/>
    <x v="1"/>
    <x v="0"/>
    <x v="1"/>
    <x v="1"/>
    <x v="5"/>
    <s v="Hybrid Working Environment with more than 15 days a month at office"/>
    <s v="Employer who appreciates learning and enables that environment"/>
    <s v="Self Paced Learning Portals of the Company, Instructor or Expert Learning Programs, Learning by observing others"/>
    <s v="Manage and drive End-to-End Projects or Products, Become a content Creator in some platform, Entrepreneur or Start Up, Manufacturing / Oil and Gas/ Construction / Hard Physical Work related"/>
    <s v="Manager who sets unrealistic targets"/>
    <s v="Work alone"/>
    <s v="Yes, I Understand this is gonna happen everywhere"/>
    <s v="This will be hard to do, but if it is the right company I would try"/>
    <m/>
  </r>
  <r>
    <d v="2023-04-28T22:10:35"/>
    <s v="India"/>
    <n v="201310"/>
    <x v="1"/>
    <x v="0"/>
    <x v="0"/>
    <x v="0"/>
    <x v="0"/>
    <x v="0"/>
    <x v="0"/>
    <s v="Hybrid Working Environment with less than 3 days a month at office"/>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Work as a freelancer and do my thing my way"/>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28T22:11:48"/>
    <s v="India"/>
    <n v="440013"/>
    <x v="0"/>
    <x v="4"/>
    <x v="2"/>
    <x v="1"/>
    <x v="0"/>
    <x v="0"/>
    <x v="8"/>
    <s v="Every Day Office Environment"/>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Look deeply into Data and generate insights, Work as a freelancer and do my thing my way"/>
    <s v="Manager who explains what is expected, sets a goal and helps achieve it"/>
    <s v="Work alone, Work with 2 to 3 people in my team"/>
    <s v="No"/>
    <s v="Will work for 7 years or more"/>
    <m/>
  </r>
  <r>
    <d v="2023-04-28T22:30:49"/>
    <s v="India"/>
    <n v="246174"/>
    <x v="0"/>
    <x v="1"/>
    <x v="0"/>
    <x v="1"/>
    <x v="0"/>
    <x v="0"/>
    <x v="4"/>
    <s v="Fully Remote with Options to travel as and when needed"/>
    <s v="Employer who appreciates learning and enables that environment"/>
    <s v="Instructor or Expert Learning Programs, Learning by observing others, Self Purchased Course from External Platforms"/>
    <s v="Design and Creative strategy in any company, Design and Develop amazing software, Become a content Creator in some platform, Entrepreneur or Start Up"/>
    <s v="Manager who sets goal and helps me achieve it"/>
    <s v="Work with 5 to 6 people in my team"/>
    <s v="Yes, I Understand this is gonna happen everywhere"/>
    <s v="This will be hard to do, but if it is the right company I would try"/>
    <m/>
  </r>
  <r>
    <d v="2023-04-28T22:34:30"/>
    <s v="India"/>
    <n v="452010"/>
    <x v="0"/>
    <x v="3"/>
    <x v="0"/>
    <x v="1"/>
    <x v="0"/>
    <x v="1"/>
    <x v="4"/>
    <s v="Every Day Office Environment"/>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sets goal and helps me achieve it"/>
    <s v="Work alone, Work with 5 to 6 people in my team, Work with 7 to 10 or more people in my team"/>
    <s v="Yes"/>
    <s v="This will be hard to do, but if it is the right company I would try"/>
    <m/>
  </r>
  <r>
    <d v="2023-04-28T22:34:54"/>
    <s v="India"/>
    <n v="411007"/>
    <x v="0"/>
    <x v="4"/>
    <x v="0"/>
    <x v="1"/>
    <x v="0"/>
    <x v="0"/>
    <x v="4"/>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Design and Develop amazing software, Entrepreneur or Start Up"/>
    <s v="Manager who sets goal and helps me achieve it"/>
    <s v="Work with more than 10 people in my team"/>
    <s v="Yes, I Understand this is gonna happen everywhere"/>
    <s v="No way"/>
    <m/>
  </r>
  <r>
    <d v="2023-04-28T22:36:57"/>
    <s v="India"/>
    <n v="606603"/>
    <x v="1"/>
    <x v="0"/>
    <x v="2"/>
    <x v="0"/>
    <x v="0"/>
    <x v="0"/>
    <x v="3"/>
    <s v="Every Day Office Environment"/>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Entrepreneur or Start Up, I Want to sell things/Sales"/>
    <s v="Manager who explains what is expected, sets a goal and helps achieve it"/>
    <s v="Work with more than 10 people in my team"/>
    <s v="I have NO other choice"/>
    <s v="This will be hard to do, but if it is the right company I would try"/>
    <m/>
  </r>
  <r>
    <d v="2023-04-28T22:39:00"/>
    <s v="India"/>
    <n v="500072"/>
    <x v="1"/>
    <x v="3"/>
    <x v="2"/>
    <x v="1"/>
    <x v="0"/>
    <x v="0"/>
    <x v="1"/>
    <s v="Fully Remote with Options to travel as and when needed"/>
    <s v="Employer who appreciates learning and enables that environment"/>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more than 10 people in my team"/>
    <s v="Yes, I Understand this is gonna happen everywhere"/>
    <s v="Will work for 7 years or more"/>
    <m/>
  </r>
  <r>
    <d v="2023-04-28T22:40:42"/>
    <s v="India"/>
    <n v="411044"/>
    <x v="1"/>
    <x v="4"/>
    <x v="1"/>
    <x v="1"/>
    <x v="0"/>
    <x v="0"/>
    <x v="6"/>
    <s v="Fully Remote with Options to travel as and when needed"/>
    <s v="Employer who appreciates learning and enables that environment"/>
    <s v="Self Paced Learning Portals of the Company, Instructor or Expert Learning Programs, Trial and error by doing side projects within the company"/>
    <s v="Teaching in any of the institutes/colleges/online or offline, Business Operations in any organization,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28T22:42:57"/>
    <s v="India"/>
    <n v="560075"/>
    <x v="0"/>
    <x v="0"/>
    <x v="2"/>
    <x v="1"/>
    <x v="0"/>
    <x v="0"/>
    <x v="2"/>
    <s v="Hybrid Working Environment with more than 15 days a month at office"/>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Build and develop a Team"/>
    <s v="Manager who sets goal and helps me achieve it"/>
    <s v="Work with 5 to 6 people in my team"/>
    <s v="Yes, I Understand this is gonna happen everywhere"/>
    <s v="No way"/>
    <m/>
  </r>
  <r>
    <d v="2023-04-28T22:44:11"/>
    <s v="India"/>
    <n v="411014"/>
    <x v="1"/>
    <x v="4"/>
    <x v="2"/>
    <x v="0"/>
    <x v="0"/>
    <x v="0"/>
    <x v="5"/>
    <s v="Every Day Office Environment"/>
    <s v="Employer who appreciates learning and enables that environment"/>
    <s v="Self Paced Learning Portals of the Company, Instructor or Expert Learning Programs, Trial and error by doing side projects within the company"/>
    <s v="Teaching in any of the institutes/colleges/online or offline, Manage and drive End-to-End Projects or Products, Build and develop a Team, Design and Develop amazing software"/>
    <s v="Manager who clearly describes what she/he needs"/>
    <s v="Work alone, Work with 5 to 6 people in my team"/>
    <s v="Yes, I Understand this is gonna happen everywhere"/>
    <s v="This will be hard to do, but if it is the right company I would try"/>
    <m/>
  </r>
  <r>
    <d v="2023-04-28T22:51:08"/>
    <s v="India"/>
    <n v="92"/>
    <x v="1"/>
    <x v="3"/>
    <x v="0"/>
    <x v="0"/>
    <x v="0"/>
    <x v="0"/>
    <x v="5"/>
    <s v="Hybrid Working Environment with more than 15 days a month at office"/>
    <s v="Employer who pushes your limits by enabling an learning environment, and rewards you at the end"/>
    <s v="Self Paced Learning Portals of the Company, Instructor or Expert Learning Programs, Manager Teaching you"/>
    <s v="Design and Creative strategy in any company, Look deeply into Data and generate insights, Work as a freelancer and do my thing my way, Become a content Creator in some platform"/>
    <s v="Manager who explains what is expected, sets a goal and helps achieve it"/>
    <s v="Work with 5 to 6 people in my team"/>
    <s v="I have NO other choice"/>
    <s v="This will be hard to do, but if it is the right company I would try"/>
    <m/>
  </r>
  <r>
    <d v="2023-04-28T23:03:35"/>
    <s v="India"/>
    <n v="765022"/>
    <x v="1"/>
    <x v="4"/>
    <x v="0"/>
    <x v="1"/>
    <x v="0"/>
    <x v="0"/>
    <x v="1"/>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Creative strategy in any company, Teaching in any of the institutes/colleges/online or offline, Build and develop a Team, Design and Develop amazing software"/>
    <s v="Manager who explains what is expected, sets a goal and helps achieve it"/>
    <s v="Work with more than 10 people in my team"/>
    <s v="Yes, I Understand this is gonna happen everywhere"/>
    <s v="This will be hard to do, but if it is the right company I would try"/>
    <m/>
  </r>
  <r>
    <d v="2023-04-28T23:08:50"/>
    <s v="India"/>
    <n v="530051"/>
    <x v="1"/>
    <x v="0"/>
    <x v="0"/>
    <x v="1"/>
    <x v="0"/>
    <x v="0"/>
    <x v="4"/>
    <s v="Hybrid Working Environment with more than 15 days a month at office"/>
    <s v="Employer who pushes your limits by enabling an learning environment, and rewards you at the end"/>
    <s v="Learning by observing others, Self Purchased Course from External Platforms, Manager Teaching you"/>
    <s v="Teaching in any of the institutes/colleges/online or offline, Build and develop a Team, I Want to sell things/Sales, An Artificial Intelligence Specialist / Talking to Robots"/>
    <s v="Manager who sets goal and helps me achieve it"/>
    <s v="Work with 5 to 6 people in my team"/>
    <s v="No"/>
    <s v="This will be hard to do, but if it is the right company I would try"/>
    <m/>
  </r>
  <r>
    <d v="2023-04-28T23:09:38"/>
    <s v="India"/>
    <n v="560067"/>
    <x v="0"/>
    <x v="2"/>
    <x v="1"/>
    <x v="1"/>
    <x v="0"/>
    <x v="0"/>
    <x v="1"/>
    <s v="Fully Remote with Options to travel as and when needed"/>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with more than 10 people in my team"/>
    <s v="Yes, I Understand this is gonna happen everywhere"/>
    <s v="Will work for 7 years or more"/>
    <m/>
  </r>
  <r>
    <d v="2023-04-28T23:14:34"/>
    <s v="India"/>
    <n v="600015"/>
    <x v="1"/>
    <x v="0"/>
    <x v="0"/>
    <x v="0"/>
    <x v="0"/>
    <x v="0"/>
    <x v="9"/>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Business Operations in any organization, Build and develop a Team, Design and Develop amazing software"/>
    <s v="Manager who sets goal and helps me achieve it"/>
    <s v="Work with 7 to 10 or more people in my team, Work with more than 10 people in my team"/>
    <s v="Yes, I Understand this is gonna happen everywhere"/>
    <s v="No way"/>
    <m/>
  </r>
  <r>
    <d v="2023-04-28T23:26:06"/>
    <s v="India"/>
    <n v="560090"/>
    <x v="0"/>
    <x v="4"/>
    <x v="1"/>
    <x v="3"/>
    <x v="0"/>
    <x v="0"/>
    <x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Manage and drive End-to-End Projects or Products, Look deeply into Data and generate insights, Work as a freelancer and do my thing my way"/>
    <s v="Manager who sets targets and expects me to achieve it"/>
    <s v="Work with 5 to 6 people in my team"/>
    <s v="Yes, I Understand this is gonna happen everywhere"/>
    <s v="Will work for 7 years or more"/>
    <m/>
  </r>
  <r>
    <d v="2023-04-28T23:37:46"/>
    <s v="India"/>
    <n v="410206"/>
    <x v="1"/>
    <x v="1"/>
    <x v="0"/>
    <x v="0"/>
    <x v="0"/>
    <x v="0"/>
    <x v="2"/>
    <s v="Hybrid Working Environment with more than 15 days a month at office"/>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I have NO other choice"/>
    <s v="No way"/>
    <m/>
  </r>
  <r>
    <d v="2023-04-28T23:49:56"/>
    <s v="India"/>
    <n v="562107"/>
    <x v="1"/>
    <x v="0"/>
    <x v="0"/>
    <x v="0"/>
    <x v="0"/>
    <x v="0"/>
    <x v="7"/>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Manage and drive End-to-End Projects or Products, Build and develop a Team, Work as a freelancer and do my thing my way, Entrepreneur or Start Up"/>
    <s v="Manager who explains what is expected, sets a goal and helps achieve it"/>
    <s v="Work with 5 to 6 people in my team"/>
    <s v="Yes, I Understand this is gonna happen everywhere"/>
    <s v="No way"/>
    <m/>
  </r>
  <r>
    <d v="2023-04-28T23:50:09"/>
    <s v="India"/>
    <n v="638004"/>
    <x v="0"/>
    <x v="4"/>
    <x v="0"/>
    <x v="1"/>
    <x v="0"/>
    <x v="0"/>
    <x v="5"/>
    <s v="Every Day Office Environment"/>
    <s v="Employer who rewards learning and enables that environment"/>
    <s v="Self Paced Learning Portals of the Company, Learning by observing others, Self Purchased Course from External Platforms"/>
    <s v="Design and Creative strategy in any company, Business Operations in any organization, Build and develop a Team, Entrepreneur or Start Up"/>
    <s v="Manager who clearly describes what she/he needs"/>
    <s v="Work with 2 to 3 people in my team"/>
    <s v="Yes"/>
    <s v="Will work for 7 years or more"/>
    <m/>
  </r>
  <r>
    <d v="2023-04-29T00:09:10"/>
    <s v="India"/>
    <n v="500001"/>
    <x v="0"/>
    <x v="2"/>
    <x v="0"/>
    <x v="1"/>
    <x v="1"/>
    <x v="1"/>
    <x v="6"/>
    <s v="Fully Remote with Options to travel as and when needed"/>
    <s v="Employer who pushes your limits by enabling an learning environment, and rewards you at the end"/>
    <s v="Self Paced Learning Portals of the Company, Learning by observing others, Manager Teaching you"/>
    <s v="Build and develop a Team, Become a content Creator in some platform, Entrepreneur or Start Up, I Want to sell things/Sale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r>
  <r>
    <d v="2023-04-29T00:17:35"/>
    <s v="India"/>
    <n v="400074"/>
    <x v="0"/>
    <x v="2"/>
    <x v="1"/>
    <x v="1"/>
    <x v="1"/>
    <x v="0"/>
    <x v="4"/>
    <s v="Hybrid Working Environment with more than 15 days a month at office"/>
    <s v="Employer who rewards learning and enables that environment"/>
    <s v="Self Paced Learning Portals of the Company, Learning by observing others, Self Purchased Course from External Platforms"/>
    <s v="Look deeply into Data and generate insights, Work as a freelancer and do my thing my way, Become a content Creator in some platform, Entrepreneur or Start Up"/>
    <s v="Manager who explains what is expected, sets a goal and helps achieve it"/>
    <s v="Work alone, Work with 2 to 3 people in my team, Work with more than 10 people in my team"/>
    <s v="No"/>
    <s v="This will be hard to do, but if it is the right company I would try"/>
    <m/>
  </r>
  <r>
    <d v="2023-04-29T00:24:08"/>
    <s v="India"/>
    <n v="500001"/>
    <x v="1"/>
    <x v="4"/>
    <x v="0"/>
    <x v="0"/>
    <x v="0"/>
    <x v="0"/>
    <x v="0"/>
    <s v="Fully Remote with Options to travel as and when needed"/>
    <s v="Employer who rewards learning and enables that environment"/>
    <s v="Self Paced Learning Portals of the Company, Instructor or Expert Learning Programs, Trial and error by doing side projects within the company"/>
    <s v="Design and Develop amazing software, Look deeply into Data and generate insights, Entrepreneur or Start Up, An Artificial Intelligence Specialist / Talking to Robots"/>
    <s v="Manager who explains what is expected, sets a goal and helps achieve it"/>
    <s v="Work alone, Work with 2 to 3 people in my team"/>
    <s v="Yes, I Understand this is gonna happen everywhere"/>
    <s v="No way"/>
    <m/>
  </r>
  <r>
    <d v="2023-04-29T00:34:49"/>
    <s v="India"/>
    <n v="247667"/>
    <x v="0"/>
    <x v="0"/>
    <x v="0"/>
    <x v="1"/>
    <x v="0"/>
    <x v="0"/>
    <x v="2"/>
    <s v="Hybrid Working Environment with less than 3 days a month at office"/>
    <s v="Employer who pushes your limits by enabling an learning environment, and rewards you at the end"/>
    <s v="Self Paced Learning Portals of the Company, Instructor or Expert Learning Programs, Manager Teaching you"/>
    <s v="Business Operations in any organization, Build and develop a Team, Entrepreneur or Start Up, An Artificial Intelligence Specialist / Talking to Robots"/>
    <s v="Manager who clearly describes what she/he needs"/>
    <s v="Work with more than 10 people in my team"/>
    <s v="Yes, I Understand this is gonna happen everywhere"/>
    <s v="This will be hard to do, but if it is the right company I would try"/>
    <m/>
  </r>
  <r>
    <d v="2023-04-29T00:59:02"/>
    <s v="India"/>
    <n v="500016"/>
    <x v="0"/>
    <x v="4"/>
    <x v="1"/>
    <x v="0"/>
    <x v="0"/>
    <x v="0"/>
    <x v="1"/>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Build and develop a Team"/>
    <s v="Manager who explains what is expected, sets a goal and helps achieve it"/>
    <s v="Work with 2 to 3 people in my team"/>
    <s v="No"/>
    <s v="This will be hard to do, but if it is the right company I would try"/>
    <m/>
  </r>
  <r>
    <d v="2023-04-29T01:10:31"/>
    <s v="India"/>
    <n v="560064"/>
    <x v="0"/>
    <x v="2"/>
    <x v="2"/>
    <x v="1"/>
    <x v="1"/>
    <x v="0"/>
    <x v="3"/>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5 to 6 people in my team, Work with 7 to 10 or more people in my team"/>
    <s v="Yes, I Understand this is gonna happen everywhere"/>
    <s v="No way"/>
    <m/>
  </r>
  <r>
    <d v="2023-04-29T01:43:42"/>
    <s v="India"/>
    <n v="695033"/>
    <x v="0"/>
    <x v="3"/>
    <x v="1"/>
    <x v="0"/>
    <x v="1"/>
    <x v="0"/>
    <x v="4"/>
    <s v="Hybrid Working Environment with less than 3 days a month at office"/>
    <s v="Employer who appreciates learning and enables that environment"/>
    <s v="Instructor or Expert Learning Programs, Learning by observing others, Manager Teaching you"/>
    <s v="Design and Creative strategy in any company, Build and develop a Team, Work as a freelancer and do my thing my way, Become a content Creator in some platform"/>
    <s v="Manager who sets goal and helps me achieve it"/>
    <s v="Work with 2 to 3 people in my team"/>
    <s v="Yes, I Understand this is gonna happen everywhere"/>
    <s v="This will be hard to do, but if it is the right company I would try"/>
    <m/>
  </r>
  <r>
    <d v="2023-04-29T05:24:12"/>
    <s v="India"/>
    <n v="500008"/>
    <x v="1"/>
    <x v="4"/>
    <x v="0"/>
    <x v="3"/>
    <x v="0"/>
    <x v="0"/>
    <x v="3"/>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Design and Develop amazing software, Work in a BPO setup for some well known client"/>
    <s v="Manager who explains what is expected, sets a goal and helps achieve it"/>
    <s v="Work with 2 to 3 people in my team"/>
    <s v="Yes, I Understand this is gonna happen everywhere"/>
    <s v="This will be hard to do, but if it is the right company I would try"/>
    <m/>
  </r>
  <r>
    <d v="2023-04-29T06:40:45"/>
    <s v="India"/>
    <n v="500043"/>
    <x v="1"/>
    <x v="4"/>
    <x v="1"/>
    <x v="1"/>
    <x v="0"/>
    <x v="0"/>
    <x v="1"/>
    <s v="Fully Remote with Options to travel as and when needed"/>
    <s v="Employer who rewards learning and enables that environment"/>
    <s v="Self Paced Learning Portals of the Company, Instructor or Expert Learning Programs, Manager Teaching you"/>
    <s v="Design and Creative strategy in any company, Business Operations in any organization, Design and Develop amazing software, Entrepreneur or Start Up"/>
    <s v="Manager who clearly describes what she/he needs"/>
    <s v="Work with 7 to 10 or more people in my team"/>
    <s v="Yes, I Understand this is gonna happen everywhere"/>
    <s v="Will work for 7 years or more"/>
    <m/>
  </r>
  <r>
    <d v="2023-04-29T07:48:25"/>
    <s v="India"/>
    <n v="500088"/>
    <x v="1"/>
    <x v="0"/>
    <x v="2"/>
    <x v="0"/>
    <x v="1"/>
    <x v="0"/>
    <x v="8"/>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Look deeply into Data and generate insights"/>
    <s v="Manager who explains what is expected, sets a goal and helps achieve it"/>
    <s v="Work with 7 to 10 or more people in my team"/>
    <s v="I have NO other choice"/>
    <s v="This will be hard to do, but if it is the right company I would try"/>
    <m/>
  </r>
  <r>
    <d v="2023-04-29T08:09:22"/>
    <s v="India"/>
    <n v="505460"/>
    <x v="0"/>
    <x v="4"/>
    <x v="2"/>
    <x v="0"/>
    <x v="0"/>
    <x v="0"/>
    <x v="2"/>
    <s v="Hybrid Working Environment with less than 3 days a month at office"/>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9T08:09:44"/>
    <s v="India"/>
    <n v="500070"/>
    <x v="1"/>
    <x v="2"/>
    <x v="1"/>
    <x v="3"/>
    <x v="0"/>
    <x v="0"/>
    <x v="1"/>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Entrepreneur or Start Up, An Artificial Intelligence Specialist / Talking to Robots"/>
    <s v="Manager who explains what is expected, sets a goal and helps achieve it"/>
    <s v="Work alone"/>
    <s v="Yes, I Understand this is gonna happen everywhere"/>
    <s v="No way"/>
    <m/>
  </r>
  <r>
    <d v="2023-04-29T08:12:43"/>
    <s v="India"/>
    <n v="508234"/>
    <x v="1"/>
    <x v="4"/>
    <x v="0"/>
    <x v="0"/>
    <x v="1"/>
    <x v="0"/>
    <x v="4"/>
    <s v="Every Day Office Environment"/>
    <s v="Employer who appreciates learning and enables that environment"/>
    <s v="Self Paced Learning Portals of the Company, Instructor or Expert Learning Programs, Self Purchased Course from External Platforms"/>
    <s v="Design and Creative strategy in any company, Build and develop a Team, Entrepreneur or Start Up, An Artificial Intelligence Specialist / Talking to Robots"/>
    <s v="Manager who clearly describes what she/he needs"/>
    <s v="Work with 5 to 6 people in my team"/>
    <s v="Yes, I Understand this is gonna happen everywhere"/>
    <s v="This will be hard to do, but if it is the right company I would try"/>
    <m/>
  </r>
  <r>
    <d v="2023-04-29T08:44:22"/>
    <s v="India"/>
    <n v="224135"/>
    <x v="0"/>
    <x v="4"/>
    <x v="2"/>
    <x v="1"/>
    <x v="0"/>
    <x v="1"/>
    <x v="1"/>
    <s v="Hybrid Working Environment with more than 15 days a month at office"/>
    <s v="Employer who appreciate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Work in a BPO setup for some well known client"/>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9T09:17:42"/>
    <s v="India"/>
    <n v="641006"/>
    <x v="1"/>
    <x v="0"/>
    <x v="2"/>
    <x v="0"/>
    <x v="0"/>
    <x v="1"/>
    <x v="2"/>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5 to 6 people in my team, Work with more than 10 people in my team"/>
    <s v="Yes, I Understand this is gonna happen everywhere"/>
    <s v="This will be hard to do, but if it is the right company I would try"/>
    <m/>
  </r>
  <r>
    <d v="2023-04-29T09:48:31"/>
    <s v="India"/>
    <n v="201306"/>
    <x v="0"/>
    <x v="4"/>
    <x v="0"/>
    <x v="0"/>
    <x v="0"/>
    <x v="0"/>
    <x v="7"/>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Build and develop a Team, Look deeply into Data and generate insights,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r>
  <r>
    <d v="2023-04-29T09:53:55"/>
    <s v="India"/>
    <n v="110092"/>
    <x v="0"/>
    <x v="1"/>
    <x v="2"/>
    <x v="1"/>
    <x v="0"/>
    <x v="0"/>
    <x v="1"/>
    <s v="Every Day Office Environment"/>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in a BPO setup for some well known client, Work as a freelancer and do my thing my way"/>
    <s v="Manager who explains what is expected, sets a goal and helps achieve it"/>
    <s v="Work with more than 10 people in my team"/>
    <s v="Yes, I Understand this is gonna happen everywhere"/>
    <s v="Will work for 7 years or more"/>
    <m/>
  </r>
  <r>
    <d v="2023-04-29T09:57:02"/>
    <s v="India"/>
    <n v="201301"/>
    <x v="1"/>
    <x v="0"/>
    <x v="0"/>
    <x v="1"/>
    <x v="1"/>
    <x v="0"/>
    <x v="5"/>
    <s v="Hybrid Working Environment with less than 3 days a month at office"/>
    <s v="Employer who appreciates learning and enables that environment"/>
    <s v="Self Paced Learning Portals of the Company, Instructor or Expert Learning Programs, Learning by observing others"/>
    <s v="Design and Creative strategy in any company, Manage and drive End-to-End Projects or Products, Design and Develop amazing software, An Artificial Intelligence Specialist / Talking to Robots"/>
    <s v="Manager who explains what is expected, sets a goal and helps achieve it"/>
    <s v="Work with 5 to 6 people in my team, Work with 7 to 10 or more people in my team, Work with more than 10 people in my team"/>
    <s v="Yes, I Understand this is gonna happen everywhere"/>
    <s v="This will be hard to do, but if it is the right company I would try"/>
    <m/>
  </r>
  <r>
    <d v="2023-04-29T09:58:04"/>
    <s v="India"/>
    <n v="628552"/>
    <x v="0"/>
    <x v="1"/>
    <x v="0"/>
    <x v="0"/>
    <x v="1"/>
    <x v="1"/>
    <x v="2"/>
    <s v="Every Day Office Environment"/>
    <s v="Employer who appreciates learning and enables that environment"/>
    <s v="Self Paced Learning Portals of the Company, Learning by observing others, Self Purchased Course from External Platforms"/>
    <s v="Business Operations in any organization, Work as a freelancer and do my thing my way, Entrepreneur or Start Up, I Want to sell things/Sales"/>
    <s v="Manager who explains what is expected, sets a goal and helps achieve it"/>
    <s v="Work with 2 to 3 people in my team"/>
    <s v="Yes, I Understand this is gonna happen everywhere"/>
    <s v="This will be hard to do, but if it is the right company I would try"/>
    <m/>
  </r>
  <r>
    <d v="2023-04-29T10:03:17"/>
    <s v="India"/>
    <n v="110096"/>
    <x v="0"/>
    <x v="1"/>
    <x v="0"/>
    <x v="1"/>
    <x v="1"/>
    <x v="0"/>
    <x v="8"/>
    <s v="Hybrid Working Environment with more than 15 days a month at office"/>
    <s v="Employer who appreciates learning and enables that environment"/>
    <s v="Self Paced Learning Portals of the Company, Learning by observing others, Manager Teaching you"/>
    <s v="Business Operations in any organization, Work in a BPO setup for some well known client, Work as a freelancer and do my thing my way,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29T10:15:56"/>
    <s v="India"/>
    <n v="201301"/>
    <x v="1"/>
    <x v="1"/>
    <x v="0"/>
    <x v="0"/>
    <x v="1"/>
    <x v="0"/>
    <x v="5"/>
    <s v="Every Day Office Environment"/>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s v="No"/>
    <s v="This will be hard to do, but if it is the right company I would try"/>
    <m/>
  </r>
  <r>
    <d v="2023-04-29T10:18:05"/>
    <s v="India"/>
    <n v="201301"/>
    <x v="1"/>
    <x v="1"/>
    <x v="0"/>
    <x v="0"/>
    <x v="0"/>
    <x v="0"/>
    <x v="9"/>
    <s v="Hybrid Working Environment with less than 3 days a month at office"/>
    <s v="Employer who rewards learning and enables that environment"/>
    <s v="Self Paced Learning Portals of the Company, Instructor or Expert Learning Programs, Learning by observing others"/>
    <s v="Business Operations in any organization, Design and Develop amazing software, Look deeply into Data and generate insights, Work in a BPO setup for some well known client"/>
    <s v="Manager who clearly describes what she/he needs"/>
    <s v="Work with 2 to 3 people in my team"/>
    <s v="Yes, I Understand this is gonna happen everywhere"/>
    <s v="This will be hard to do, but if it is the right company I would try"/>
    <m/>
  </r>
  <r>
    <d v="2023-04-29T10:21:54"/>
    <s v="India"/>
    <n v="110092"/>
    <x v="0"/>
    <x v="1"/>
    <x v="0"/>
    <x v="0"/>
    <x v="1"/>
    <x v="0"/>
    <x v="7"/>
    <s v="Fully Remote with Options to travel as and when needed"/>
    <s v="Employer who pushes your limits and doesn't enables learning environment and never rewards you"/>
    <s v="Self Paced Learning Portals of the Company, Instructor or Expert Learning Programs, Learning by observing others"/>
    <s v="Business Operations in any organization, Design and Develop amazing software, Work in a BPO setup for some well known client, Entrepreneur or Start Up"/>
    <s v="Manager who sets goal and helps me achieve it"/>
    <s v="Work with more than 10 people in my team"/>
    <s v="I have NO other choice"/>
    <s v="This will be hard to do, but if it is the right company I would try"/>
    <m/>
  </r>
  <r>
    <d v="2023-04-29T10:22:12"/>
    <s v="India"/>
    <n v="201301"/>
    <x v="0"/>
    <x v="2"/>
    <x v="1"/>
    <x v="0"/>
    <x v="1"/>
    <x v="0"/>
    <x v="7"/>
    <s v="Fully Remote with Options to travel as and when needed"/>
    <s v="Employer who rewards learning and enables that environment"/>
    <s v="Self Paced Learning Portals of the Company, Instructor or Expert Learning Programs, Learning by observing others"/>
    <s v="Look deeply into Data and generate insights, Work in a BPO setup for some well known client, Work as a freelancer and do my thing my way, Entrepreneur or Start Up"/>
    <s v="Manager who sets goal and helps me achieve it"/>
    <s v="Work with more than 10 people in my team"/>
    <s v="I have NO other choice"/>
    <s v="This will be hard to do, but if it is the right company I would try"/>
    <m/>
  </r>
  <r>
    <d v="2023-04-29T10:35:33"/>
    <s v="India"/>
    <n v="121003"/>
    <x v="0"/>
    <x v="4"/>
    <x v="0"/>
    <x v="0"/>
    <x v="0"/>
    <x v="0"/>
    <x v="1"/>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Entrepreneur or Start Up, An Artificial Intelligence Specialist / Talking to Robots"/>
    <s v="Manager who explains what is expected, sets a goal and helps achieve it"/>
    <s v="Work with 7 to 10 or more people in my team"/>
    <s v="No"/>
    <s v="This will be hard to do, but if it is the right company I would try"/>
    <m/>
  </r>
  <r>
    <d v="2023-04-29T10:45:49"/>
    <s v="India"/>
    <n v="201010"/>
    <x v="0"/>
    <x v="2"/>
    <x v="0"/>
    <x v="0"/>
    <x v="1"/>
    <x v="0"/>
    <x v="5"/>
    <s v="Fully Remote with Options to travel as and when needed"/>
    <s v="Employer who pushes your limits by enabling an learning environment, and rewards you at the end"/>
    <s v="Self Paced Learning Portals of the Company, Instructor or Expert Learning Programs, Learning by observing others"/>
    <s v="Build and develop a Team, Look deeply into Data and generate insights, Work as a freelancer and do my thing my way, Entrepreneur or Start Up"/>
    <s v="Manager who explains what is expected, sets a goal and helps achieve it"/>
    <s v="Work alone, Work with 2 to 3 people in my team, Work with 5 to 6 people in my team, Work with 7 to 10 or more people in my team"/>
    <s v="Yes, I Understand this is gonna happen everywhere"/>
    <s v="This will be hard to do, but if it is the right company I would try"/>
    <m/>
  </r>
  <r>
    <d v="2023-04-29T10:47:29"/>
    <s v="India"/>
    <n v="743127"/>
    <x v="0"/>
    <x v="0"/>
    <x v="0"/>
    <x v="1"/>
    <x v="1"/>
    <x v="1"/>
    <x v="2"/>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clearly describes what she/he needs"/>
    <s v="Work with 2 to 3 people in my team"/>
    <s v="Yes, I Understand this is gonna happen everywhere"/>
    <s v="This will be hard to do, but if it is the right company I would try"/>
    <m/>
  </r>
  <r>
    <d v="2023-04-29T11:05:31"/>
    <s v="India"/>
    <n v="587102"/>
    <x v="0"/>
    <x v="3"/>
    <x v="1"/>
    <x v="0"/>
    <x v="0"/>
    <x v="0"/>
    <x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alone, Work with 7 to 10 or more people in my team"/>
    <s v="Yes, I Understand this is gonna happen everywhere"/>
    <s v="No way"/>
    <m/>
  </r>
  <r>
    <d v="2023-04-29T11:06:55"/>
    <s v="India"/>
    <n v="500008"/>
    <x v="1"/>
    <x v="4"/>
    <x v="1"/>
    <x v="0"/>
    <x v="0"/>
    <x v="0"/>
    <x v="3"/>
    <s v="Fully Remote with Options to travel as and when needed"/>
    <s v="Employer who rewards learning and enables that environment"/>
    <s v="Self Paced Learning Portals of the Company, Self Purchased Course from External Platforms, Manager Teaching you"/>
    <s v="Manage and drive End-to-End Projects or Products, Build and develop a Team, Design and Develop amazing software, An Artificial Intelligence Specialist / Talking to Robots"/>
    <s v="Manager who explains what is expected, sets a goal and helps achieve it"/>
    <s v="Work with 2 to 3 people in my team"/>
    <s v="I have NO other choice"/>
    <s v="This will be hard to do, but if it is the right company I would try"/>
    <m/>
  </r>
  <r>
    <d v="2023-04-29T11:11:37"/>
    <s v="India"/>
    <n v="147003"/>
    <x v="0"/>
    <x v="0"/>
    <x v="2"/>
    <x v="0"/>
    <x v="0"/>
    <x v="0"/>
    <x v="6"/>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as a freelancer and do my thing my way, Become a content Creator in some platform"/>
    <s v="Manager who explains what is expected, sets a goal and helps achieve it"/>
    <s v="Work with 5 to 6 people in my team"/>
    <s v="Yes, I Understand this is gonna happen everywhere"/>
    <s v="No way"/>
    <m/>
  </r>
  <r>
    <d v="2023-04-29T11:27:23"/>
    <s v="India"/>
    <n v="600087"/>
    <x v="0"/>
    <x v="4"/>
    <x v="2"/>
    <x v="1"/>
    <x v="0"/>
    <x v="1"/>
    <x v="5"/>
    <s v="Every Day Office Environment"/>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Design and Develop amazing software, Look deeply into Data and generate insights"/>
    <s v="Manager who clearly describes what she/he needs"/>
    <s v="Work with 2 to 3 people in my team"/>
    <s v="No"/>
    <s v="This will be hard to do, but if it is the right company I would try"/>
    <m/>
  </r>
  <r>
    <d v="2023-04-29T11:27:24"/>
    <s v="India"/>
    <n v="452002"/>
    <x v="0"/>
    <x v="1"/>
    <x v="0"/>
    <x v="0"/>
    <x v="0"/>
    <x v="0"/>
    <x v="4"/>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9T11:27:40"/>
    <s v="India"/>
    <n v="147001"/>
    <x v="0"/>
    <x v="0"/>
    <x v="1"/>
    <x v="1"/>
    <x v="0"/>
    <x v="0"/>
    <x v="4"/>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Business Operations in any organization, Design and Develop amazing software, Look deeply into Data and generate insight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9T11:31:45"/>
    <s v="India"/>
    <n v="452007"/>
    <x v="0"/>
    <x v="3"/>
    <x v="0"/>
    <x v="0"/>
    <x v="0"/>
    <x v="0"/>
    <x v="7"/>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Look deeply into Data and generate insights, Entrepreneur or Start Up, Manufacturing / Oil and Gas/ Construction / Hard Physical Work related"/>
    <s v="Manager who explains what is expected, sets a goal and helps achieve it"/>
    <s v="Work with 5 to 6 people in my team"/>
    <s v="Yes, I Understand this is gonna happen everywhere"/>
    <s v="No way"/>
    <m/>
  </r>
  <r>
    <d v="2023-04-29T11:34:54"/>
    <s v="India"/>
    <n v="560039"/>
    <x v="1"/>
    <x v="4"/>
    <x v="2"/>
    <x v="0"/>
    <x v="0"/>
    <x v="0"/>
    <x v="4"/>
    <s v="Hybrid Working Environment with more than 15 days a month at office"/>
    <s v="Employer who rewards learning and enables that environment"/>
    <s v="Learning by observing others, Trial and error by doing side projects within the company, Manager Teaching you"/>
    <s v="Business Operations in any organization, Manage and drive End-to-End Projects or Products, Build and develop a Team, Work in a BPO setup for some well known client"/>
    <s v="Manager who explains what is expected, sets a goal and helps achieve it"/>
    <s v="Work with 5 to 6 people in my team"/>
    <s v="Yes, I Understand this is gonna happen everywhere"/>
    <s v="This will be hard to do, but if it is the right company I would try"/>
    <m/>
  </r>
  <r>
    <d v="2023-04-29T11:36:31"/>
    <s v="India"/>
    <n v="571401"/>
    <x v="1"/>
    <x v="0"/>
    <x v="1"/>
    <x v="1"/>
    <x v="0"/>
    <x v="0"/>
    <x v="4"/>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Manage and drive End-to-End Projects or Products, Design and Develop amazing software, An Artificial Intelligence Specialist / Talking to Robots, Manufacturing / Oil and Gas/ Construction / Hard Physical Work related"/>
    <s v="Manager who clearly describes what she/he needs"/>
    <s v="Work with 2 to 3 people in my team"/>
    <s v="Yes, I Understand this is gonna happen everywhere"/>
    <s v="This will be hard to do, but if it is the right company I would try"/>
    <m/>
  </r>
  <r>
    <d v="2023-04-29T11:48:06"/>
    <s v="India"/>
    <n v="533201"/>
    <x v="1"/>
    <x v="2"/>
    <x v="0"/>
    <x v="0"/>
    <x v="1"/>
    <x v="1"/>
    <x v="3"/>
    <s v="Fully Remote with No option to visit offices"/>
    <s v="Employer who appreciates learning and enables that environment"/>
    <s v="Self Paced Learning Portals of the Company, Instructor or Expert Learning Programs, Manager Teaching you"/>
    <s v="Design and Creative strategy in any company, Build and develop a Team, Design and Develop amazing software, An Artificial Intelligence Specialist / Talking to Robots"/>
    <s v="Manager who clearly describes what she/he needs"/>
    <s v="Work with 5 to 6 people in my team"/>
    <s v="Yes, I Understand this is gonna happen everywhere"/>
    <s v="This will be hard to do, but if it is the right company I would try"/>
    <m/>
  </r>
  <r>
    <d v="2023-04-29T11:49:25"/>
    <s v="India"/>
    <n v="560073"/>
    <x v="1"/>
    <x v="4"/>
    <x v="2"/>
    <x v="0"/>
    <x v="1"/>
    <x v="1"/>
    <x v="9"/>
    <s v="Hybrid Working Environment with more than 15 days a month at office"/>
    <s v="Employer who rewards learning and enables that environment"/>
    <s v="Instructor or Expert Learning Programs, Learning by observing others, Manager Teaching you"/>
    <s v="Business Operations in any organization, Manage and drive End-to-End Projects or Products, Build and develop a Team, Work in a BPO setup for some well known client"/>
    <s v="Manager who explains what is expected, sets a goal and helps achieve it"/>
    <s v="Work with more than 10 people in my team"/>
    <s v="Yes, I Understand this is gonna happen everywhere"/>
    <s v="This will be hard to do, but if it is the right company I would try"/>
    <m/>
  </r>
  <r>
    <d v="2023-04-29T12:05:12"/>
    <s v="India"/>
    <n v="560068"/>
    <x v="0"/>
    <x v="2"/>
    <x v="2"/>
    <x v="1"/>
    <x v="0"/>
    <x v="0"/>
    <x v="7"/>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Manage and drive End-to-End Projects or Products, Design and Develop amazing software, Look deeply into Data and generate insights"/>
    <s v="Manager who explains what is expected, sets a goal and helps achieve it"/>
    <s v="Work with 2 to 3 people in my team"/>
    <s v="I have NO other choice"/>
    <s v="This will be hard to do, but if it is the right company I would try"/>
    <m/>
  </r>
  <r>
    <d v="2023-04-29T12:09:20"/>
    <s v="India"/>
    <n v="201301"/>
    <x v="0"/>
    <x v="2"/>
    <x v="2"/>
    <x v="0"/>
    <x v="0"/>
    <x v="0"/>
    <x v="4"/>
    <s v="Every Day Office Environment"/>
    <s v="Employer who pushes your limits by enabling an learning environment, and rewards you at the end"/>
    <s v="Instructor or Expert Learning Programs, Learning by observing others, Trial and error by doing side projects within the company"/>
    <s v="Build and develop a Team, Work in a BPO setup for some well known client, Entrepreneur or Start Up, An Artificial Intelligence Specialist / Talking to Robots"/>
    <s v="Manager who explains what is expected, sets a goal and helps achieve it"/>
    <s v="Work with more than 10 people in my team"/>
    <s v="No"/>
    <s v="This will be hard to do, but if it is the right company I would try"/>
    <m/>
  </r>
  <r>
    <d v="2023-04-29T12:09:42"/>
    <s v="India"/>
    <n v="571128"/>
    <x v="1"/>
    <x v="3"/>
    <x v="2"/>
    <x v="0"/>
    <x v="0"/>
    <x v="0"/>
    <x v="1"/>
    <s v="Every Day Office Environment"/>
    <s v="Employer who rewards learning and enables that environment"/>
    <s v="Self Paced Learning Portals of the Company, Trial and error by doing side projects within the company, Self Purchased Course from External Platforms"/>
    <s v="Design and Develop amazing software, Look deeply into Data and generate insights, Entrepreneur or Start Up, An Artificial Intelligence Specialist / Talking to Robots"/>
    <s v="Manager who explains what is expected, sets a goal and helps achieve it"/>
    <s v="Work with 2 to 3 people in my team"/>
    <s v="Yes, I Understand this is gonna happen everywhere"/>
    <s v="No way"/>
    <m/>
  </r>
  <r>
    <d v="2023-04-29T12:12:59"/>
    <s v="India"/>
    <n v="208017"/>
    <x v="0"/>
    <x v="4"/>
    <x v="0"/>
    <x v="0"/>
    <x v="0"/>
    <x v="0"/>
    <x v="6"/>
    <s v="Fully Remote with No option to visit offices"/>
    <s v="Employer who rewards learning and enables that environment"/>
    <s v="Instructor or Expert Learning Programs, Learning by observing others, Trial and error by doing side projects within the company"/>
    <s v="Design and Creative strategy in any company,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s v="No"/>
    <s v="This will be hard to do, but if it is the right company I would try"/>
    <m/>
  </r>
  <r>
    <d v="2023-04-29T12:13:25"/>
    <s v="India"/>
    <n v="201301"/>
    <x v="0"/>
    <x v="2"/>
    <x v="2"/>
    <x v="0"/>
    <x v="0"/>
    <x v="0"/>
    <x v="4"/>
    <s v="Every Day Office Environment"/>
    <s v="Employer who pushes your limits by enabling an learning environment, and rewards you at the end"/>
    <s v="Instructor or Expert Learning Programs, Learning by observing others, Self Purchased Course from External Platforms"/>
    <s v="Business Operations in any organization, Build and develop a Team, Work in a BPO setup for some well known client, Become a content Creator in some platform"/>
    <s v="Manager who explains what is expected, sets a goal and helps achieve it"/>
    <s v="Work with more than 10 people in my team"/>
    <s v="Yes, I Understand this is gonna happen everywhere"/>
    <s v="This will be hard to do, but if it is the right company I would try"/>
    <m/>
  </r>
  <r>
    <d v="2023-04-29T12:28:46"/>
    <s v="India"/>
    <n v="146109"/>
    <x v="0"/>
    <x v="0"/>
    <x v="2"/>
    <x v="1"/>
    <x v="0"/>
    <x v="0"/>
    <x v="1"/>
    <s v="Hybrid Working Environment with more than 15 days a month at office"/>
    <s v="Employer who pushes your limits by enabling an learning environment, and rewards you at the end"/>
    <s v="Learning by observing others, Self Purchased Course from External Platforms, Manager Teaching you"/>
    <s v="Design and Creative strategy in any company, Manage and drive End-to-End Projects or Products, Build and develop a Team, Design and Develop amazing software"/>
    <s v="Manager who explains what is expected, sets a goal and helps achieve it"/>
    <s v="Work with 5 to 6 people in my team"/>
    <s v="No"/>
    <s v="Will work for 7 years or more"/>
    <m/>
  </r>
  <r>
    <d v="2023-04-29T12:37:41"/>
    <s v="India"/>
    <n v="731204"/>
    <x v="0"/>
    <x v="0"/>
    <x v="0"/>
    <x v="0"/>
    <x v="0"/>
    <x v="0"/>
    <x v="6"/>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29T12:51:00"/>
    <s v="India"/>
    <n v="454775"/>
    <x v="0"/>
    <x v="1"/>
    <x v="1"/>
    <x v="3"/>
    <x v="1"/>
    <x v="1"/>
    <x v="8"/>
    <s v="Hybrid Working Environment with more than 15 days a month at office"/>
    <s v="Employer who pushes your limits and doesn't enables learning environment and never rewards you"/>
    <s v="Trial and error by doing side projects within the company, Self Purchased Course from External Platforms, Manager Teaching you"/>
    <s v="Design and Develop amazing software, Look deeply into Data and generate insights, Work in a BPO setup for some well known client, Work as a freelancer and do my thing my way"/>
    <s v="Manager who sets unrealistic targets"/>
    <s v="Work alone"/>
    <s v="Yes"/>
    <s v="No way"/>
    <m/>
  </r>
  <r>
    <d v="2023-04-29T12:57:51"/>
    <s v="India"/>
    <n v="40089"/>
    <x v="1"/>
    <x v="2"/>
    <x v="1"/>
    <x v="1"/>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Build and develop a Team"/>
    <s v="Manager who explains what is expected, sets a goal and helps achieve it"/>
    <s v="Work with 5 to 6 people in my team"/>
    <s v="No"/>
    <s v="This will be hard to do, but if it is the right company I would try"/>
    <m/>
  </r>
  <r>
    <d v="2023-04-29T13:04:39"/>
    <s v="India"/>
    <n v="122052"/>
    <x v="1"/>
    <x v="1"/>
    <x v="1"/>
    <x v="1"/>
    <x v="1"/>
    <x v="0"/>
    <x v="0"/>
    <s v="Hybrid Working Environment with less than 3 days a month at office"/>
    <s v="Employer who pushes your limits by enabling an learning environment, and rewards you at the end"/>
    <s v="Instructor or Expert Learning Programs, Learning by observing others, Manager Teaching you"/>
    <s v="Teaching in any of the institutes/colleges/online or offline, Design and Develop amazing software, Look deeply into Data and generate insights, An Artificial Intelligence Specialist / Talking to Robots"/>
    <s v="Manager who explains what is expected, sets a goal and helps achieve it"/>
    <s v="Work with 5 to 6 people in my team"/>
    <s v="No"/>
    <s v="This will be hard to do, but if it is the right company I would try"/>
    <m/>
  </r>
  <r>
    <d v="2023-04-29T13:28:34"/>
    <s v="India"/>
    <n v="560048"/>
    <x v="0"/>
    <x v="4"/>
    <x v="0"/>
    <x v="0"/>
    <x v="0"/>
    <x v="0"/>
    <x v="4"/>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Business Operations in any organization, Manage and drive End-to-End Projects or Products, Work in a BPO setup for some well known client"/>
    <s v="Manager who explains what is expected, sets a goal and helps achieve it"/>
    <s v="Work with 7 to 10 or more people in my team"/>
    <s v="No"/>
    <s v="No way"/>
    <m/>
  </r>
  <r>
    <d v="2023-04-29T13:31:20"/>
    <s v="India"/>
    <n v="440023"/>
    <x v="0"/>
    <x v="4"/>
    <x v="1"/>
    <x v="1"/>
    <x v="0"/>
    <x v="0"/>
    <x v="1"/>
    <s v="Fully Remote with Options to travel as and when needed"/>
    <s v="Employer who appreciates learning and enables that environment"/>
    <s v="Instructor or Expert Learning Programs, Trial and error by doing side projects within the company, Manager Teaching you"/>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Will work for 7 years or more"/>
    <m/>
  </r>
  <r>
    <d v="2023-04-29T13:32:25"/>
    <s v="India"/>
    <n v="560093"/>
    <x v="1"/>
    <x v="4"/>
    <x v="1"/>
    <x v="1"/>
    <x v="1"/>
    <x v="1"/>
    <x v="8"/>
    <s v="Fully Remote with Options to travel as and when needed"/>
    <s v="Employer who appreciates learning and enables that environment"/>
    <s v="Instructor or Expert Learning Programs, Learning by observing others, Manager Teaching you"/>
    <s v="Design and Creative strategy in any company, Design and Develop amazing software, Look deeply into Data and generate insights, An Artificial Intelligence Specialist / Talking to Robots"/>
    <s v="Manager who clearly describes what she/he needs"/>
    <s v="Work with 7 to 10 or more people in my team"/>
    <s v="Yes"/>
    <s v="No way"/>
    <m/>
  </r>
  <r>
    <d v="2023-04-29T13:53:36"/>
    <s v="India"/>
    <n v="431122"/>
    <x v="0"/>
    <x v="4"/>
    <x v="0"/>
    <x v="1"/>
    <x v="0"/>
    <x v="0"/>
    <x v="5"/>
    <s v="Fully Remote with Options to travel as and when needed"/>
    <s v="Employer who appreciates learning and enables that environment"/>
    <s v="Self Paced Learning Portals of the Company, Instructor or Expert Learning Programs, Trial and error by doing side projects within the company"/>
    <s v="Design and Creative strategy in any company, Design and Develop amazing software, Look deeply into Data and generate insights,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m/>
  </r>
  <r>
    <d v="2023-04-29T13:55:34"/>
    <s v="India"/>
    <n v="530068"/>
    <x v="0"/>
    <x v="4"/>
    <x v="0"/>
    <x v="0"/>
    <x v="0"/>
    <x v="0"/>
    <x v="1"/>
    <s v="Hybrid Working Environment with less than 3 days a month at office"/>
    <s v="Employer who appreciates learning and enables that environment"/>
    <s v="Instructor or Expert Learning Programs, Learning by observing others, Self Purchased Course from External Platforms"/>
    <s v="Business Operations in any organization, Build and develop a Team, Design and Develop amazing software, Look deeply into Data and generate insigh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9T14:24:41"/>
    <s v="India"/>
    <n v="313002"/>
    <x v="1"/>
    <x v="4"/>
    <x v="1"/>
    <x v="1"/>
    <x v="0"/>
    <x v="0"/>
    <x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siness Operations in any organization, Become a content Creator in some platform"/>
    <s v="Manager who sets goal and helps me achieve it"/>
    <s v="Work with 2 to 3 people in my team"/>
    <s v="No"/>
    <s v="This will be hard to do, but if it is the right company I would try"/>
    <m/>
  </r>
  <r>
    <d v="2023-04-29T14:31:53"/>
    <s v="India"/>
    <n v="395006"/>
    <x v="0"/>
    <x v="2"/>
    <x v="0"/>
    <x v="0"/>
    <x v="0"/>
    <x v="0"/>
    <x v="1"/>
    <s v="Every Day Office Environment"/>
    <s v="Employer who pushes your limits by enabling an learning environment, and rewards you at the end"/>
    <s v="Learning by observing others, Trial and error by doing side projects within the company, Manager Teaching you"/>
    <s v="Manage and drive End-to-End Projects or Products, Look deeply into Data and generate insights, Work as a freelancer and do my thing my way, An Artificial Intelligence Specialist / Talking to Robots"/>
    <s v="Manager who sets goal and helps me achieve it"/>
    <s v="Work with 5 to 6 people in my team"/>
    <s v="Yes, I Understand this is gonna happen everywhere"/>
    <s v="No way"/>
    <m/>
  </r>
  <r>
    <d v="2023-04-29T14:46:42"/>
    <s v="India"/>
    <n v="600097"/>
    <x v="0"/>
    <x v="4"/>
    <x v="1"/>
    <x v="0"/>
    <x v="1"/>
    <x v="1"/>
    <x v="8"/>
    <s v="Hybrid Working Environment with more than 15 days a month at office"/>
    <s v="Employer who rewards learning and enables that environment"/>
    <s v="Self Paced Learning Portals of the Company, Learning by observing others, Self Purchased Course from External Platforms"/>
    <s v="Design and Creative strategy in any company, Build and develop a Team, Design and Develop amazing software, Entrepreneur or Start Up"/>
    <s v="Manager who explains what is expected, sets a goal and helps achieve it"/>
    <s v="Work with 5 to 6 people in my team, Work with 7 to 10 or more people in my team, Work with more than 10 people in my team"/>
    <s v="Yes"/>
    <s v="This will be hard to do, but if it is the right company I would try"/>
    <m/>
  </r>
  <r>
    <d v="2023-04-29T14:49:12"/>
    <s v="India"/>
    <n v="421301"/>
    <x v="1"/>
    <x v="4"/>
    <x v="2"/>
    <x v="0"/>
    <x v="0"/>
    <x v="0"/>
    <x v="4"/>
    <s v="Hybrid Working Environment with more than 15 days a month at office"/>
    <s v="Employer who appreciate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Work with 5 to 6 people in my team"/>
    <s v="No"/>
    <s v="No way"/>
    <m/>
  </r>
  <r>
    <d v="2023-04-29T14:49:53"/>
    <s v="India"/>
    <n v="400102"/>
    <x v="0"/>
    <x v="4"/>
    <x v="0"/>
    <x v="1"/>
    <x v="0"/>
    <x v="1"/>
    <x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Look deeply into Data and generate insights, Entrepreneur or Start Up"/>
    <s v="Manager who explains what is expected, sets a goal and helps achieve it"/>
    <s v="Work with 2 to 3 people in my team, Work with 5 to 6 people in my team"/>
    <s v="Yes, I Understand this is gonna happen everywhere"/>
    <s v="Will work for 7 years or more"/>
    <m/>
  </r>
  <r>
    <d v="2023-04-29T14:52:24"/>
    <s v="India"/>
    <n v="92"/>
    <x v="1"/>
    <x v="0"/>
    <x v="2"/>
    <x v="0"/>
    <x v="0"/>
    <x v="0"/>
    <x v="7"/>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Become a content Creator in some platform"/>
    <s v="Manager who explains what is expected, sets a goal and helps achieve it"/>
    <s v="Work with 5 to 6 people in my team"/>
    <s v="Yes, I Understand this is gonna happen everywhere"/>
    <s v="No way"/>
    <m/>
  </r>
  <r>
    <d v="2023-04-29T14:52:52"/>
    <s v="Others"/>
    <s v="PR17QS"/>
    <x v="1"/>
    <x v="4"/>
    <x v="0"/>
    <x v="0"/>
    <x v="0"/>
    <x v="0"/>
    <x v="6"/>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No way"/>
    <m/>
  </r>
  <r>
    <d v="2023-04-29T14:55:41"/>
    <s v="India"/>
    <n v="400008"/>
    <x v="0"/>
    <x v="4"/>
    <x v="2"/>
    <x v="0"/>
    <x v="1"/>
    <x v="0"/>
    <x v="4"/>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s v="Build and develop a Team, Entrepreneur or Start Up, I Want to sell things/Sales,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r>
  <r>
    <d v="2023-04-29T15:01:12"/>
    <s v="India"/>
    <n v="410206"/>
    <x v="1"/>
    <x v="0"/>
    <x v="0"/>
    <x v="0"/>
    <x v="0"/>
    <x v="0"/>
    <x v="7"/>
    <s v="Every Day Office Environment"/>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Look deeply into Data and generate insights, Entrepreneur or Start Up"/>
    <s v="Manager who explains what is expected, sets a goal and helps achieve it"/>
    <s v="Work with 2 to 3 people in my team"/>
    <s v="Yes, I Understand this is gonna happen everywhere"/>
    <s v="No way"/>
    <m/>
  </r>
  <r>
    <d v="2023-04-29T15:04:22"/>
    <s v="India"/>
    <n v="242401"/>
    <x v="0"/>
    <x v="2"/>
    <x v="2"/>
    <x v="1"/>
    <x v="0"/>
    <x v="0"/>
    <x v="7"/>
    <s v="Hybrid Working Environment with more than 15 days a month at office"/>
    <s v="Employer who rewards learning and enables that environment"/>
    <s v="Instructor or Expert Learning Programs, Learning by observing others, Manager Teaching you"/>
    <s v="Teaching in any of the institutes/colleges/online or offline, Business Operations in any organization, Work as a freelancer and do my thing my way, Become a content Creator in some platform"/>
    <s v="Manager who explains what is expected, sets a goal and helps achieve it"/>
    <s v="Work with 2 to 3 people in my team"/>
    <s v="Yes, I Understand this is gonna happen everywhere"/>
    <s v="Will work for 7 years or more"/>
    <m/>
  </r>
  <r>
    <d v="2023-04-29T15:12:47"/>
    <s v="India"/>
    <n v="410206"/>
    <x v="1"/>
    <x v="2"/>
    <x v="1"/>
    <x v="0"/>
    <x v="0"/>
    <x v="0"/>
    <x v="3"/>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Business Operations in any organization, Build and develop a Team, Entrepreneur or Start Up"/>
    <s v="Manager who explains what is expected, sets a goal and helps achieve it"/>
    <s v="Work with 2 to 3 people in my team"/>
    <s v="Yes, I Understand this is gonna happen everywhere"/>
    <s v="No way"/>
    <m/>
  </r>
  <r>
    <d v="2023-04-29T15:17:05"/>
    <s v="India"/>
    <n v="500090"/>
    <x v="1"/>
    <x v="4"/>
    <x v="2"/>
    <x v="0"/>
    <x v="0"/>
    <x v="0"/>
    <x v="7"/>
    <s v="Hybrid Working Environment with less than 3 days a month at office"/>
    <s v="Employer who rewards learning and enables that environment"/>
    <s v="Self Paced Learning Portals of the Company, Instructor or Expert Learning Programs, Learning by observing others"/>
    <s v="Design and Creative strategy in any company, Business Operations in any organization, Look deeply into Data and generate insights, Entrepreneur or Start Up"/>
    <s v="Manager who explains what is expected, sets a goal and helps achieve it"/>
    <s v="Work with 5 to 6 people in my team"/>
    <s v="Yes, I Understand this is gonna happen everywhere"/>
    <s v="This will be hard to do, but if it is the right company I would try"/>
    <m/>
  </r>
  <r>
    <d v="2023-04-29T15:18:08"/>
    <s v="India"/>
    <n v="370465"/>
    <x v="1"/>
    <x v="2"/>
    <x v="0"/>
    <x v="1"/>
    <x v="0"/>
    <x v="0"/>
    <x v="7"/>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ecome a content Creator in some platform, I Want to sell things/Sales"/>
    <s v="Manager who explains what is expected, sets a goal and helps achieve it"/>
    <s v="Work with 5 to 6 people in my team"/>
    <s v="No"/>
    <s v="Will work for 7 years or more"/>
    <m/>
  </r>
  <r>
    <d v="2023-04-29T15:19:04"/>
    <s v="India"/>
    <n v="410206"/>
    <x v="1"/>
    <x v="2"/>
    <x v="0"/>
    <x v="0"/>
    <x v="0"/>
    <x v="0"/>
    <x v="6"/>
    <s v="Hybrid Working Environment with less than 3 days a month at office"/>
    <s v="Employer who pushes your limits by enabling an learning environment, and rewards you at the end"/>
    <s v="Self Paced Learning Portals of the Company, Instructor or Expert Learning Programs, Manager Teaching you"/>
    <s v="Teaching in any of the institutes/colleges/online or offline, Work as a freelancer and do my thing my way, Become a content Creator in some platform, Entrepreneur or Start Up"/>
    <s v="Manager who explains what is expected, sets a goal and helps achieve it"/>
    <s v="Work with 2 to 3 people in my team"/>
    <s v="No"/>
    <s v="This will be hard to do, but if it is the right company I would try"/>
    <m/>
  </r>
  <r>
    <d v="2023-04-29T15:31:55"/>
    <s v="India"/>
    <n v="421103"/>
    <x v="0"/>
    <x v="3"/>
    <x v="0"/>
    <x v="0"/>
    <x v="0"/>
    <x v="0"/>
    <x v="2"/>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Look deeply into Data and generate insights, Work as a freelancer and do my thing my way, Become a content Creator in some platform"/>
    <s v="Manager who explains what is expected, sets a goal and helps achieve it"/>
    <s v="Work alone"/>
    <s v="Yes, I Understand this is gonna happen everywhere"/>
    <s v="No way"/>
    <m/>
  </r>
  <r>
    <d v="2023-04-29T15:34:17"/>
    <s v="India"/>
    <n v="751012"/>
    <x v="1"/>
    <x v="0"/>
    <x v="2"/>
    <x v="1"/>
    <x v="0"/>
    <x v="0"/>
    <x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Look deeply into Data and generate insights, Entrepreneur or Start Up"/>
    <s v="Manager who explains what is expected, sets a goal and helps achieve it"/>
    <s v="Work alone, Work with more than 10 people in my team"/>
    <s v="Yes, I Understand this is gonna happen everywhere"/>
    <s v="This will be hard to do, but if it is the right company I would try"/>
    <m/>
  </r>
  <r>
    <d v="2023-04-29T15:36:38"/>
    <s v="India"/>
    <n v="560107"/>
    <x v="0"/>
    <x v="0"/>
    <x v="0"/>
    <x v="0"/>
    <x v="0"/>
    <x v="1"/>
    <x v="2"/>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Look deeply into Data and generate insights, Work as a freelancer and do my thing my way, Entrepreneur or Start Up"/>
    <s v="Manager who sets goal and helps me achieve it"/>
    <s v="Work with 5 to 6 people in my team, Work with 7 to 10 or more people in my team, Work with more than 10 people in my team"/>
    <s v="Yes"/>
    <s v="This will be hard to do, but if it is the right company I would try"/>
    <m/>
  </r>
  <r>
    <d v="2023-04-29T15:43:07"/>
    <s v="India"/>
    <n v="590005"/>
    <x v="0"/>
    <x v="1"/>
    <x v="2"/>
    <x v="1"/>
    <x v="0"/>
    <x v="0"/>
    <x v="3"/>
    <s v="Hybrid Working Environment with less than 3 days a month at office"/>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Design and Develop amazing software,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r>
  <r>
    <d v="2023-04-29T15:43:17"/>
    <s v="India"/>
    <n v="533201"/>
    <x v="0"/>
    <x v="2"/>
    <x v="2"/>
    <x v="1"/>
    <x v="0"/>
    <x v="0"/>
    <x v="1"/>
    <s v="Every Day Office Environment"/>
    <s v="Employer who pushes your limits by enabling an learning environment, and rewards you at the end"/>
    <s v="Self Paced Learning Portals of the Company, Instructor or Expert Learning Programs, Learning by observing others"/>
    <s v="Manage and drive End-to-End Projects or Products, Build and develop a Team, Become a content Creator in some platform, An Artificial Intelligence Specialist / Talking to Robots"/>
    <s v="Manager who explains what is expected, sets a goal and helps achieve it"/>
    <s v="Work with more than 10 people in my team"/>
    <s v="No"/>
    <s v="Will work for 7 years or more"/>
    <m/>
  </r>
  <r>
    <d v="2023-04-29T15:47:10"/>
    <s v="India"/>
    <n v="560038"/>
    <x v="0"/>
    <x v="2"/>
    <x v="2"/>
    <x v="0"/>
    <x v="1"/>
    <x v="0"/>
    <x v="0"/>
    <s v="Every Day Office Environment"/>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Build and develop a Team, Work as a freelancer and do my thing my way"/>
    <s v="Manager who explains what is expected, sets a goal and helps achieve it"/>
    <s v="Work with 2 to 3 people in my team"/>
    <s v="Yes, I Understand this is gonna happen everywhere"/>
    <s v="This will be hard to do, but if it is the right company I would try"/>
    <m/>
  </r>
  <r>
    <d v="2023-04-29T16:07:16"/>
    <s v="India"/>
    <n v="400103"/>
    <x v="1"/>
    <x v="4"/>
    <x v="2"/>
    <x v="1"/>
    <x v="1"/>
    <x v="0"/>
    <x v="2"/>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2 to 3 people in my team, Work with 5 to 6 people in my team, Work with 7 to 10 or more people in my team, Work with more than 10 people in my team"/>
    <s v="I have NO other choice"/>
    <s v="This will be hard to do, but if it is the right company I would try"/>
    <m/>
  </r>
  <r>
    <d v="2023-04-29T16:28:57"/>
    <s v="India"/>
    <n v="410210"/>
    <x v="0"/>
    <x v="2"/>
    <x v="2"/>
    <x v="1"/>
    <x v="1"/>
    <x v="0"/>
    <x v="5"/>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An Artificial Intelligence Specialist / Talking to Robots"/>
    <s v="Manager who explains what is expected, sets a goal and helps achieve it"/>
    <s v="Work with more than 10 people in my team"/>
    <s v="Yes, I Understand this is gonna happen everywhere"/>
    <s v="This will be hard to do, but if it is the right company I would try"/>
    <m/>
  </r>
  <r>
    <d v="2023-04-29T16:34:31"/>
    <s v="India"/>
    <n v="400709"/>
    <x v="0"/>
    <x v="4"/>
    <x v="2"/>
    <x v="3"/>
    <x v="1"/>
    <x v="1"/>
    <x v="8"/>
    <s v="Every Day Office Environment"/>
    <s v="Employer who appreciates learning and enables that environment"/>
    <s v="Self Paced Learning Portals of the Company, Instructor or Expert Learning Programs, Learning by observing others"/>
    <s v="Business Operations in any organization, Entrepreneur or Start Up, I Want to sell things/Sales, An Artificial Intelligence Specialist / Talking to Robots"/>
    <s v="Manager who sets goal and helps me achieve it"/>
    <s v="Work alone, Work with 2 to 3 people in my team"/>
    <s v="Yes"/>
    <s v="No way"/>
    <m/>
  </r>
  <r>
    <d v="2023-04-29T16:55:34"/>
    <s v="India"/>
    <n v="147003"/>
    <x v="0"/>
    <x v="2"/>
    <x v="2"/>
    <x v="0"/>
    <x v="0"/>
    <x v="0"/>
    <x v="2"/>
    <s v="Hybrid Working Environment with more than 15 days a month at office"/>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Build and develop a Team"/>
    <s v="Manager who explains what is expected, sets a goal and helps achieve it"/>
    <s v="Work alone, Work with 2 to 3 people in my team"/>
    <s v="No"/>
    <s v="This will be hard to do, but if it is the right company I would try"/>
    <m/>
  </r>
  <r>
    <d v="2023-04-29T16:58:43"/>
    <s v="India"/>
    <n v="456010"/>
    <x v="1"/>
    <x v="1"/>
    <x v="0"/>
    <x v="0"/>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sets goal and helps me achieve it"/>
    <s v="Work with 2 to 3 people in my team, Work with 5 to 6 people in my team"/>
    <s v="I have NO other choice"/>
    <s v="This will be hard to do, but if it is the right company I would try"/>
    <m/>
  </r>
  <r>
    <d v="2023-04-29T16:59:21"/>
    <s v="India"/>
    <n v="142026"/>
    <x v="1"/>
    <x v="0"/>
    <x v="0"/>
    <x v="1"/>
    <x v="0"/>
    <x v="0"/>
    <x v="0"/>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Design and Creative strategy in any company, Work as a freelancer and do my thing my way, Become a content Creator in some platform, Entrepreneur or Start Up"/>
    <s v="Manager who explains what is expected, sets a goal and helps achieve it"/>
    <s v="Work with 2 to 3 people in my team"/>
    <s v="No"/>
    <s v="This will be hard to do, but if it is the right company I would try"/>
    <m/>
  </r>
  <r>
    <d v="2023-04-29T17:08:47"/>
    <s v="India"/>
    <n v="605004"/>
    <x v="1"/>
    <x v="3"/>
    <x v="1"/>
    <x v="0"/>
    <x v="0"/>
    <x v="0"/>
    <x v="5"/>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5 to 6 people in my team"/>
    <s v="Yes, I Understand this is gonna happen everywhere"/>
    <s v="No way"/>
    <m/>
  </r>
  <r>
    <d v="2023-04-29T17:10:22"/>
    <s v="India"/>
    <n v="456010"/>
    <x v="1"/>
    <x v="4"/>
    <x v="1"/>
    <x v="1"/>
    <x v="0"/>
    <x v="0"/>
    <x v="1"/>
    <s v="Fully Remote with No option to visit offices"/>
    <s v="Employer who rewards learning and enables that environment"/>
    <s v="Self Paced Learning Portals of the Company, Learning by observing others, Manager Teaching you"/>
    <s v="Business Operations in any organization, Manage and drive End-to-End Projects or Products, Build and develop a Team, Design and Develop amazing software"/>
    <s v="Manager who clearly describes what she/he needs"/>
    <s v="Work alone"/>
    <s v="No"/>
    <s v="Will work for 7 years or more"/>
    <m/>
  </r>
  <r>
    <d v="2023-04-29T17:15:39"/>
    <s v="India"/>
    <n v="456006"/>
    <x v="0"/>
    <x v="4"/>
    <x v="0"/>
    <x v="3"/>
    <x v="1"/>
    <x v="1"/>
    <x v="1"/>
    <s v="Every Day Office Environment"/>
    <s v="Employer who appreciates learning and enables that environment"/>
    <s v="Self Paced Learning Portals of the Company, Trial and error by doing side projects within the company, Self Purchased Course from External Platforms"/>
    <s v="Design and Creative strategy in any company, Business Operations in any organization, Manage and drive End-to-End Projects or Products, Manufacturing / Oil and Gas/ Construction / Hard Physical Work related"/>
    <s v="Manager who clearly describes what she/he needs"/>
    <s v="Work with 2 to 3 people in my team"/>
    <s v="Yes"/>
    <s v="No way"/>
    <m/>
  </r>
  <r>
    <d v="2023-04-29T17:18:20"/>
    <s v="India"/>
    <n v="452010"/>
    <x v="0"/>
    <x v="2"/>
    <x v="2"/>
    <x v="1"/>
    <x v="0"/>
    <x v="0"/>
    <x v="8"/>
    <s v="Fully Remote with Options to travel as and when needed"/>
    <s v="Employer who appreciates learning and enables that environment"/>
    <s v="Trial and error by doing side projects within the company, Self Purchased Course from External Platforms, Manager Teaching you"/>
    <s v="Design and Creative strategy in any company, Business Operations in any organization, Build and develop a Team, I Want to sell things/Sales"/>
    <s v="Manager who explains what is expected, sets a goal and helps achieve it"/>
    <s v="Work with more than 10 people in my team"/>
    <s v="No"/>
    <s v="Will work for 7 years or more"/>
    <m/>
  </r>
  <r>
    <d v="2023-04-29T17:20:56"/>
    <s v="India"/>
    <n v="456010"/>
    <x v="1"/>
    <x v="4"/>
    <x v="0"/>
    <x v="0"/>
    <x v="1"/>
    <x v="1"/>
    <x v="4"/>
    <s v="Hybrid Working Environment with less than 3 days a month at office"/>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Build and develop a Team, Design and Develop amazing software"/>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9T17:36:01"/>
    <s v="India"/>
    <n v="721302"/>
    <x v="1"/>
    <x v="0"/>
    <x v="0"/>
    <x v="0"/>
    <x v="0"/>
    <x v="0"/>
    <x v="4"/>
    <s v="Fully Remote with Options to travel as and when needed"/>
    <s v="Employer who pushes your limits by enabling an learning environment, and rewards you at the end"/>
    <s v="Self Paced Learning Portals of the Company, Instructor or Expert Learning Programs, Self Purchased Course from External Platforms"/>
    <s v="Design and Develop amazing software, Look deeply into Data and generate insights, Work as a freelancer and do my thing my way,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9T17:41:30"/>
    <s v="India"/>
    <n v="731130"/>
    <x v="0"/>
    <x v="4"/>
    <x v="0"/>
    <x v="0"/>
    <x v="1"/>
    <x v="1"/>
    <x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Manage and drive End-to-End Projects or Products, Build and develop a Team"/>
    <s v="Manager who clearly describes what she/he needs"/>
    <s v="Work with 2 to 3 people in my team"/>
    <s v="Yes"/>
    <s v="This will be hard to do, but if it is the right company I would try"/>
    <m/>
  </r>
  <r>
    <d v="2023-04-29T17:43:37"/>
    <s v="India"/>
    <n v="600049"/>
    <x v="1"/>
    <x v="3"/>
    <x v="0"/>
    <x v="1"/>
    <x v="0"/>
    <x v="0"/>
    <x v="4"/>
    <s v="Hybrid Working Environment with less than 3 days a month at office"/>
    <s v="Employer who rewards learning and enables that environment"/>
    <s v="Self Paced Learning Portals of the Company, Trial and error by doing side projects within the company, Self Purchased Course from External Platforms"/>
    <s v="Business Operations in any organization, Build and develop a Team, Look deeply into Data and generate insights, Work in a BPO setup for some well known client"/>
    <s v="Manager who explains what is expected, sets a goal and helps achieve it"/>
    <s v="Work with 7 to 10 or more people in my team"/>
    <s v="Yes, I Understand this is gonna happen everywhere"/>
    <s v="This will be hard to do, but if it is the right company I would try"/>
    <m/>
  </r>
  <r>
    <d v="2023-04-29T17:46:34"/>
    <s v="India"/>
    <n v="781014"/>
    <x v="0"/>
    <x v="2"/>
    <x v="2"/>
    <x v="1"/>
    <x v="0"/>
    <x v="0"/>
    <x v="4"/>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Look deeply into Data and generate insights, An Artificial Intelligence Specialist / Talking to Robots"/>
    <s v="Manager who explains what is expected, sets a goal and helps achieve it"/>
    <s v="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29T17:58:50"/>
    <s v="India"/>
    <n v="144602"/>
    <x v="0"/>
    <x v="2"/>
    <x v="0"/>
    <x v="0"/>
    <x v="0"/>
    <x v="0"/>
    <x v="9"/>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Business Operations in any organization, Manage and drive End-to-End Projects or Products,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29T17:58:52"/>
    <s v="India"/>
    <n v="110006"/>
    <x v="0"/>
    <x v="1"/>
    <x v="2"/>
    <x v="0"/>
    <x v="0"/>
    <x v="0"/>
    <x v="5"/>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Look deeply into Data and generate insights"/>
    <s v="Manager who clearly describes what she/he needs"/>
    <s v="Work with more than 10 people in my team"/>
    <s v="No"/>
    <s v="This will be hard to do, but if it is the right company I would try"/>
    <m/>
  </r>
  <r>
    <d v="2023-04-29T17:59:13"/>
    <s v="India"/>
    <n v="452009"/>
    <x v="1"/>
    <x v="3"/>
    <x v="0"/>
    <x v="0"/>
    <x v="0"/>
    <x v="0"/>
    <x v="4"/>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explains what is expected, sets a goal and helps achieve it"/>
    <s v="Work with 2 to 3 people in my team"/>
    <s v="Yes, I Understand this is gonna happen everywhere"/>
    <s v="No way"/>
    <m/>
  </r>
  <r>
    <d v="2023-04-29T17:59:20"/>
    <s v="India"/>
    <n v="456010"/>
    <x v="1"/>
    <x v="0"/>
    <x v="1"/>
    <x v="1"/>
    <x v="1"/>
    <x v="0"/>
    <x v="2"/>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Build and develop a Team, I Want to sell things/Sales"/>
    <s v="Manager who sets goal and helps me achieve it"/>
    <s v="Work with 2 to 3 people in my team"/>
    <s v="Yes, I Understand this is gonna happen everywhere"/>
    <s v="This will be hard to do, but if it is the right company I would try"/>
    <m/>
  </r>
  <r>
    <d v="2023-04-29T18:02:18"/>
    <s v="India"/>
    <n v="400067"/>
    <x v="1"/>
    <x v="2"/>
    <x v="0"/>
    <x v="0"/>
    <x v="0"/>
    <x v="0"/>
    <x v="4"/>
    <s v="Fully Remote with Options to travel as and when needed"/>
    <s v="Employer who pushes your limits by enabling an learning environment, and rewards you at the end"/>
    <s v="Instructor or Expert Learning Programs, Learning by observing others, Manager Teaching you"/>
    <s v="Business Operations in any organization, Manage and drive End-to-End Projects or Products, Work in a BPO setup for some well known client, An Artificial Intelligence Specialist / Talking to Robots"/>
    <s v="Manager who explains what is expected, sets a goal and helps achieve it"/>
    <s v="Work with 7 to 10 or more people in my team"/>
    <s v="No"/>
    <s v="No way"/>
    <m/>
  </r>
  <r>
    <d v="2023-04-29T18:08:38"/>
    <s v="India"/>
    <n v="713212"/>
    <x v="1"/>
    <x v="2"/>
    <x v="0"/>
    <x v="1"/>
    <x v="0"/>
    <x v="0"/>
    <x v="1"/>
    <s v="Every Day Office Environment"/>
    <s v="Employer who rewards learning and enables that environment"/>
    <s v="Self Paced Learning Portals of the Company, Learning by observing others, Trial and error by doing side projects within the company"/>
    <s v="Teaching in any of the institutes/colleges/online or offline, Look deeply into Data and generate insights, Work as a freelancer and do my thing my way, Manufacturing / Oil and Gas/ Construction / Hard Physical Work related"/>
    <s v="Manager who explains what is expected, sets a goal and helps achieve it"/>
    <s v="Work with 2 to 3 people in my team"/>
    <s v="No"/>
    <s v="No way"/>
    <m/>
  </r>
  <r>
    <d v="2023-04-29T18:13:20"/>
    <s v="Others"/>
    <n v="641183"/>
    <x v="0"/>
    <x v="1"/>
    <x v="0"/>
    <x v="0"/>
    <x v="0"/>
    <x v="1"/>
    <x v="2"/>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Design and Creative strategy in any company, Business Operations in any organization, Build and develop a Team, Manufacturing / Oil and Gas/ Construction / Hard Physical Work related"/>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9T18:24:49"/>
    <s v="India"/>
    <n v="560001"/>
    <x v="0"/>
    <x v="2"/>
    <x v="0"/>
    <x v="1"/>
    <x v="0"/>
    <x v="0"/>
    <x v="7"/>
    <s v="Hybrid Working Environment with less than 3 days a month at office"/>
    <s v="Employer who appreciates learning and enables that environment"/>
    <s v="Learning by observing others, Trial and error by doing side projects within the company, Manager Teaching you"/>
    <s v="Become a content Creator in some platform, I Want to sell things/Sales, An Artificial Intelligence Specialist / Talking to Robots, Manufacturing / Oil and Gas/ Construction / Hard Physical Work related"/>
    <s v="Manager who sets targets and expects me to achieve it"/>
    <s v="Work alone, Work with 5 to 6 people in my team"/>
    <s v="Yes"/>
    <s v="Will work for 7 years or more"/>
    <m/>
  </r>
  <r>
    <d v="2023-04-29T18:26:23"/>
    <s v="India"/>
    <n v="533201"/>
    <x v="1"/>
    <x v="2"/>
    <x v="2"/>
    <x v="0"/>
    <x v="0"/>
    <x v="0"/>
    <x v="8"/>
    <s v="Fully Remote with No option to visit offices"/>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29T18:32:19"/>
    <s v="India"/>
    <n v="456010"/>
    <x v="0"/>
    <x v="4"/>
    <x v="1"/>
    <x v="1"/>
    <x v="0"/>
    <x v="0"/>
    <x v="0"/>
    <s v="Every Day Office Environment"/>
    <s v="Employer who appreciates learning and enables that environment"/>
    <s v="Self Paced Learning Portals of the Company, Learning by observing others, Trial and error by doing side projects within the company"/>
    <s v="Teaching in any of the institutes/colleges/online or offline, Manage and drive End-to-End Projects or Products, Work as a freelancer and do my thing my way, Entrepreneur or Start Up"/>
    <s v="Manager who sets goal and helps me achieve it"/>
    <s v="Work with more than 10 people in my team"/>
    <s v="No"/>
    <s v="This will be hard to do, but if it is the right company I would try"/>
    <m/>
  </r>
  <r>
    <d v="2023-04-29T18:46:16"/>
    <s v="India"/>
    <n v="122008"/>
    <x v="0"/>
    <x v="4"/>
    <x v="1"/>
    <x v="1"/>
    <x v="0"/>
    <x v="0"/>
    <x v="5"/>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Look deeply into Data and generate insights, Work as a freelancer and do my thing my way"/>
    <s v="Manager who explains what is expected, sets a goal and helps achieve it"/>
    <s v="Work with more than 10 people in my team"/>
    <s v="Yes, I Understand this is gonna happen everywhere"/>
    <s v="This will be hard to do, but if it is the right company I would try"/>
    <m/>
  </r>
  <r>
    <d v="2023-04-29T19:03:14"/>
    <s v="India"/>
    <n v="160062"/>
    <x v="1"/>
    <x v="3"/>
    <x v="0"/>
    <x v="0"/>
    <x v="0"/>
    <x v="0"/>
    <x v="7"/>
    <s v="Hybrid Working Environment with more than 15 days a month at office"/>
    <s v="Employer who pushes your limits by enabling an learning environment, and rewards you at the end"/>
    <s v="Self Paced Learning Portals of the Company, Instructor or Expert Learning Programs, Self Purchased Course from External Platforms"/>
    <s v="Design and Creative strategy in any company, Teaching in any of the institutes/colleges/online or offline, Work as a freelancer and do my thing my way, Become a content Creator in some platform"/>
    <s v="Manager who explains what is expected, sets a goal and helps achieve it"/>
    <s v="Work with 5 to 6 people in my team"/>
    <s v="No"/>
    <s v="No way"/>
    <m/>
  </r>
  <r>
    <d v="2023-04-29T19:07:43"/>
    <s v="India"/>
    <n v="400703"/>
    <x v="0"/>
    <x v="4"/>
    <x v="1"/>
    <x v="1"/>
    <x v="1"/>
    <x v="1"/>
    <x v="5"/>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Become a content Creator in some platform"/>
    <s v="Manager who explains what is expected, sets a goal and helps achieve it"/>
    <s v="Work with 7 to 10 or more people in my team"/>
    <s v="Yes, I Understand this is gonna happen everywhere"/>
    <s v="This will be hard to do, but if it is the right company I would try"/>
    <m/>
  </r>
  <r>
    <d v="2023-04-29T19:08:52"/>
    <s v="India"/>
    <n v="110019"/>
    <x v="1"/>
    <x v="4"/>
    <x v="0"/>
    <x v="0"/>
    <x v="1"/>
    <x v="0"/>
    <x v="4"/>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This will be hard to do, but if it is the right company I would try"/>
    <m/>
  </r>
  <r>
    <d v="2023-04-29T19:14:46"/>
    <s v="India"/>
    <n v="410206"/>
    <x v="0"/>
    <x v="4"/>
    <x v="0"/>
    <x v="1"/>
    <x v="0"/>
    <x v="0"/>
    <x v="7"/>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Develop amazing software, Become a content Creator in some platform, An Artificial Intelligence Specialist / Talking to Robots, Manufacturing / Oil and Gas/ Construction / Hard Physical Work related"/>
    <s v="Manager who explains what is expected, sets a goal and helps achieve it"/>
    <s v="Work with 2 to 3 people in my team"/>
    <s v="Yes, I Understand this is gonna happen everywhere"/>
    <s v="This will be hard to do, but if it is the right company I would try"/>
    <m/>
  </r>
  <r>
    <d v="2023-04-29T19:18:36"/>
    <s v="India"/>
    <n v="533262"/>
    <x v="0"/>
    <x v="4"/>
    <x v="1"/>
    <x v="1"/>
    <x v="0"/>
    <x v="0"/>
    <x v="4"/>
    <s v="Every Day Office Environment"/>
    <s v="Employer who appreciates learning and enables that environment"/>
    <s v="Self Paced Learning Portals of the Company, Learning by observing others, Self Purchased Course from External Platforms"/>
    <s v="Design and Develop amazing software, Look deeply into Data and generate insights, Become a content Creator in some platfor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9T19:31:15"/>
    <s v="India"/>
    <n v="400050"/>
    <x v="1"/>
    <x v="2"/>
    <x v="2"/>
    <x v="0"/>
    <x v="0"/>
    <x v="0"/>
    <x v="2"/>
    <s v="Fully Remote with Options to travel as and when needed"/>
    <s v="Employer who rewards learning and enables that environment"/>
    <s v="Instructor or Expert Learning Programs, Trial and error by doing side projects within the company, Manager Teaching you"/>
    <s v="Design and Creative strategy in any company, Teaching in any of the institutes/colleges/online or offline, Manage and drive End-to-End Projects or Products, Work as a freelancer and do my thing my way"/>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9T19:40:39"/>
    <s v="India"/>
    <n v="700118"/>
    <x v="0"/>
    <x v="0"/>
    <x v="2"/>
    <x v="0"/>
    <x v="0"/>
    <x v="0"/>
    <x v="1"/>
    <s v="Hybrid Working Environment with more than 15 days a month at office"/>
    <s v="Employer who appreciates learning and enables that environment"/>
    <s v="Self Paced Learning Portals of the Company, Learning by observing others, Self Purchased Course from External Platforms"/>
    <s v="Design and Creative strategy in any company, Business Operations in any organization, Build and develop a Team, Design and Develop amazing software"/>
    <s v="Manager who sets goal and helps me achieve it"/>
    <s v="Work with 5 to 6 people in my team"/>
    <s v="Yes, I Understand this is gonna happen everywhere"/>
    <s v="No way"/>
    <m/>
  </r>
  <r>
    <d v="2023-04-29T19:48:19"/>
    <s v="India"/>
    <n v="605010"/>
    <x v="1"/>
    <x v="3"/>
    <x v="1"/>
    <x v="1"/>
    <x v="0"/>
    <x v="0"/>
    <x v="7"/>
    <s v="Hybrid Working Environment with more than 15 days a month at office"/>
    <s v="Employer who rewards learning and enables that environment"/>
    <s v="Instructor or Expert Learning Programs, Learning by observing others, Trial and error by doing side projects within the company"/>
    <s v="Teaching in any of the institutes/colleges/online or offline, Work as a freelancer and do my thing my way, Entrepreneur or Start Up, An Artificial Intelligence Specialist / Talking to Robots"/>
    <s v="Manager who explains what is expected, sets a goal and helps achieve it"/>
    <s v="Work with 5 to 6 people in my team"/>
    <s v="No"/>
    <s v="Will work for 7 years or more"/>
    <m/>
  </r>
  <r>
    <d v="2023-04-29T19:49:40"/>
    <s v="Others"/>
    <n v="2145"/>
    <x v="1"/>
    <x v="0"/>
    <x v="1"/>
    <x v="0"/>
    <x v="0"/>
    <x v="0"/>
    <x v="1"/>
    <s v="Fully Remote with Options to travel as and when needed"/>
    <s v="Employer who rewards learning and enables that environment"/>
    <s v="Self Paced Learning Portals of the Company, Instructor or Expert Learning Programs, Learning by observing others"/>
    <s v="Business Operations in any organization, Build and develop a Team, Design and Develop amazing software, Work as a freelancer and do my thing my way"/>
    <s v="Manager who explains what is expected, sets a goal and helps achieve it"/>
    <s v="Work with 5 to 6 people in my team"/>
    <s v="No"/>
    <s v="No way"/>
    <m/>
  </r>
  <r>
    <d v="2023-04-29T20:08:38"/>
    <s v="India"/>
    <n v="600004"/>
    <x v="1"/>
    <x v="4"/>
    <x v="2"/>
    <x v="0"/>
    <x v="0"/>
    <x v="0"/>
    <x v="1"/>
    <s v="Every Day Office Environment"/>
    <s v="Employer who rewards learning and enables that environment"/>
    <s v="Self Paced Learning Portals of the Company, Trial and error by doing side projects within the company, Self Purchased Course from External Platforms"/>
    <s v="Design and Creative strategy in any company, Manage and drive End-to-End Projects or Products, Build and develop a Team, Work as a freelancer and do my thing my way"/>
    <s v="Manager who sets targets and expects me to achieve it"/>
    <s v="Work with more than 10 people in my team"/>
    <s v="Yes, I Understand this is gonna happen everywhere"/>
    <s v="This will be hard to do, but if it is the right company I would try"/>
    <m/>
  </r>
  <r>
    <d v="2023-04-29T20:09:54"/>
    <s v="Canada"/>
    <s v="V5Z3G7"/>
    <x v="0"/>
    <x v="2"/>
    <x v="0"/>
    <x v="1"/>
    <x v="0"/>
    <x v="0"/>
    <x v="3"/>
    <s v="Every Day Office Environment"/>
    <s v="Employer who appreciates learning and enables that environment"/>
    <s v="Self Paced Learning Portals of the Company, Self Purchased Course from External Platforms, Manager Teaching you"/>
    <s v="Design and Creative strategy in any company, Build and develop a Team, Work as a freelancer and do my thing my way, I Want to sell things/Sales"/>
    <s v="Manager who clearly describes what she/he needs"/>
    <s v="Work with 7 to 10 or more people in my team, Work with more than 10 people in my team"/>
    <s v="Yes, I Understand this is gonna happen everywhere"/>
    <s v="This will be hard to do, but if it is the right company I would try"/>
    <m/>
  </r>
  <r>
    <d v="2023-04-29T20:12:28"/>
    <s v="India"/>
    <n v="110076"/>
    <x v="1"/>
    <x v="2"/>
    <x v="0"/>
    <x v="1"/>
    <x v="0"/>
    <x v="0"/>
    <x v="7"/>
    <s v="Hybrid Working Environment with more than 15 days a month at office"/>
    <s v="Employer who rewards learning and enables that environment"/>
    <s v="Instructor or Expert Learning Programs, Learning by observing others, Self Purchased Course from External Platforms"/>
    <s v="Business Operations in any organization, Manage and drive End-to-End Projects or Products, Look deeply into Data and generate insights, Become a content Creator in some platform"/>
    <s v="Manager who explains what is expected, sets a goal and helps achieve it"/>
    <s v="Work with 5 to 6 people in my team"/>
    <s v="Yes"/>
    <s v="Will work for 7 years or more"/>
    <m/>
  </r>
  <r>
    <d v="2023-04-29T20:12:34"/>
    <s v="India"/>
    <n v="500003"/>
    <x v="1"/>
    <x v="2"/>
    <x v="2"/>
    <x v="3"/>
    <x v="0"/>
    <x v="1"/>
    <x v="2"/>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Look deeply into Data and generate insights, Work as a freelancer and do my thing my way"/>
    <s v="Manager who clearly describes what she/he needs"/>
    <s v="Work with 2 to 3 people in my team"/>
    <s v="No"/>
    <s v="No way"/>
    <m/>
  </r>
  <r>
    <d v="2023-04-29T20:13:15"/>
    <s v="India"/>
    <n v="160062"/>
    <x v="0"/>
    <x v="4"/>
    <x v="1"/>
    <x v="0"/>
    <x v="0"/>
    <x v="0"/>
    <x v="0"/>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Design and Develop amazing software, Work as a freelancer and do my thing my way"/>
    <s v="Manager who explains what is expected, sets a goal and helps achieve it"/>
    <s v="Work with 5 to 6 people in my team"/>
    <s v="I have NO other choice"/>
    <s v="This will be hard to do, but if it is the right company I would try"/>
    <m/>
  </r>
  <r>
    <d v="2023-04-29T20:13:17"/>
    <s v="India"/>
    <n v="505001"/>
    <x v="1"/>
    <x v="0"/>
    <x v="0"/>
    <x v="0"/>
    <x v="0"/>
    <x v="0"/>
    <x v="2"/>
    <s v="Hybrid Working Environment with less than 3 days a month at office"/>
    <s v="Employer who pushes your limits by enabling an learning environment, and rewards you at the end"/>
    <s v="Self Paced Learning Portals of the Company, Learning by observing others, Self Purchased Course from External Platforms"/>
    <s v="Business Operations in any organization, Manage and drive End-to-End Projects or Products, Look deeply into Data and generate insights, Entrepreneur or Start Up"/>
    <s v="Manager who sets goal and helps me achieve it"/>
    <s v="Work with 7 to 10 or more people in my team"/>
    <s v="No"/>
    <s v="This will be hard to do, but if it is the right company I would try"/>
    <m/>
  </r>
  <r>
    <d v="2023-04-29T20:14:34"/>
    <s v="India"/>
    <n v="160062"/>
    <x v="0"/>
    <x v="1"/>
    <x v="1"/>
    <x v="0"/>
    <x v="0"/>
    <x v="0"/>
    <x v="1"/>
    <s v="Fully Remote with Options to travel as and when needed"/>
    <s v="Employer who pushes your limits by enabling an learning environment, and rewards you at the end"/>
    <s v="Self Paced Learning Portals of the Company, Learning by observing others, Trial and error by doing side projects within the company"/>
    <s v="Work as a freelancer and do my thing my way, Entrepreneur or Start Up, I Want to sell things/Sales, An Artificial Intelligence Specialist / Talking to Robots"/>
    <s v="Manager who explains what is expected, sets a goal and helps achieve it"/>
    <s v="Work with 2 to 3 people in my team"/>
    <s v="No"/>
    <s v="Will work for 7 years or more"/>
    <m/>
  </r>
  <r>
    <d v="2023-04-29T20:19:27"/>
    <s v="India"/>
    <n v="533262"/>
    <x v="0"/>
    <x v="2"/>
    <x v="2"/>
    <x v="0"/>
    <x v="1"/>
    <x v="1"/>
    <x v="0"/>
    <s v="Hybrid Working Environment with less than 3 days a month at office"/>
    <s v="Employer who appreciates learning and enables that environment"/>
    <s v="Instructor or Expert Learning Programs, Learning by observing others, Trial and error by doing side projects within the company"/>
    <s v="Business Operations in any organization, Build and develop a Team, Design and Develop amazing software, Entrepreneur or Start Up"/>
    <s v="Manager who explains what is expected, sets a goal and helps achieve it"/>
    <s v="Work with 7 to 10 or more people in my team"/>
    <s v="No"/>
    <s v="This will be hard to do, but if it is the right company I would try"/>
    <m/>
  </r>
  <r>
    <d v="2023-04-29T20:22:00"/>
    <s v="India"/>
    <n v="505001"/>
    <x v="0"/>
    <x v="4"/>
    <x v="1"/>
    <x v="0"/>
    <x v="0"/>
    <x v="0"/>
    <x v="4"/>
    <s v="Every Day Office Environment"/>
    <s v="Employer who pushes your limits by enabling an learning environment, and rewards you at the end"/>
    <s v="Learning by observing others, Trial and error by doing side projects within the company, Manager Teaching you"/>
    <s v="Teaching in any of the institutes/colleges/online or offline, Build and develop a Team,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29T20:22:23"/>
    <s v="India"/>
    <n v="533005"/>
    <x v="0"/>
    <x v="4"/>
    <x v="0"/>
    <x v="0"/>
    <x v="1"/>
    <x v="1"/>
    <x v="6"/>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Design and Develop amazing software, Work in a BPO setup for some well known client,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29T20:22:50"/>
    <s v="India"/>
    <n v="500026"/>
    <x v="1"/>
    <x v="4"/>
    <x v="0"/>
    <x v="0"/>
    <x v="0"/>
    <x v="1"/>
    <x v="3"/>
    <s v="Fully Remote with Options to travel as and when needed"/>
    <s v="Employer who appreciates learning and enables that environment"/>
    <s v="Self Paced Learning Portals of the Company, Instructor or Expert Learning Programs, Manager Teaching you"/>
    <s v="Business Operations in any organization, Manage and drive End-to-End Projects or Products, Design and Develop amazing software, An Artificial Intelligence Specialist / Talking to Robots"/>
    <s v="Manager who sets targets and expects me to achieve it"/>
    <s v="Work alone, Work with 7 to 10 or more people in my team"/>
    <s v="No"/>
    <s v="No way"/>
    <m/>
  </r>
  <r>
    <d v="2023-04-29T20:23:50"/>
    <s v="India"/>
    <n v="533262"/>
    <x v="1"/>
    <x v="4"/>
    <x v="0"/>
    <x v="1"/>
    <x v="1"/>
    <x v="1"/>
    <x v="7"/>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clearly describes what she/he needs"/>
    <s v="Work with 5 to 6 people in my team"/>
    <s v="Yes, I Understand this is gonna happen everywhere"/>
    <s v="This will be hard to do, but if it is the right company I would try"/>
    <m/>
  </r>
  <r>
    <d v="2023-04-29T20:24:02"/>
    <s v="India"/>
    <n v="110060"/>
    <x v="0"/>
    <x v="0"/>
    <x v="2"/>
    <x v="3"/>
    <x v="0"/>
    <x v="0"/>
    <x v="1"/>
    <s v="Hybrid Working Environment with less than 3 days a month at office"/>
    <s v="Employer who appreciates learning and enables that environment"/>
    <s v="Self Paced Learning Portals of the Company, Trial and error by doing side projects within the company, Self Purchased Course from External Platforms"/>
    <s v="Work as a freelancer and do my thing my way, Become a content Creator in some platform, Entrepreneur or Start Up, I Want to sell things/Sales"/>
    <s v="Manager who clearly describes what she/he needs"/>
    <s v="Work alone"/>
    <s v="No"/>
    <s v="No way"/>
    <m/>
  </r>
  <r>
    <d v="2023-04-29T20:29:08"/>
    <s v="India"/>
    <n v="500009"/>
    <x v="0"/>
    <x v="4"/>
    <x v="0"/>
    <x v="0"/>
    <x v="0"/>
    <x v="0"/>
    <x v="3"/>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Teaching in any of the institutes/colleges/online or offline, Business Operations in any organization, Build and develop a Team"/>
    <s v="Manager who clearly describes what she/he needs"/>
    <s v="Work with 7 to 10 or more people in my team"/>
    <s v="No"/>
    <s v="This will be hard to do, but if it is the right company I would try"/>
    <m/>
  </r>
  <r>
    <d v="2023-04-29T20:30:37"/>
    <s v="India"/>
    <n v="500057"/>
    <x v="1"/>
    <x v="4"/>
    <x v="1"/>
    <x v="0"/>
    <x v="0"/>
    <x v="0"/>
    <x v="8"/>
    <s v="Every Day Office Environment"/>
    <s v="Employer who rewards learning and enables that environment"/>
    <s v="Self Paced Learning Portals of the Company, Learning by observing others, Trial and error by doing side projects within the company"/>
    <s v="Business Operations in any organization, Manage and drive End-to-End Projects or Products, Build and develop a Team, Look deeply into Data and generate insights"/>
    <s v="Manager who explains what is expected, sets a goal and helps achieve it"/>
    <s v="Work alone"/>
    <s v="No"/>
    <s v="This will be hard to do, but if it is the right company I would try"/>
    <m/>
  </r>
  <r>
    <d v="2023-04-29T20:30:38"/>
    <s v="India"/>
    <n v="500083"/>
    <x v="0"/>
    <x v="3"/>
    <x v="1"/>
    <x v="0"/>
    <x v="0"/>
    <x v="1"/>
    <x v="8"/>
    <s v="Hybrid Working Environment with more than 15 days a month at office"/>
    <s v="Employer who rewards learning and enables that environment"/>
    <s v="Self Paced Learning Portals of the Company, Instructor or Expert Learning Programs, Learning by observing others"/>
    <s v="Build and develop a Team, Entrepreneur or Start Up, I Want to sell things/Sales, Manufacturing / Oil and Gas/ Construction / Hard Physical Work related"/>
    <s v="Manager who explains what is expected, sets a goal and helps achieve it"/>
    <s v="Work with 2 to 3 people in my team, Work with 5 to 6 people in my team"/>
    <s v="Yes, I Understand this is gonna happen everywhere"/>
    <s v="No way"/>
    <m/>
  </r>
  <r>
    <d v="2023-04-29T20:33:27"/>
    <s v="India"/>
    <n v="411028"/>
    <x v="0"/>
    <x v="0"/>
    <x v="2"/>
    <x v="0"/>
    <x v="0"/>
    <x v="0"/>
    <x v="4"/>
    <s v="Hybrid Working Environment with more than 15 days a month at office"/>
    <s v="Employer who pushes your limits by enabling an learning environment, and rewards you at the end"/>
    <s v="Instructor or Expert Learning Programs, Learning by observing others, Manager Teaching you"/>
    <s v="Teaching in any of the institutes/colleges/online or offline, Build and develop a Team, Work as a freelancer and do my thing my way, Become a content Creator in some platform"/>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r>
  <r>
    <d v="2023-04-29T20:36:51"/>
    <s v="India"/>
    <n v="533005"/>
    <x v="0"/>
    <x v="2"/>
    <x v="1"/>
    <x v="0"/>
    <x v="1"/>
    <x v="0"/>
    <x v="0"/>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alone, Work with 2 to 3 people in my team"/>
    <s v="Yes, I Understand this is gonna happen everywhere"/>
    <s v="This will be hard to do, but if it is the right company I would try"/>
    <m/>
  </r>
  <r>
    <d v="2023-04-29T20:39:29"/>
    <s v="India"/>
    <n v="505001"/>
    <x v="1"/>
    <x v="4"/>
    <x v="2"/>
    <x v="0"/>
    <x v="0"/>
    <x v="0"/>
    <x v="1"/>
    <s v="Fully Remote with No option to visit offices"/>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m/>
  </r>
  <r>
    <d v="2023-04-29T20:43:28"/>
    <s v="India"/>
    <n v="500029"/>
    <x v="0"/>
    <x v="4"/>
    <x v="0"/>
    <x v="1"/>
    <x v="1"/>
    <x v="0"/>
    <x v="2"/>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Design and Creative strategy in any company,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r>
  <r>
    <d v="2023-04-29T20:45:36"/>
    <s v="India"/>
    <n v="500094"/>
    <x v="1"/>
    <x v="4"/>
    <x v="0"/>
    <x v="0"/>
    <x v="0"/>
    <x v="1"/>
    <x v="7"/>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Business Operations in any organization, Design and Develop amazing software, Look deeply into Data and generate insights"/>
    <s v="Manager who sets goal and helps me achieve it"/>
    <s v="Work with 2 to 3 people in my team"/>
    <s v="Yes, I Understand this is gonna happen everywhere"/>
    <s v="No way"/>
    <m/>
  </r>
  <r>
    <d v="2023-04-29T20:52:34"/>
    <s v="India"/>
    <n v="522501"/>
    <x v="1"/>
    <x v="0"/>
    <x v="2"/>
    <x v="0"/>
    <x v="0"/>
    <x v="0"/>
    <x v="4"/>
    <s v="Fully Remote with No option to visit offices"/>
    <s v="Employer who pushes your limits by enabling an learning environment, and rewards you at the end"/>
    <s v="Self Paced Learning Portals of the Company, Instructor or Expert Learning Programs, Learning by observing others"/>
    <s v="Teaching in any of the institutes/colleges/online or offline, Design and Develop amazing software, Entrepreneur or Start Up, An Artificial Intelligence Specialist / Talking to Robots"/>
    <s v="Manager who clearly describes what she/he needs"/>
    <s v="Work with 5 to 6 people in my team"/>
    <s v="No"/>
    <s v="This will be hard to do, but if it is the right company I would try"/>
    <m/>
  </r>
  <r>
    <d v="2023-04-29T20:57:47"/>
    <s v="India"/>
    <n v="125111"/>
    <x v="1"/>
    <x v="4"/>
    <x v="0"/>
    <x v="1"/>
    <x v="1"/>
    <x v="1"/>
    <x v="3"/>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Build and develop a Team, Work as a freelancer and do my thing my way"/>
    <s v="Manager who explains what is expected, sets a goal and helps achieve it"/>
    <s v="Work alone"/>
    <s v="Yes"/>
    <s v="This will be hard to do, but if it is the right company I would try"/>
    <m/>
  </r>
  <r>
    <d v="2023-04-29T20:58:18"/>
    <s v="India"/>
    <n v="505524"/>
    <x v="0"/>
    <x v="0"/>
    <x v="2"/>
    <x v="1"/>
    <x v="0"/>
    <x v="1"/>
    <x v="4"/>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Design and Develop amazing software"/>
    <s v="Manager who explains what is expected, sets a goal and helps achieve it"/>
    <s v="Work with 5 to 6 people in my team"/>
    <s v="Yes"/>
    <s v="No way"/>
    <m/>
  </r>
  <r>
    <d v="2023-04-29T20:58:25"/>
    <s v="India"/>
    <n v="500019"/>
    <x v="0"/>
    <x v="2"/>
    <x v="1"/>
    <x v="3"/>
    <x v="0"/>
    <x v="0"/>
    <x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Design and Develop amazing software, Look deeply into Data and generate insights"/>
    <s v="Manager who sets goal and helps me achieve it"/>
    <s v="Work with 7 to 10 or more people in my team"/>
    <s v="Yes, I Understand this is gonna happen everywhere"/>
    <s v="This will be hard to do, but if it is the right company I would try"/>
    <m/>
  </r>
  <r>
    <d v="2023-04-29T21:00:00"/>
    <s v="India"/>
    <n v="508101"/>
    <x v="1"/>
    <x v="3"/>
    <x v="0"/>
    <x v="0"/>
    <x v="0"/>
    <x v="0"/>
    <x v="0"/>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Manage and drive End-to-End Projects or Products, Look deeply into Data and generate insights, Entrepreneur or Start Up,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29T21:01:39"/>
    <s v="India"/>
    <n v="452001"/>
    <x v="0"/>
    <x v="4"/>
    <x v="2"/>
    <x v="1"/>
    <x v="0"/>
    <x v="0"/>
    <x v="1"/>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Work as a freelancer and do my thing my way"/>
    <s v="Manager who sets targets and expects me to achieve it"/>
    <s v="Work with 2 to 3 people in my team"/>
    <s v="No"/>
    <s v="This will be hard to do, but if it is the right company I would try"/>
    <m/>
  </r>
  <r>
    <d v="2023-04-29T21:02:25"/>
    <s v="India"/>
    <n v="500013"/>
    <x v="0"/>
    <x v="2"/>
    <x v="0"/>
    <x v="0"/>
    <x v="0"/>
    <x v="0"/>
    <x v="2"/>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Develop amazing software, Entrepreneur or Start Up, I Want to sell things/Sales, An Artificial Intelligence Specialist / Talking to Robots"/>
    <s v="Manager who explains what is expected, sets a goal and helps achieve it"/>
    <s v="Work with 2 to 3 people in my team"/>
    <s v="Yes, I Understand this is gonna happen everywhere"/>
    <s v="This will be hard to do, but if it is the right company I would try"/>
    <m/>
  </r>
  <r>
    <d v="2023-04-29T21:08:33"/>
    <s v="India"/>
    <n v="828116"/>
    <x v="0"/>
    <x v="2"/>
    <x v="1"/>
    <x v="1"/>
    <x v="1"/>
    <x v="1"/>
    <x v="8"/>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Manufacturing / Oil and Gas/ Construction / Hard Physical Work related"/>
    <s v="Manager who explains what is expected, sets a goal and helps achieve it"/>
    <s v="Work with 2 to 3 people in my team"/>
    <s v="I have NO other choice"/>
    <s v="Will work for 7 years or more"/>
    <m/>
  </r>
  <r>
    <d v="2023-04-29T21:11:04"/>
    <s v="India"/>
    <n v="500011"/>
    <x v="1"/>
    <x v="4"/>
    <x v="2"/>
    <x v="0"/>
    <x v="1"/>
    <x v="1"/>
    <x v="7"/>
    <s v="Hybrid Working Environment with less than 3 days a month at office"/>
    <s v="Employer who appreciates learning and enables that environment"/>
    <s v="Self Paced Learning Portals of the Company, Self Purchased Course from External Platforms, Manager Teaching you"/>
    <s v="Design and Creative strategy in any company, Teaching in any of the institutes/colleges/online or offline, Build and develop a Team, Look deeply into Data and generate insights"/>
    <s v="Manager who clearly describes what she/he needs"/>
    <s v="Work alone"/>
    <s v="No"/>
    <s v="No way"/>
    <m/>
  </r>
  <r>
    <d v="2023-04-29T21:11:07"/>
    <s v="Canada"/>
    <s v="Xxxxx"/>
    <x v="0"/>
    <x v="2"/>
    <x v="1"/>
    <x v="0"/>
    <x v="0"/>
    <x v="0"/>
    <x v="4"/>
    <s v="Hybrid Working Environment with more than 15 days a month at office"/>
    <s v="Employer who appreciates learning and enables that environment"/>
    <s v="Learning by observing others, Trial and error by doing side projects within the company, Manager Teaching you"/>
    <s v="Design and Creative strategy in any company, Build and develop a Team, Work as a freelancer and do my thing my way, Become a content Creator in some platform"/>
    <s v="Manager who explains what is expected, sets a goal and helps achieve it"/>
    <s v="Work with 5 to 6 people in my team"/>
    <s v="No"/>
    <s v="This will be hard to do, but if it is the right company I would try"/>
    <m/>
  </r>
  <r>
    <d v="2023-04-29T21:13:37"/>
    <s v="India"/>
    <n v="500062"/>
    <x v="0"/>
    <x v="2"/>
    <x v="2"/>
    <x v="0"/>
    <x v="0"/>
    <x v="0"/>
    <x v="6"/>
    <s v="Hybrid Working Environment with more than 15 days a month at office"/>
    <s v="Employer who appreciates learning and enables that environment"/>
    <s v="Instructor or Expert Learning Programs, Learning by observing others, Manager Teaching you"/>
    <s v="Design and Creative strategy in any company, Business Operations in any organization, Manage and drive End-to-End Projects or Products, Become a content Creator in some platform"/>
    <s v="Manager who sets goal and helps me achieve it"/>
    <s v="Work alone, Work with 2 to 3 people in my team, Work with 5 to 6 people in my team"/>
    <s v="No"/>
    <s v="This will be hard to do, but if it is the right company I would try"/>
    <m/>
  </r>
  <r>
    <d v="2023-04-29T21:14:11"/>
    <s v="Canada"/>
    <s v="H3X2V2"/>
    <x v="0"/>
    <x v="4"/>
    <x v="0"/>
    <x v="1"/>
    <x v="0"/>
    <x v="0"/>
    <x v="1"/>
    <s v="Hybrid Working Environment with less than 3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Teaching in any of the institutes/colleges/online or offline, Manage and drive End-to-End Projects or Products, An Artificial Intelligence Specialist / Talking to Robots"/>
    <s v="Manager who explains what is expected, sets a goal and helps achieve it"/>
    <s v="Work with 5 to 6 people in my team, Work with 7 to 10 or more people in my team"/>
    <s v="Yes"/>
    <s v="Will work for 7 years or more"/>
    <m/>
  </r>
  <r>
    <d v="2023-04-29T21:14:39"/>
    <s v="India"/>
    <n v="421201"/>
    <x v="0"/>
    <x v="0"/>
    <x v="0"/>
    <x v="0"/>
    <x v="0"/>
    <x v="0"/>
    <x v="4"/>
    <s v="Hybrid Working Environment with more than 15 days a month at office"/>
    <s v="Employer who appreciates learning and enables that environment"/>
    <s v="Self Paced Learning Portals of the Company, Instructor or Expert Learning Programs, Manager Teaching you"/>
    <s v="Design and Creative strategy in any company, Teaching in any of the institutes/colleges/online or offline, Business Operations in any organization, Manage and drive End-to-End Projects or Products"/>
    <s v="Manager who clearly describes what she/he needs"/>
    <s v="Work with 5 to 6 people in my team"/>
    <s v="Yes, I Understand this is gonna happen everywhere"/>
    <s v="No way"/>
    <m/>
  </r>
  <r>
    <d v="2023-04-29T21:16:31"/>
    <s v="Canada"/>
    <s v="Xxxx"/>
    <x v="0"/>
    <x v="4"/>
    <x v="1"/>
    <x v="1"/>
    <x v="0"/>
    <x v="1"/>
    <x v="4"/>
    <s v="Hybrid Working Environment with more than 15 days a month at office"/>
    <s v="Employer who pushes your limits and doesn't enables learning environment and never rewards you"/>
    <s v="Instructor or Expert Learning Programs, Learning by observing others, Trial and error by doing side projects within the company"/>
    <s v="Teaching in any of the institutes/colleges/online or offline, Manage and drive End-to-End Projects or Products, Build and develop a Team, Design and Develop amazing software"/>
    <s v="Manager who explains what is expected, sets a goal and helps achieve it"/>
    <s v="Work with 5 to 6 people in my team"/>
    <s v="Yes, I Understand this is gonna happen everywhere"/>
    <s v="No way"/>
    <m/>
  </r>
  <r>
    <d v="2023-04-29T21:21:31"/>
    <s v="India"/>
    <n v="110076"/>
    <x v="0"/>
    <x v="2"/>
    <x v="0"/>
    <x v="1"/>
    <x v="0"/>
    <x v="0"/>
    <x v="4"/>
    <s v="Every Day Office Environment"/>
    <s v="Employer who pushes your limits by enabling an learning environment, and rewards you at the end"/>
    <s v="Self Paced Learning Portals of the Company, Instructor or Expert Learning Programs, Manager Teaching you"/>
    <s v="Business Operations in any organization, Manage and drive End-to-End Projects or Products, Look deeply into Data and generate insights,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29T21:21:38"/>
    <s v="India"/>
    <n v="462042"/>
    <x v="0"/>
    <x v="3"/>
    <x v="0"/>
    <x v="1"/>
    <x v="0"/>
    <x v="0"/>
    <x v="5"/>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Teaching in any of the institutes/colleges/online or offline, Manage and drive End-to-End Projects or Products, Design and Develop amazing software"/>
    <s v="Manager who explains what is expected, sets a goal and helps achieve it"/>
    <s v="Work with 2 to 3 people in my team"/>
    <s v="Yes, I Understand this is gonna happen everywhere"/>
    <s v="This will be hard to do, but if it is the right company I would try"/>
    <m/>
  </r>
  <r>
    <d v="2023-04-29T21:21:41"/>
    <s v="India"/>
    <n v="110096"/>
    <x v="1"/>
    <x v="2"/>
    <x v="0"/>
    <x v="1"/>
    <x v="0"/>
    <x v="0"/>
    <x v="6"/>
    <s v="Hybrid Working Environment with more than 15 days a month at office"/>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2 to 3 people in my team"/>
    <s v="No"/>
    <s v="This will be hard to do, but if it is the right company I would try"/>
    <m/>
  </r>
  <r>
    <d v="2023-04-29T21:25:20"/>
    <s v="India"/>
    <n v="110008"/>
    <x v="1"/>
    <x v="4"/>
    <x v="2"/>
    <x v="0"/>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Business Operations in any organization, Manage and drive End-to-End Projects or Products, Manufacturing / Oil and Gas/ Construction / Hard Physical Work related"/>
    <s v="Manager who clearly describes what she/he needs"/>
    <s v="Work with 2 to 3 people in my team, Work with 5 to 6 people in my team"/>
    <s v="No"/>
    <s v="No way"/>
    <m/>
  </r>
  <r>
    <d v="2023-04-29T21:25:54"/>
    <s v="India"/>
    <n v="533005"/>
    <x v="0"/>
    <x v="4"/>
    <x v="2"/>
    <x v="1"/>
    <x v="1"/>
    <x v="0"/>
    <x v="4"/>
    <s v="Fully Remote with Options to travel as and when needed"/>
    <s v="Employer who pushes your limits by enabling an learning environment, and rewards you at the end"/>
    <s v="Self Paced Learning Portals of the Company, Instructor or Expert Learning Programs, Manager Teaching you"/>
    <s v="Design and Creative strategy in any company, Manage and drive End-to-End Projects or Products, Design and Develop amazing software,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r>
  <r>
    <d v="2023-04-29T21:26:12"/>
    <s v="Canada"/>
    <s v="H3N1W9"/>
    <x v="0"/>
    <x v="3"/>
    <x v="0"/>
    <x v="1"/>
    <x v="0"/>
    <x v="0"/>
    <x v="4"/>
    <s v="Every Day Office Environment"/>
    <s v="Employer who appreciates learning and enables that environment"/>
    <s v="Learning by observing others, Trial and error by doing side projects within the company, Self Purchased Course from External Platforms"/>
    <s v="Design and Creative strategy in any company, Work as a freelancer and do my thing my way, Entrepreneur or Start Up, An Artificial Intelligence Specialist / Talking to Robots"/>
    <s v="Manager who sets targets and expects me to achieve it"/>
    <s v="Work with 2 to 3 people in my team"/>
    <s v="Yes, I Understand this is gonna happen everywhere"/>
    <s v="This will be hard to do, but if it is the right company I would try"/>
    <m/>
  </r>
  <r>
    <d v="2023-04-29T21:28:26"/>
    <s v="United States of America"/>
    <n v="78363"/>
    <x v="0"/>
    <x v="4"/>
    <x v="0"/>
    <x v="0"/>
    <x v="1"/>
    <x v="1"/>
    <x v="8"/>
    <s v="Every Day Office Environment"/>
    <s v="Employer who pushes your limits by enabling an learning environment, and rewards you at the end"/>
    <s v="Learning by observing others, Self Purchased Course from External Platforms, Manager Teaching you"/>
    <s v="Design and Creative strategy in any company, Business Operations in any organization, I Want to sell things/Sales, Manufacturing / Oil and Gas/ Construction / Hard Physical Work related"/>
    <s v="Manager who explains what is expected, sets a goal and helps achieve it"/>
    <s v="Work with 5 to 6 people in my team"/>
    <s v="Yes, I Understand this is gonna happen everywhere"/>
    <s v="This will be hard to do, but if it is the right company I would try"/>
    <m/>
  </r>
  <r>
    <d v="2023-04-29T21:29:38"/>
    <s v="Canada"/>
    <s v="H3S"/>
    <x v="0"/>
    <x v="0"/>
    <x v="0"/>
    <x v="0"/>
    <x v="0"/>
    <x v="0"/>
    <x v="1"/>
    <s v="Every Day Office Environment"/>
    <s v="Employer who appreciates learning and enables that environment"/>
    <s v="Self Paced Learning Portals of the Company, Learning by observing others, Manager Teaching you"/>
    <s v="Design and Creative strategy in any company, Teaching in any of the institutes/colleges/online or offline, Build and develop a Team, Entrepreneur or Start Up"/>
    <s v="Manager who sets goal and helps me achieve it"/>
    <s v="Work with more than 10 people in my team"/>
    <s v="Yes, I Understand this is gonna happen everywhere"/>
    <s v="This will be hard to do, but if it is the right company I would try"/>
    <m/>
  </r>
  <r>
    <d v="2023-04-29T21:32:20"/>
    <s v="India"/>
    <n v="509301"/>
    <x v="1"/>
    <x v="4"/>
    <x v="0"/>
    <x v="0"/>
    <x v="1"/>
    <x v="1"/>
    <x v="9"/>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Business Operations in any organization, Manage and drive End-to-End Projects or Products, Build and develop a Team, Design and Develop amazing software"/>
    <s v="Manager who explains what is expected, sets a goal and helps achieve it"/>
    <s v="Work with 5 to 6 people in my team"/>
    <s v="Yes, I Understand this is gonna happen everywhere"/>
    <s v="This will be hard to do, but if it is the right company I would try"/>
    <m/>
  </r>
  <r>
    <d v="2023-04-29T21:35:14"/>
    <s v="India"/>
    <n v="110027"/>
    <x v="1"/>
    <x v="0"/>
    <x v="1"/>
    <x v="0"/>
    <x v="0"/>
    <x v="0"/>
    <x v="2"/>
    <s v="Hybrid Working Environment with less than 3 days a month at office"/>
    <s v="Employer who appreciates learning and enables that environment"/>
    <s v="Self Paced Learning Portals of the Company, Learning by observing others, Manager Teaching you"/>
    <s v="Design and Creative strategy in any company, Teaching in any of the institutes/colleges/online or offline, Business Operations in any organization, Look deeply into Data and generate insights"/>
    <s v="Manager who explains what is expected, sets a goal and helps achieve it"/>
    <s v="Work with 2 to 3 people in my team"/>
    <s v="Yes, I Understand this is gonna happen everywhere"/>
    <s v="This will be hard to do, but if it is the right company I would try"/>
    <m/>
  </r>
  <r>
    <d v="2023-04-29T21:38:05"/>
    <s v="India"/>
    <n v="581301"/>
    <x v="0"/>
    <x v="3"/>
    <x v="2"/>
    <x v="0"/>
    <x v="1"/>
    <x v="0"/>
    <x v="4"/>
    <s v="Fully Remote with Options to travel as and when needed"/>
    <s v="Employer who rewards learning and enables that environment"/>
    <s v="Instructor or Expert Learning Programs, Learning by observing others, Trial and error by doing side projects within the company"/>
    <s v="Design and Creative strategy in any company, Teaching in any of the institutes/colleges/online or offline, Business Operations in any organization, Look deeply into Data and generate insights"/>
    <s v="Manager who explains what is expected, sets a goal and helps achieve it"/>
    <s v="Work alone, Work with 2 to 3 people in my team"/>
    <s v="Yes, I Understand this is gonna happen everywhere"/>
    <s v="This will be hard to do, but if it is the right company I would try"/>
    <m/>
  </r>
  <r>
    <d v="2023-04-29T21:45:45"/>
    <s v="India"/>
    <n v="110027"/>
    <x v="1"/>
    <x v="0"/>
    <x v="0"/>
    <x v="0"/>
    <x v="1"/>
    <x v="0"/>
    <x v="4"/>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Manage and drive End-to-End Projects or Products, Build and develop a Team, Look deeply into Data and generate insights"/>
    <s v="Manager who explains what is expected, sets a goal and helps achieve it"/>
    <s v="Work with more than 10 people in my team"/>
    <s v="No"/>
    <s v="This will be hard to do, but if it is the right company I would try"/>
    <m/>
  </r>
  <r>
    <d v="2023-04-29T21:53:51"/>
    <s v="India"/>
    <n v="201002"/>
    <x v="0"/>
    <x v="3"/>
    <x v="0"/>
    <x v="0"/>
    <x v="0"/>
    <x v="0"/>
    <x v="1"/>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Design and Develop amazing software, Entrepreneur or Start Up, An Artificial Intelligence Specialist / Talking to Robots"/>
    <s v="Manager who explains what is expected, sets a goal and helps achieve it"/>
    <s v="Work with 5 to 6 people in my team"/>
    <s v="Yes, I Understand this is gonna happen everywhere"/>
    <s v="No way"/>
    <m/>
  </r>
  <r>
    <d v="2023-04-29T21:54:32"/>
    <s v="India"/>
    <n v="43002"/>
    <x v="1"/>
    <x v="4"/>
    <x v="2"/>
    <x v="0"/>
    <x v="0"/>
    <x v="0"/>
    <x v="5"/>
    <s v="Every Day Office Environment"/>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Build and develop a Team, Become a content Creator in some platform"/>
    <s v="Manager who explains what is expected, sets a goal and helps achieve it"/>
    <s v="Work with 2 to 3 people in my team"/>
    <s v="Yes, I Understand this is gonna happen everywhere"/>
    <s v="This will be hard to do, but if it is the right company I would try"/>
    <m/>
  </r>
  <r>
    <d v="2023-04-29T21:57:55"/>
    <s v="India"/>
    <n v="110003"/>
    <x v="0"/>
    <x v="0"/>
    <x v="0"/>
    <x v="0"/>
    <x v="0"/>
    <x v="0"/>
    <x v="5"/>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sets goal and helps me achieve it"/>
    <s v="Work with 2 to 3 people in my team"/>
    <s v="Yes, I Understand this is gonna happen everywhere"/>
    <s v="No way"/>
    <m/>
  </r>
  <r>
    <d v="2023-04-29T22:07:13"/>
    <s v="Canada"/>
    <s v="H3X2V2"/>
    <x v="0"/>
    <x v="0"/>
    <x v="0"/>
    <x v="0"/>
    <x v="0"/>
    <x v="0"/>
    <x v="1"/>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Build and develop a Team, Design and Develop amazing software, Look deeply into Data and generate insights"/>
    <s v="Manager who explains what is expected, sets a goal and helps achieve it"/>
    <s v="Work with 5 to 6 people in my team, Work with 7 to 10 or more people in my team"/>
    <s v="Yes, I Understand this is gonna happen everywhere"/>
    <s v="This will be hard to do, but if it is the right company I would try"/>
    <m/>
  </r>
  <r>
    <d v="2023-04-29T22:08:42"/>
    <s v="India"/>
    <n v="500072"/>
    <x v="1"/>
    <x v="3"/>
    <x v="0"/>
    <x v="1"/>
    <x v="0"/>
    <x v="0"/>
    <x v="3"/>
    <s v="Every Day Office Environment"/>
    <s v="Employer who pushes your limits by enabling an learning environment, and rewards you at the end"/>
    <s v="Instructor or Expert Learning Programs, Learning by observing others, Trial and error by doing side projects within the company"/>
    <s v="Manage and drive End-to-End Projects or Products, Look deeply into Data and generate insights, Work as a freelancer and do my thing my way, An Artificial Intelligence Specialist / Talking to Robots"/>
    <s v="Manager who sets targets and expects me to achieve it"/>
    <s v="Work alone, Work with 2 to 3 people in my team"/>
    <s v="Yes, I Understand this is gonna happen everywhere"/>
    <s v="This will be hard to do, but if it is the right company I would try"/>
    <m/>
  </r>
  <r>
    <d v="2023-04-29T22:09:38"/>
    <s v="India"/>
    <n v="495001"/>
    <x v="1"/>
    <x v="4"/>
    <x v="0"/>
    <x v="1"/>
    <x v="0"/>
    <x v="0"/>
    <x v="0"/>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Entrepreneur or Start Up"/>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29T22:11:58"/>
    <s v="India"/>
    <n v="456006"/>
    <x v="1"/>
    <x v="2"/>
    <x v="1"/>
    <x v="0"/>
    <x v="0"/>
    <x v="0"/>
    <x v="8"/>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Business Operations in any organization, Look deeply into Data and generate insights, Work as a freelancer and do my thing my way, Entrepreneur or Start Up"/>
    <s v="Manager who explains what is expected, sets a goal and helps achieve it"/>
    <s v="Work with 7 to 10 or more people in my team"/>
    <s v="Yes, I Understand this is gonna happen everywhere"/>
    <s v="No way"/>
    <m/>
  </r>
  <r>
    <d v="2023-04-29T22:13:31"/>
    <s v="India"/>
    <n v="473001"/>
    <x v="0"/>
    <x v="2"/>
    <x v="2"/>
    <x v="0"/>
    <x v="0"/>
    <x v="0"/>
    <x v="7"/>
    <s v="Hybrid Working Environment with more than 15 days a month at office"/>
    <s v="Employer who pushes your limits by enabling an learning environment, and rewards you at the end"/>
    <s v="Learning by observing others, Trial and error by doing side projects within the company, Self Purchased Course from External Platforms"/>
    <s v="Business Operations in any organization, Build and develop a Team, Look deeply into Data and generate insights, An Artificial Intelligence Specialist / Talking to Robots"/>
    <s v="Manager who sets goal and helps me achieve it"/>
    <s v="Work with 5 to 6 people in my team"/>
    <s v="Yes, I Understand this is gonna happen everywhere"/>
    <s v="This will be hard to do, but if it is the right company I would try"/>
    <m/>
  </r>
  <r>
    <d v="2023-04-29T22:15:31"/>
    <s v="India"/>
    <n v="110006"/>
    <x v="1"/>
    <x v="2"/>
    <x v="1"/>
    <x v="0"/>
    <x v="0"/>
    <x v="0"/>
    <x v="0"/>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as a freelancer and do my thing my way, I Want to sell things/Sales"/>
    <s v="Manager who explains what is expected, sets a goal and helps achieve it"/>
    <s v="Work with 2 to 3 people in my team, Work with 5 to 6 people in my team"/>
    <s v="No"/>
    <s v="This will be hard to do, but if it is the right company I would try"/>
    <m/>
  </r>
  <r>
    <d v="2023-04-29T22:18:16"/>
    <s v="United States of America"/>
    <n v="27606"/>
    <x v="1"/>
    <x v="0"/>
    <x v="1"/>
    <x v="1"/>
    <x v="0"/>
    <x v="0"/>
    <x v="4"/>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5 to 6 people in my team"/>
    <s v="Yes, I Understand this is gonna happen everywhere"/>
    <s v="This will be hard to do, but if it is the right company I would try"/>
    <m/>
  </r>
  <r>
    <d v="2023-04-29T22:20:03"/>
    <s v="India"/>
    <n v="721302"/>
    <x v="0"/>
    <x v="1"/>
    <x v="2"/>
    <x v="0"/>
    <x v="0"/>
    <x v="0"/>
    <x v="3"/>
    <s v="Every Day Office Environment"/>
    <s v="Employer who pushes your limits by enabling an learning environment, and rewards you at the end"/>
    <s v="Self Paced Learning Portals of the Company, Learning by observing others, Manager Teaching you"/>
    <s v="Design and Creative strategy in any company, Manage and drive End-to-End Projects or Products, Build and develop a Team, Manufacturing / Oil and Gas/ Construction / Hard Physical Work related"/>
    <s v="Manager who sets goal and helps me achieve it"/>
    <s v="Work with 5 to 6 people in my team"/>
    <s v="Yes, I Understand this is gonna happen everywhere"/>
    <s v="This will be hard to do, but if it is the right company I would try"/>
    <m/>
  </r>
  <r>
    <d v="2023-04-29T22:22:02"/>
    <s v="India"/>
    <n v="452001"/>
    <x v="1"/>
    <x v="0"/>
    <x v="2"/>
    <x v="0"/>
    <x v="0"/>
    <x v="0"/>
    <x v="7"/>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Business Operations in any organization, Build and develop a Team, Look deeply into Data and generate insights, Become a content Creator in some platform"/>
    <s v="Manager who explains what is expected, sets a goal and helps achieve it"/>
    <s v="Work with 5 to 6 people in my team"/>
    <s v="Yes, I Understand this is gonna happen everywhere"/>
    <s v="This will be hard to do, but if it is the right company I would try"/>
    <m/>
  </r>
  <r>
    <d v="2023-04-29T22:22:46"/>
    <s v="India"/>
    <n v="828302"/>
    <x v="0"/>
    <x v="1"/>
    <x v="2"/>
    <x v="0"/>
    <x v="1"/>
    <x v="0"/>
    <x v="3"/>
    <s v="Fully Remote with Options to travel as and when needed"/>
    <s v="Employer who appreciates learning and enables that environment"/>
    <s v="Self Paced Learning Portals of the Company, Instructor or Expert Learning Programs, Self Purchased Course from External Platforms"/>
    <s v="Design and Creative strategy in any company, Business Operations in any organization, Build and develop a Team, Work as a freelancer and do my thing my way"/>
    <s v="Manager who clearly describes what she/he needs"/>
    <s v="Work with 5 to 6 people in my team"/>
    <s v="Yes"/>
    <s v="This will be hard to do, but if it is the right company I would try"/>
    <m/>
  </r>
  <r>
    <d v="2023-04-29T22:27:03"/>
    <s v="India"/>
    <n v="505001"/>
    <x v="0"/>
    <x v="4"/>
    <x v="0"/>
    <x v="1"/>
    <x v="1"/>
    <x v="0"/>
    <x v="2"/>
    <s v="Every Day Office Environment"/>
    <s v="Employer who pushes your limits by enabling an learning environment, and rewards you at the end"/>
    <s v="Instructor or Expert Learning Programs, Learning by observing others, Trial and error by doing side projects within the company"/>
    <s v="Design and Develop amazing software, Work as a freelancer and do my thing my way, Become a content Creator in some platform, I Want to sell things/Sales"/>
    <s v="Manager who sets unrealistic targets"/>
    <s v="Work with 7 to 10 or more people in my team"/>
    <s v="Yes, I Understand this is gonna happen everywhere"/>
    <s v="This will be hard to do, but if it is the right company I would try"/>
    <m/>
  </r>
  <r>
    <d v="2023-04-29T22:37:26"/>
    <s v="India"/>
    <n v="576101"/>
    <x v="1"/>
    <x v="2"/>
    <x v="0"/>
    <x v="1"/>
    <x v="0"/>
    <x v="0"/>
    <x v="6"/>
    <s v="Hybrid Working Environment with more than 15 days a month at office"/>
    <s v="Employer who reward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Build and develop a Team"/>
    <s v="Manager who explains what is expected, sets a goal and helps achieve it"/>
    <s v="Work with 5 to 6 people in my team"/>
    <s v="Yes, I Understand this is gonna happen everywhere"/>
    <s v="This will be hard to do, but if it is the right company I would try"/>
    <m/>
  </r>
  <r>
    <d v="2023-04-29T22:45:13"/>
    <s v="India"/>
    <n v="515002"/>
    <x v="1"/>
    <x v="4"/>
    <x v="0"/>
    <x v="1"/>
    <x v="0"/>
    <x v="1"/>
    <x v="4"/>
    <s v="Hybrid Working Environment with less than 3 days a month at office"/>
    <s v="Employer who appreciates learning and enables that environment"/>
    <s v="Self Paced Learning Portals of the Company, Instructor or Expert Learning Programs, Trial and error by doing side projects within the company"/>
    <s v="Design and Creative strategy in any company, Manage and drive End-to-End Projects or Products, Look deeply into Data and generate insights,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m/>
  </r>
  <r>
    <d v="2023-04-29T22:47:03"/>
    <s v="India"/>
    <n v="518003"/>
    <x v="1"/>
    <x v="4"/>
    <x v="2"/>
    <x v="0"/>
    <x v="0"/>
    <x v="1"/>
    <x v="2"/>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Manage and drive End-to-End Projects or Products, Build and develop a Team, Design and Develop amazing software"/>
    <s v="Manager who sets goal and helps me achieve it"/>
    <s v="Work with 5 to 6 people in my team"/>
    <s v="Yes, I Understand this is gonna happen everywhere"/>
    <s v="This will be hard to do, but if it is the right company I would try"/>
    <m/>
  </r>
  <r>
    <d v="2023-04-29T22:53:10"/>
    <s v="India"/>
    <n v="524004"/>
    <x v="1"/>
    <x v="4"/>
    <x v="0"/>
    <x v="0"/>
    <x v="0"/>
    <x v="1"/>
    <x v="8"/>
    <s v="Every Day Office Environment"/>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An Artificial Intelligence Specialist / Talking to Robots"/>
    <s v="Manager who clearly describes what she/he needs"/>
    <s v="Work with 5 to 6 people in my team"/>
    <s v="No"/>
    <s v="This will be hard to do, but if it is the right company I would try"/>
    <m/>
  </r>
  <r>
    <d v="2023-04-29T22:54:43"/>
    <s v="India"/>
    <n v="516434"/>
    <x v="1"/>
    <x v="4"/>
    <x v="2"/>
    <x v="1"/>
    <x v="0"/>
    <x v="0"/>
    <x v="6"/>
    <s v="Every Day Office Environment"/>
    <s v="Employer who appreciate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29T22:59:26"/>
    <s v="Others"/>
    <s v="0000"/>
    <x v="1"/>
    <x v="0"/>
    <x v="2"/>
    <x v="0"/>
    <x v="0"/>
    <x v="0"/>
    <x v="0"/>
    <s v="Hybrid Working Environment with more than 15 days a month at office"/>
    <s v="Employer who appreciates learning and enables that environment"/>
    <s v="Self Paced Learning Portals of the Company, Instructor or Expert Learning Programs, Self Purchased Course from External Platforms"/>
    <s v="Business Operations in any organization, Build and develop a Team, Design and Develop amazing software, Look deeply into Data and generate insights"/>
    <s v="Manager who clearly describes what she/he needs"/>
    <s v="Work with 5 to 6 people in my team"/>
    <s v="Yes, I Understand this is gonna happen everywhere"/>
    <s v="No way"/>
    <m/>
  </r>
  <r>
    <d v="2023-04-29T23:02:12"/>
    <s v="India"/>
    <n v="500045"/>
    <x v="0"/>
    <x v="1"/>
    <x v="0"/>
    <x v="0"/>
    <x v="0"/>
    <x v="1"/>
    <x v="6"/>
    <s v="Hybrid Working Environment with more than 15 days a month at office"/>
    <s v="Employer who appreciates learning and enables that environment"/>
    <s v="Self Paced Learning Portals of the Company, Learning by observing others, Self Purchased Course from External Platforms"/>
    <s v="Design and Creative strategy in any company, Teaching in any of the institutes/colleges/online or offline, Build and develop a Team, Work as a freelancer and do my thing my way"/>
    <s v="Manager who clearly describes what she/he needs"/>
    <s v="Work with 5 to 6 people in my team"/>
    <s v="Yes"/>
    <s v="No way"/>
    <m/>
  </r>
  <r>
    <d v="2023-04-29T23:08:46"/>
    <s v="India"/>
    <n v="751002"/>
    <x v="1"/>
    <x v="3"/>
    <x v="1"/>
    <x v="0"/>
    <x v="0"/>
    <x v="0"/>
    <x v="1"/>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Entrepreneur or Start Up"/>
    <s v="Manager who explains what is expected, sets a goal and helps achieve it"/>
    <s v="Work with 5 to 6 people in my team"/>
    <s v="Yes, I Understand this is gonna happen everywhere"/>
    <s v="This will be hard to do, but if it is the right company I would try"/>
    <m/>
  </r>
  <r>
    <d v="2023-04-29T23:16:50"/>
    <s v="India"/>
    <n v="505001"/>
    <x v="0"/>
    <x v="0"/>
    <x v="0"/>
    <x v="1"/>
    <x v="0"/>
    <x v="0"/>
    <x v="0"/>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Design and Develop amazing software"/>
    <s v="Manager who sets goal and helps me achieve it"/>
    <s v="Work with more than 10 people in my team"/>
    <s v="Yes, I Understand this is gonna happen everywhere"/>
    <s v="Will work for 7 years or more"/>
    <m/>
  </r>
  <r>
    <d v="2023-04-30T00:00:52"/>
    <s v="India"/>
    <n v="600089"/>
    <x v="0"/>
    <x v="4"/>
    <x v="0"/>
    <x v="0"/>
    <x v="0"/>
    <x v="0"/>
    <x v="7"/>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Entrepreneur or Start Up"/>
    <s v="Manager who sets goal and helps me achieve it"/>
    <s v="Work with 5 to 6 people in my team"/>
    <s v="Yes, I Understand this is gonna happen everywhere"/>
    <s v="This will be hard to do, but if it is the right company I would try"/>
    <m/>
  </r>
  <r>
    <d v="2023-04-30T00:38:54"/>
    <s v="India"/>
    <n v="470001"/>
    <x v="1"/>
    <x v="3"/>
    <x v="0"/>
    <x v="0"/>
    <x v="0"/>
    <x v="0"/>
    <x v="3"/>
    <s v="Fully Remote with Options to travel as and when needed"/>
    <s v="Employer who pushes your limits by enabling an learning environment, and rewards you at the end"/>
    <s v="Instructor or Expert Learning Programs, Learning by observing others, Trial and error by doing side projects within the company"/>
    <s v="Design and Creative strategy in any company, Business Operations in any organization, Manage and drive End-to-End Projects or Products, Design and Develop amazing software"/>
    <s v="Manager who explains what is expected, sets a goal and helps achieve it"/>
    <s v="Work alone"/>
    <s v="Yes, I Understand this is gonna happen everywhere"/>
    <s v="This will be hard to do, but if it is the right company I would try"/>
    <m/>
  </r>
  <r>
    <d v="2023-04-30T00:40:10"/>
    <s v="India"/>
    <n v="18"/>
    <x v="0"/>
    <x v="4"/>
    <x v="0"/>
    <x v="0"/>
    <x v="0"/>
    <x v="0"/>
    <x v="4"/>
    <s v="Hybrid Working Environment with more than 15 days a month at office"/>
    <s v="Employer who appreciates learning and enables that environment"/>
    <s v="Instructor or Expert Learning Programs, Learning by observing others, Manager Teaching you"/>
    <s v="Design and Creative strategy in any company, Business Operations in any organization,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30T00:50:43"/>
    <s v="India"/>
    <n v="500091"/>
    <x v="0"/>
    <x v="2"/>
    <x v="0"/>
    <x v="0"/>
    <x v="0"/>
    <x v="0"/>
    <x v="4"/>
    <s v="Hybrid Working Environment with less than 3 days a month at office"/>
    <s v="Employer who rewards learning and enables that environment"/>
    <s v="Instructor or Expert Learning Programs, Learning by observing others, Trial and error by doing side projects within the company"/>
    <s v="Manage and drive End-to-End Projects or Products, Build and develop a Team, Design and Develop amazing software, Entrepreneur or Start Up"/>
    <s v="Manager who explains what is expected, sets a goal and helps achieve it"/>
    <s v="Work alone, Work with 2 to 3 people in my team"/>
    <s v="Yes, I Understand this is gonna happen everywhere"/>
    <s v="This will be hard to do, but if it is the right company I would try"/>
    <m/>
  </r>
  <r>
    <d v="2023-04-30T01:01:42"/>
    <s v="India"/>
    <n v="605003"/>
    <x v="1"/>
    <x v="0"/>
    <x v="2"/>
    <x v="1"/>
    <x v="0"/>
    <x v="0"/>
    <x v="2"/>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Build and develop a Team, Look deeply into Data and generate insights, Entrepreneur or Start Up"/>
    <s v="Manager who sets targets and expects me to achieve it"/>
    <s v="Work with more than 10 people in my team"/>
    <s v="Yes, I Understand this is gonna happen everywhere"/>
    <s v="This will be hard to do, but if it is the right company I would try"/>
    <m/>
  </r>
  <r>
    <d v="2023-04-30T01:08:39"/>
    <s v="Canada"/>
    <s v="V4C4G1"/>
    <x v="1"/>
    <x v="1"/>
    <x v="0"/>
    <x v="0"/>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Business Operations in any organization, Manage and drive End-to-End Projects or Products, Build and develop a Team, Look deeply into Data and generate insights"/>
    <s v="Manager who sets targets and expects me to achieve it"/>
    <s v="Work with 5 to 6 people in my team"/>
    <s v="No"/>
    <s v="This will be hard to do, but if it is the right company I would try"/>
    <m/>
  </r>
  <r>
    <d v="2023-04-30T03:43:00"/>
    <s v="India"/>
    <n v="110007"/>
    <x v="0"/>
    <x v="3"/>
    <x v="0"/>
    <x v="1"/>
    <x v="0"/>
    <x v="0"/>
    <x v="0"/>
    <s v="Hybrid Working Environment with more than 15 days a month at office"/>
    <s v="Employer who pushes your limits by enabling an learning environment, and rewards you at the end"/>
    <s v="Learning by observing others, Self Purchased Course from External Platforms, Manager Teaching you"/>
    <s v="Build and develop a Team, Work in a BPO setup for some well known client, Work as a freelancer and do my thing my way, I Want to sell things/Sales"/>
    <s v="Manager who sets targets and expects me to achieve it"/>
    <s v="Work with 5 to 6 people in my team"/>
    <s v="No"/>
    <s v="No way"/>
    <m/>
  </r>
  <r>
    <d v="2023-04-30T04:24:12"/>
    <s v="India"/>
    <n v="110062"/>
    <x v="0"/>
    <x v="3"/>
    <x v="2"/>
    <x v="3"/>
    <x v="0"/>
    <x v="0"/>
    <x v="4"/>
    <s v="Fully Remote with Options to travel as and when needed"/>
    <s v="Employer who rewards learning and enables that environment"/>
    <s v="Self Paced Learning Portals of the Company, Instructor or Expert Learning Programs, Learning by observing others"/>
    <s v="Design and Creative strategy in any company, Build and develop a Team, Work as a freelancer and do my thing my way, Entrepreneur or Start Up"/>
    <s v="Manager who explains what is expected, sets a goal and helps achieve it"/>
    <s v="Work with more than 10 people in my team"/>
    <s v="Yes, I Understand this is gonna happen everywhere"/>
    <s v="No way"/>
    <m/>
  </r>
  <r>
    <d v="2023-04-30T07:12:03"/>
    <s v="India"/>
    <n v="473001"/>
    <x v="0"/>
    <x v="4"/>
    <x v="1"/>
    <x v="3"/>
    <x v="0"/>
    <x v="0"/>
    <x v="0"/>
    <s v="Every Day Office Environment"/>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Look deeply into Data and generate insights, Entrepreneur or Start Up, An Artificial Intelligence Specialist / Talking to Robots"/>
    <s v="Manager who explains what is expected, sets a goal and helps achieve it"/>
    <s v="Work with 2 to 3 people in my team"/>
    <s v="No"/>
    <s v="No way"/>
    <m/>
  </r>
  <r>
    <d v="2023-04-30T07:23:30"/>
    <s v="India"/>
    <n v="505460"/>
    <x v="1"/>
    <x v="4"/>
    <x v="1"/>
    <x v="3"/>
    <x v="1"/>
    <x v="0"/>
    <x v="4"/>
    <s v="Hybrid Working Environment with less than 3 days a month at office"/>
    <s v="Employer who appreciates learning and enables that environment"/>
    <s v="Instructor or Expert Learning Programs, Learning by observing others, Trial and error by doing side projects within the company"/>
    <s v="Design and Creative strategy in any company, Business Operations in any organization, Manage and drive End-to-End Projects or Products, Work in a BPO setup for some well known client"/>
    <s v="Manager who sets goal and helps me achieve it"/>
    <s v="Work with 5 to 6 people in my team"/>
    <s v="I have NO other choice"/>
    <s v="No way"/>
    <m/>
  </r>
  <r>
    <d v="2023-04-30T07:45:16"/>
    <s v="India"/>
    <n v="110006"/>
    <x v="1"/>
    <x v="4"/>
    <x v="0"/>
    <x v="0"/>
    <x v="0"/>
    <x v="0"/>
    <x v="1"/>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Design and Creative strategy in any company, Build and develop a Team, Design and Develop amazing software, Look deeply into Data and generate insights"/>
    <s v="Manager who explains what is expected, sets a goal and helps achieve it"/>
    <s v="Work with 7 to 10 or more people in my team"/>
    <s v="Yes, I Understand this is gonna happen everywhere"/>
    <s v="This will be hard to do, but if it is the right company I would try"/>
    <m/>
  </r>
  <r>
    <d v="2023-04-30T07:56:45"/>
    <s v="India"/>
    <n v="560066"/>
    <x v="1"/>
    <x v="2"/>
    <x v="1"/>
    <x v="0"/>
    <x v="0"/>
    <x v="0"/>
    <x v="3"/>
    <s v="Hybrid Working Environment with more than 15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Work in a BPO setup for some well known client, Entrepreneur or Start Up"/>
    <s v="Manager who explains what is expected, sets a goal and helps achieve it"/>
    <s v="Work with 7 to 10 or more people in my team"/>
    <s v="Yes, I Understand this is gonna happen everywhere"/>
    <s v="This will be hard to do, but if it is the right company I would try"/>
    <m/>
  </r>
  <r>
    <d v="2023-04-30T08:36:21"/>
    <s v="India"/>
    <n v="160002"/>
    <x v="1"/>
    <x v="4"/>
    <x v="2"/>
    <x v="0"/>
    <x v="0"/>
    <x v="0"/>
    <x v="1"/>
    <s v="Fully Remote with No option to visit offices"/>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Build and develop a Team, Design and Develop amazing software"/>
    <s v="Manager who clearly describes what she/he needs"/>
    <s v="Work with 2 to 3 people in my team"/>
    <s v="No"/>
    <s v="No way"/>
    <m/>
  </r>
  <r>
    <d v="2023-04-30T10:01:45"/>
    <s v="India"/>
    <n v="605010"/>
    <x v="1"/>
    <x v="2"/>
    <x v="1"/>
    <x v="1"/>
    <x v="0"/>
    <x v="0"/>
    <x v="3"/>
    <s v="Fully Remote with Options to travel as and when needed"/>
    <s v="Employer who rewards learning and enables that environment"/>
    <s v="Instructor or Expert Learning Programs, Trial and error by doing side projects within the company, Manager Teaching you"/>
    <s v="Teaching in any of the institutes/colleges/online or offline, Business Operations in any organization, Manage and drive End-to-End Projects or Products, Look deeply into Data and generate insights"/>
    <s v="Manager who sets goal and helps me achieve it"/>
    <s v="Work with 2 to 3 people in my team"/>
    <s v="Yes, I Understand this is gonna happen everywhere"/>
    <s v="This will be hard to do, but if it is the right company I would try"/>
    <m/>
  </r>
  <r>
    <d v="2023-04-30T10:06:37"/>
    <s v="India"/>
    <n v="571301"/>
    <x v="0"/>
    <x v="4"/>
    <x v="2"/>
    <x v="0"/>
    <x v="0"/>
    <x v="0"/>
    <x v="4"/>
    <s v="Hybrid Working Environment with more than 15 days a month at office"/>
    <s v="Employer who appreciates learning and enables that environment"/>
    <s v="Self Paced Learning Portals of the Company, Learning by observing others, Self Purchased Course from External Platforms"/>
    <s v="Business Operations in any organization, Work as a freelancer and do my thing my way, Entrepreneur or Start Up, Manufacturing / Oil and Gas/ Construction / Hard Physical Work related"/>
    <s v="Manager who clearly describes what she/he needs"/>
    <s v="Work with more than 10 people in my team"/>
    <s v="Yes, I Understand this is gonna happen everywhere"/>
    <s v="This will be hard to do, but if it is the right company I would try"/>
    <m/>
  </r>
  <r>
    <d v="2023-04-30T10:19:04"/>
    <s v="Canada"/>
    <s v="M3J0E5"/>
    <x v="1"/>
    <x v="2"/>
    <x v="0"/>
    <x v="3"/>
    <x v="0"/>
    <x v="1"/>
    <x v="5"/>
    <s v="Fully Remote with Options to travel as and when needed"/>
    <s v="Employer who pushes your limits by enabling an learning environment, and rewards you at the end"/>
    <s v="Instructor or Expert Learning Programs, Trial and error by doing side projects within the company, Self Purchased Course from External Platforms"/>
    <s v="Business Operations in any organization, Manage and drive End-to-End Projects or Products, Build and develop a Team, Manufacturing / Oil and Gas/ Construction / Hard Physical Work related"/>
    <s v="Manager who sets goal and helps me achieve it"/>
    <s v="Work with more than 10 people in my team"/>
    <s v="Yes, I Understand this is gonna happen everywhere"/>
    <s v="No way"/>
    <m/>
  </r>
  <r>
    <d v="2023-04-30T10:36:44"/>
    <s v="India"/>
    <n v="243006"/>
    <x v="0"/>
    <x v="3"/>
    <x v="2"/>
    <x v="0"/>
    <x v="1"/>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Look deeply into Data and generate insights, Work as a freelancer and do my thing my way, Entrepreneur or Start Up, An Artificial Intelligence Specialist / Talking to Robots"/>
    <s v="Manager who explains what is expected, sets a goal and helps achieve it"/>
    <s v="Work with 5 to 6 people in my team"/>
    <s v="Yes, I Understand this is gonna happen everywhere"/>
    <s v="This will be hard to do, but if it is the right company I would try"/>
    <m/>
  </r>
  <r>
    <d v="2023-04-30T10:48:23"/>
    <s v="India"/>
    <n v="142026"/>
    <x v="1"/>
    <x v="4"/>
    <x v="0"/>
    <x v="1"/>
    <x v="0"/>
    <x v="0"/>
    <x v="5"/>
    <s v="Fully Remote with Options to travel as and when needed"/>
    <s v="Employer who pushes your limits by enabling an learning environment, and rewards you at the end"/>
    <s v="Self Paced Learning Portals of the Company, Instructor or Expert Learning Programs, Manager Teaching you"/>
    <s v="Business Operations in any organization, Build and develop a Team, Work as a freelancer and do my thing my way, Entrepreneur or Start Up"/>
    <s v="Manager who sets goal and helps me achieve it"/>
    <s v="Work alone"/>
    <s v="Yes"/>
    <s v="This will be hard to do, but if it is the right company I would try"/>
    <m/>
  </r>
  <r>
    <d v="2023-04-30T11:09:59"/>
    <s v="India"/>
    <n v="605013"/>
    <x v="1"/>
    <x v="4"/>
    <x v="0"/>
    <x v="1"/>
    <x v="0"/>
    <x v="0"/>
    <x v="9"/>
    <s v="Hybrid Working Environment with more than 15 days a month at office"/>
    <s v="Employer who appreciates learning and enables that environment"/>
    <s v="Self Paced Learning Portals of the Company, Instructor or Expert Learning Programs, Self Purchased Course from External Platforms"/>
    <s v="Design and Creative strategy in any company, Manage and drive End-to-End Projects or Products, Build and develop a Team, Look deeply into Data and generate insights"/>
    <s v="Manager who explains what is expected, sets a goal and helps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30T11:27:56"/>
    <s v="India"/>
    <n v="201010"/>
    <x v="0"/>
    <x v="2"/>
    <x v="2"/>
    <x v="1"/>
    <x v="0"/>
    <x v="1"/>
    <x v="8"/>
    <s v="Every Day Office Environment"/>
    <s v="Employer who pushes your limits by enabling an learning environment, and rewards you at the end"/>
    <s v="Learning by observing others, Trial and error by doing side projects within the company, Manager Teaching you"/>
    <s v="Design and Creative strategy in any company, Look deeply into Data and generate insights, Entrepreneur or Start Up, I Want to sell things/Sales"/>
    <s v="Manager who explains what is expected, sets a goal and helps achieve it"/>
    <s v="Work with 7 to 10 or more people in my team"/>
    <s v="No"/>
    <s v="This will be hard to do, but if it is the right company I would try"/>
    <m/>
  </r>
  <r>
    <d v="2023-04-30T12:24:51"/>
    <s v="India"/>
    <n v="518395"/>
    <x v="0"/>
    <x v="0"/>
    <x v="2"/>
    <x v="1"/>
    <x v="0"/>
    <x v="0"/>
    <x v="5"/>
    <s v="Fully Remote with Options to travel as and when needed"/>
    <s v="Employer who appreciates learning and enables that environment"/>
    <s v="Self Paced Learning Portals of the Company, Instructor or Expert Learning Programs, Manager Teaching you"/>
    <s v="Teaching in any of the institutes/colleges/online or offline, Build and develop a Team, Look deeply into Data and generate insights, Work in a BPO setup for some well known client"/>
    <s v="Manager who clearly describes what she/he needs"/>
    <s v="Work with more than 10 people in my team"/>
    <s v="Yes"/>
    <s v="No way"/>
    <m/>
  </r>
  <r>
    <d v="2023-04-30T12:29:16"/>
    <s v="India"/>
    <n v="700032"/>
    <x v="1"/>
    <x v="3"/>
    <x v="1"/>
    <x v="1"/>
    <x v="1"/>
    <x v="1"/>
    <x v="2"/>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Look deeply into Data and generate insights, Work in a BPO setup for some well known client, Work as a freelancer and do my thing my way"/>
    <s v="Manager who explains what is expected, sets a goal and helps achieve it"/>
    <s v="Work with 2 to 3 people in my team"/>
    <s v="No"/>
    <s v="This will be hard to do, but if it is the right company I would try"/>
    <m/>
  </r>
  <r>
    <d v="2023-04-30T12:31:17"/>
    <s v="India"/>
    <n v="395006"/>
    <x v="0"/>
    <x v="0"/>
    <x v="0"/>
    <x v="0"/>
    <x v="0"/>
    <x v="0"/>
    <x v="5"/>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Build and develop a Team, Entrepreneur or Start Up, An Artificial Intelligence Specialist / Talking to Robo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30T12:35:37"/>
    <s v="India"/>
    <n v="395004"/>
    <x v="0"/>
    <x v="4"/>
    <x v="1"/>
    <x v="0"/>
    <x v="0"/>
    <x v="0"/>
    <x v="1"/>
    <s v="Every Day Office Environment"/>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Work as a freelancer and do my thing my way, Become a content Creator in some platform"/>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30T12:40:26"/>
    <s v="India"/>
    <n v="395006"/>
    <x v="1"/>
    <x v="4"/>
    <x v="2"/>
    <x v="0"/>
    <x v="0"/>
    <x v="0"/>
    <x v="7"/>
    <s v="Every Day Office Environment"/>
    <s v="Employer who appreciates learning and enables that environment"/>
    <s v="Self Paced Learning Portals of the Company, Learning by observing others, Self Purchased Course from External Platforms"/>
    <s v="Design and Creative strategy in any company, Business Operations in any organization, Design and Develop amazing software, Entrepreneur or Start Up"/>
    <s v="Manager who sets goal and helps me achieve it"/>
    <s v="Work with 7 to 10 or more people in my team"/>
    <s v="No"/>
    <s v="This will be hard to do, but if it is the right company I would try"/>
    <m/>
  </r>
  <r>
    <d v="2023-04-30T12:41:09"/>
    <s v="India"/>
    <n v="492001"/>
    <x v="0"/>
    <x v="4"/>
    <x v="2"/>
    <x v="1"/>
    <x v="0"/>
    <x v="0"/>
    <x v="9"/>
    <s v="Every Day Office Environment"/>
    <s v="Employer who appreciates learning and enables that environment"/>
    <s v="Instructor or Expert Learning Programs, Learning by observing others, Trial and error by doing side projects within the company"/>
    <s v="Teaching in any of the institutes/colleges/online or offline, Build and develop a Team, Design and Develop amazing software, Look deeply into Data and generate insights"/>
    <s v="Manager who explains what is expected, sets a goal and helps achieve it"/>
    <s v="Work with 5 to 6 people in my team"/>
    <s v="Yes, I Understand this is gonna happen everywhere"/>
    <s v="This will be hard to do, but if it is the right company I would try"/>
    <m/>
  </r>
  <r>
    <d v="2023-04-30T13:03:30"/>
    <s v="India"/>
    <n v="394327"/>
    <x v="0"/>
    <x v="4"/>
    <x v="1"/>
    <x v="0"/>
    <x v="0"/>
    <x v="0"/>
    <x v="1"/>
    <s v="Hybrid Working Environment with more than 15 days a month at office"/>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Look deeply into Data and generate insights, Work as a freelancer and do my thing my way, An Artificial Intelligence Specialist / Talking to Robots"/>
    <s v="Manager who clearly describes what she/he needs"/>
    <s v="Work with 2 to 3 people in my team"/>
    <s v="I have NO other choice"/>
    <s v="This will be hard to do, but if it is the right company I would try"/>
    <m/>
  </r>
  <r>
    <d v="2023-04-30T13:05:44"/>
    <s v="India"/>
    <n v="231304"/>
    <x v="0"/>
    <x v="1"/>
    <x v="0"/>
    <x v="1"/>
    <x v="0"/>
    <x v="0"/>
    <x v="1"/>
    <s v="Every Day Office Environment"/>
    <s v="Employer who appreciates learning and enables that environment"/>
    <s v="Self Paced Learning Portals of the Company, Instructor or Expert Learning Programs, Manager Teaching you"/>
    <s v="Teaching in any of the institutes/colleges/online or offline, Business Operations in any organization, Build and develop a Team, Entrepreneur or Start Up"/>
    <s v="Manager who explains what is expected, sets a goal and helps achieve it"/>
    <s v="Work with more than 10 people in my team"/>
    <s v="No"/>
    <s v="This will be hard to do, but if it is the right company I would try"/>
    <m/>
  </r>
  <r>
    <d v="2023-04-30T13:06:00"/>
    <s v="India"/>
    <n v="473001"/>
    <x v="0"/>
    <x v="1"/>
    <x v="0"/>
    <x v="0"/>
    <x v="1"/>
    <x v="1"/>
    <x v="8"/>
    <s v="Hybrid Working Environment with less than 3 days a month at office"/>
    <s v="Employer who appreciates learning and enables that environment"/>
    <s v="Self Paced Learning Portals of the Company, Trial and error by doing side projects within the company, Manager Teaching you"/>
    <s v="Manage and drive End-to-End Projects or Products, Build and develop a Team, Look deeply into Data and generate insights, Entrepreneur or Start Up"/>
    <s v="Manager who clearly describes what she/he needs"/>
    <s v="Work with 2 to 3 people in my team, Work with 5 to 6 people in my team, Work with 7 to 10 or more people in my team, Work with more than 10 people in my team"/>
    <s v="I have NO other choice"/>
    <s v="This will be hard to do, but if it is the right company I would try"/>
    <m/>
  </r>
  <r>
    <d v="2023-04-30T13:20:06"/>
    <s v="India"/>
    <n v="248001"/>
    <x v="0"/>
    <x v="2"/>
    <x v="2"/>
    <x v="1"/>
    <x v="1"/>
    <x v="0"/>
    <x v="5"/>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Build and develop a Team, Design and Develop amazing software,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30T13:24:13"/>
    <s v="India"/>
    <n v="600504"/>
    <x v="1"/>
    <x v="4"/>
    <x v="2"/>
    <x v="1"/>
    <x v="0"/>
    <x v="0"/>
    <x v="7"/>
    <s v="Every Day Office Environment"/>
    <s v="Employer who appreciates learning and enables that environment"/>
    <s v="Self Paced Learning Portals of the Company, Instructor or Expert Learning Programs, Trial and error by doing side projects within the company"/>
    <s v="Manage and drive End-to-End Projects or Products, Become a content Creator in some platform, I Want to sell things/Sales, Manufacturing / Oil and Gas/ Construction / Hard Physical Work related"/>
    <s v="Manager who sets goal and helps me achieve it"/>
    <s v="Work with 2 to 3 people in my team"/>
    <s v="No"/>
    <s v="This will be hard to do, but if it is the right company I would try"/>
    <m/>
  </r>
  <r>
    <d v="2023-04-30T13:40:12"/>
    <s v="India"/>
    <n v="94587"/>
    <x v="0"/>
    <x v="4"/>
    <x v="2"/>
    <x v="3"/>
    <x v="0"/>
    <x v="0"/>
    <x v="2"/>
    <s v="Every Day Office Environment"/>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Design and Develop amazing software"/>
    <s v="Manager who clearly describes what she/he needs"/>
    <s v="Work with more than 10 people in my team"/>
    <s v="Yes, I Understand this is gonna happen everywhere"/>
    <s v="This will be hard to do, but if it is the right company I would try"/>
    <m/>
  </r>
  <r>
    <d v="2023-04-30T13:45:12"/>
    <s v="India"/>
    <n v="395006"/>
    <x v="0"/>
    <x v="0"/>
    <x v="0"/>
    <x v="0"/>
    <x v="1"/>
    <x v="1"/>
    <x v="6"/>
    <s v="Hybrid Working Environment with more than 15 days a month at office"/>
    <s v="Employer who pushes your limits and doesn't enables learning environment and never rewards you"/>
    <s v="Self Paced Learning Portals of the Company, Learning by observing others, Self Purchased Course from External Platforms"/>
    <s v="Business Operations in any organization, Build and develop a Team, Look deeply into Data and generate insights, Work as a freelancer and do my thing my way"/>
    <s v="Manager who sets unrealistic targets"/>
    <s v="Work with more than 10 people in my team"/>
    <s v="Yes, I Understand this is gonna happen everywhere"/>
    <s v="No way"/>
    <m/>
  </r>
  <r>
    <d v="2023-04-30T13:51:04"/>
    <s v="India"/>
    <n v="686503"/>
    <x v="0"/>
    <x v="2"/>
    <x v="2"/>
    <x v="0"/>
    <x v="0"/>
    <x v="0"/>
    <x v="7"/>
    <s v="Fully Remote with Options to travel as and when needed"/>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Look deeply into Data and generate insights"/>
    <s v="Manager who sets targets and expects me to achieve it"/>
    <s v="Work with more than 10 people in my team"/>
    <s v="Yes, I Understand this is gonna happen everywhere"/>
    <s v="This will be hard to do, but if it is the right company I would try"/>
    <m/>
  </r>
  <r>
    <d v="2023-04-30T14:08:48"/>
    <s v="India"/>
    <n v="110025"/>
    <x v="0"/>
    <x v="0"/>
    <x v="0"/>
    <x v="1"/>
    <x v="0"/>
    <x v="0"/>
    <x v="4"/>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ild and develop a Team, Look deeply into Data and generate insights, Entrepreneur or Start Up"/>
    <s v="Manager who sets goal and helps me achieve it"/>
    <s v="Work with 5 to 6 people in my team"/>
    <s v="Yes, I Understand this is gonna happen everywhere"/>
    <s v="This will be hard to do, but if it is the right company I would try"/>
    <m/>
  </r>
  <r>
    <d v="2023-04-30T14:20:31"/>
    <s v="India"/>
    <n v="841230"/>
    <x v="0"/>
    <x v="4"/>
    <x v="2"/>
    <x v="0"/>
    <x v="1"/>
    <x v="1"/>
    <x v="9"/>
    <s v="Fully Remote with Options to travel as and when needed"/>
    <s v="Employer who rewards learning and enables that environment"/>
    <s v="Self Paced Learning Portals of the Company, Trial and error by doing side projects within the company, Self Purchased Course from External Platforms"/>
    <s v="Teaching in any of the institutes/colleges/online or offline, Business Operations in any organization, Build and develop a Team, Entrepreneur or Start Up"/>
    <s v="Manager who explains what is expected, sets a goal and helps achieve it"/>
    <s v="Work with more than 10 people in my team"/>
    <s v="Yes, I Understand this is gonna happen everywhere"/>
    <s v="This will be hard to do, but if it is the right company I would try"/>
    <m/>
  </r>
  <r>
    <d v="2023-04-30T14:43:47"/>
    <s v="India"/>
    <n v="440035"/>
    <x v="0"/>
    <x v="2"/>
    <x v="0"/>
    <x v="0"/>
    <x v="0"/>
    <x v="0"/>
    <x v="3"/>
    <s v="Fully Remote with Options to travel as and when needed"/>
    <s v="Employer who appreciates learning and enables that environment"/>
    <s v="Learning by observing others, Trial and error by doing side projects within the company, Self Purchased Course from External Platforms"/>
    <s v="Design and Creative strategy in any company, Teaching in any of the institutes/colleges/online or offline, Design and Develop amazing software, Look deeply into Data and generate insights"/>
    <s v="Manager who explains what is expected, sets a goal and helps achieve it"/>
    <s v="Work alone, Work with 2 to 3 people in my team, Work with 5 to 6 people in my team"/>
    <s v="Yes, I Understand this is gonna happen everywhere"/>
    <s v="This will be hard to do, but if it is the right company I would try"/>
    <m/>
  </r>
  <r>
    <d v="2023-04-30T14:57:23"/>
    <s v="India"/>
    <n v="395006"/>
    <x v="1"/>
    <x v="2"/>
    <x v="2"/>
    <x v="0"/>
    <x v="0"/>
    <x v="0"/>
    <x v="1"/>
    <s v="Fully Remote with Options to travel as and when needed"/>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Look deeply into Data and generate insights"/>
    <s v="Manager who explains what is expected, sets a goal and helps achieve it"/>
    <s v="Work with 2 to 3 people in my team"/>
    <s v="No"/>
    <s v="This will be hard to do, but if it is the right company I would try"/>
    <m/>
  </r>
  <r>
    <d v="2023-04-30T15:11:13"/>
    <s v="India"/>
    <n v="395006"/>
    <x v="0"/>
    <x v="2"/>
    <x v="2"/>
    <x v="0"/>
    <x v="0"/>
    <x v="0"/>
    <x v="4"/>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Teaching in any of the institutes/colleges/online or offline, Manage and drive End-to-End Projects or Products, Build and develop a Team, Entrepreneur or Start Up"/>
    <s v="Manager who explains what is expected, sets a goal and helps achieve it"/>
    <s v="Work with 2 to 3 people in my team"/>
    <s v="I have NO other choice"/>
    <s v="No way"/>
    <m/>
  </r>
  <r>
    <d v="2023-04-30T15:25:13"/>
    <s v="India"/>
    <n v="395004"/>
    <x v="0"/>
    <x v="4"/>
    <x v="2"/>
    <x v="0"/>
    <x v="0"/>
    <x v="0"/>
    <x v="0"/>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Manage and drive End-to-End Projects or Products,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30T15:52:07"/>
    <s v="India"/>
    <n v="605009"/>
    <x v="0"/>
    <x v="1"/>
    <x v="0"/>
    <x v="0"/>
    <x v="0"/>
    <x v="0"/>
    <x v="0"/>
    <s v="Fully Remote with Options to travel as and when needed"/>
    <s v="Employer who pushes your limits by enabling an learning environment, and rewards you at the end"/>
    <s v="Self Paced Learning Portals of the Company, Instructor or Expert Learning Programs, Learning by observing others"/>
    <s v="Design and Creative strategy in any company, Business Operations in any organization, Manage and drive End-to-End Projects or Products, Work as a freelancer and do my thing my way"/>
    <s v="Manager who explains what is expected, sets a goal and helps achieve it"/>
    <s v="Work with 5 to 6 people in my team"/>
    <s v="No"/>
    <s v="This will be hard to do, but if it is the right company I would try"/>
    <m/>
  </r>
  <r>
    <d v="2023-04-30T16:00:13"/>
    <s v="India"/>
    <n v="302020"/>
    <x v="1"/>
    <x v="3"/>
    <x v="0"/>
    <x v="0"/>
    <x v="1"/>
    <x v="0"/>
    <x v="2"/>
    <s v="Fully Remote with Options to travel as and when needed"/>
    <s v="Employer who pushes your limits by enabling an learning environment, and rewards you at the end"/>
    <s v="Self Paced Learning Portals of the Company, Learning by observing others, Manager Teaching you"/>
    <s v="Design and Creative strategy in any company, Build and develop a Team,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4-30T16:04:51"/>
    <s v="India"/>
    <n v="410206"/>
    <x v="0"/>
    <x v="3"/>
    <x v="0"/>
    <x v="0"/>
    <x v="0"/>
    <x v="0"/>
    <x v="6"/>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4-30T17:49:15"/>
    <s v="India"/>
    <n v="110025"/>
    <x v="0"/>
    <x v="1"/>
    <x v="0"/>
    <x v="1"/>
    <x v="1"/>
    <x v="1"/>
    <x v="7"/>
    <s v="Every Day Office Environment"/>
    <s v="Employer who pushes your limits by enabling an learning environment, and rewards you at the end"/>
    <s v="Instructor or Expert Learning Programs, Learning by observing others, Manager Teaching you"/>
    <s v="Teaching in any of the institutes/colleges/online or offline, Business Operations in any organization, Build and develop a Team, An Artificial Intelligence Specialist / Talking to Robo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4-30T18:06:43"/>
    <s v="India"/>
    <n v="201301"/>
    <x v="0"/>
    <x v="3"/>
    <x v="2"/>
    <x v="3"/>
    <x v="1"/>
    <x v="0"/>
    <x v="8"/>
    <s v="Every Day Office Environment"/>
    <s v="Employer who appreciates learning and enables that environment"/>
    <s v="Instructor or Expert Learning Programs, Learning by observing others, Self Purchased Course from External Platforms"/>
    <s v="Design and Creative strategy in any company, Build and develop a Team, Entrepreneur or Start Up, An Artificial Intelligence Specialist / Talking to Robots"/>
    <s v="Manager who clearly describes what she/he needs"/>
    <s v="Work with more than 10 people in my team"/>
    <s v="No"/>
    <s v="No way"/>
    <m/>
  </r>
  <r>
    <d v="2023-04-30T18:20:18"/>
    <s v="India"/>
    <n v="501301"/>
    <x v="0"/>
    <x v="0"/>
    <x v="2"/>
    <x v="0"/>
    <x v="0"/>
    <x v="0"/>
    <x v="6"/>
    <s v="Every Day Office Environment"/>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Teaching in any of the institutes/colleges/online or offline, Design and Develop amazing software, Become a content Creator in some platform"/>
    <s v="Manager who clearly describes what she/he needs"/>
    <s v="Work with 2 to 3 people in my team"/>
    <s v="Yes, I Understand this is gonna happen everywhere"/>
    <s v="This will be hard to do, but if it is the right company I would try"/>
    <m/>
  </r>
  <r>
    <d v="2023-04-30T19:15:36"/>
    <s v="Canada"/>
    <s v="N9b2l3"/>
    <x v="0"/>
    <x v="4"/>
    <x v="0"/>
    <x v="1"/>
    <x v="0"/>
    <x v="0"/>
    <x v="4"/>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Design and Creative strategy in any company, Teaching in any of the institutes/colleges/online or offline, Build and develop a Team, Work as a freelancer and do my thing my way"/>
    <s v="Manager who sets goal and helps me achieve it"/>
    <s v="Work with 2 to 3 people in my team"/>
    <s v="Yes, I Understand this is gonna happen everywhere"/>
    <s v="This will be hard to do, but if it is the right company I would try"/>
    <m/>
  </r>
  <r>
    <d v="2023-04-30T19:51:30"/>
    <s v="India"/>
    <n v="201010"/>
    <x v="1"/>
    <x v="4"/>
    <x v="1"/>
    <x v="0"/>
    <x v="0"/>
    <x v="0"/>
    <x v="2"/>
    <s v="Hybrid Working Environment with more than 15 days a month at office"/>
    <s v="Employer who rewards learning and enables that environment"/>
    <s v="Self Paced Learning Portals of the Company, Instructor or Expert Learning Programs, Manager Teaching you"/>
    <s v="Teaching in any of the institutes/colleges/online or offline, Manage and drive End-to-End Projects or Products, Build and develop a Team, Look deeply into Data and generate insights"/>
    <s v="Manager who explains what is expected, sets a goal and helps achieve it"/>
    <s v="Work with 5 to 6 people in my team, Work with 7 to 10 or more people in my team"/>
    <s v="No"/>
    <s v="No way"/>
    <m/>
  </r>
  <r>
    <d v="2023-04-30T20:40:07"/>
    <s v="India"/>
    <n v="231001"/>
    <x v="0"/>
    <x v="2"/>
    <x v="1"/>
    <x v="3"/>
    <x v="0"/>
    <x v="1"/>
    <x v="2"/>
    <s v="Hybrid Working Environment with less than 3 days a month at office"/>
    <s v="Employer who appreciate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in a BPO setup for some well known client"/>
    <s v="Manager who explains what is expected, sets a goal and helps achieve it"/>
    <s v="Work with 5 to 6 people in my team"/>
    <s v="I have NO other choice"/>
    <s v="Will work for 7 years or more"/>
    <m/>
  </r>
  <r>
    <d v="2023-04-30T20:44:26"/>
    <s v="India"/>
    <n v="605001"/>
    <x v="0"/>
    <x v="4"/>
    <x v="0"/>
    <x v="0"/>
    <x v="0"/>
    <x v="0"/>
    <x v="1"/>
    <s v="Fully Remote with Options to travel as and when needed"/>
    <s v="Employer who appreciates learning and enables that environment"/>
    <s v="Self Paced Learning Portals of the Company, Instructor or Expert Learning Programs, Trial and error by doing side projects within the company"/>
    <s v="Business Operations in any organization, Manage and drive End-to-End Projects or Products, Look deeply into Data and generate insights, An Artificial Intelligence Specialist / Talking to Robots"/>
    <s v="Manager who explains what is expected, sets a goal and helps achieve it"/>
    <s v="Work with 2 to 3 people in my team"/>
    <s v="Yes, I Understand this is gonna happen everywhere"/>
    <s v="No way"/>
    <m/>
  </r>
  <r>
    <d v="2023-04-30T21:01:53"/>
    <s v="India"/>
    <n v="250002"/>
    <x v="1"/>
    <x v="4"/>
    <x v="2"/>
    <x v="1"/>
    <x v="0"/>
    <x v="0"/>
    <x v="5"/>
    <s v="Hybrid Working Environment with more than 15 days a month at office"/>
    <s v="Employer who pushes your limits by enabling an learning environment, and rewards you at the end"/>
    <s v="Self Paced Learning Portals of the Company, Learning by observing others, Trial and error by doing side projects within the company"/>
    <s v="Business Operations in any organization, Look deeply into Data and generate insights, Work in a BPO setup for some well known client, An Artificial Intelligence Specialist / Talking to Robots"/>
    <s v="Manager who explains what is expected, sets a goal and helps achieve it"/>
    <s v="Work with 7 to 10 or more people in my team, Work with more than 10 people in my team"/>
    <s v="Yes, I Understand this is gonna happen everywhere"/>
    <s v="This will be hard to do, but if it is the right company I would try"/>
    <m/>
  </r>
  <r>
    <d v="2023-04-30T21:14:22"/>
    <s v="India"/>
    <n v="500094"/>
    <x v="1"/>
    <x v="4"/>
    <x v="2"/>
    <x v="1"/>
    <x v="0"/>
    <x v="0"/>
    <x v="6"/>
    <s v="Every Day Office Environment"/>
    <s v="Employer who appreciates learning and enables that environment"/>
    <s v="Self Paced Learning Portals of the Company, Instructor or Expert Learning Programs, Learning by observing others"/>
    <s v="Design and Creative strategy in any company, Teaching in any of the institutes/colleges/online or offline, Work as a freelancer and do my thing my way, An Artificial Intelligence Specialist / Talking to Robots"/>
    <s v="Manager who sets goal and helps me achieve it"/>
    <s v="Work with 5 to 6 people in my team"/>
    <s v="No"/>
    <s v="This will be hard to do, but if it is the right company I would try"/>
    <m/>
  </r>
  <r>
    <d v="2023-04-30T21:33:00"/>
    <s v="India"/>
    <n v="501510"/>
    <x v="0"/>
    <x v="4"/>
    <x v="1"/>
    <x v="1"/>
    <x v="0"/>
    <x v="0"/>
    <x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Build and develop a Team, Design and Develop amazing software, Look deeply into Data and generate insights, An Artificial Intelligence Specialist / Talking to Robots"/>
    <s v="Manager who explains what is expected, sets a goal and helps achieve it"/>
    <s v="Work with 5 to 6 people in my team, Work with 7 to 10 or more people in my team"/>
    <s v="Yes, I Understand this is gonna happen everywhere"/>
    <s v="Will work for 7 years or more"/>
    <m/>
  </r>
  <r>
    <d v="2023-04-30T21:45:59"/>
    <s v="India"/>
    <n v="110072"/>
    <x v="0"/>
    <x v="2"/>
    <x v="1"/>
    <x v="0"/>
    <x v="1"/>
    <x v="1"/>
    <x v="5"/>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Business Operations in any organization, Manage and drive End-to-End Projects or Products, Look deeply into Data and generate insights"/>
    <s v="Manager who clearly describes what she/he needs"/>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4-30T21:53:26"/>
    <s v="India"/>
    <n v="482001"/>
    <x v="0"/>
    <x v="1"/>
    <x v="0"/>
    <x v="1"/>
    <x v="0"/>
    <x v="1"/>
    <x v="7"/>
    <s v="Hybrid Working Environment with more than 15 days a month at office"/>
    <s v="Employer who appreciates learning and enables that environment"/>
    <s v="Self Paced Learning Portals of the Company, Instructor or Expert Learning Programs, Learning by observing others"/>
    <s v="Teaching in any of the institutes/colleges/online or offline, Manage and drive End-to-End Projects or Products, Look deeply into Data and generate insights, Manufacturing / Oil and Gas/ Construction / Hard Physical Work related"/>
    <s v="Manager who sets goal and helps me achieve it"/>
    <s v="Work with 5 to 6 people in my team, Work with 7 to 10 or more people in my team, Work with more than 10 people in my team"/>
    <s v="Yes"/>
    <s v="This will be hard to do, but if it is the right company I would try"/>
    <m/>
  </r>
  <r>
    <d v="2023-04-30T22:04:35"/>
    <s v="United States of America"/>
    <s v="06511"/>
    <x v="0"/>
    <x v="0"/>
    <x v="1"/>
    <x v="1"/>
    <x v="0"/>
    <x v="0"/>
    <x v="8"/>
    <s v="Every Day Office Environment"/>
    <s v="Employer who rewards learning and enables that environment"/>
    <s v="Self Paced Learning Portals of the Company, Learning by observing others, Trial and error by doing side projects within the company"/>
    <s v="Design and Creative strategy in any company, Business Operations in any organization, Look deeply into Data and generate insights, Manufacturing / Oil and Gas/ Construction / Hard Physical Work related"/>
    <s v="Manager who explains what is expected, sets a goal and helps achieve it"/>
    <s v="Work with 5 to 6 people in my team"/>
    <s v="Yes, I Understand this is gonna happen everywhere"/>
    <s v="No way"/>
    <m/>
  </r>
  <r>
    <d v="2023-04-30T22:21:42"/>
    <s v="India"/>
    <n v="500094"/>
    <x v="0"/>
    <x v="4"/>
    <x v="1"/>
    <x v="1"/>
    <x v="1"/>
    <x v="1"/>
    <x v="4"/>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Entrepreneur or Start Up, An Artificial Intelligence Specialist / Talking to Robots"/>
    <s v="Manager who explains what is expected, sets a goal and helps achieve it"/>
    <s v="Work with 5 to 6 people in my team"/>
    <s v="No"/>
    <s v="This will be hard to do, but if it is the right company I would try"/>
    <m/>
  </r>
  <r>
    <d v="2023-04-30T22:52:18"/>
    <s v="India"/>
    <n v="454001"/>
    <x v="0"/>
    <x v="4"/>
    <x v="1"/>
    <x v="1"/>
    <x v="0"/>
    <x v="0"/>
    <x v="2"/>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Yes, I Understand this is gonna happen everywhere"/>
    <s v="No way"/>
    <m/>
  </r>
  <r>
    <d v="2023-04-30T23:51:56"/>
    <s v="India"/>
    <n v="607001"/>
    <x v="0"/>
    <x v="3"/>
    <x v="0"/>
    <x v="1"/>
    <x v="0"/>
    <x v="0"/>
    <x v="3"/>
    <s v="Hybrid Working Environment with more than 15 days a month at office"/>
    <s v="Employer who rewards learning and enables that environment"/>
    <s v="Self Paced Learning Portals of the Company, Instructor or Expert Learning Programs, Learning by observing others"/>
    <s v="Design and Creative strategy in any company, Work as a freelancer and do my thing my way,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m/>
  </r>
  <r>
    <d v="2023-04-30T23:56:15"/>
    <s v="India"/>
    <n v="621211"/>
    <x v="0"/>
    <x v="3"/>
    <x v="0"/>
    <x v="0"/>
    <x v="1"/>
    <x v="1"/>
    <x v="4"/>
    <s v="Every Day Office Environment"/>
    <s v="Employer who appreciates learning and enables that environment"/>
    <s v="Self Paced Learning Portals of the Company, Self Purchased Course from External Platforms, Manager Teaching you"/>
    <s v="Design and Creative strategy in any company, Become a content Creator in some platform, Entrepreneur or Start Up, An Artificial Intelligence Specialist / Talking to Robots"/>
    <s v="Manager who sets targets and expects me to achieve it"/>
    <s v="Work alone"/>
    <s v="Yes, I Understand this is gonna happen everywhere"/>
    <s v="This will be hard to do, but if it is the right company I would try"/>
    <m/>
  </r>
  <r>
    <d v="2023-05-01T00:03:28"/>
    <s v="India"/>
    <n v="395006"/>
    <x v="0"/>
    <x v="0"/>
    <x v="2"/>
    <x v="0"/>
    <x v="0"/>
    <x v="0"/>
    <x v="4"/>
    <s v="Hybrid Working Environment with more than 15 days a month at office"/>
    <s v="Employer who appreciates learning and enables that environment"/>
    <s v="Learning by observing others, Trial and error by doing side projects within the company, Self Purchased Course from External Platforms"/>
    <s v="Business Operations in any organization, Design and Develop amazing software, Entrepreneur or Start Up, An Artificial Intelligence Specialist / Talking to Robots"/>
    <s v="Manager who clearly describes what she/he needs"/>
    <s v="Work with 5 to 6 people in my team"/>
    <s v="Yes, I Understand this is gonna happen everywhere"/>
    <s v="This will be hard to do, but if it is the right company I would try"/>
    <m/>
  </r>
  <r>
    <d v="2023-05-01T00:08:15"/>
    <s v="India"/>
    <n v="576213"/>
    <x v="1"/>
    <x v="4"/>
    <x v="0"/>
    <x v="0"/>
    <x v="1"/>
    <x v="1"/>
    <x v="9"/>
    <s v="Fully Remote with No option to visit offices"/>
    <s v="Employer who pushes your limits by enabling an learning environment, and rewards you at the end"/>
    <s v="Instructor or Expert Learning Programs, Trial and error by doing side projects within the company, Manager Teaching you"/>
    <s v="Design and Creative strategy in any company, Business Operations in any organization, Build and develop a Team, Look deeply into Data and generate insights"/>
    <s v="Manager who explains what is expected, sets a goal and helps achieve it"/>
    <s v="Work with 2 to 3 people in my team, Work with 5 to 6 people in my team"/>
    <s v="Yes, I Understand this is gonna happen everywhere"/>
    <s v="No way"/>
    <m/>
  </r>
  <r>
    <d v="2023-05-01T00:30:50"/>
    <s v="India"/>
    <n v="456010"/>
    <x v="0"/>
    <x v="0"/>
    <x v="2"/>
    <x v="1"/>
    <x v="0"/>
    <x v="0"/>
    <x v="3"/>
    <s v="Hybrid Working Environment with more than 15 days a month at office"/>
    <s v="Employer who rewards learning and enables that environment"/>
    <s v="Self Paced Learning Portals of the Company, Learning by observing others, Trial and error by doing side projects within the company"/>
    <s v="Design and Creative strategy in any company, Manage and drive End-to-End Projects or Products, Build and develop a Team, Entrepreneur or Start Up"/>
    <s v="Manager who explains what is expected, sets a goal and helps achieve it"/>
    <s v="Work with 5 to 6 people in my team"/>
    <s v="Yes, I Understand this is gonna happen everywhere"/>
    <s v="Will work for 7 years or more"/>
    <m/>
  </r>
  <r>
    <d v="2023-05-01T01:06:10"/>
    <s v="India"/>
    <n v="500019"/>
    <x v="0"/>
    <x v="4"/>
    <x v="0"/>
    <x v="0"/>
    <x v="0"/>
    <x v="0"/>
    <x v="1"/>
    <s v="Hybrid Working Environment with more than 15 days a month at office"/>
    <s v="Employer who pushes your limits by enabling an learning environment, and rewards you at the end"/>
    <s v="Instructor or Expert Learning Programs, Self Purchased Course from External Platforms, Manager Teaching you"/>
    <s v="Business Operations in any organization, Manage and drive End-to-End Projects or Products, Build and develop a Team, Look deeply into Data and generate insights"/>
    <s v="Manager who clearly describes what she/he needs"/>
    <s v="Work with 2 to 3 people in my team"/>
    <s v="Yes, I Understand this is gonna happen everywhere"/>
    <s v="Will work for 7 years or more"/>
    <m/>
  </r>
  <r>
    <d v="2023-05-01T01:49:12"/>
    <s v="India"/>
    <n v="452001"/>
    <x v="0"/>
    <x v="1"/>
    <x v="0"/>
    <x v="1"/>
    <x v="1"/>
    <x v="0"/>
    <x v="8"/>
    <s v="Hybrid Working Environment with more than 15 days a month at office"/>
    <s v="Employer who appreciates learning and enables that environment"/>
    <s v="Self Paced Learning Portals of the Company, Learning by observing others, Self Purchased Course from External Platforms"/>
    <s v="Teaching in any of the institutes/colleges/online or offline, Build and develop a Team, Design and Develop amazing software, Entrepreneur or Start Up"/>
    <s v="Manager who explains what is expected, sets a goal and helps achieve it"/>
    <s v="Work with 2 to 3 people in my team"/>
    <s v="Yes, I Understand this is gonna happen everywhere"/>
    <s v="No way"/>
    <m/>
  </r>
  <r>
    <d v="2023-05-01T01:51:11"/>
    <s v="India"/>
    <n v="452001"/>
    <x v="1"/>
    <x v="4"/>
    <x v="1"/>
    <x v="0"/>
    <x v="0"/>
    <x v="0"/>
    <x v="7"/>
    <s v="Fully Remote with Options to travel as and when needed"/>
    <s v="Employer who pushes your limits and doesn't enables learning environment and never rewards you"/>
    <s v="Instructor or Expert Learning Programs, Learning by observing others, Trial and error by doing side projects within the company"/>
    <s v="Design and Creative strategy in any company, Work as a freelancer and do my thing my way, Become a content Creator in some platform, An Artificial Intelligence Specialist / Talking to Robots"/>
    <s v="Manager who sets goal and helps me achieve it"/>
    <s v="Work with 2 to 3 people in my team"/>
    <s v="I have NO other choice"/>
    <s v="This will be hard to do, but if it is the right company I would try"/>
    <m/>
  </r>
  <r>
    <d v="2023-05-01T01:54:09"/>
    <s v="India"/>
    <n v="452010"/>
    <x v="1"/>
    <x v="0"/>
    <x v="2"/>
    <x v="0"/>
    <x v="1"/>
    <x v="0"/>
    <x v="3"/>
    <s v="Fully Remote with No option to visit offices"/>
    <s v="Employer who pushes your limits by enabling an learning environment, and rewards you at the end"/>
    <s v="Instructor or Expert Learning Programs, Learning by observing others, Trial and error by doing side projects within the company"/>
    <s v="Business Operations in any organization, Manage and drive End-to-End Projects or Products, Build and develop a Team, I Want to sell things/Sales"/>
    <s v="Manager who explains what is expected, sets a goal and helps achieve it"/>
    <s v="Work with more than 10 people in my team"/>
    <s v="No"/>
    <s v="This will be hard to do, but if it is the right company I would try"/>
    <m/>
  </r>
  <r>
    <d v="2023-05-01T07:14:04"/>
    <s v="India"/>
    <n v="201014"/>
    <x v="1"/>
    <x v="3"/>
    <x v="0"/>
    <x v="0"/>
    <x v="0"/>
    <x v="0"/>
    <x v="7"/>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Develop amazing software, Look deeply into Data and generate insights, Work in a BPO setup for some well known client,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5-01T07:47:00"/>
    <s v="India"/>
    <n v="587102"/>
    <x v="0"/>
    <x v="1"/>
    <x v="2"/>
    <x v="1"/>
    <x v="0"/>
    <x v="0"/>
    <x v="4"/>
    <s v="Fully Remote with No option to visit offices"/>
    <s v="Employer who pushes your limits by enabling an learning environment, and rewards you at the end"/>
    <s v="Self Paced Learning Portals of the Company, Trial and error by doing side projects within the company, Manager Teaching you"/>
    <s v="Teaching in any of the institutes/colleges/online or offline, Work as a freelancer and do my thing my way, Entrepreneur or Start Up, An Artificial Intelligence Specialist / Talking to Robots"/>
    <s v="Manager who sets goal and helps me achieve it"/>
    <s v="Work alone, Work with more than 10 people in my team"/>
    <s v="No"/>
    <s v="No way"/>
    <m/>
  </r>
  <r>
    <d v="2023-05-01T08:42:20"/>
    <s v="India"/>
    <n v="530068"/>
    <x v="0"/>
    <x v="0"/>
    <x v="2"/>
    <x v="0"/>
    <x v="1"/>
    <x v="0"/>
    <x v="4"/>
    <s v="Fully Remote with Options to travel as and when needed"/>
    <s v="Employer who appreciates learning and enables that environment"/>
    <s v="Self Paced Learning Portals of the Company, Instructor or Expert Learning Programs, Learning by observing others"/>
    <s v="Design and Develop amazing software, Look deeply into Data and generate insights, Entrepreneur or Start Up, An Artificial Intelligence Specialist / Talking to Robots"/>
    <s v="Manager who sets goal and helps me achieve it"/>
    <s v="Work with 2 to 3 people in my team, Work with 5 to 6 people in my team"/>
    <s v="No"/>
    <s v="No way"/>
    <m/>
  </r>
  <r>
    <d v="2023-05-01T09:09:27"/>
    <s v="India"/>
    <n v="456010"/>
    <x v="0"/>
    <x v="0"/>
    <x v="0"/>
    <x v="1"/>
    <x v="1"/>
    <x v="1"/>
    <x v="3"/>
    <s v="Every Day Office Environment"/>
    <s v="Employer who pushes your limits by enabling an learning environment, and rewards you at the end"/>
    <s v="Instructor or Expert Learning Programs, Trial and error by doing side projects within the company, Manager Teaching you"/>
    <s v="Build and develop a Team, Work as a freelancer and do my thing my way, Entrepreneur or Start Up, An Artificial Intelligence Specialist / Talking to Robots"/>
    <s v="Manager who sets targets and expects me to achieve it"/>
    <s v="Work with more than 10 people in my team"/>
    <s v="Yes"/>
    <s v="This will be hard to do, but if it is the right company I would try"/>
    <m/>
  </r>
  <r>
    <d v="2023-05-01T09:39:13"/>
    <s v="India"/>
    <n v="560045"/>
    <x v="1"/>
    <x v="2"/>
    <x v="0"/>
    <x v="0"/>
    <x v="0"/>
    <x v="1"/>
    <x v="3"/>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Manage and drive End-to-End Projects or Products, Look deeply into Data and generate insights, Become a content Creator in some platform"/>
    <s v="Manager who explains what is expected, sets a goal and helps achieve it"/>
    <s v="Work with 5 to 6 people in my team"/>
    <s v="Yes, I Understand this is gonna happen everywhere"/>
    <s v="No way"/>
    <m/>
  </r>
  <r>
    <d v="2023-05-01T10:37:16"/>
    <s v="India"/>
    <n v="605007"/>
    <x v="1"/>
    <x v="2"/>
    <x v="1"/>
    <x v="0"/>
    <x v="0"/>
    <x v="0"/>
    <x v="4"/>
    <s v="Hybrid Working Environment with less than 3 days a month at office"/>
    <s v="Employer who rewards learning and enables that environment"/>
    <s v="Instructor or Expert Learning Programs, Learning by observing others, Trial and error by doing side projects within the company"/>
    <s v="Teaching in any of the institutes/colleges/online or offline, Business Operations in any organization, Build and develop a Team,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5-01T10:55:05"/>
    <s v="India"/>
    <n v="201002"/>
    <x v="1"/>
    <x v="2"/>
    <x v="1"/>
    <x v="0"/>
    <x v="0"/>
    <x v="0"/>
    <x v="3"/>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No way"/>
    <m/>
  </r>
  <r>
    <d v="2023-05-01T11:45:18"/>
    <s v="India"/>
    <n v="530002"/>
    <x v="0"/>
    <x v="2"/>
    <x v="1"/>
    <x v="1"/>
    <x v="0"/>
    <x v="0"/>
    <x v="6"/>
    <s v="Fully Remote with Options to travel as and when needed"/>
    <s v="Employer who rewards learning and enables that environment"/>
    <s v="Instructor or Expert Learning Programs, Trial and error by doing side projects within the company, Manager Teaching you"/>
    <s v="Business Operations in any organization, Manage and drive End-to-End Projects or Products, Look deeply into Data and generate insights, An Artificial Intelligence Specialist / Talking to Robots"/>
    <s v="Manager who sets goal and helps me achieve it"/>
    <s v="Work with 5 to 6 people in my team"/>
    <s v="Yes, I Understand this is gonna happen everywhere"/>
    <s v="Will work for 7 years or more"/>
    <m/>
  </r>
  <r>
    <d v="2023-05-01T12:15:17"/>
    <s v="India"/>
    <n v="388001"/>
    <x v="1"/>
    <x v="2"/>
    <x v="2"/>
    <x v="0"/>
    <x v="0"/>
    <x v="0"/>
    <x v="3"/>
    <s v="Fully Remote with No option to visit offices"/>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Manage and drive End-to-End Projects or Products, Look deeply into Data and generate insights"/>
    <s v="Manager who explains what is expected, sets a goal and helps achieve it"/>
    <s v="Work with 5 to 6 people in my team"/>
    <s v="Yes, I Understand this is gonna happen everywhere"/>
    <s v="No way"/>
    <m/>
  </r>
  <r>
    <d v="2023-05-01T12:27:39"/>
    <s v="India"/>
    <n v="679103"/>
    <x v="0"/>
    <x v="4"/>
    <x v="2"/>
    <x v="3"/>
    <x v="0"/>
    <x v="0"/>
    <x v="3"/>
    <s v="Fully Remote with Options to travel as and when needed"/>
    <s v="Employers who appreciates learning but doesn't enables an learning environment"/>
    <s v="Trial and error by doing side projects within the company, Self Purchased Course from External Platforms, Manager Teaching you"/>
    <s v="Business Operations in any organization, Work as a freelancer and do my thing my way, Entrepreneur or Start Up, I Want to sell things/Sales"/>
    <s v="Manager who sets unrealistic targets"/>
    <s v="Work with more than 10 people in my team"/>
    <s v="Yes, I Understand this is gonna happen everywhere"/>
    <s v="No way"/>
    <m/>
  </r>
  <r>
    <d v="2023-05-01T12:28:40"/>
    <s v="India"/>
    <n v="678008"/>
    <x v="0"/>
    <x v="1"/>
    <x v="0"/>
    <x v="1"/>
    <x v="0"/>
    <x v="0"/>
    <x v="9"/>
    <s v="Hybrid Working Environment with less than 3 days a month at office"/>
    <s v="Employer who appreciates learning and enables that environment"/>
    <s v="Self Paced Learning Portals of the Company, Instructor or Expert Learning Programs, Self Purchased Course from External Platforms"/>
    <s v="Manage and drive End-to-End Projects or Products, Build and develop a Team, Design and Develop amazing software, Work as a freelancer and do my thing my way"/>
    <s v="Manager who explains what is expected, sets a goal and helps achieve it"/>
    <s v="Work with 5 to 6 people in my team"/>
    <s v="No"/>
    <s v="Will work for 7 years or more"/>
    <m/>
  </r>
  <r>
    <d v="2023-05-01T12:29:54"/>
    <s v="India"/>
    <n v="560016"/>
    <x v="1"/>
    <x v="3"/>
    <x v="2"/>
    <x v="1"/>
    <x v="0"/>
    <x v="0"/>
    <x v="4"/>
    <s v="Fully Remote with Options to travel as and when needed"/>
    <s v="Employer who appreciates learning and enables that environment"/>
    <s v="Learning by observing others, Trial and error by doing side projects within the company, Self Purchased Course from External Platforms"/>
    <s v="Business Operations in any organization, Manage and drive End-to-End Projects or Products, Design and Develop amazing software, Look deeply into Data and generate insights"/>
    <s v="Manager who explains what is expected, sets a goal and helps achieve it"/>
    <s v="Work with 2 to 3 people in my team, Work with 5 to 6 people in my team"/>
    <s v="Yes, I Understand this is gonna happen everywhere"/>
    <s v="This will be hard to do, but if it is the right company I would try"/>
    <m/>
  </r>
  <r>
    <d v="2023-05-01T13:04:44"/>
    <s v="India"/>
    <n v="572120"/>
    <x v="0"/>
    <x v="1"/>
    <x v="0"/>
    <x v="0"/>
    <x v="0"/>
    <x v="0"/>
    <x v="5"/>
    <s v="Hybrid Working Environment with more than 15 days a month at office"/>
    <s v="Employer who rewards learning and enables that environment"/>
    <s v="Instructor or Expert Learning Programs, Learning by observing others, Manager Teaching you"/>
    <s v="Build and develop a Team, Look deeply into Data and generate insights, An Artificial Intelligence Specialist / Talking to Robots, Manufacturing / Oil and Gas/ Construction / Hard Physical Work related"/>
    <s v="Manager who sets goal and helps me achieve it"/>
    <s v="Work with 2 to 3 people in my team"/>
    <s v="No"/>
    <s v="No way"/>
    <m/>
  </r>
  <r>
    <d v="2023-05-01T14:28:10"/>
    <s v="India"/>
    <n v="679101"/>
    <x v="1"/>
    <x v="4"/>
    <x v="0"/>
    <x v="1"/>
    <x v="1"/>
    <x v="0"/>
    <x v="1"/>
    <s v="Every Day Office Environment"/>
    <s v="Employer who pushes your limits and doesn't enables learning environment and never rewards you"/>
    <s v="Instructor or Expert Learning Programs, Trial and error by doing side projects within the company, Self Purchased Course from External Platforms"/>
    <s v="Design and Creative strategy in any company, Business Operations in any organization, Work as a freelancer and do my thing my way, Become a content Creator in some platform"/>
    <s v="Manager who sets goal and helps me achieve it"/>
    <s v="Work with 5 to 6 people in my team"/>
    <s v="Yes, I Understand this is gonna happen everywhere"/>
    <s v="This will be hard to do, but if it is the right company I would try"/>
    <m/>
  </r>
  <r>
    <d v="2023-05-01T14:55:26"/>
    <s v="India"/>
    <n v="827012"/>
    <x v="0"/>
    <x v="1"/>
    <x v="0"/>
    <x v="0"/>
    <x v="0"/>
    <x v="1"/>
    <x v="3"/>
    <s v="Hybrid Working Environment with less than 3 days a month at office"/>
    <s v="Employer who pushes your limits by enabling an learning environment, and rewards you at the end"/>
    <s v="Instructor or Expert Learning Programs, Learning by observing others, Trial and error by doing side projects within the company"/>
    <s v="Teaching in any of the institutes/colleges/online or offline, Business Operations in any organization, Build and develop a Team, An Artificial Intelligence Specialist / Talking to Robots"/>
    <s v="Manager who explains what is expected, sets a goal and helps achieve it"/>
    <s v="Work with 7 to 10 or more people in my team"/>
    <s v="Yes, I Understand this is gonna happen everywhere"/>
    <s v="This will be hard to do, but if it is the right company I would try"/>
    <m/>
  </r>
  <r>
    <d v="2023-05-01T14:56:49"/>
    <s v="India"/>
    <n v="827004"/>
    <x v="0"/>
    <x v="4"/>
    <x v="0"/>
    <x v="0"/>
    <x v="1"/>
    <x v="1"/>
    <x v="1"/>
    <s v="Every Day Office Environment"/>
    <s v="Employer who appreciates learning and enables that environment"/>
    <s v="Self Paced Learning Portals of the Company, Learning by observing others, Manager Teaching you"/>
    <s v="Design and Creative strategy in any company, Teaching in any of the institutes/colleges/online or offline, Become a content Creator in some platform, I Want to sell things/Sales"/>
    <s v="Manager who clearly describes what she/he needs"/>
    <s v="Work with more than 10 people in my team"/>
    <s v="No"/>
    <s v="This will be hard to do, but if it is the right company I would try"/>
    <m/>
  </r>
  <r>
    <d v="2023-05-01T14:58:35"/>
    <s v="India"/>
    <n v="827013"/>
    <x v="0"/>
    <x v="4"/>
    <x v="0"/>
    <x v="0"/>
    <x v="0"/>
    <x v="0"/>
    <x v="5"/>
    <s v="Every Day Office Environment"/>
    <s v="Employer who appreciates learning and enables that environment"/>
    <s v="Self Paced Learning Portals of the Company, Instructor or Expert Learning Programs, Learning by observing others"/>
    <s v="Design and Creative strategy in any company, Build and develop a Team, Design and Develop amazing software, Work as a freelancer and do my thing my way"/>
    <s v="Manager who clearly describes what she/he needs"/>
    <s v="Work with 5 to 6 people in my team"/>
    <s v="No"/>
    <s v="No way"/>
    <m/>
  </r>
  <r>
    <d v="2023-05-01T15:02:37"/>
    <s v="India"/>
    <n v="160030"/>
    <x v="1"/>
    <x v="4"/>
    <x v="1"/>
    <x v="0"/>
    <x v="0"/>
    <x v="0"/>
    <x v="2"/>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Manage and drive End-to-End Projects or Products, Build and develop a Team, Look deeply into Data and generate insights"/>
    <s v="Manager who explains what is expected, sets a goal and helps achieve it"/>
    <s v="Work with 5 to 6 people in my team"/>
    <s v="Yes, I Understand this is gonna happen everywhere"/>
    <s v="No way"/>
    <m/>
  </r>
  <r>
    <d v="2023-05-01T15:04:00"/>
    <s v="India"/>
    <n v="678001"/>
    <x v="0"/>
    <x v="3"/>
    <x v="2"/>
    <x v="0"/>
    <x v="0"/>
    <x v="0"/>
    <x v="7"/>
    <s v="Fully Remote with Options to travel as and when needed"/>
    <s v="Employer who pushes your limits by enabling an learning environment, and rewards you at the end"/>
    <s v="Instructor or Expert Learning Programs, Trial and error by doing side projects within the company, Manager Teaching you"/>
    <s v="Look deeply into Data and generate insights, Work as a freelancer and do my thing my way, Become a content Creator in some platform, Entrepreneur or Start Up"/>
    <s v="Manager who sets goal and helps me achieve it"/>
    <s v="Work with 7 to 10 or more people in my team"/>
    <s v="Yes, I Understand this is gonna happen everywhere"/>
    <s v="This will be hard to do, but if it is the right company I would try"/>
    <m/>
  </r>
  <r>
    <d v="2023-05-01T15:19:10"/>
    <s v="India"/>
    <n v="422003"/>
    <x v="1"/>
    <x v="4"/>
    <x v="1"/>
    <x v="0"/>
    <x v="0"/>
    <x v="0"/>
    <x v="0"/>
    <s v="Hybrid Working Environment with less than 3 days a month at office"/>
    <s v="Employer who rewards learning and enables that environment"/>
    <s v="Self Paced Learning Portals of the Company, Instructor or Expert Learning Programs, Learning by observing others"/>
    <s v="Build and develop a Team, Design and Develop amazing software, Become a content Creator in some platform, I Want to sell things/Sales"/>
    <s v="Manager who clearly describes what she/he needs"/>
    <s v="Work with 2 to 3 people in my team"/>
    <s v="Yes, I Understand this is gonna happen everywhere"/>
    <s v="No way"/>
    <m/>
  </r>
  <r>
    <d v="2023-05-01T15:30:46"/>
    <s v="India"/>
    <n v="827012"/>
    <x v="0"/>
    <x v="1"/>
    <x v="0"/>
    <x v="0"/>
    <x v="0"/>
    <x v="0"/>
    <x v="2"/>
    <s v="Hybrid Working Environment with more than 15 days a month at office"/>
    <s v="Employer who pushes your limits by enabling an learning environment, and rewards you at the end"/>
    <s v="Self Paced Learning Portals of the Company, Learning by observing others, Manager Teaching you"/>
    <s v="Design and Creative strategy in any company, Business Operations in any organization, Manage and drive End-to-End Projects or Products, Manufacturing / Oil and Gas/ Construction / Hard Physical Work related"/>
    <s v="Manager who explains what is expected, sets a goal and helps achieve it"/>
    <s v="Work with 2 to 3 people in my team"/>
    <s v="No"/>
    <s v="No way"/>
    <m/>
  </r>
  <r>
    <d v="2023-05-01T16:01:23"/>
    <s v="India"/>
    <n v="700023"/>
    <x v="1"/>
    <x v="2"/>
    <x v="0"/>
    <x v="1"/>
    <x v="0"/>
    <x v="0"/>
    <x v="9"/>
    <s v="Hybrid Working Environment with less than 3 days a month at office"/>
    <s v="Employer who pushes your limits by enabling an learning environment, and rewards you at the end"/>
    <s v="Learning by observing others, Trial and error by doing side projects within the company, Self Purchased Course from External Platforms"/>
    <s v="Teaching in any of the institutes/colleges/online or offline, Business Operations in any organization, Manage and drive End-to-End Projects or Products, Become a content Creator in some platform"/>
    <s v="Manager who sets goal and helps me achieve it"/>
    <s v="Work with 5 to 6 people in my team"/>
    <s v="I have NO other choice"/>
    <s v="This will be hard to do, but if it is the right company I would try"/>
    <m/>
  </r>
  <r>
    <d v="2023-05-01T16:02:50"/>
    <s v="India"/>
    <n v="605010"/>
    <x v="0"/>
    <x v="4"/>
    <x v="2"/>
    <x v="1"/>
    <x v="0"/>
    <x v="0"/>
    <x v="4"/>
    <s v="Hybrid Working Environment with more than 15 days a month at office"/>
    <s v="Employer who appreciates learning and enables that environment"/>
    <s v="Self Paced Learning Portals of the Company, Learning by observing others, Trial and error by doing side projects within the company"/>
    <s v="Design and Creative strategy in any company, Build and develop a Team, Work as a freelancer and do my thing my way, Entrepreneur or Start Up"/>
    <s v="Manager who sets goal and helps me achieve it"/>
    <s v="Work with more than 10 people in my team"/>
    <s v="Yes, I Understand this is gonna happen everywhere"/>
    <s v="This will be hard to do, but if it is the right company I would try"/>
    <m/>
  </r>
  <r>
    <d v="2023-05-01T16:56:48"/>
    <s v="India"/>
    <n v="7"/>
    <x v="1"/>
    <x v="0"/>
    <x v="1"/>
    <x v="0"/>
    <x v="1"/>
    <x v="0"/>
    <x v="0"/>
    <s v="Hybrid Working Environment with less than 3 days a month at office"/>
    <s v="Employer who pushes your limits by enabling an learning environment, and rewards you at the end"/>
    <s v="Self Paced Learning Portals of the Company, Self Purchased Course from External Platforms, Manager Teaching you"/>
    <s v="Design and Creative strategy in any company, Teaching in any of the institutes/colleges/online or offline, Business Operations in any organization, Work as a freelancer and do my thing my way"/>
    <s v="Manager who explains what is expected, sets a goal and helps achieve it"/>
    <s v="Work with 5 to 6 people in my team"/>
    <s v="I have NO other choice"/>
    <s v="This will be hard to do, but if it is the right company I would try"/>
    <m/>
  </r>
  <r>
    <d v="2023-05-01T17:30:49"/>
    <s v="India"/>
    <n v="700000"/>
    <x v="1"/>
    <x v="0"/>
    <x v="1"/>
    <x v="0"/>
    <x v="1"/>
    <x v="0"/>
    <x v="0"/>
    <s v="Fully Remote with Options to travel as and when needed"/>
    <s v="Employer who rewards learning and enables that environment"/>
    <s v="Self Paced Learning Portals of the Company, Learning by observing others, Manager Teaching you"/>
    <s v="Design and Creative strategy in any company, Work as a freelancer and do my thing my way, Become a content Creator in some platform, Entrepreneur or Start Up"/>
    <s v="Manager who clearly describes what she/he needs"/>
    <s v="Work with 2 to 3 people in my team"/>
    <s v="Yes, I Understand this is gonna happen everywhere"/>
    <s v="No way"/>
    <m/>
  </r>
  <r>
    <d v="2023-05-01T18:39:19"/>
    <s v="India"/>
    <n v="474006"/>
    <x v="0"/>
    <x v="3"/>
    <x v="0"/>
    <x v="0"/>
    <x v="0"/>
    <x v="0"/>
    <x v="7"/>
    <s v="Hybrid Working Environment with more than 15 days a month at office"/>
    <s v="Employer who pushes your limits by enabling an learning environment, and rewards you at the end"/>
    <s v="Instructor or Expert Learning Programs, Learning by observing others, Self Purchased Course from External Platforms"/>
    <s v="Design and Creative strategy in any company, Teaching in any of the institutes/colleges/online or offline, Business Operations in any organization, Become a content Creator in some platform"/>
    <s v="Manager who explains what is expected, sets a goal and helps achieve it"/>
    <s v="Work with 2 to 3 people in my team"/>
    <s v="Yes, I Understand this is gonna happen everywhere"/>
    <s v="No way"/>
    <m/>
  </r>
  <r>
    <d v="2023-05-01T19:19:46"/>
    <s v="India"/>
    <n v="700032"/>
    <x v="0"/>
    <x v="3"/>
    <x v="0"/>
    <x v="1"/>
    <x v="0"/>
    <x v="0"/>
    <x v="1"/>
    <s v="Hybrid Working Environment with more than 15 days a month at office"/>
    <s v="Employer who pushes your limits by enabling an learning environment, and rewards you at the end"/>
    <s v="Learning by observing others, Trial and error by doing side projects within the company, Manager Teaching you"/>
    <s v="Design and Creative strategy in any company, Business Operations in any organization, Design and Develop amazing software, An Artificial Intelligence Specialist / Talking to Robots"/>
    <s v="Manager who explains what is expected, sets a goal and helps achieve it"/>
    <s v="Work with 5 to 6 people in my team"/>
    <s v="Yes, I Understand this is gonna happen everywhere"/>
    <s v="No way"/>
    <m/>
  </r>
  <r>
    <d v="2023-05-01T20:05:02"/>
    <s v="India"/>
    <n v="829111"/>
    <x v="0"/>
    <x v="1"/>
    <x v="1"/>
    <x v="1"/>
    <x v="1"/>
    <x v="1"/>
    <x v="5"/>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Design and Develop amazing software, Look deeply into Data and generate insights"/>
    <s v="Manager who sets goal and helps me achieve it"/>
    <s v="Work with more than 10 people in my team"/>
    <s v="Yes, I Understand this is gonna happen everywhere"/>
    <s v="No way"/>
    <m/>
  </r>
  <r>
    <d v="2023-05-01T21:46:21"/>
    <s v="India"/>
    <n v="110019"/>
    <x v="0"/>
    <x v="0"/>
    <x v="1"/>
    <x v="0"/>
    <x v="1"/>
    <x v="0"/>
    <x v="4"/>
    <s v="Hybrid Working Environment with more than 15 days a month at office"/>
    <s v="Employer who pushes your limits by enabling an learning environment, and rewards you at the end"/>
    <s v="Self Paced Learning Portals of the Company, Instructor or Expert Learning Programs, Trial and error by doing side projects within the company"/>
    <s v="Teaching in any of the institutes/colleges/online or offline, Build and develop a Team, Work as a freelancer and do my thing my way, Entrepreneur or Start Up"/>
    <s v="Manager who explains what is expected, sets a goal and helps achieve it"/>
    <s v="Work with 5 to 6 people in my team"/>
    <s v="Yes, I Understand this is gonna happen everywhere"/>
    <s v="This will be hard to do, but if it is the right company I would try"/>
    <m/>
  </r>
  <r>
    <d v="2023-05-01T21:47:46"/>
    <s v="India"/>
    <n v="382421"/>
    <x v="0"/>
    <x v="4"/>
    <x v="0"/>
    <x v="1"/>
    <x v="0"/>
    <x v="0"/>
    <x v="7"/>
    <s v="Every Day Office Environment"/>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siness Operations in any organization, Design and Develop amazing software"/>
    <s v="Manager who clearly describes what she/he needs"/>
    <s v="Work with 7 to 10 or more people in my team"/>
    <s v="No"/>
    <s v="Will work for 7 years or more"/>
    <m/>
  </r>
  <r>
    <d v="2023-05-01T21:51:28"/>
    <s v="India"/>
    <n v="382470"/>
    <x v="0"/>
    <x v="2"/>
    <x v="2"/>
    <x v="1"/>
    <x v="0"/>
    <x v="0"/>
    <x v="4"/>
    <s v="Every Day Office Environment"/>
    <s v="Employer who appreciates learning and enables that environment"/>
    <s v="Self Paced Learning Portals of the Company, Instructor or Expert Learning Programs, Manager Teaching you"/>
    <s v="Teaching in any of the institutes/colleges/online or offline, Manage and drive End-to-End Projects or Products, Look deeply into Data and generate insights, An Artificial Intelligence Specialist / Talking to Robots"/>
    <s v="Manager who sets goal and helps me achieve it"/>
    <s v="Work with more than 10 people in my team"/>
    <s v="Yes"/>
    <s v="This will be hard to do, but if it is the right company I would try"/>
    <m/>
  </r>
  <r>
    <d v="2023-05-01T21:55:33"/>
    <s v="India"/>
    <n v="380005"/>
    <x v="0"/>
    <x v="0"/>
    <x v="2"/>
    <x v="1"/>
    <x v="0"/>
    <x v="0"/>
    <x v="6"/>
    <s v="Hybrid Working Environment with less than 3 days a month at office"/>
    <s v="Employer who pushes your limits by enabling an learning environment, and rewards you at the end"/>
    <s v="Instructor or Expert Learning Programs, Learning by observing others, Manager Teaching you"/>
    <s v="Design and Creative strategy in any company, Business Operations in any organization, Manage and drive End-to-End Projects or Products, I Want to sell things/Sales"/>
    <s v="Manager who explains what is expected, sets a goal and helps achieve it"/>
    <s v="Work with 7 to 10 or more people in my team"/>
    <s v="Yes, I Understand this is gonna happen everywhere"/>
    <s v="This will be hard to do, but if it is the right company I would try"/>
    <m/>
  </r>
  <r>
    <d v="2023-05-01T22:02:41"/>
    <s v="India"/>
    <n v="382424"/>
    <x v="0"/>
    <x v="4"/>
    <x v="1"/>
    <x v="0"/>
    <x v="0"/>
    <x v="0"/>
    <x v="5"/>
    <s v="Hybrid Working Environment with less than 3 days a month at office"/>
    <s v="Employer who rewards learning and enables that environment"/>
    <s v="Instructor or Expert Learning Programs, Learning by observing others, Trial and error by doing side projects within the company"/>
    <s v="Business Operations in any organization, Manage and drive End-to-End Projects or Products, Look deeply into Data and generate insights, Work as a freelancer and do my thing my way"/>
    <s v="Manager who explains what is expected, sets a goal and helps achieve it"/>
    <s v="Work with 5 to 6 people in my team"/>
    <s v="Yes, I Understand this is gonna happen everywhere"/>
    <s v="This will be hard to do, but if it is the right company I would try"/>
    <m/>
  </r>
  <r>
    <d v="2023-05-01T22:03:49"/>
    <s v="India"/>
    <n v="382424"/>
    <x v="0"/>
    <x v="4"/>
    <x v="1"/>
    <x v="1"/>
    <x v="0"/>
    <x v="0"/>
    <x v="8"/>
    <s v="Hybrid Working Environment with more than 15 days a month at office"/>
    <s v="Employer who pushes your limits by enabling an learning environment, and rewards you at the end"/>
    <s v="Self Paced Learning Portals of the Company, Instructor or Expert Learning Programs, Manager Teaching you"/>
    <s v="Teaching in any of the institutes/colleges/online or offline, Build and develop a Team, Work as a freelancer and do my thing my way, Entrepreneur or Start Up"/>
    <s v="Manager who sets goal and helps me achieve it"/>
    <s v="Work with more than 10 people in my team"/>
    <s v="No"/>
    <s v="Will work for 7 years or more"/>
    <m/>
  </r>
  <r>
    <d v="2023-05-01T22:07:35"/>
    <s v="India"/>
    <n v="382421"/>
    <x v="0"/>
    <x v="2"/>
    <x v="0"/>
    <x v="3"/>
    <x v="1"/>
    <x v="0"/>
    <x v="7"/>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Entrepreneur or Start Up"/>
    <s v="Manager who explains what is expected, sets a goal and helps achieve it"/>
    <s v="Work with 2 to 3 people in my team"/>
    <s v="Yes, I Understand this is gonna happen everywhere"/>
    <s v="This will be hard to do, but if it is the right company I would try"/>
    <m/>
  </r>
  <r>
    <d v="2023-05-01T22:12:00"/>
    <s v="India"/>
    <n v="380019"/>
    <x v="0"/>
    <x v="2"/>
    <x v="0"/>
    <x v="1"/>
    <x v="0"/>
    <x v="1"/>
    <x v="4"/>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Build and develop a Team, Design and Develop amazing software, Look deeply into Data and generate insights"/>
    <s v="Manager who sets goal and helps me achieve it"/>
    <s v="Work alone, Work with 2 to 3 people in my team, Work with 5 to 6 people in my team, Work with 7 to 10 or more people in my team, Work with more than 10 people in my team"/>
    <s v="Yes, I Understand this is gonna happen everywhere"/>
    <s v="This will be hard to do, but if it is the right company I would try"/>
    <m/>
  </r>
  <r>
    <d v="2023-05-01T22:38:31"/>
    <s v="India"/>
    <n v="382421"/>
    <x v="0"/>
    <x v="4"/>
    <x v="2"/>
    <x v="0"/>
    <x v="0"/>
    <x v="0"/>
    <x v="1"/>
    <s v="Every Day Office Environment"/>
    <s v="Employer who rewards learning and enables that environment"/>
    <s v="Self Paced Learning Portals of the Company, Learning by observing others, Trial and error by doing side projects within the company"/>
    <s v="Manage and drive End-to-End Projects or Products, Build and develop a Team, Design and Develop amazing software, Look deeply into Data and generate insights"/>
    <s v="Manager who clearly describes what she/he needs"/>
    <s v="Work with 5 to 6 people in my team, Work with 7 to 10 or more people in my team"/>
    <s v="No"/>
    <s v="This will be hard to do, but if it is the right company I would try"/>
    <m/>
  </r>
  <r>
    <d v="2023-05-02T05:10:06"/>
    <s v="India"/>
    <n v="144411"/>
    <x v="0"/>
    <x v="4"/>
    <x v="1"/>
    <x v="0"/>
    <x v="0"/>
    <x v="0"/>
    <x v="1"/>
    <s v="Every Day Office Environment"/>
    <s v="Employer who pushes your limits by enabling an learning environment, and rewards you at the end"/>
    <s v="Instructor or Expert Learning Programs, Trial and error by doing side projects within the company, Manager Teaching you"/>
    <s v="Business Operations in any organization, Manage and drive End-to-End Projects or Products, Build and develop a Team, Look deeply into Data and generate insights"/>
    <s v="Manager who explains what is expected, sets a goal and helps achieve it"/>
    <s v="Work with 5 to 6 people in my team"/>
    <s v="No"/>
    <s v="This will be hard to do, but if it is the right company I would try"/>
    <m/>
  </r>
  <r>
    <d v="2023-05-02T05:32:58"/>
    <s v="India"/>
    <n v="600122"/>
    <x v="0"/>
    <x v="2"/>
    <x v="1"/>
    <x v="0"/>
    <x v="0"/>
    <x v="0"/>
    <x v="0"/>
    <s v="Hybrid Working Environment with more than 15 days a month at office"/>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clearly describes what she/he needs"/>
    <s v="Work with 5 to 6 people in my team"/>
    <s v="Yes, I Understand this is gonna happen everywhere"/>
    <s v="This will be hard to do, but if it is the right company I would try"/>
    <m/>
  </r>
  <r>
    <d v="2023-05-02T06:20:14"/>
    <s v="India"/>
    <n v="380005"/>
    <x v="0"/>
    <x v="3"/>
    <x v="1"/>
    <x v="1"/>
    <x v="0"/>
    <x v="1"/>
    <x v="5"/>
    <s v="Hybrid Working Environment with more than 15 days a month at office"/>
    <s v="Employer who appreciates learning and enables that environment"/>
    <s v="Self Paced Learning Portals of the Company, Learning by observing others, Self Purchased Course from External Platforms"/>
    <s v="Business Operations in any organization, Manage and drive End-to-End Projects or Products, Work in a BPO setup for some well known client, Entrepreneur or Start Up"/>
    <s v="Manager who clearly describes what she/he needs"/>
    <s v="Work with 5 to 6 people in my team"/>
    <s v="Yes, I Understand this is gonna happen everywhere"/>
    <s v="This will be hard to do, but if it is the right company I would try"/>
    <m/>
  </r>
  <r>
    <d v="2023-05-02T08:01:20"/>
    <s v="India"/>
    <n v="515870"/>
    <x v="0"/>
    <x v="3"/>
    <x v="2"/>
    <x v="0"/>
    <x v="0"/>
    <x v="0"/>
    <x v="0"/>
    <s v="Fully Remote with Options to travel as and when needed"/>
    <s v="Employer who rewards learning and enables that environment"/>
    <s v="Self Paced Learning Portals of the Company, Instructor or Expert Learning Programs, Trial and error by doing side projects within the company"/>
    <s v="Business Operations in any organization, Look deeply into Data and generate insights, Work in a BPO setup for some well known client, Become a content Creator in some platform"/>
    <s v="Manager who explains what is expected, sets a goal and helps achieve it"/>
    <s v="Work with more than 10 people in my team"/>
    <s v="Yes, I Understand this is gonna happen everywhere"/>
    <s v="No way"/>
    <m/>
  </r>
  <r>
    <d v="2023-05-02T09:53:56"/>
    <s v="India"/>
    <n v="515870"/>
    <x v="0"/>
    <x v="4"/>
    <x v="1"/>
    <x v="1"/>
    <x v="1"/>
    <x v="0"/>
    <x v="5"/>
    <s v="Hybrid Working Environment with less than 3 days a month at office"/>
    <s v="Employer who pushes your limits by enabling an learning environment, and rewards you at the end"/>
    <s v="Self Paced Learning Portals of the Company, Instructor or Expert Learning Programs, Trial and error by doing side projects within the company"/>
    <s v="Design and Creative strategy in any company, Business Operations in any organization, Build and develop a Team, Manufacturing / Oil and Gas/ Construction / Hard Physical Work related"/>
    <s v="Manager who explains what is expected, sets a goal and helps achieve it"/>
    <s v="Work with more than 10 people in my team"/>
    <s v="Yes, I Understand this is gonna happen everywhere"/>
    <s v="This will be hard to do, but if it is the right company I would try"/>
    <m/>
  </r>
  <r>
    <d v="2023-05-02T13:34:37"/>
    <s v="India"/>
    <n v="560098"/>
    <x v="0"/>
    <x v="4"/>
    <x v="0"/>
    <x v="0"/>
    <x v="0"/>
    <x v="0"/>
    <x v="6"/>
    <s v="Fully Remote with Options to travel as and when needed"/>
    <s v="Employer who rewards learning and enables that environment"/>
    <s v="Self Paced Learning Portals of the Company, Learning by observing others, Trial and error by doing side projects within the company"/>
    <s v="Manage and drive End-to-End Projects or Products, Build and develop a Team, Look deeply into Data and generate insights, Entrepreneur or Start Up"/>
    <s v="Manager who explains what is expected, sets a goal and helps achieve it"/>
    <s v="Work with 2 to 3 people in my team"/>
    <s v="Yes, I Understand this is gonna happen everywhere"/>
    <s v="No way"/>
    <m/>
  </r>
  <r>
    <d v="2023-05-02T13:51:00"/>
    <s v="India"/>
    <n v="793007"/>
    <x v="0"/>
    <x v="0"/>
    <x v="2"/>
    <x v="1"/>
    <x v="1"/>
    <x v="1"/>
    <x v="4"/>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Business Operations in any organization, Become a content Creator in some platform, Entrepreneur or Start Up"/>
    <s v="Manager who clearly describes what she/he needs"/>
    <s v="Work with 2 to 3 people in my team"/>
    <s v="No"/>
    <s v="No way"/>
    <m/>
  </r>
  <r>
    <d v="2023-05-02T14:12:06"/>
    <s v="India"/>
    <n v="793006"/>
    <x v="1"/>
    <x v="3"/>
    <x v="0"/>
    <x v="0"/>
    <x v="0"/>
    <x v="0"/>
    <x v="6"/>
    <s v="Hybrid Working Environment with more than 15 days a month at office"/>
    <s v="Employer who pushes your limits by enabling an learning environment, and rewards you at the end"/>
    <s v="Instructor or Expert Learning Programs, Trial and error by doing side projects within the company, Manager Teaching you"/>
    <s v="Business Operations in any organization, Work as a freelancer and do my thing my way, Become a content Creator in some platform, Entrepreneur or Start Up"/>
    <s v="Manager who explains what is expected, sets a goal and helps achieve it"/>
    <s v="Work with 2 to 3 people in my team"/>
    <s v="Yes, I Understand this is gonna happen everywhere"/>
    <s v="This will be hard to do, but if it is the right company I would try"/>
    <m/>
  </r>
  <r>
    <d v="2023-05-02T14:14:42"/>
    <s v="India"/>
    <n v="793002"/>
    <x v="0"/>
    <x v="4"/>
    <x v="0"/>
    <x v="0"/>
    <x v="1"/>
    <x v="1"/>
    <x v="0"/>
    <s v="Hybrid Working Environment with less than 3 days a month at office"/>
    <s v="Employer who pushes your limits by enabling an learning environment, and rewards you at the end"/>
    <s v="Instructor or Expert Learning Programs, Learning by observing others, Manager Teaching you"/>
    <s v="Design and Creative strategy in any company, Entrepreneur or Start Up, I Want to sell things/Sales, Manufacturing / Oil and Gas/ Construction / Hard Physical Work related"/>
    <s v="Manager who explains what is expected, sets a goal and helps achieve it"/>
    <s v="Work with 5 to 6 people in my team"/>
    <s v="Yes"/>
    <s v="This will be hard to do, but if it is the right company I would try"/>
    <m/>
  </r>
  <r>
    <d v="2023-05-02T14:27:43"/>
    <s v="India"/>
    <n v="793009"/>
    <x v="1"/>
    <x v="0"/>
    <x v="0"/>
    <x v="1"/>
    <x v="0"/>
    <x v="0"/>
    <x v="1"/>
    <s v="Fully Remote with Options to travel as and when needed"/>
    <s v="Employer who pushes your limits by enabling an learning environment, and rewards you at the end"/>
    <s v="Self Paced Learning Portals of the Company, Instructor or Expert Learning Programs, Learning by observing others"/>
    <s v="Teaching in any of the institutes/colleges/online or offline, Work as a freelancer and do my thing my way, Become a content Creator in some platform, Entrepreneur or Start Up"/>
    <s v="Manager who explains what is expected, sets a goal and helps achieve it"/>
    <s v="Work alone, Work with 2 to 3 people in my team"/>
    <s v="No"/>
    <s v="This will be hard to do, but if it is the right company I would try"/>
    <m/>
  </r>
  <r>
    <d v="2023-05-02T14:28:35"/>
    <s v="India"/>
    <n v="793021"/>
    <x v="1"/>
    <x v="4"/>
    <x v="2"/>
    <x v="0"/>
    <x v="1"/>
    <x v="0"/>
    <x v="7"/>
    <s v="Fully Remote with No option to visit offices"/>
    <s v="Employer who rewards learning and enables that environment"/>
    <s v="Learning by observing others, Trial and error by doing side projects within the company, Self Purchased Course from External Platforms"/>
    <s v="Build and develop a Team, Look deeply into Data and generate insights, Become a content Creator in some platform, Manufacturing / Oil and Gas/ Construction / Hard Physical Work related"/>
    <s v="Manager who explains what is expected, sets a goal and helps achieve it"/>
    <s v="Work with 5 to 6 people in my team"/>
    <s v="Yes, I Understand this is gonna happen everywhere"/>
    <s v="No way"/>
    <m/>
  </r>
  <r>
    <d v="2023-05-02T14:39:34"/>
    <s v="India"/>
    <n v="411004"/>
    <x v="1"/>
    <x v="0"/>
    <x v="1"/>
    <x v="0"/>
    <x v="0"/>
    <x v="0"/>
    <x v="5"/>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Manage and drive End-to-End Projects or Products, Become a content Creator in some platform"/>
    <s v="Manager who sets targets and expects me to achieve it"/>
    <s v="Work with 5 to 6 people in my team"/>
    <s v="Yes, I Understand this is gonna happen everywhere"/>
    <s v="No way"/>
    <m/>
  </r>
  <r>
    <d v="2023-05-02T14:45:07"/>
    <s v="India"/>
    <n v="793001"/>
    <x v="0"/>
    <x v="3"/>
    <x v="0"/>
    <x v="0"/>
    <x v="0"/>
    <x v="0"/>
    <x v="6"/>
    <s v="Fully Remote with Options to travel as and when needed"/>
    <s v="Employer who appreciates learning and enables that environment"/>
    <s v="Self Paced Learning Portals of the Company, Instructor or Expert Learning Programs, Learning by observing others"/>
    <s v="Design and Creative strategy in any company, Work as a freelancer and do my thing my way, Become a content Creator in some platform, Entrepreneur or Start Up"/>
    <s v="Manager who explains what is expected, sets a goal and helps achieve it"/>
    <s v="Work with 5 to 6 people in my team"/>
    <s v="Yes, I Understand this is gonna happen everywhere"/>
    <s v="No way"/>
    <m/>
  </r>
  <r>
    <d v="2023-05-02T14:49:44"/>
    <s v="India"/>
    <n v="793006"/>
    <x v="1"/>
    <x v="4"/>
    <x v="0"/>
    <x v="0"/>
    <x v="1"/>
    <x v="0"/>
    <x v="1"/>
    <s v="Fully Remote with Options to travel as and when needed"/>
    <s v="Employer who pushes your limits by enabling an learning environment, and rewards you at the end"/>
    <s v="Self Paced Learning Portals of the Company, Trial and error by doing side projects within the company, Manager Teaching you"/>
    <s v="Design and Creative strategy in any company, Teaching in any of the institutes/colleges/online or offline, Business Operations in any organization, I Want to sell things/Sales"/>
    <s v="Manager who explains what is expected, sets a goal and helps achieve it"/>
    <s v="Work with 2 to 3 people in my team"/>
    <s v="No"/>
    <s v="No way"/>
    <m/>
  </r>
  <r>
    <d v="2023-05-02T14:51:10"/>
    <s v="India"/>
    <n v="737136"/>
    <x v="1"/>
    <x v="0"/>
    <x v="0"/>
    <x v="0"/>
    <x v="0"/>
    <x v="0"/>
    <x v="0"/>
    <s v="Hybrid Working Environment with less than 3 days a month at office"/>
    <s v="Employer who appreciates learning and enables that environment"/>
    <s v="Self Paced Learning Portals of the Company, Instructor or Expert Learning Programs, Manager Teaching you"/>
    <s v="Design and Creative strategy in any company, Business Operations in any organization, Work as a freelancer and do my thing my way, Entrepreneur or Start Up"/>
    <s v="Manager who explains what is expected, sets a goal and helps achieve it"/>
    <s v="Work with 2 to 3 people in my team"/>
    <s v="Yes, I Understand this is gonna happen everywhere"/>
    <s v="This will be hard to do, but if it is the right company I would try"/>
    <m/>
  </r>
  <r>
    <d v="2023-05-02T15:02:10"/>
    <s v="India"/>
    <n v="793006"/>
    <x v="0"/>
    <x v="0"/>
    <x v="2"/>
    <x v="0"/>
    <x v="1"/>
    <x v="1"/>
    <x v="8"/>
    <s v="Hybrid Working Environment with more than 15 days a month at office"/>
    <s v="Employer who pushes your limits by enabling an learning environment, and rewards you at the end"/>
    <s v="Self Paced Learning Portals of the Company, Learning by observing others, Self Purchased Course from External Platforms"/>
    <s v="Teaching in any of the institutes/colleges/online or offline, Manage and drive End-to-End Projects or Products, Look deeply into Data and generate insights, Become a content Creator in some platform"/>
    <s v="Manager who sets targets and expects me to achieve it"/>
    <s v="Work with 5 to 6 people in my team"/>
    <s v="No"/>
    <s v="This will be hard to do, but if it is the right company I would try"/>
    <m/>
  </r>
  <r>
    <d v="2023-05-02T15:03:54"/>
    <s v="India"/>
    <n v="111018"/>
    <x v="0"/>
    <x v="4"/>
    <x v="2"/>
    <x v="0"/>
    <x v="1"/>
    <x v="0"/>
    <x v="0"/>
    <s v="Hybrid Working Environment with less than 3 days a month at office"/>
    <s v="Employer who pushes your limits by enabling an learning environment, and rewards you at the end"/>
    <s v="Instructor or Expert Learning Programs, Learning by observing others, Manager Teaching you"/>
    <s v="Design and Creative strategy in any company, Business Operations in any organization, Build and develop a Team, Work as a freelancer and do my thing my way"/>
    <s v="Manager who sets goal and helps me achieve it"/>
    <s v="Work with 5 to 6 people in my team"/>
    <s v="Yes, I Understand this is gonna happen everywhere"/>
    <s v="This will be hard to do, but if it is the right company I would try"/>
    <m/>
  </r>
  <r>
    <d v="2023-05-02T15:05:54"/>
    <s v="India"/>
    <n v="794001"/>
    <x v="0"/>
    <x v="4"/>
    <x v="1"/>
    <x v="1"/>
    <x v="0"/>
    <x v="0"/>
    <x v="7"/>
    <s v="Fully Remote with No option to visit offices"/>
    <s v="Employer who appreciates learning and enables that environment"/>
    <s v="Self Paced Learning Portals of the Company, Instructor or Expert Learning Programs, Self Purchased Course from External Platforms"/>
    <s v="Business Operations in any organization, Build and develop a Team, Work as a freelancer and do my thing my way, Entrepreneur or Start Up"/>
    <s v="Manager who sets unrealistic targets"/>
    <s v="Work alone, Work with 2 to 3 people in my team"/>
    <s v="Yes, I Understand this is gonna happen everywhere"/>
    <s v="This will be hard to do, but if it is the right company I would try"/>
    <m/>
  </r>
  <r>
    <d v="2023-05-02T16:07:54"/>
    <s v="India"/>
    <n v="110070"/>
    <x v="0"/>
    <x v="0"/>
    <x v="2"/>
    <x v="0"/>
    <x v="0"/>
    <x v="0"/>
    <x v="0"/>
    <s v="Fully Remote with Options to travel as and when needed"/>
    <s v="Employer who pushes your limits by enabling an learning environment, and rewards you at the end"/>
    <s v="Instructor or Expert Learning Programs, Learning by observing others, Manager Teaching you"/>
    <s v="Design and Creative strategy in any company, Work in a BPO setup for some well known client, Work as a freelancer and do my thing my way, Entrepreneur or Start Up"/>
    <s v="Manager who sets goal and helps me achieve it"/>
    <s v="Work with 5 to 6 people in my team"/>
    <s v="Yes, I Understand this is gonna happen everywhere"/>
    <s v="This will be hard to do, but if it is the right company I would try"/>
    <m/>
  </r>
  <r>
    <d v="2023-05-02T16:21:44"/>
    <s v="India"/>
    <n v="560029"/>
    <x v="1"/>
    <x v="4"/>
    <x v="2"/>
    <x v="0"/>
    <x v="0"/>
    <x v="0"/>
    <x v="7"/>
    <s v="Fully Remote with No option to visit offices"/>
    <s v="Employer who pushes your limits by enabling an learning environment, and rewards you at the end"/>
    <s v="Self Paced Learning Portals of the Company, Instructor or Expert Learning Programs, Manager Teaching you"/>
    <s v="Business Operations in any organization, Build and develop a Team, Work in a BPO setup for some well known client, Entrepreneur or Start Up"/>
    <s v="Manager who sets goal and helps me achieve it"/>
    <s v="Work with 5 to 6 people in my team"/>
    <s v="No"/>
    <s v="This will be hard to do, but if it is the right company I would try"/>
    <m/>
  </r>
  <r>
    <d v="2023-05-02T16:29:18"/>
    <s v="India"/>
    <n v="787001"/>
    <x v="0"/>
    <x v="2"/>
    <x v="2"/>
    <x v="0"/>
    <x v="0"/>
    <x v="0"/>
    <x v="7"/>
    <s v="Hybrid Working Environment with less than 3 days a month at office"/>
    <s v="Employer who pushes your limits by enabling an learning environment, and rewards you at the end"/>
    <s v="Self Paced Learning Portals of the Company, Instructor or Expert Learning Programs, Learning by observing others"/>
    <s v="Design and Creative strategy in any company, Teaching in any of the institutes/colleges/online or offline, Build and develop a Team, Become a content Creator in some platform"/>
    <s v="Manager who sets goal and helps me achieve it"/>
    <s v="Work with 2 to 3 people in my team"/>
    <s v="No"/>
    <s v="No way"/>
    <m/>
  </r>
  <r>
    <d v="2023-05-02T16:32:56"/>
    <s v="India"/>
    <n v="793006"/>
    <x v="1"/>
    <x v="3"/>
    <x v="0"/>
    <x v="0"/>
    <x v="0"/>
    <x v="1"/>
    <x v="4"/>
    <s v="Fully Remote with Options to travel as and when needed"/>
    <s v="Employer who pushes your limits by enabling an learning environment, and rewards you at the end"/>
    <s v="Instructor or Expert Learning Programs, Learning by observing others, Self Purchased Course from External Platforms"/>
    <s v="Design and Creative strategy in any company, Business Operations in any organization, Entrepreneur or Start Up, I Want to sell things/Sales"/>
    <s v="Manager who sets goal and helps me achieve it"/>
    <s v="Work with 2 to 3 people in my team"/>
    <s v="Yes, I Understand this is gonna happen everywhere"/>
    <s v="This will be hard to do, but if it is the right company I would try"/>
    <m/>
  </r>
  <r>
    <d v="2023-05-02T16:39:48"/>
    <s v="India"/>
    <n v="793102"/>
    <x v="1"/>
    <x v="2"/>
    <x v="1"/>
    <x v="0"/>
    <x v="0"/>
    <x v="0"/>
    <x v="4"/>
    <s v="Hybrid Working Environment with more than 15 days a month at office"/>
    <s v="Employer who pushes your limits by enabling an learning environment, and rewards you at the end"/>
    <s v="Instructor or Expert Learning Programs, Learning by observing others, Manager Teaching you"/>
    <s v="Business Operations in any organization, Work as a freelancer and do my thing my way, Entrepreneur or Start Up, I Want to sell things/Sales"/>
    <s v="Manager who explains what is expected, sets a goal and helps achieve it"/>
    <s v="Work with 5 to 6 people in my team"/>
    <s v="Yes, I Understand this is gonna happen everywhere"/>
    <s v="This will be hard to do, but if it is the right company I would try"/>
    <m/>
  </r>
  <r>
    <d v="2023-05-02T16:55:23"/>
    <s v="United Arab Emirates"/>
    <n v="307501"/>
    <x v="0"/>
    <x v="0"/>
    <x v="2"/>
    <x v="0"/>
    <x v="0"/>
    <x v="0"/>
    <x v="1"/>
    <s v="Every Day Office Environment"/>
    <s v="Employer who appreciates learning and enables that environment"/>
    <s v="Self Paced Learning Portals of the Company, Instructor or Expert Learning Programs, Learning by observing others"/>
    <s v="Design and Creative strategy in any company, Business Operations in any organization, Build and develop a Team, Become a content Creator in some platform"/>
    <s v="Manager who sets goal and helps me achieve it"/>
    <s v="Work with more than 10 people in my team"/>
    <s v="No"/>
    <s v="No way"/>
    <m/>
  </r>
  <r>
    <d v="2023-05-02T17:21:51"/>
    <s v="India"/>
    <n v="793006"/>
    <x v="1"/>
    <x v="0"/>
    <x v="2"/>
    <x v="0"/>
    <x v="1"/>
    <x v="0"/>
    <x v="0"/>
    <s v="Fully Remote with Options to travel as and when needed"/>
    <s v="Employer who rewards learning and enables that environment"/>
    <s v="Self Paced Learning Portals of the Company, Instructor or Expert Learning Programs, Trial and error by doing side projects within the company"/>
    <s v="Design and Creative strategy in any company, Business Operations in any organization, Manage and drive End-to-End Projects or Products, Entrepreneur or Start Up"/>
    <s v="Manager who explains what is expected, sets a goal and helps achieve it"/>
    <s v="Work with 2 to 3 people in my team"/>
    <s v="Yes, I Understand this is gonna happen everywhere"/>
    <s v="This will be hard to do, but if it is the right company I would try"/>
    <m/>
  </r>
  <r>
    <d v="2023-05-02T18:04:14"/>
    <s v="India"/>
    <n v="793021"/>
    <x v="0"/>
    <x v="3"/>
    <x v="1"/>
    <x v="0"/>
    <x v="1"/>
    <x v="1"/>
    <x v="5"/>
    <s v="Fully Remote with Options to travel as and when needed"/>
    <s v="Employer who rewards learning and enables that environment"/>
    <s v="Self Paced Learning Portals of the Company, Learning by observing others, Manager Teaching you"/>
    <s v="Design and Creative strategy in any company, Become a content Creator in some platform, Entrepreneur or Start Up, Manufacturing / Oil and Gas/ Construction / Hard Physical Work related"/>
    <s v="Manager who explains what is expected, sets a goal and helps achieve it"/>
    <s v="Work with 2 to 3 people in my team"/>
    <s v="No"/>
    <s v="This will be hard to do, but if it is the right company I would try"/>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3">
  <r>
    <d v="2022-12-16T11:46:06"/>
    <s v="India"/>
    <n v="273005"/>
    <x v="0"/>
    <x v="0"/>
    <s v="Yes, I will earn and do that"/>
    <s v="This will be hard to do, but if it is the right company I would try"/>
    <s v="No"/>
    <s v="Will NOT work for them"/>
    <n v="4"/>
    <x v="0"/>
    <x v="0"/>
    <x v="0"/>
    <x v="0"/>
    <s v="Manager who explains what is expected, sets a goal and helps achieve it"/>
    <x v="0"/>
  </r>
  <r>
    <d v="2022-12-16T11:46:34"/>
    <s v="India"/>
    <n v="851129"/>
    <x v="0"/>
    <x v="0"/>
    <s v="No, But if someone could bare the cost I will"/>
    <s v="This will be hard to do, but if it is the right company I would try"/>
    <s v="No"/>
    <s v="Will NOT work for them"/>
    <n v="1"/>
    <x v="1"/>
    <x v="1"/>
    <x v="1"/>
    <x v="1"/>
    <s v="Manager who explains what is expected, sets a goal and helps achieve it"/>
    <x v="1"/>
  </r>
  <r>
    <d v="2022-12-16T11:55:22"/>
    <s v="India"/>
    <n v="123106"/>
    <x v="1"/>
    <x v="1"/>
    <s v="Yes, I will earn and do that"/>
    <s v="Will work for 3 years or more"/>
    <s v="Yes"/>
    <s v="Will work for them"/>
    <n v="7"/>
    <x v="2"/>
    <x v="1"/>
    <x v="2"/>
    <x v="2"/>
    <s v="Manager who explains what is expected, sets a goal and helps achieve it"/>
    <x v="2"/>
  </r>
  <r>
    <d v="2022-12-16T11:58:46"/>
    <s v="India"/>
    <n v="834003"/>
    <x v="0"/>
    <x v="2"/>
    <s v="No, But if someone could bare the cost I will"/>
    <s v="This will be hard to do, but if it is the right company I would try"/>
    <s v="No"/>
    <s v="Will NOT work for them"/>
    <n v="6"/>
    <x v="2"/>
    <x v="1"/>
    <x v="0"/>
    <x v="3"/>
    <s v="Manager who explains what is expected, sets a goal and helps achieve it"/>
    <x v="3"/>
  </r>
  <r>
    <d v="2022-12-16T11:59:26"/>
    <s v="India"/>
    <n v="301019"/>
    <x v="1"/>
    <x v="3"/>
    <s v="No, But if someone could bare the cost I will"/>
    <s v="Will work for 3 years or more"/>
    <s v="No"/>
    <s v="Will NOT work for them"/>
    <n v="5"/>
    <x v="1"/>
    <x v="2"/>
    <x v="3"/>
    <x v="4"/>
    <s v="Manager who explains what is expected, sets a goal and helps achieve it"/>
    <x v="2"/>
  </r>
  <r>
    <d v="2022-12-16T11:59:37"/>
    <s v="India"/>
    <n v="768028"/>
    <x v="1"/>
    <x v="4"/>
    <s v="Yes, I will earn and do that"/>
    <s v="This will be hard to do, but if it is the right company I would try"/>
    <s v="No"/>
    <s v="Will NOT work for them"/>
    <n v="6"/>
    <x v="1"/>
    <x v="2"/>
    <x v="4"/>
    <x v="3"/>
    <s v="Manager who explains what is expected, sets a goal and helps achieve it"/>
    <x v="3"/>
  </r>
  <r>
    <d v="2022-12-16T12:00:03"/>
    <s v="India"/>
    <n v="301019"/>
    <x v="0"/>
    <x v="2"/>
    <s v="No, But if someone could bare the cost I will"/>
    <s v="This will be hard to do, but if it is the right company I would try"/>
    <s v="Yes"/>
    <s v="Will work for them"/>
    <n v="7"/>
    <x v="1"/>
    <x v="1"/>
    <x v="4"/>
    <x v="5"/>
    <s v="Manager who explains what is expected, sets a goal and helps achieve it"/>
    <x v="1"/>
  </r>
  <r>
    <d v="2022-12-16T12:02:07"/>
    <s v="India"/>
    <n v="722207"/>
    <x v="0"/>
    <x v="2"/>
    <s v="No, But if someone could bare the cost I will"/>
    <s v="This will be hard to do, but if it is the right company I would try"/>
    <s v="No"/>
    <s v="Will work for them"/>
    <n v="5"/>
    <x v="2"/>
    <x v="1"/>
    <x v="2"/>
    <x v="3"/>
    <s v="Manager who explains what is expected, sets a goal and helps achieve it"/>
    <x v="4"/>
  </r>
  <r>
    <d v="2022-12-16T12:12:10"/>
    <s v="India"/>
    <n v="400022"/>
    <x v="0"/>
    <x v="2"/>
    <s v="No, But if someone could bare the cost I will"/>
    <s v="This will be hard to do, but if it is the right company I would try"/>
    <s v="Yes"/>
    <s v="Will NOT work for them"/>
    <n v="6"/>
    <x v="1"/>
    <x v="0"/>
    <x v="1"/>
    <x v="6"/>
    <s v="Manager who explains what is expected, sets a goal and helps achieve it"/>
    <x v="1"/>
  </r>
  <r>
    <d v="2022-12-16T12:36:25"/>
    <s v="India"/>
    <n v="201310"/>
    <x v="0"/>
    <x v="1"/>
    <s v="No, But if someone could bare the cost I will"/>
    <s v="This will be hard to do, but if it is the right company I would try"/>
    <s v="Yes"/>
    <s v="Will work for them"/>
    <n v="7"/>
    <x v="3"/>
    <x v="0"/>
    <x v="3"/>
    <x v="3"/>
    <s v="Manager who explains what is expected, sets a goal and helps achieve it"/>
    <x v="5"/>
  </r>
  <r>
    <d v="2022-12-16T12:41:19"/>
    <s v="India"/>
    <n v="679121"/>
    <x v="0"/>
    <x v="2"/>
    <s v="Yes, I will earn and do that"/>
    <s v="This will be hard to do, but if it is the right company I would try"/>
    <s v="Yes"/>
    <s v="Will work for them"/>
    <n v="8"/>
    <x v="1"/>
    <x v="1"/>
    <x v="2"/>
    <x v="7"/>
    <s v="Manager who sets goal and helps me achieve it"/>
    <x v="5"/>
  </r>
  <r>
    <d v="2022-12-16T12:42:13"/>
    <s v="India"/>
    <n v="639111"/>
    <x v="0"/>
    <x v="0"/>
    <s v="No, But if someone could bare the cost I will"/>
    <s v="Will work for 3 years or more"/>
    <s v="No"/>
    <s v="Will NOT work for them"/>
    <n v="1"/>
    <x v="1"/>
    <x v="2"/>
    <x v="1"/>
    <x v="8"/>
    <s v="Manager who sets goal and helps me achieve it"/>
    <x v="6"/>
  </r>
  <r>
    <d v="2022-12-16T13:03:23"/>
    <s v="India"/>
    <n v="136119"/>
    <x v="0"/>
    <x v="4"/>
    <s v="No, But if someone could bare the cost I will"/>
    <s v="This will be hard to do, but if it is the right company I would try"/>
    <s v="Yes"/>
    <s v="Will work for them"/>
    <n v="4"/>
    <x v="2"/>
    <x v="2"/>
    <x v="5"/>
    <x v="9"/>
    <s v="Manager who sets goal and helps me achieve it"/>
    <x v="3"/>
  </r>
  <r>
    <d v="2022-12-16T13:20:55"/>
    <s v="India"/>
    <n v="678104"/>
    <x v="0"/>
    <x v="0"/>
    <s v="Yes, I will earn and do that"/>
    <s v="This will be hard to do, but if it is the right company I would try"/>
    <s v="No"/>
    <s v="Will NOT work for them"/>
    <n v="1"/>
    <x v="1"/>
    <x v="1"/>
    <x v="2"/>
    <x v="5"/>
    <s v="Manager who sets goal and helps me achieve it"/>
    <x v="1"/>
  </r>
  <r>
    <d v="2022-12-16T13:23:27"/>
    <s v="India"/>
    <n v="560024"/>
    <x v="1"/>
    <x v="2"/>
    <s v="Yes, I will earn and do that"/>
    <s v="This will be hard to do, but if it is the right company I would try"/>
    <s v="Yes"/>
    <s v="Will NOT work for them"/>
    <n v="6"/>
    <x v="2"/>
    <x v="1"/>
    <x v="1"/>
    <x v="10"/>
    <s v="Manager who explains what is expected, sets a goal and helps achieve it"/>
    <x v="7"/>
  </r>
  <r>
    <d v="2022-12-16T13:25:06"/>
    <s v="India"/>
    <n v="560064"/>
    <x v="0"/>
    <x v="2"/>
    <s v="No, But if someone could bare the cost I will"/>
    <s v="This will be hard to do, but if it is the right company I would try"/>
    <s v="No"/>
    <s v="Will NOT work for them"/>
    <n v="8"/>
    <x v="4"/>
    <x v="1"/>
    <x v="4"/>
    <x v="11"/>
    <s v="Manager who explains what is expected, sets a goal and helps achieve it"/>
    <x v="8"/>
  </r>
  <r>
    <d v="2022-12-16T13:26:05"/>
    <s v="India"/>
    <n v="561203"/>
    <x v="0"/>
    <x v="3"/>
    <s v="Yes, I will earn and do that"/>
    <s v="This will be hard to do, but if it is the right company I would try"/>
    <s v="No"/>
    <s v="Will NOT work for them"/>
    <n v="1"/>
    <x v="2"/>
    <x v="1"/>
    <x v="1"/>
    <x v="12"/>
    <s v="Manager who explains what is expected, sets a goal and helps achieve it"/>
    <x v="2"/>
  </r>
  <r>
    <d v="2022-12-16T13:29:30"/>
    <s v="India"/>
    <n v="515201"/>
    <x v="0"/>
    <x v="4"/>
    <s v="Yes, I will earn and do that"/>
    <s v="Will work for 3 years or more"/>
    <s v="No"/>
    <s v="Will NOT work for them"/>
    <n v="2"/>
    <x v="3"/>
    <x v="2"/>
    <x v="1"/>
    <x v="13"/>
    <s v="Manager who sets goal and helps me achieve it"/>
    <x v="1"/>
  </r>
  <r>
    <d v="2022-12-16T13:34:10"/>
    <s v="India"/>
    <n v="211002"/>
    <x v="0"/>
    <x v="0"/>
    <s v="Yes, I will earn and do that"/>
    <s v="This will be hard to do, but if it is the right company I would try"/>
    <s v="No"/>
    <s v="Will work for them"/>
    <n v="6"/>
    <x v="3"/>
    <x v="2"/>
    <x v="2"/>
    <x v="14"/>
    <s v="Manager who explains what is expected, sets a goal and helps achieve it"/>
    <x v="7"/>
  </r>
  <r>
    <d v="2022-12-16T13:36:18"/>
    <s v="India"/>
    <n v="577002"/>
    <x v="1"/>
    <x v="3"/>
    <s v="Yes, I will earn and do that"/>
    <s v="No way, 3 years with one employer is crazy"/>
    <s v="No"/>
    <s v="Will NOT work for them"/>
    <n v="7"/>
    <x v="2"/>
    <x v="0"/>
    <x v="4"/>
    <x v="15"/>
    <s v="Manager who explains what is expected, sets a goal and helps achieve it"/>
    <x v="9"/>
  </r>
  <r>
    <d v="2022-12-16T13:40:33"/>
    <s v="India"/>
    <n v="673020"/>
    <x v="1"/>
    <x v="2"/>
    <s v="No, But if someone could bare the cost I will"/>
    <s v="This will be hard to do, but if it is the right company I would try"/>
    <s v="No"/>
    <s v="Will NOT work for them"/>
    <n v="1"/>
    <x v="2"/>
    <x v="1"/>
    <x v="0"/>
    <x v="16"/>
    <s v="Manager who explains what is expected, sets a goal and helps achieve it"/>
    <x v="1"/>
  </r>
  <r>
    <d v="2022-12-16T13:45:48"/>
    <s v="India"/>
    <n v="301019"/>
    <x v="0"/>
    <x v="4"/>
    <s v="Yes, I will earn and do that"/>
    <s v="No way, 3 years with one employer is crazy"/>
    <s v="No"/>
    <s v="Will NOT work for them"/>
    <n v="1"/>
    <x v="3"/>
    <x v="1"/>
    <x v="3"/>
    <x v="17"/>
    <s v="Manager who clearly describes what she/he needs"/>
    <x v="3"/>
  </r>
  <r>
    <d v="2022-12-16T13:46:59"/>
    <s v="India"/>
    <n v="680613"/>
    <x v="1"/>
    <x v="4"/>
    <s v="Yes, I will earn and do that"/>
    <s v="This will be hard to do, but if it is the right company I would try"/>
    <s v="Yes"/>
    <s v="Will NOT work for them"/>
    <n v="3"/>
    <x v="1"/>
    <x v="0"/>
    <x v="3"/>
    <x v="18"/>
    <s v="Manager who clearly describes what she/he needs"/>
    <x v="10"/>
  </r>
  <r>
    <d v="2022-12-16T13:51:24"/>
    <s v="India"/>
    <n v="852201"/>
    <x v="0"/>
    <x v="0"/>
    <s v="No, But if someone could bare the cost I will"/>
    <s v="Will work for 3 years or more"/>
    <s v="No"/>
    <s v="Will work for them"/>
    <n v="8"/>
    <x v="3"/>
    <x v="1"/>
    <x v="5"/>
    <x v="8"/>
    <s v="Manager who explains what is expected, sets a goal and helps achieve it"/>
    <x v="4"/>
  </r>
  <r>
    <d v="2022-12-16T13:54:30"/>
    <s v="India"/>
    <n v="731021"/>
    <x v="0"/>
    <x v="2"/>
    <s v="No, But if someone could bare the cost I will"/>
    <s v="Will work for 3 years or more"/>
    <s v="No"/>
    <s v="Will NOT work for them"/>
    <n v="5"/>
    <x v="2"/>
    <x v="1"/>
    <x v="5"/>
    <x v="19"/>
    <s v="Manager who explains what is expected, sets a goal and helps achieve it"/>
    <x v="1"/>
  </r>
  <r>
    <d v="2022-12-16T14:04:00"/>
    <s v="India"/>
    <n v="303007"/>
    <x v="0"/>
    <x v="3"/>
    <s v="Yes, I will earn and do that"/>
    <s v="This will be hard to do, but if it is the right company I would try"/>
    <s v="No"/>
    <s v="Will NOT work for them"/>
    <n v="1"/>
    <x v="1"/>
    <x v="2"/>
    <x v="2"/>
    <x v="20"/>
    <s v="Manager who sets goal and helps me achieve it"/>
    <x v="7"/>
  </r>
  <r>
    <d v="2022-12-16T14:05:39"/>
    <s v="India"/>
    <n v="852201"/>
    <x v="1"/>
    <x v="4"/>
    <s v="No I would not be pursuing Higher Education outside of India"/>
    <s v="Will work for 3 years or more"/>
    <s v="No"/>
    <s v="Will work for them"/>
    <n v="6"/>
    <x v="5"/>
    <x v="2"/>
    <x v="1"/>
    <x v="21"/>
    <s v="Manager who sets targets and expects me to achieve it"/>
    <x v="1"/>
  </r>
  <r>
    <d v="2022-12-16T14:10:12"/>
    <s v="United Arab Emirates"/>
    <n v="27287"/>
    <x v="1"/>
    <x v="4"/>
    <s v="Yes, I will earn and do that"/>
    <s v="This will be hard to do, but if it is the right company I would try"/>
    <s v="No"/>
    <s v="Will NOT work for them"/>
    <n v="6"/>
    <x v="2"/>
    <x v="1"/>
    <x v="5"/>
    <x v="15"/>
    <s v="Manager who explains what is expected, sets a goal and helps achieve it"/>
    <x v="3"/>
  </r>
  <r>
    <d v="2022-12-16T14:21:58"/>
    <s v="India"/>
    <n v="700063"/>
    <x v="0"/>
    <x v="0"/>
    <s v="Yes, I will earn and do that"/>
    <s v="This will be hard to do, but if it is the right company I would try"/>
    <s v="No"/>
    <s v="Will NOT work for them"/>
    <n v="5"/>
    <x v="1"/>
    <x v="1"/>
    <x v="0"/>
    <x v="22"/>
    <s v="Manager who explains what is expected, sets a goal and helps achieve it"/>
    <x v="5"/>
  </r>
  <r>
    <d v="2022-12-16T14:34:35"/>
    <s v="India"/>
    <n v="577528"/>
    <x v="0"/>
    <x v="1"/>
    <s v="Yes, I will earn and do that"/>
    <s v="This will be hard to do, but if it is the right company I would try"/>
    <s v="Yes"/>
    <s v="Will work for them"/>
    <n v="1"/>
    <x v="3"/>
    <x v="2"/>
    <x v="4"/>
    <x v="13"/>
    <s v="Manager who sets targets and expects me to achieve it"/>
    <x v="7"/>
  </r>
  <r>
    <d v="2022-12-16T14:40:31"/>
    <s v="India"/>
    <n v="122003"/>
    <x v="0"/>
    <x v="4"/>
    <s v="Yes, I will earn and do that"/>
    <s v="Will work for 3 years or more"/>
    <s v="No"/>
    <s v="Will NOT work for them"/>
    <n v="7"/>
    <x v="3"/>
    <x v="1"/>
    <x v="4"/>
    <x v="23"/>
    <s v="Manager who explains what is expected, sets a goal and helps achieve it"/>
    <x v="11"/>
  </r>
  <r>
    <d v="2022-12-16T14:44:14"/>
    <s v="India"/>
    <n v="122003"/>
    <x v="0"/>
    <x v="0"/>
    <s v="Yes, I will earn and do that"/>
    <s v="This will be hard to do, but if it is the right company I would try"/>
    <s v="No"/>
    <s v="Will NOT work for them"/>
    <n v="1"/>
    <x v="4"/>
    <x v="1"/>
    <x v="0"/>
    <x v="7"/>
    <s v="Manager who explains what is expected, sets a goal and helps achieve it"/>
    <x v="1"/>
  </r>
  <r>
    <d v="2022-12-16T14:47:05"/>
    <s v="India"/>
    <n v="440002"/>
    <x v="0"/>
    <x v="3"/>
    <s v="No, But if someone could bare the cost I will"/>
    <s v="Will work for 3 years or more"/>
    <s v="No"/>
    <s v="Will NOT work for them"/>
    <n v="7"/>
    <x v="2"/>
    <x v="1"/>
    <x v="0"/>
    <x v="24"/>
    <s v="Manager who sets goal and helps me achieve it"/>
    <x v="2"/>
  </r>
  <r>
    <d v="2022-12-16T14:48:15"/>
    <s v="India"/>
    <n v="852201"/>
    <x v="1"/>
    <x v="0"/>
    <s v="No, But if someone could bare the cost I will"/>
    <s v="This will be hard to do, but if it is the right company I would try"/>
    <s v="No"/>
    <s v="Will NOT work for them"/>
    <n v="5"/>
    <x v="0"/>
    <x v="1"/>
    <x v="1"/>
    <x v="25"/>
    <s v="Manager who explains what is expected, sets a goal and helps achieve it"/>
    <x v="11"/>
  </r>
  <r>
    <d v="2022-12-16T14:49:05"/>
    <s v="India"/>
    <n v="465674"/>
    <x v="1"/>
    <x v="4"/>
    <s v="No I would not be pursuing Higher Education outside of India"/>
    <s v="This will be hard to do, but if it is the right company I would try"/>
    <s v="No"/>
    <s v="Will NOT work for them"/>
    <n v="10"/>
    <x v="4"/>
    <x v="2"/>
    <x v="1"/>
    <x v="23"/>
    <s v="Manager who sets targets and expects me to achieve it"/>
    <x v="3"/>
  </r>
  <r>
    <d v="2022-12-16T15:02:44"/>
    <s v="India"/>
    <n v="561203"/>
    <x v="0"/>
    <x v="3"/>
    <s v="Yes, I will earn and do that"/>
    <s v="No way, 3 years with one employer is crazy"/>
    <s v="No"/>
    <s v="Will NOT work for them"/>
    <n v="6"/>
    <x v="5"/>
    <x v="1"/>
    <x v="3"/>
    <x v="26"/>
    <s v="Manager who clearly describes what she/he needs"/>
    <x v="3"/>
  </r>
  <r>
    <d v="2022-12-16T15:06:49"/>
    <s v="India"/>
    <n v="577004"/>
    <x v="1"/>
    <x v="3"/>
    <s v="Yes, I will earn and do that"/>
    <s v="This will be hard to do, but if it is the right company I would try"/>
    <s v="No"/>
    <s v="Will NOT work for them"/>
    <n v="5"/>
    <x v="3"/>
    <x v="1"/>
    <x v="3"/>
    <x v="20"/>
    <s v="Manager who explains what is expected, sets a goal and helps achieve it"/>
    <x v="1"/>
  </r>
  <r>
    <d v="2022-12-16T15:07:33"/>
    <s v="India"/>
    <n v="826004"/>
    <x v="0"/>
    <x v="0"/>
    <s v="Yes, I will earn and do that"/>
    <s v="Will work for 3 years or more"/>
    <s v="No"/>
    <s v="Will NOT work for them"/>
    <n v="4"/>
    <x v="3"/>
    <x v="2"/>
    <x v="1"/>
    <x v="25"/>
    <s v="Manager who clearly describes what she/he needs"/>
    <x v="3"/>
  </r>
  <r>
    <d v="2022-12-16T15:25:51"/>
    <s v="India"/>
    <n v="826004"/>
    <x v="0"/>
    <x v="4"/>
    <s v="Yes, I will earn and do that"/>
    <s v="This will be hard to do, but if it is the right company I would try"/>
    <s v="No"/>
    <s v="Will NOT work for them"/>
    <n v="7"/>
    <x v="2"/>
    <x v="2"/>
    <x v="4"/>
    <x v="9"/>
    <s v="Manager who explains what is expected, sets a goal and helps achieve it"/>
    <x v="11"/>
  </r>
  <r>
    <d v="2022-12-16T15:29:38"/>
    <s v="India"/>
    <n v="515003"/>
    <x v="0"/>
    <x v="4"/>
    <s v="No I would not be pursuing Higher Education outside of India"/>
    <s v="Will work for 3 years or more"/>
    <s v="No"/>
    <s v="Will NOT work for them"/>
    <n v="8"/>
    <x v="3"/>
    <x v="1"/>
    <x v="4"/>
    <x v="12"/>
    <s v="Manager who explains what is expected, sets a goal and helps achieve it"/>
    <x v="3"/>
  </r>
  <r>
    <d v="2022-12-16T15:30:50"/>
    <s v="India"/>
    <n v="496001"/>
    <x v="0"/>
    <x v="4"/>
    <s v="Yes, I will earn and do that"/>
    <s v="This will be hard to do, but if it is the right company I would try"/>
    <s v="No"/>
    <s v="Will NOT work for them"/>
    <n v="2"/>
    <x v="4"/>
    <x v="2"/>
    <x v="4"/>
    <x v="27"/>
    <s v="Manager who sets goal and helps me achieve it"/>
    <x v="3"/>
  </r>
  <r>
    <d v="2022-12-16T15:31:12"/>
    <s v="India"/>
    <n v="713104"/>
    <x v="0"/>
    <x v="0"/>
    <s v="Yes, I will earn and do that"/>
    <s v="Will work for 3 years or more"/>
    <s v="No"/>
    <s v="Will NOT work for them"/>
    <n v="5"/>
    <x v="0"/>
    <x v="1"/>
    <x v="1"/>
    <x v="10"/>
    <s v="Manager who explains what is expected, sets a goal and helps achieve it"/>
    <x v="8"/>
  </r>
  <r>
    <d v="2022-12-16T15:31:17"/>
    <s v="India"/>
    <n v="416001"/>
    <x v="0"/>
    <x v="4"/>
    <s v="No I would not be pursuing Higher Education outside of India"/>
    <s v="This will be hard to do, but if it is the right company I would try"/>
    <s v="Yes"/>
    <s v="Will NOT work for them"/>
    <n v="10"/>
    <x v="1"/>
    <x v="2"/>
    <x v="0"/>
    <x v="28"/>
    <s v="Manager who explains what is expected, sets a goal and helps achieve it"/>
    <x v="0"/>
  </r>
  <r>
    <d v="2022-12-16T15:33:13"/>
    <s v="India"/>
    <n v="826004"/>
    <x v="0"/>
    <x v="0"/>
    <s v="No, But if someone could bare the cost I will"/>
    <s v="This will be hard to do, but if it is the right company I would try"/>
    <s v="No"/>
    <s v="Will NOT work for them"/>
    <n v="4"/>
    <x v="2"/>
    <x v="1"/>
    <x v="3"/>
    <x v="29"/>
    <s v="Manager who explains what is expected, sets a goal and helps achieve it"/>
    <x v="11"/>
  </r>
  <r>
    <d v="2022-12-16T15:34:31"/>
    <s v="India"/>
    <n v="110088"/>
    <x v="0"/>
    <x v="2"/>
    <s v="Yes, I will earn and do that"/>
    <s v="Will work for 3 years or more"/>
    <s v="Yes"/>
    <s v="Will work for them"/>
    <n v="8"/>
    <x v="4"/>
    <x v="1"/>
    <x v="2"/>
    <x v="30"/>
    <s v="Manager who explains what is expected, sets a goal and helps achieve it"/>
    <x v="7"/>
  </r>
  <r>
    <d v="2022-12-16T15:41:54"/>
    <s v="India"/>
    <n v="110016"/>
    <x v="1"/>
    <x v="4"/>
    <s v="No, But if someone could bare the cost I will"/>
    <s v="This will be hard to do, but if it is the right company I would try"/>
    <s v="No"/>
    <s v="Will NOT work for them"/>
    <n v="8"/>
    <x v="2"/>
    <x v="1"/>
    <x v="0"/>
    <x v="31"/>
    <s v="Manager who explains what is expected, sets a goal and helps achieve it"/>
    <x v="2"/>
  </r>
  <r>
    <d v="2022-12-16T15:43:45"/>
    <s v="India"/>
    <n v="131001"/>
    <x v="0"/>
    <x v="4"/>
    <s v="Yes, I will earn and do that"/>
    <s v="Will work for 3 years or more"/>
    <s v="Yes"/>
    <s v="Will work for them"/>
    <n v="8"/>
    <x v="2"/>
    <x v="0"/>
    <x v="5"/>
    <x v="1"/>
    <s v="Manager who explains what is expected, sets a goal and helps achieve it"/>
    <x v="12"/>
  </r>
  <r>
    <d v="2022-12-16T15:44:36"/>
    <s v="India"/>
    <n v="505001"/>
    <x v="0"/>
    <x v="0"/>
    <s v="No I would not be pursuing Higher Education outside of India"/>
    <s v="Will work for 3 years or more"/>
    <s v="No"/>
    <s v="Will NOT work for them"/>
    <n v="8"/>
    <x v="1"/>
    <x v="1"/>
    <x v="1"/>
    <x v="32"/>
    <s v="Manager who sets goal and helps me achieve it"/>
    <x v="13"/>
  </r>
  <r>
    <d v="2022-12-16T15:45:29"/>
    <s v="India"/>
    <n v="600064"/>
    <x v="1"/>
    <x v="2"/>
    <s v="No I would not be pursuing Higher Education outside of India"/>
    <s v="Will work for 3 years or more"/>
    <s v="No"/>
    <s v="Will work for them"/>
    <n v="3"/>
    <x v="2"/>
    <x v="1"/>
    <x v="4"/>
    <x v="17"/>
    <s v="Manager who explains what is expected, sets a goal and helps achieve it"/>
    <x v="1"/>
  </r>
  <r>
    <d v="2022-12-16T15:47:38"/>
    <s v="India"/>
    <n v="600129"/>
    <x v="1"/>
    <x v="3"/>
    <s v="No I would not be pursuing Higher Education outside of India"/>
    <s v="Will work for 3 years or more"/>
    <s v="Yes"/>
    <s v="Will work for them"/>
    <n v="5"/>
    <x v="4"/>
    <x v="0"/>
    <x v="5"/>
    <x v="33"/>
    <s v="Manager who explains what is expected, sets a goal and helps achieve it"/>
    <x v="1"/>
  </r>
  <r>
    <d v="2022-12-16T15:51:18"/>
    <s v="India"/>
    <n v="263126"/>
    <x v="0"/>
    <x v="1"/>
    <s v="Yes, I will earn and do that"/>
    <s v="This will be hard to do, but if it is the right company I would try"/>
    <s v="Yes"/>
    <s v="Will NOT work for them"/>
    <n v="6"/>
    <x v="5"/>
    <x v="0"/>
    <x v="1"/>
    <x v="30"/>
    <s v="Manager who explains what is expected, sets a goal and helps achieve it"/>
    <x v="7"/>
  </r>
  <r>
    <d v="2022-12-16T15:54:55"/>
    <s v="India"/>
    <n v="781008"/>
    <x v="0"/>
    <x v="2"/>
    <s v="Yes, I will earn and do that"/>
    <s v="This will be hard to do, but if it is the right company I would try"/>
    <s v="No"/>
    <s v="Will NOT work for them"/>
    <n v="5"/>
    <x v="1"/>
    <x v="1"/>
    <x v="0"/>
    <x v="34"/>
    <s v="Manager who sets goal and helps me achieve it"/>
    <x v="2"/>
  </r>
  <r>
    <d v="2022-12-16T15:57:19"/>
    <s v="India"/>
    <n v="785001"/>
    <x v="0"/>
    <x v="0"/>
    <s v="Yes, I will earn and do that"/>
    <s v="This will be hard to do, but if it is the right company I would try"/>
    <s v="Yes"/>
    <s v="Will work for them"/>
    <n v="7"/>
    <x v="4"/>
    <x v="0"/>
    <x v="1"/>
    <x v="8"/>
    <s v="Manager who sets goal and helps me achieve it"/>
    <x v="11"/>
  </r>
  <r>
    <d v="2022-12-16T15:59:57"/>
    <s v="India"/>
    <n v="629004"/>
    <x v="0"/>
    <x v="0"/>
    <s v="No, But if someone could bare the cost I will"/>
    <s v="Will work for 3 years or more"/>
    <s v="Yes"/>
    <s v="Will NOT work for them"/>
    <n v="10"/>
    <x v="1"/>
    <x v="1"/>
    <x v="0"/>
    <x v="24"/>
    <s v="Manager who explains what is expected, sets a goal and helps achieve it"/>
    <x v="0"/>
  </r>
  <r>
    <d v="2022-12-16T16:05:56"/>
    <s v="India"/>
    <n v="600089"/>
    <x v="0"/>
    <x v="4"/>
    <s v="Yes, I will earn and do that"/>
    <s v="Will work for 3 years or more"/>
    <s v="No"/>
    <s v="Will NOT work for them"/>
    <n v="4"/>
    <x v="3"/>
    <x v="3"/>
    <x v="4"/>
    <x v="5"/>
    <s v="Manager who explains what is expected, sets a goal and helps achieve it"/>
    <x v="4"/>
  </r>
  <r>
    <d v="2022-12-16T16:07:52"/>
    <s v="India"/>
    <n v="500005"/>
    <x v="0"/>
    <x v="0"/>
    <s v="No, But if someone could bare the cost I will"/>
    <s v="This will be hard to do, but if it is the right company I would try"/>
    <s v="Yes"/>
    <s v="Will NOT work for them"/>
    <n v="5"/>
    <x v="1"/>
    <x v="1"/>
    <x v="0"/>
    <x v="8"/>
    <s v="Manager who explains what is expected, sets a goal and helps achieve it"/>
    <x v="11"/>
  </r>
  <r>
    <d v="2022-12-16T16:08:24"/>
    <s v="India"/>
    <n v="452007"/>
    <x v="0"/>
    <x v="4"/>
    <s v="No, But if someone could bare the cost I will"/>
    <s v="This will be hard to do, but if it is the right company I would try"/>
    <s v="No"/>
    <s v="Will NOT work for them"/>
    <n v="4"/>
    <x v="1"/>
    <x v="1"/>
    <x v="0"/>
    <x v="1"/>
    <s v="Manager who clearly describes what she/he needs"/>
    <x v="1"/>
  </r>
  <r>
    <d v="2022-12-16T16:19:43"/>
    <s v="India"/>
    <n v="782001"/>
    <x v="0"/>
    <x v="0"/>
    <s v="No I would not be pursuing Higher Education outside of India"/>
    <s v="This will be hard to do, but if it is the right company I would try"/>
    <s v="Yes"/>
    <s v="Will work for them"/>
    <n v="6"/>
    <x v="0"/>
    <x v="2"/>
    <x v="1"/>
    <x v="35"/>
    <s v="Manager who clearly describes what she/he needs"/>
    <x v="6"/>
  </r>
  <r>
    <d v="2022-12-16T16:21:53"/>
    <s v="India"/>
    <n v="248001"/>
    <x v="1"/>
    <x v="0"/>
    <s v="No, But if someone could bare the cost I will"/>
    <s v="This will be hard to do, but if it is the right company I would try"/>
    <s v="No"/>
    <s v="Will NOT work for them"/>
    <n v="6"/>
    <x v="4"/>
    <x v="1"/>
    <x v="2"/>
    <x v="5"/>
    <s v="Manager who explains what is expected, sets a goal and helps achieve it"/>
    <x v="3"/>
  </r>
  <r>
    <d v="2022-12-16T16:41:39"/>
    <s v="India"/>
    <n v="785001"/>
    <x v="0"/>
    <x v="4"/>
    <s v="Yes, I will earn and do that"/>
    <s v="Will work for 3 years or more"/>
    <s v="No"/>
    <s v="Will NOT work for them"/>
    <n v="8"/>
    <x v="3"/>
    <x v="1"/>
    <x v="1"/>
    <x v="36"/>
    <s v="Manager who explains what is expected, sets a goal and helps achieve it"/>
    <x v="3"/>
  </r>
  <r>
    <d v="2022-12-16T16:42:40"/>
    <s v="India"/>
    <n v="852218"/>
    <x v="0"/>
    <x v="4"/>
    <s v="No I would not be pursuing Higher Education outside of India"/>
    <s v="This will be hard to do, but if it is the right company I would try"/>
    <s v="No"/>
    <s v="Will NOT work for them"/>
    <n v="5"/>
    <x v="1"/>
    <x v="1"/>
    <x v="0"/>
    <x v="37"/>
    <s v="Manager who sets goal and helps me achieve it"/>
    <x v="1"/>
  </r>
  <r>
    <d v="2022-12-16T16:46:12"/>
    <s v="India"/>
    <n v="411038"/>
    <x v="0"/>
    <x v="0"/>
    <s v="Yes, I will earn and do that"/>
    <s v="This will be hard to do, but if it is the right company I would try"/>
    <s v="No"/>
    <s v="Will NOT work for them"/>
    <n v="8"/>
    <x v="5"/>
    <x v="1"/>
    <x v="3"/>
    <x v="3"/>
    <s v="Manager who explains what is expected, sets a goal and helps achieve it"/>
    <x v="11"/>
  </r>
  <r>
    <d v="2022-12-16T16:48:02"/>
    <s v="India"/>
    <n v="282007"/>
    <x v="1"/>
    <x v="3"/>
    <s v="No I would not be pursuing Higher Education outside of India"/>
    <s v="This will be hard to do, but if it is the right company I would try"/>
    <s v="No"/>
    <s v="Will NOT work for them"/>
    <n v="7"/>
    <x v="2"/>
    <x v="1"/>
    <x v="4"/>
    <x v="9"/>
    <s v="Manager who explains what is expected, sets a goal and helps achieve it"/>
    <x v="7"/>
  </r>
  <r>
    <d v="2022-12-16T16:56:18"/>
    <s v="India"/>
    <n v="207001"/>
    <x v="0"/>
    <x v="2"/>
    <s v="No, But if someone could bare the cost I will"/>
    <s v="This will be hard to do, but if it is the right company I would try"/>
    <s v="No"/>
    <s v="Will NOT work for them"/>
    <n v="5"/>
    <x v="1"/>
    <x v="1"/>
    <x v="1"/>
    <x v="7"/>
    <s v="Manager who explains what is expected, sets a goal and helps achieve it"/>
    <x v="7"/>
  </r>
  <r>
    <d v="2022-12-16T16:59:03"/>
    <s v="India"/>
    <n v="425301"/>
    <x v="1"/>
    <x v="0"/>
    <s v="No I would not be pursuing Higher Education outside of India"/>
    <s v="This will be hard to do, but if it is the right company I would try"/>
    <s v="No"/>
    <s v="Will NOT work for them"/>
    <n v="6"/>
    <x v="4"/>
    <x v="0"/>
    <x v="1"/>
    <x v="38"/>
    <s v="Manager who explains what is expected, sets a goal and helps achieve it"/>
    <x v="14"/>
  </r>
  <r>
    <d v="2022-12-16T17:03:32"/>
    <s v="India"/>
    <n v="828122"/>
    <x v="0"/>
    <x v="0"/>
    <s v="No, But if someone could bare the cost I will"/>
    <s v="This will be hard to do, but if it is the right company I would try"/>
    <s v="No"/>
    <s v="Will work for them"/>
    <n v="8"/>
    <x v="4"/>
    <x v="1"/>
    <x v="4"/>
    <x v="17"/>
    <s v="Manager who explains what is expected, sets a goal and helps achieve it"/>
    <x v="1"/>
  </r>
  <r>
    <d v="2022-12-16T17:16:14"/>
    <s v="India"/>
    <n v="244901"/>
    <x v="0"/>
    <x v="0"/>
    <s v="Yes, I will earn and do that"/>
    <s v="Will work for 3 years or more"/>
    <s v="No"/>
    <s v="Will NOT work for them"/>
    <n v="5"/>
    <x v="1"/>
    <x v="1"/>
    <x v="0"/>
    <x v="1"/>
    <s v="Manager who explains what is expected, sets a goal and helps achieve it"/>
    <x v="9"/>
  </r>
  <r>
    <d v="2022-12-16T17:37:11"/>
    <s v="India"/>
    <n v="641021"/>
    <x v="1"/>
    <x v="0"/>
    <s v="No, But if someone could bare the cost I will"/>
    <s v="This will be hard to do, but if it is the right company I would try"/>
    <s v="No"/>
    <s v="Will NOT work for them"/>
    <n v="7"/>
    <x v="1"/>
    <x v="0"/>
    <x v="1"/>
    <x v="39"/>
    <s v="Manager who explains what is expected, sets a goal and helps achieve it"/>
    <x v="7"/>
  </r>
  <r>
    <d v="2022-12-16T17:54:22"/>
    <s v="India"/>
    <n v="560060"/>
    <x v="1"/>
    <x v="4"/>
    <s v="No I would not be pursuing Higher Education outside of India"/>
    <s v="Will work for 3 years or more"/>
    <s v="Yes"/>
    <s v="Will work for them"/>
    <n v="5"/>
    <x v="2"/>
    <x v="2"/>
    <x v="1"/>
    <x v="27"/>
    <s v="Manager who clearly describes what she/he needs"/>
    <x v="6"/>
  </r>
  <r>
    <d v="2022-12-16T17:55:09"/>
    <s v="India"/>
    <n v="560098"/>
    <x v="1"/>
    <x v="3"/>
    <s v="Yes, I will earn and do that"/>
    <s v="This will be hard to do, but if it is the right company I would try"/>
    <s v="No"/>
    <s v="Will NOT work for them"/>
    <n v="2"/>
    <x v="5"/>
    <x v="0"/>
    <x v="4"/>
    <x v="12"/>
    <s v="Manager who explains what is expected, sets a goal and helps achieve it"/>
    <x v="4"/>
  </r>
  <r>
    <d v="2022-12-16T18:17:37"/>
    <s v="India"/>
    <n v="457001"/>
    <x v="1"/>
    <x v="3"/>
    <s v="Yes, I will earn and do that"/>
    <s v="Will work for 3 years or more"/>
    <s v="No"/>
    <s v="Will NOT work for them"/>
    <n v="1"/>
    <x v="4"/>
    <x v="2"/>
    <x v="4"/>
    <x v="27"/>
    <s v="Manager who clearly describes what she/he needs"/>
    <x v="3"/>
  </r>
  <r>
    <d v="2022-12-16T18:28:12"/>
    <s v="India"/>
    <n v="524412"/>
    <x v="0"/>
    <x v="0"/>
    <s v="No I would not be pursuing Higher Education outside of India"/>
    <s v="Will work for 3 years or more"/>
    <s v="No"/>
    <s v="Will NOT work for them"/>
    <n v="1"/>
    <x v="1"/>
    <x v="2"/>
    <x v="0"/>
    <x v="40"/>
    <s v="Manager who explains what is expected, sets a goal and helps achieve it"/>
    <x v="7"/>
  </r>
  <r>
    <d v="2022-12-16T18:53:16"/>
    <s v="India"/>
    <n v="110059"/>
    <x v="1"/>
    <x v="4"/>
    <s v="No I would not be pursuing Higher Education outside of India"/>
    <s v="This will be hard to do, but if it is the right company I would try"/>
    <s v="No"/>
    <s v="Will work for them"/>
    <n v="1"/>
    <x v="3"/>
    <x v="2"/>
    <x v="1"/>
    <x v="41"/>
    <s v="Manager who sets goal and helps me achieve it"/>
    <x v="3"/>
  </r>
  <r>
    <d v="2022-12-16T19:19:04"/>
    <s v="India"/>
    <n v="425001"/>
    <x v="0"/>
    <x v="4"/>
    <s v="No I would not be pursuing Higher Education outside of India"/>
    <s v="This will be hard to do, but if it is the right company I would try"/>
    <s v="Yes"/>
    <s v="Will work for them"/>
    <n v="7"/>
    <x v="0"/>
    <x v="1"/>
    <x v="4"/>
    <x v="42"/>
    <s v="Manager who clearly describes what she/he needs"/>
    <x v="1"/>
  </r>
  <r>
    <d v="2022-12-16T19:23:16"/>
    <s v="India"/>
    <n v="425001"/>
    <x v="1"/>
    <x v="4"/>
    <s v="Yes, I will earn and do that"/>
    <s v="No way, 3 years with one employer is crazy"/>
    <s v="Yes"/>
    <s v="Will work for them"/>
    <n v="1"/>
    <x v="0"/>
    <x v="4"/>
    <x v="1"/>
    <x v="27"/>
    <s v="Manager who clearly describes what she/he needs"/>
    <x v="6"/>
  </r>
  <r>
    <d v="2022-12-16T19:24:14"/>
    <s v="India"/>
    <n v="851101"/>
    <x v="0"/>
    <x v="0"/>
    <s v="No I would not be pursuing Higher Education outside of India"/>
    <s v="This will be hard to do, but if it is the right company I would try"/>
    <s v="No"/>
    <s v="Will NOT work for them"/>
    <n v="3"/>
    <x v="1"/>
    <x v="1"/>
    <x v="1"/>
    <x v="5"/>
    <s v="Manager who explains what is expected, sets a goal and helps achieve it"/>
    <x v="1"/>
  </r>
  <r>
    <d v="2022-12-16T19:32:47"/>
    <s v="India"/>
    <n v="431009"/>
    <x v="1"/>
    <x v="1"/>
    <s v="No I would not be pursuing Higher Education outside of India"/>
    <s v="Will work for 3 years or more"/>
    <s v="No"/>
    <s v="Will NOT work for them"/>
    <n v="6"/>
    <x v="5"/>
    <x v="2"/>
    <x v="5"/>
    <x v="33"/>
    <s v="Manager who explains what is expected, sets a goal and helps achieve it"/>
    <x v="3"/>
  </r>
  <r>
    <d v="2022-12-16T19:33:50"/>
    <s v="India"/>
    <n v="400022"/>
    <x v="1"/>
    <x v="2"/>
    <s v="Yes, I will earn and do that"/>
    <s v="This will be hard to do, but if it is the right company I would try"/>
    <s v="No"/>
    <s v="Will NOT work for them"/>
    <n v="7"/>
    <x v="2"/>
    <x v="1"/>
    <x v="0"/>
    <x v="29"/>
    <s v="Manager who explains what is expected, sets a goal and helps achieve it"/>
    <x v="1"/>
  </r>
  <r>
    <d v="2022-12-16T19:34:52"/>
    <s v="India"/>
    <n v="828109"/>
    <x v="0"/>
    <x v="4"/>
    <s v="Yes, I will earn and do that"/>
    <s v="Will work for 3 years or more"/>
    <s v="Yes"/>
    <s v="Will work for them"/>
    <n v="2"/>
    <x v="3"/>
    <x v="2"/>
    <x v="4"/>
    <x v="43"/>
    <s v="Manager who sets targets and expects me to achieve it"/>
    <x v="4"/>
  </r>
  <r>
    <d v="2022-12-16T19:39:48"/>
    <s v="India"/>
    <n v="425001"/>
    <x v="0"/>
    <x v="2"/>
    <s v="Yes, I will earn and do that"/>
    <s v="Will work for 3 years or more"/>
    <s v="No"/>
    <s v="Will work for them"/>
    <n v="8"/>
    <x v="4"/>
    <x v="2"/>
    <x v="1"/>
    <x v="44"/>
    <s v="Manager who sets goal and helps me achieve it"/>
    <x v="1"/>
  </r>
  <r>
    <d v="2022-12-16T19:40:33"/>
    <s v="India"/>
    <n v="224001"/>
    <x v="0"/>
    <x v="4"/>
    <s v="No, But if someone could bare the cost I will"/>
    <s v="This will be hard to do, but if it is the right company I would try"/>
    <s v="Yes"/>
    <s v="Will work for them"/>
    <n v="5"/>
    <x v="0"/>
    <x v="1"/>
    <x v="0"/>
    <x v="45"/>
    <s v="Manager who explains what is expected, sets a goal and helps achieve it"/>
    <x v="2"/>
  </r>
  <r>
    <d v="2022-12-16T19:40:40"/>
    <s v="India"/>
    <n v="110092"/>
    <x v="1"/>
    <x v="3"/>
    <s v="Yes, I will earn and do that"/>
    <s v="This will be hard to do, but if it is the right company I would try"/>
    <s v="No"/>
    <s v="Will NOT work for them"/>
    <n v="6"/>
    <x v="1"/>
    <x v="1"/>
    <x v="3"/>
    <x v="24"/>
    <s v="Manager who explains what is expected, sets a goal and helps achieve it"/>
    <x v="3"/>
  </r>
  <r>
    <d v="2022-12-16T19:40:56"/>
    <s v="India"/>
    <n v="500018"/>
    <x v="0"/>
    <x v="4"/>
    <s v="Yes, I will earn and do that"/>
    <s v="Will work for 3 years or more"/>
    <s v="No"/>
    <s v="Will NOT work for them"/>
    <n v="8"/>
    <x v="5"/>
    <x v="0"/>
    <x v="1"/>
    <x v="27"/>
    <s v="Manager who sets targets and expects me to achieve it"/>
    <x v="15"/>
  </r>
  <r>
    <d v="2022-12-16T19:48:02"/>
    <s v="India"/>
    <n v="533342"/>
    <x v="0"/>
    <x v="3"/>
    <s v="No I would not be pursuing Higher Education outside of India"/>
    <s v="Will work for 3 years or more"/>
    <s v="No"/>
    <s v="Will NOT work for them"/>
    <n v="9"/>
    <x v="3"/>
    <x v="1"/>
    <x v="3"/>
    <x v="33"/>
    <s v="Manager who clearly describes what she/he needs"/>
    <x v="3"/>
  </r>
  <r>
    <d v="2022-12-16T19:48:22"/>
    <s v="India"/>
    <n v="600053"/>
    <x v="1"/>
    <x v="1"/>
    <s v="Yes, I will earn and do that"/>
    <s v="Will work for 3 years or more"/>
    <s v="No"/>
    <s v="Will NOT work for them"/>
    <n v="4"/>
    <x v="4"/>
    <x v="2"/>
    <x v="3"/>
    <x v="38"/>
    <s v="Manager who explains what is expected, sets a goal and helps achieve it"/>
    <x v="4"/>
  </r>
  <r>
    <d v="2022-12-16T19:54:20"/>
    <s v="India"/>
    <n v="425001"/>
    <x v="1"/>
    <x v="3"/>
    <s v="No I would not be pursuing Higher Education outside of India"/>
    <s v="This will be hard to do, but if it is the right company I would try"/>
    <s v="No"/>
    <s v="Will NOT work for them"/>
    <n v="5"/>
    <x v="3"/>
    <x v="1"/>
    <x v="4"/>
    <x v="40"/>
    <s v="Manager who explains what is expected, sets a goal and helps achieve it"/>
    <x v="7"/>
  </r>
  <r>
    <d v="2022-12-16T20:04:02"/>
    <s v="India"/>
    <n v="370110"/>
    <x v="0"/>
    <x v="1"/>
    <s v="No I would not be pursuing Higher Education outside of India"/>
    <s v="This will be hard to do, but if it is the right company I would try"/>
    <s v="Yes"/>
    <s v="Will NOT work for them"/>
    <n v="5"/>
    <x v="2"/>
    <x v="1"/>
    <x v="2"/>
    <x v="1"/>
    <s v="Manager who sets goal and helps me achieve it"/>
    <x v="0"/>
  </r>
  <r>
    <d v="2022-12-16T20:15:24"/>
    <s v="India"/>
    <n v="110017"/>
    <x v="1"/>
    <x v="2"/>
    <s v="Yes, I will earn and do that"/>
    <s v="This will be hard to do, but if it is the right company I would try"/>
    <s v="No"/>
    <s v="Will NOT work for them"/>
    <n v="1"/>
    <x v="3"/>
    <x v="1"/>
    <x v="5"/>
    <x v="43"/>
    <s v="Manager who explains what is expected, sets a goal and helps achieve it"/>
    <x v="11"/>
  </r>
  <r>
    <d v="2022-12-16T20:16:16"/>
    <s v="India"/>
    <n v="574111"/>
    <x v="1"/>
    <x v="2"/>
    <s v="No, But if someone could bare the cost I will"/>
    <s v="Will work for 3 years or more"/>
    <s v="No"/>
    <s v="Will NOT work for them"/>
    <n v="5"/>
    <x v="2"/>
    <x v="1"/>
    <x v="5"/>
    <x v="46"/>
    <s v="Manager who explains what is expected, sets a goal and helps achieve it"/>
    <x v="11"/>
  </r>
  <r>
    <d v="2022-12-16T20:26:38"/>
    <s v="India"/>
    <n v="576104"/>
    <x v="1"/>
    <x v="2"/>
    <s v="No, But if someone could bare the cost I will"/>
    <s v="This will be hard to do, but if it is the right company I would try"/>
    <s v="No"/>
    <s v="Will NOT work for them"/>
    <n v="5"/>
    <x v="1"/>
    <x v="2"/>
    <x v="1"/>
    <x v="47"/>
    <s v="Manager who explains what is expected, sets a goal and helps achieve it"/>
    <x v="1"/>
  </r>
  <r>
    <d v="2022-12-16T20:33:48"/>
    <s v="India"/>
    <n v="246701"/>
    <x v="1"/>
    <x v="1"/>
    <s v="Yes, I will earn and do that"/>
    <s v="This will be hard to do, but if it is the right company I would try"/>
    <s v="No"/>
    <s v="Will NOT work for them"/>
    <n v="1"/>
    <x v="4"/>
    <x v="1"/>
    <x v="1"/>
    <x v="48"/>
    <s v="Manager who explains what is expected, sets a goal and helps achieve it"/>
    <x v="4"/>
  </r>
  <r>
    <d v="2022-12-16T20:58:24"/>
    <s v="India"/>
    <n v="560060"/>
    <x v="0"/>
    <x v="4"/>
    <s v="Yes, I will earn and do that"/>
    <s v="Will work for 3 years or more"/>
    <s v="Yes"/>
    <s v="Will work for them"/>
    <n v="8"/>
    <x v="3"/>
    <x v="2"/>
    <x v="3"/>
    <x v="49"/>
    <s v="Manager who sets goal and helps me achieve it"/>
    <x v="3"/>
  </r>
  <r>
    <d v="2022-12-16T21:00:09"/>
    <s v="India"/>
    <n v="520007"/>
    <x v="0"/>
    <x v="0"/>
    <s v="No I would not be pursuing Higher Education outside of India"/>
    <s v="Will work for 3 years or more"/>
    <s v="No"/>
    <s v="Will work for them"/>
    <n v="6"/>
    <x v="5"/>
    <x v="3"/>
    <x v="3"/>
    <x v="37"/>
    <s v="Manager who explains what is expected, sets a goal and helps achieve it"/>
    <x v="2"/>
  </r>
  <r>
    <d v="2022-12-16T21:17:22"/>
    <s v="India"/>
    <n v="641663"/>
    <x v="0"/>
    <x v="4"/>
    <s v="Yes, I will earn and do that"/>
    <s v="Will work for 3 years or more"/>
    <s v="Yes"/>
    <s v="Will work for them"/>
    <n v="9"/>
    <x v="3"/>
    <x v="2"/>
    <x v="5"/>
    <x v="50"/>
    <s v="Manager who clearly describes what she/he needs"/>
    <x v="7"/>
  </r>
  <r>
    <d v="2022-12-16T21:26:43"/>
    <s v="United States of America"/>
    <n v="84321"/>
    <x v="0"/>
    <x v="2"/>
    <s v="Yes, I will earn and do that"/>
    <s v="This will be hard to do, but if it is the right company I would try"/>
    <s v="No"/>
    <s v="Will NOT work for them"/>
    <n v="5"/>
    <x v="2"/>
    <x v="2"/>
    <x v="2"/>
    <x v="24"/>
    <s v="Manager who explains what is expected, sets a goal and helps achieve it"/>
    <x v="11"/>
  </r>
  <r>
    <d v="2022-12-16T21:55:48"/>
    <s v="India"/>
    <n v="607104"/>
    <x v="0"/>
    <x v="2"/>
    <s v="No I would not be pursuing Higher Education outside of India"/>
    <s v="This will be hard to do, but if it is the right company I would try"/>
    <s v="No"/>
    <s v="Will work for them"/>
    <n v="8"/>
    <x v="2"/>
    <x v="0"/>
    <x v="5"/>
    <x v="51"/>
    <s v="Manager who explains what is expected, sets a goal and helps achieve it"/>
    <x v="7"/>
  </r>
  <r>
    <d v="2022-12-16T21:59:33"/>
    <s v="India"/>
    <n v="609305"/>
    <x v="0"/>
    <x v="0"/>
    <s v="No I would not be pursuing Higher Education outside of India"/>
    <s v="No way, 3 years with one employer is crazy"/>
    <s v="No"/>
    <s v="Will NOT work for them"/>
    <n v="1"/>
    <x v="3"/>
    <x v="2"/>
    <x v="2"/>
    <x v="18"/>
    <s v="Manager who clearly describes what she/he needs"/>
    <x v="3"/>
  </r>
  <r>
    <d v="2022-12-16T22:02:31"/>
    <s v="India"/>
    <n v="607104"/>
    <x v="0"/>
    <x v="0"/>
    <s v="No I would not be pursuing Higher Education outside of India"/>
    <s v="No way, 3 years with one employer is crazy"/>
    <s v="No"/>
    <s v="Will work for them"/>
    <n v="3"/>
    <x v="3"/>
    <x v="1"/>
    <x v="3"/>
    <x v="52"/>
    <s v="Manager who sets unrealistic targets"/>
    <x v="1"/>
  </r>
  <r>
    <d v="2022-12-16T22:08:51"/>
    <s v="India"/>
    <n v="425001"/>
    <x v="0"/>
    <x v="3"/>
    <s v="Yes, I will earn and do that"/>
    <s v="This will be hard to do, but if it is the right company I would try"/>
    <s v="No"/>
    <s v="Will work for them"/>
    <n v="2"/>
    <x v="3"/>
    <x v="1"/>
    <x v="1"/>
    <x v="1"/>
    <s v="Manager who explains what is expected, sets a goal and helps achieve it"/>
    <x v="3"/>
  </r>
  <r>
    <d v="2022-12-16T22:09:16"/>
    <s v="India"/>
    <n v="560029"/>
    <x v="1"/>
    <x v="4"/>
    <s v="Yes, I will earn and do that"/>
    <s v="Will work for 3 years or more"/>
    <s v="No"/>
    <s v="Will NOT work for them"/>
    <n v="2"/>
    <x v="1"/>
    <x v="1"/>
    <x v="5"/>
    <x v="53"/>
    <s v="Manager who explains what is expected, sets a goal and helps achieve it"/>
    <x v="1"/>
  </r>
  <r>
    <d v="2022-12-17T00:03:42"/>
    <s v="India"/>
    <n v="400013"/>
    <x v="0"/>
    <x v="4"/>
    <s v="No, But if someone could bare the cost I will"/>
    <s v="This will be hard to do, but if it is the right company I would try"/>
    <s v="No"/>
    <s v="Will NOT work for them"/>
    <n v="7"/>
    <x v="4"/>
    <x v="1"/>
    <x v="0"/>
    <x v="23"/>
    <s v="Manager who explains what is expected, sets a goal and helps achieve it"/>
    <x v="9"/>
  </r>
  <r>
    <d v="2022-12-17T00:11:16"/>
    <s v="India"/>
    <n v="431109"/>
    <x v="0"/>
    <x v="3"/>
    <s v="Yes, I will earn and do that"/>
    <s v="This will be hard to do, but if it is the right company I would try"/>
    <s v="No"/>
    <s v="Will NOT work for them"/>
    <n v="5"/>
    <x v="2"/>
    <x v="1"/>
    <x v="5"/>
    <x v="1"/>
    <s v="Manager who explains what is expected, sets a goal and helps achieve it"/>
    <x v="3"/>
  </r>
  <r>
    <d v="2022-12-17T01:09:06"/>
    <s v="India"/>
    <n v="133001"/>
    <x v="0"/>
    <x v="2"/>
    <s v="No I would not be pursuing Higher Education outside of India"/>
    <s v="This will be hard to do, but if it is the right company I would try"/>
    <s v="No"/>
    <s v="Will NOT work for them"/>
    <n v="8"/>
    <x v="4"/>
    <x v="1"/>
    <x v="4"/>
    <x v="54"/>
    <s v="Manager who explains what is expected, sets a goal and helps achieve it"/>
    <x v="3"/>
  </r>
  <r>
    <d v="2022-12-17T01:22:30"/>
    <s v="India"/>
    <n v="785001"/>
    <x v="0"/>
    <x v="2"/>
    <s v="No I would not be pursuing Higher Education outside of India"/>
    <s v="This will be hard to do, but if it is the right company I would try"/>
    <s v="Yes"/>
    <s v="Will NOT work for them"/>
    <n v="5"/>
    <x v="5"/>
    <x v="2"/>
    <x v="0"/>
    <x v="8"/>
    <s v="Manager who explains what is expected, sets a goal and helps achieve it"/>
    <x v="3"/>
  </r>
  <r>
    <d v="2022-12-17T06:40:06"/>
    <s v="India"/>
    <n v="561203"/>
    <x v="0"/>
    <x v="3"/>
    <s v="Yes, I will earn and do that"/>
    <s v="This will be hard to do, but if it is the right company I would try"/>
    <s v="Yes"/>
    <s v="Will work for them"/>
    <n v="5"/>
    <x v="4"/>
    <x v="3"/>
    <x v="1"/>
    <x v="16"/>
    <s v="Manager who sets goal and helps me achieve it"/>
    <x v="1"/>
  </r>
  <r>
    <d v="2022-12-17T08:57:33"/>
    <s v="India"/>
    <n v="852131"/>
    <x v="0"/>
    <x v="4"/>
    <s v="No, But if someone could bare the cost I will"/>
    <s v="This will be hard to do, but if it is the right company I would try"/>
    <s v="Yes"/>
    <s v="Will NOT work for them"/>
    <n v="4"/>
    <x v="2"/>
    <x v="1"/>
    <x v="5"/>
    <x v="7"/>
    <s v="Manager who sets goal and helps me achieve it"/>
    <x v="3"/>
  </r>
  <r>
    <d v="2022-12-17T09:19:46"/>
    <s v="India"/>
    <n v="560072"/>
    <x v="0"/>
    <x v="1"/>
    <s v="No I would not be pursuing Higher Education outside of India"/>
    <s v="This will be hard to do, but if it is the right company I would try"/>
    <s v="No"/>
    <s v="Will work for them"/>
    <n v="8"/>
    <x v="1"/>
    <x v="1"/>
    <x v="2"/>
    <x v="38"/>
    <s v="Manager who explains what is expected, sets a goal and helps achieve it"/>
    <x v="7"/>
  </r>
  <r>
    <d v="2022-12-17T10:47:20"/>
    <s v="India"/>
    <n v="410206"/>
    <x v="0"/>
    <x v="2"/>
    <s v="No I would not be pursuing Higher Education outside of India"/>
    <s v="This will be hard to do, but if it is the right company I would try"/>
    <s v="No"/>
    <s v="Will NOT work for them"/>
    <n v="3"/>
    <x v="4"/>
    <x v="1"/>
    <x v="2"/>
    <x v="55"/>
    <s v="Manager who explains what is expected, sets a goal and helps achieve it"/>
    <x v="3"/>
  </r>
  <r>
    <d v="2022-12-17T11:36:55"/>
    <s v="Germany"/>
    <n v="83024"/>
    <x v="0"/>
    <x v="1"/>
    <s v="Yes, I will earn and do that"/>
    <s v="Will work for 3 years or more"/>
    <s v="No"/>
    <s v="Will NOT work for them"/>
    <n v="6"/>
    <x v="2"/>
    <x v="1"/>
    <x v="0"/>
    <x v="19"/>
    <s v="Manager who clearly describes what she/he needs"/>
    <x v="0"/>
  </r>
  <r>
    <d v="2022-12-17T12:45:09"/>
    <s v="India"/>
    <n v="474009"/>
    <x v="0"/>
    <x v="0"/>
    <s v="No, But if someone could bare the cost I will"/>
    <s v="This will be hard to do, but if it is the right company I would try"/>
    <s v="No"/>
    <s v="Will NOT work for them"/>
    <n v="7"/>
    <x v="2"/>
    <x v="1"/>
    <x v="5"/>
    <x v="37"/>
    <s v="Manager who explains what is expected, sets a goal and helps achieve it"/>
    <x v="1"/>
  </r>
  <r>
    <d v="2022-12-17T12:51:11"/>
    <s v="India"/>
    <n v="400101"/>
    <x v="1"/>
    <x v="4"/>
    <s v="No, But if someone could bare the cost I will"/>
    <s v="Will work for 3 years or more"/>
    <s v="No"/>
    <s v="Will NOT work for them"/>
    <n v="5"/>
    <x v="4"/>
    <x v="2"/>
    <x v="5"/>
    <x v="56"/>
    <s v="Manager who sets targets and expects me to achieve it"/>
    <x v="11"/>
  </r>
  <r>
    <d v="2022-12-17T12:53:16"/>
    <s v="India"/>
    <n v="560090"/>
    <x v="1"/>
    <x v="4"/>
    <s v="Yes, I will earn and do that"/>
    <s v="Will work for 3 years or more"/>
    <s v="No"/>
    <s v="Will NOT work for them"/>
    <n v="4"/>
    <x v="2"/>
    <x v="0"/>
    <x v="0"/>
    <x v="15"/>
    <s v="Manager who clearly describes what she/he needs"/>
    <x v="1"/>
  </r>
  <r>
    <d v="2022-12-17T13:33:40"/>
    <s v="India"/>
    <n v="380015"/>
    <x v="0"/>
    <x v="3"/>
    <s v="No I would not be pursuing Higher Education outside of India"/>
    <s v="Will work for 3 years or more"/>
    <s v="Yes"/>
    <s v="Will work for them"/>
    <n v="6"/>
    <x v="4"/>
    <x v="1"/>
    <x v="0"/>
    <x v="45"/>
    <s v="Manager who explains what is expected, sets a goal and helps achieve it"/>
    <x v="3"/>
  </r>
  <r>
    <d v="2022-12-17T13:52:49"/>
    <s v="India"/>
    <n v="700111"/>
    <x v="0"/>
    <x v="4"/>
    <s v="No, But if someone could bare the cost I will"/>
    <s v="This will be hard to do, but if it is the right company I would try"/>
    <s v="No"/>
    <s v="Will NOT work for them"/>
    <n v="5"/>
    <x v="2"/>
    <x v="1"/>
    <x v="2"/>
    <x v="57"/>
    <s v="Manager who explains what is expected, sets a goal and helps achieve it"/>
    <x v="0"/>
  </r>
  <r>
    <d v="2022-12-17T13:53:32"/>
    <s v="India"/>
    <n v="281001"/>
    <x v="1"/>
    <x v="0"/>
    <s v="Yes, I will earn and do that"/>
    <s v="Will work for 3 years or more"/>
    <s v="No"/>
    <s v="Will NOT work for them"/>
    <n v="8"/>
    <x v="1"/>
    <x v="1"/>
    <x v="4"/>
    <x v="58"/>
    <s v="Manager who explains what is expected, sets a goal and helps achieve it"/>
    <x v="1"/>
  </r>
  <r>
    <d v="2022-12-17T14:04:42"/>
    <s v="India"/>
    <n v="517112"/>
    <x v="0"/>
    <x v="4"/>
    <s v="No, But if someone could bare the cost I will"/>
    <s v="This will be hard to do, but if it is the right company I would try"/>
    <s v="No"/>
    <s v="Will NOT work for them"/>
    <n v="5"/>
    <x v="2"/>
    <x v="1"/>
    <x v="4"/>
    <x v="24"/>
    <s v="Manager who clearly describes what she/he needs"/>
    <x v="3"/>
  </r>
  <r>
    <d v="2022-12-17T14:18:44"/>
    <s v="India"/>
    <n v="711315"/>
    <x v="0"/>
    <x v="4"/>
    <s v="No, But if someone could bare the cost I will"/>
    <s v="This will be hard to do, but if it is the right company I would try"/>
    <s v="Yes"/>
    <s v="Will work for them"/>
    <n v="8"/>
    <x v="1"/>
    <x v="1"/>
    <x v="0"/>
    <x v="5"/>
    <s v="Manager who explains what is expected, sets a goal and helps achieve it"/>
    <x v="1"/>
  </r>
  <r>
    <d v="2022-12-17T14:22:30"/>
    <s v="India"/>
    <n v="400012"/>
    <x v="0"/>
    <x v="4"/>
    <s v="No I would not be pursuing Higher Education outside of India"/>
    <s v="Will work for 3 years or more"/>
    <s v="No"/>
    <s v="Will NOT work for them"/>
    <n v="8"/>
    <x v="2"/>
    <x v="2"/>
    <x v="4"/>
    <x v="55"/>
    <s v="Manager who clearly describes what she/he needs"/>
    <x v="1"/>
  </r>
  <r>
    <d v="2022-12-17T14:38:58"/>
    <s v="India"/>
    <n v="500072"/>
    <x v="0"/>
    <x v="2"/>
    <s v="No, But if someone could bare the cost I will"/>
    <s v="This will be hard to do, but if it is the right company I would try"/>
    <s v="No"/>
    <s v="Will NOT work for them"/>
    <n v="6"/>
    <x v="1"/>
    <x v="1"/>
    <x v="3"/>
    <x v="3"/>
    <s v="Manager who explains what is expected, sets a goal and helps achieve it"/>
    <x v="6"/>
  </r>
  <r>
    <d v="2022-12-17T14:55:50"/>
    <s v="India"/>
    <n v="380015"/>
    <x v="1"/>
    <x v="4"/>
    <s v="Yes, I will earn and do that"/>
    <s v="This will be hard to do, but if it is the right company I would try"/>
    <s v="Yes"/>
    <s v="Will work for them"/>
    <n v="8"/>
    <x v="5"/>
    <x v="0"/>
    <x v="1"/>
    <x v="58"/>
    <s v="Manager who sets goal and helps me achieve it"/>
    <x v="7"/>
  </r>
  <r>
    <d v="2022-12-17T15:11:27"/>
    <s v="India"/>
    <n v="751010"/>
    <x v="1"/>
    <x v="2"/>
    <s v="Yes, I will earn and do that"/>
    <s v="This will be hard to do, but if it is the right company I would try"/>
    <s v="No"/>
    <s v="Will NOT work for them"/>
    <n v="8"/>
    <x v="4"/>
    <x v="1"/>
    <x v="4"/>
    <x v="33"/>
    <s v="Manager who explains what is expected, sets a goal and helps achieve it"/>
    <x v="2"/>
  </r>
  <r>
    <d v="2022-12-17T16:56:18"/>
    <s v="India"/>
    <n v="425401"/>
    <x v="0"/>
    <x v="3"/>
    <s v="Yes, I will earn and do that"/>
    <s v="Will work for 3 years or more"/>
    <s v="No"/>
    <s v="Will NOT work for them"/>
    <n v="6"/>
    <x v="3"/>
    <x v="2"/>
    <x v="4"/>
    <x v="15"/>
    <s v="Manager who clearly describes what she/he needs"/>
    <x v="7"/>
  </r>
  <r>
    <d v="2022-12-17T17:03:20"/>
    <s v="India"/>
    <n v="425002"/>
    <x v="1"/>
    <x v="4"/>
    <s v="No I would not be pursuing Higher Education outside of India"/>
    <s v="Will work for 3 years or more"/>
    <s v="No"/>
    <s v="Will NOT work for them"/>
    <n v="2"/>
    <x v="0"/>
    <x v="2"/>
    <x v="1"/>
    <x v="27"/>
    <s v="Manager who sets goal and helps me achieve it"/>
    <x v="3"/>
  </r>
  <r>
    <d v="2022-12-17T18:30:57"/>
    <s v="India"/>
    <n v="760001"/>
    <x v="1"/>
    <x v="2"/>
    <s v="No I would not be pursuing Higher Education outside of India"/>
    <s v="Will work for 3 years or more"/>
    <s v="No"/>
    <s v="Will NOT work for them"/>
    <n v="10"/>
    <x v="1"/>
    <x v="3"/>
    <x v="5"/>
    <x v="59"/>
    <s v="Manager who explains what is expected, sets a goal and helps achieve it"/>
    <x v="3"/>
  </r>
  <r>
    <d v="2022-12-17T19:11:31"/>
    <s v="India"/>
    <n v="226023"/>
    <x v="0"/>
    <x v="3"/>
    <s v="No I would not be pursuing Higher Education outside of India"/>
    <s v="This will be hard to do, but if it is the right company I would try"/>
    <s v="Yes"/>
    <s v="Will NOT work for them"/>
    <n v="5"/>
    <x v="4"/>
    <x v="2"/>
    <x v="0"/>
    <x v="60"/>
    <s v="Manager who explains what is expected, sets a goal and helps achieve it"/>
    <x v="1"/>
  </r>
  <r>
    <d v="2022-12-17T19:28:13"/>
    <s v="India"/>
    <n v="560077"/>
    <x v="0"/>
    <x v="0"/>
    <s v="No I would not be pursuing Higher Education outside of India"/>
    <s v="Will work for 3 years or more"/>
    <s v="No"/>
    <s v="Will NOT work for them"/>
    <n v="2"/>
    <x v="1"/>
    <x v="1"/>
    <x v="3"/>
    <x v="61"/>
    <s v="Manager who explains what is expected, sets a goal and helps achieve it"/>
    <x v="1"/>
  </r>
  <r>
    <d v="2022-12-17T20:14:15"/>
    <s v="India"/>
    <n v="302039"/>
    <x v="0"/>
    <x v="4"/>
    <s v="No I would not be pursuing Higher Education outside of India"/>
    <s v="Will work for 3 years or more"/>
    <s v="Yes"/>
    <s v="Will work for them"/>
    <n v="9"/>
    <x v="0"/>
    <x v="2"/>
    <x v="4"/>
    <x v="24"/>
    <s v="Manager who clearly describes what she/he needs"/>
    <x v="1"/>
  </r>
  <r>
    <d v="2022-12-17T20:36:46"/>
    <s v="India"/>
    <n v="751010"/>
    <x v="0"/>
    <x v="3"/>
    <s v="Yes, I will earn and do that"/>
    <s v="This will be hard to do, but if it is the right company I would try"/>
    <s v="No"/>
    <s v="Will work for them"/>
    <n v="3"/>
    <x v="2"/>
    <x v="1"/>
    <x v="0"/>
    <x v="62"/>
    <s v="Manager who explains what is expected, sets a goal and helps achieve it"/>
    <x v="4"/>
  </r>
  <r>
    <d v="2022-12-17T20:44:46"/>
    <s v="Germany"/>
    <n v="81827"/>
    <x v="0"/>
    <x v="0"/>
    <s v="Yes, I will earn and do that"/>
    <s v="Will work for 3 years or more"/>
    <s v="Yes"/>
    <s v="Will work for them"/>
    <n v="5"/>
    <x v="1"/>
    <x v="1"/>
    <x v="1"/>
    <x v="42"/>
    <s v="Manager who clearly describes what she/he needs"/>
    <x v="11"/>
  </r>
  <r>
    <d v="2022-12-17T21:29:33"/>
    <s v="India"/>
    <n v="121003"/>
    <x v="0"/>
    <x v="2"/>
    <s v="No, But if someone could bare the cost I will"/>
    <s v="This will be hard to do, but if it is the right company I would try"/>
    <s v="No"/>
    <s v="Will NOT work for them"/>
    <n v="5"/>
    <x v="2"/>
    <x v="1"/>
    <x v="3"/>
    <x v="3"/>
    <s v="Manager who explains what is expected, sets a goal and helps achieve it"/>
    <x v="3"/>
  </r>
  <r>
    <d v="2022-12-17T22:12:28"/>
    <s v="India"/>
    <n v="101201"/>
    <x v="0"/>
    <x v="4"/>
    <s v="No I would not be pursuing Higher Education outside of India"/>
    <s v="This will be hard to do, but if it is the right company I would try"/>
    <s v="No"/>
    <s v="Will NOT work for them"/>
    <n v="2"/>
    <x v="5"/>
    <x v="1"/>
    <x v="4"/>
    <x v="15"/>
    <s v="Manager who sets goal and helps me achieve it"/>
    <x v="3"/>
  </r>
  <r>
    <d v="2022-12-17T22:19:05"/>
    <s v="India"/>
    <n v="605401"/>
    <x v="0"/>
    <x v="4"/>
    <s v="Yes, I will earn and do that"/>
    <s v="Will work for 3 years or more"/>
    <s v="Yes"/>
    <s v="Will NOT work for them"/>
    <n v="7"/>
    <x v="4"/>
    <x v="2"/>
    <x v="0"/>
    <x v="23"/>
    <s v="Manager who sets goal and helps me achieve it"/>
    <x v="5"/>
  </r>
  <r>
    <d v="2022-12-18T09:37:08"/>
    <s v="India"/>
    <n v="753003"/>
    <x v="0"/>
    <x v="3"/>
    <s v="Yes, I will earn and do that"/>
    <s v="This will be hard to do, but if it is the right company I would try"/>
    <s v="Yes"/>
    <s v="Will work for them"/>
    <n v="7"/>
    <x v="2"/>
    <x v="2"/>
    <x v="1"/>
    <x v="63"/>
    <s v="Manager who clearly describes what she/he needs"/>
    <x v="3"/>
  </r>
  <r>
    <d v="2022-12-18T11:18:25"/>
    <s v="India"/>
    <n v="416509"/>
    <x v="0"/>
    <x v="1"/>
    <s v="Yes, I will earn and do that"/>
    <s v="This will be hard to do, but if it is the right company I would try"/>
    <s v="No"/>
    <s v="Will NOT work for them"/>
    <n v="7"/>
    <x v="2"/>
    <x v="2"/>
    <x v="1"/>
    <x v="40"/>
    <s v="Manager who sets goal and helps me achieve it"/>
    <x v="1"/>
  </r>
  <r>
    <d v="2022-12-18T11:58:21"/>
    <s v="India"/>
    <n v="400099"/>
    <x v="0"/>
    <x v="0"/>
    <s v="No, But if someone could bare the cost I will"/>
    <s v="This will be hard to do, but if it is the right company I would try"/>
    <s v="No"/>
    <s v="Will NOT work for them"/>
    <n v="6"/>
    <x v="5"/>
    <x v="0"/>
    <x v="3"/>
    <x v="38"/>
    <s v="Manager who clearly describes what she/he needs"/>
    <x v="3"/>
  </r>
  <r>
    <d v="2022-12-18T13:24:07"/>
    <s v="India"/>
    <n v="301001"/>
    <x v="0"/>
    <x v="0"/>
    <s v="Yes, I will earn and do that"/>
    <s v="This will be hard to do, but if it is the right company I would try"/>
    <s v="No"/>
    <s v="Will NOT work for them"/>
    <n v="4"/>
    <x v="3"/>
    <x v="2"/>
    <x v="0"/>
    <x v="24"/>
    <s v="Manager who explains what is expected, sets a goal and helps achieve it"/>
    <x v="1"/>
  </r>
  <r>
    <d v="2022-12-18T15:06:57"/>
    <s v="India"/>
    <n v="302017"/>
    <x v="0"/>
    <x v="4"/>
    <s v="No I would not be pursuing Higher Education outside of India"/>
    <s v="Will work for 3 years or more"/>
    <s v="Yes"/>
    <s v="Will NOT work for them"/>
    <n v="5"/>
    <x v="2"/>
    <x v="1"/>
    <x v="4"/>
    <x v="27"/>
    <s v="Manager who explains what is expected, sets a goal and helps achieve it"/>
    <x v="1"/>
  </r>
  <r>
    <d v="2022-12-18T15:41:26"/>
    <s v="India"/>
    <n v="560096"/>
    <x v="1"/>
    <x v="4"/>
    <s v="Yes, I will earn and do that"/>
    <s v="This will be hard to do, but if it is the right company I would try"/>
    <s v="No"/>
    <s v="Will NOT work for them"/>
    <n v="2"/>
    <x v="4"/>
    <x v="1"/>
    <x v="0"/>
    <x v="64"/>
    <s v="Manager who clearly describes what she/he needs"/>
    <x v="1"/>
  </r>
  <r>
    <d v="2022-12-18T17:32:01"/>
    <s v="India"/>
    <n v="431005"/>
    <x v="0"/>
    <x v="4"/>
    <s v="Yes, I will earn and do that"/>
    <s v="Will work for 3 years or more"/>
    <s v="No"/>
    <s v="Will work for them"/>
    <n v="1"/>
    <x v="1"/>
    <x v="1"/>
    <x v="1"/>
    <x v="65"/>
    <s v="Manager who sets goal and helps me achieve it"/>
    <x v="3"/>
  </r>
  <r>
    <d v="2022-12-18T17:39:37"/>
    <s v="India"/>
    <n v="620005"/>
    <x v="0"/>
    <x v="2"/>
    <s v="No I would not be pursuing Higher Education outside of India"/>
    <s v="This will be hard to do, but if it is the right company I would try"/>
    <s v="Yes"/>
    <s v="Will NOT work for them"/>
    <n v="3"/>
    <x v="2"/>
    <x v="1"/>
    <x v="5"/>
    <x v="58"/>
    <s v="Manager who explains what is expected, sets a goal and helps achieve it"/>
    <x v="1"/>
  </r>
  <r>
    <d v="2022-12-18T18:03:02"/>
    <s v="India"/>
    <n v="786001"/>
    <x v="0"/>
    <x v="4"/>
    <s v="Yes, I will earn and do that"/>
    <s v="This will be hard to do, but if it is the right company I would try"/>
    <s v="No"/>
    <s v="Will NOT work for them"/>
    <n v="4"/>
    <x v="3"/>
    <x v="2"/>
    <x v="4"/>
    <x v="63"/>
    <s v="Manager who clearly describes what she/he needs"/>
    <x v="1"/>
  </r>
  <r>
    <d v="2022-12-18T18:20:17"/>
    <s v="India"/>
    <n v="422010"/>
    <x v="1"/>
    <x v="0"/>
    <s v="No I would not be pursuing Higher Education outside of India"/>
    <s v="Will work for 3 years or more"/>
    <s v="No"/>
    <s v="Will NOT work for them"/>
    <n v="2"/>
    <x v="1"/>
    <x v="0"/>
    <x v="5"/>
    <x v="22"/>
    <s v="Manager who explains what is expected, sets a goal and helps achieve it"/>
    <x v="12"/>
  </r>
  <r>
    <d v="2022-12-18T20:37:32"/>
    <s v="India"/>
    <n v="110044"/>
    <x v="0"/>
    <x v="3"/>
    <s v="No, But if someone could bare the cost I will"/>
    <s v="This will be hard to do, but if it is the right company I would try"/>
    <s v="Yes"/>
    <s v="Will work for them"/>
    <n v="7"/>
    <x v="1"/>
    <x v="0"/>
    <x v="1"/>
    <x v="24"/>
    <s v="Manager who explains what is expected, sets a goal and helps achieve it"/>
    <x v="5"/>
  </r>
  <r>
    <d v="2022-12-18T20:57:59"/>
    <s v="India"/>
    <n v="700156"/>
    <x v="0"/>
    <x v="2"/>
    <s v="No I would not be pursuing Higher Education outside of India"/>
    <s v="Will work for 3 years or more"/>
    <s v="No"/>
    <s v="Will NOT work for them"/>
    <n v="7"/>
    <x v="5"/>
    <x v="1"/>
    <x v="4"/>
    <x v="66"/>
    <s v="Manager who explains what is expected, sets a goal and helps achieve it"/>
    <x v="14"/>
  </r>
  <r>
    <d v="2022-12-18T21:41:55"/>
    <s v="India"/>
    <n v="824003"/>
    <x v="0"/>
    <x v="2"/>
    <s v="Yes, I will earn and do that"/>
    <s v="This will be hard to do, but if it is the right company I would try"/>
    <s v="No"/>
    <s v="Will NOT work for them"/>
    <n v="9"/>
    <x v="5"/>
    <x v="2"/>
    <x v="5"/>
    <x v="1"/>
    <s v="Manager who sets goal and helps me achieve it"/>
    <x v="3"/>
  </r>
  <r>
    <d v="2022-12-19T00:03:47"/>
    <s v="India"/>
    <n v="410505"/>
    <x v="0"/>
    <x v="1"/>
    <s v="Yes, I will earn and do that"/>
    <s v="Will work for 3 years or more"/>
    <s v="Yes"/>
    <s v="Will work for them"/>
    <n v="3"/>
    <x v="5"/>
    <x v="2"/>
    <x v="3"/>
    <x v="12"/>
    <s v="Manager who clearly describes what she/he needs"/>
    <x v="6"/>
  </r>
  <r>
    <d v="2022-12-19T00:22:25"/>
    <s v="India"/>
    <n v="151110"/>
    <x v="1"/>
    <x v="0"/>
    <s v="No I would not be pursuing Higher Education outside of India"/>
    <s v="This will be hard to do, but if it is the right company I would try"/>
    <s v="Yes"/>
    <s v="Will work for them"/>
    <n v="10"/>
    <x v="1"/>
    <x v="1"/>
    <x v="0"/>
    <x v="67"/>
    <s v="Manager who explains what is expected, sets a goal and helps achieve it"/>
    <x v="2"/>
  </r>
  <r>
    <d v="2022-12-19T00:22:47"/>
    <s v="India"/>
    <n v="410206"/>
    <x v="0"/>
    <x v="2"/>
    <s v="No, But if someone could bare the cost I will"/>
    <s v="This will be hard to do, but if it is the right company I would try"/>
    <s v="No"/>
    <s v="Will NOT work for them"/>
    <n v="7"/>
    <x v="2"/>
    <x v="1"/>
    <x v="0"/>
    <x v="27"/>
    <s v="Manager who explains what is expected, sets a goal and helps achieve it"/>
    <x v="3"/>
  </r>
  <r>
    <d v="2022-12-19T00:42:46"/>
    <s v="India"/>
    <n v="721445"/>
    <x v="0"/>
    <x v="3"/>
    <s v="No, But if someone could bare the cost I will"/>
    <s v="Will work for 3 years or more"/>
    <s v="No"/>
    <s v="Will work for them"/>
    <n v="7"/>
    <x v="3"/>
    <x v="2"/>
    <x v="1"/>
    <x v="15"/>
    <s v="Manager who clearly describes what she/he needs"/>
    <x v="3"/>
  </r>
  <r>
    <d v="2022-12-19T08:27:16"/>
    <s v="India"/>
    <n v="251309"/>
    <x v="1"/>
    <x v="1"/>
    <s v="Yes, I will earn and do that"/>
    <s v="This will be hard to do, but if it is the right company I would try"/>
    <s v="No"/>
    <s v="Will NOT work for them"/>
    <n v="5"/>
    <x v="1"/>
    <x v="2"/>
    <x v="0"/>
    <x v="11"/>
    <s v="Manager who explains what is expected, sets a goal and helps achieve it"/>
    <x v="2"/>
  </r>
  <r>
    <d v="2022-12-19T09:45:28"/>
    <s v="India"/>
    <n v="713216"/>
    <x v="1"/>
    <x v="4"/>
    <s v="No I would not be pursuing Higher Education outside of India"/>
    <s v="Will work for 3 years or more"/>
    <s v="No"/>
    <s v="Will NOT work for them"/>
    <n v="6"/>
    <x v="1"/>
    <x v="1"/>
    <x v="1"/>
    <x v="63"/>
    <s v="Manager who explains what is expected, sets a goal and helps achieve it"/>
    <x v="1"/>
  </r>
  <r>
    <d v="2022-12-19T10:09:13"/>
    <s v="India"/>
    <n v="670102"/>
    <x v="0"/>
    <x v="4"/>
    <s v="No I would not be pursuing Higher Education outside of India"/>
    <s v="This will be hard to do, but if it is the right company I would try"/>
    <s v="Yes"/>
    <s v="Will work for them"/>
    <n v="2"/>
    <x v="2"/>
    <x v="1"/>
    <x v="4"/>
    <x v="1"/>
    <s v="Manager who explains what is expected, sets a goal and helps achieve it"/>
    <x v="3"/>
  </r>
  <r>
    <d v="2022-12-19T10:09:32"/>
    <s v="India"/>
    <n v="251309"/>
    <x v="1"/>
    <x v="1"/>
    <s v="Yes, I will earn and do that"/>
    <s v="This will be hard to do, but if it is the right company I would try"/>
    <s v="No"/>
    <s v="Will NOT work for them"/>
    <n v="5"/>
    <x v="5"/>
    <x v="2"/>
    <x v="4"/>
    <x v="31"/>
    <s v="Manager who explains what is expected, sets a goal and helps achieve it"/>
    <x v="16"/>
  </r>
  <r>
    <d v="2022-12-19T11:02:43"/>
    <s v="India"/>
    <n v="721302"/>
    <x v="0"/>
    <x v="4"/>
    <s v="No, But if someone could bare the cost I will"/>
    <s v="This will be hard to do, but if it is the right company I would try"/>
    <s v="Yes"/>
    <s v="Will NOT work for them"/>
    <n v="3"/>
    <x v="4"/>
    <x v="1"/>
    <x v="1"/>
    <x v="29"/>
    <s v="Manager who explains what is expected, sets a goal and helps achieve it"/>
    <x v="3"/>
  </r>
  <r>
    <d v="2022-12-19T12:14:58"/>
    <s v="India"/>
    <n v="382421"/>
    <x v="1"/>
    <x v="0"/>
    <s v="No I would not be pursuing Higher Education outside of India"/>
    <s v="Will work for 3 years or more"/>
    <s v="No"/>
    <s v="Will NOT work for them"/>
    <n v="1"/>
    <x v="1"/>
    <x v="1"/>
    <x v="5"/>
    <x v="39"/>
    <s v="Manager who clearly describes what she/he needs"/>
    <x v="13"/>
  </r>
  <r>
    <d v="2022-12-19T13:02:49"/>
    <s v="India"/>
    <n v="600016"/>
    <x v="0"/>
    <x v="3"/>
    <s v="No I would not be pursuing Higher Education outside of India"/>
    <s v="Will work for 3 years or more"/>
    <s v="Yes"/>
    <s v="Will work for them"/>
    <n v="3"/>
    <x v="4"/>
    <x v="1"/>
    <x v="5"/>
    <x v="15"/>
    <s v="Manager who sets targets and expects me to achieve it"/>
    <x v="16"/>
  </r>
  <r>
    <d v="2022-12-19T13:25:41"/>
    <s v="India"/>
    <n v="560037"/>
    <x v="0"/>
    <x v="3"/>
    <s v="No, But if someone could bare the cost I will"/>
    <s v="This will be hard to do, but if it is the right company I would try"/>
    <s v="No"/>
    <s v="Will NOT work for them"/>
    <n v="5"/>
    <x v="1"/>
    <x v="1"/>
    <x v="2"/>
    <x v="3"/>
    <s v="Manager who explains what is expected, sets a goal and helps achieve it"/>
    <x v="3"/>
  </r>
  <r>
    <d v="2022-12-19T14:32:53"/>
    <s v="India"/>
    <n v="122011"/>
    <x v="0"/>
    <x v="1"/>
    <s v="No, But if someone could bare the cost I will"/>
    <s v="This will be hard to do, but if it is the right company I would try"/>
    <s v="No"/>
    <s v="Will NOT work for them"/>
    <n v="8"/>
    <x v="3"/>
    <x v="1"/>
    <x v="4"/>
    <x v="23"/>
    <s v="Manager who explains what is expected, sets a goal and helps achieve it"/>
    <x v="1"/>
  </r>
  <r>
    <d v="2022-12-19T16:47:09"/>
    <s v="India"/>
    <n v="123106"/>
    <x v="1"/>
    <x v="3"/>
    <s v="Yes, I will earn and do that"/>
    <s v="This will be hard to do, but if it is the right company I would try"/>
    <s v="No"/>
    <s v="Will NOT work for them"/>
    <n v="7"/>
    <x v="1"/>
    <x v="2"/>
    <x v="1"/>
    <x v="38"/>
    <s v="Manager who explains what is expected, sets a goal and helps achieve it"/>
    <x v="1"/>
  </r>
  <r>
    <d v="2022-12-19T17:10:12"/>
    <s v="India"/>
    <n v="121001"/>
    <x v="1"/>
    <x v="4"/>
    <s v="Yes, I will earn and do that"/>
    <s v="Will work for 3 years or more"/>
    <s v="No"/>
    <s v="Will NOT work for them"/>
    <n v="5"/>
    <x v="5"/>
    <x v="2"/>
    <x v="0"/>
    <x v="3"/>
    <s v="Manager who explains what is expected, sets a goal and helps achieve it"/>
    <x v="4"/>
  </r>
  <r>
    <d v="2022-12-19T17:45:21"/>
    <s v="India"/>
    <n v="363310"/>
    <x v="0"/>
    <x v="0"/>
    <s v="No I would not be pursuing Higher Education outside of India"/>
    <s v="This will be hard to do, but if it is the right company I would try"/>
    <s v="No"/>
    <s v="Will NOT work for them"/>
    <n v="9"/>
    <x v="2"/>
    <x v="3"/>
    <x v="3"/>
    <x v="16"/>
    <s v="Manager who explains what is expected, sets a goal and helps achieve it"/>
    <x v="1"/>
  </r>
  <r>
    <d v="2022-12-19T19:34:33"/>
    <s v="India"/>
    <n v="382010"/>
    <x v="1"/>
    <x v="0"/>
    <s v="Yes, I will earn and do that"/>
    <s v="This will be hard to do, but if it is the right company I would try"/>
    <s v="No"/>
    <s v="Will NOT work for them"/>
    <n v="8"/>
    <x v="1"/>
    <x v="0"/>
    <x v="1"/>
    <x v="65"/>
    <s v="Manager who sets targets and expects me to achieve it"/>
    <x v="3"/>
  </r>
  <r>
    <d v="2022-12-19T19:37:35"/>
    <s v="India"/>
    <n v="394210"/>
    <x v="0"/>
    <x v="4"/>
    <s v="No I would not be pursuing Higher Education outside of India"/>
    <s v="No way, 3 years with one employer is crazy"/>
    <s v="No"/>
    <s v="Will NOT work for them"/>
    <n v="6"/>
    <x v="5"/>
    <x v="1"/>
    <x v="2"/>
    <x v="42"/>
    <s v="Manager who sets goal and helps me achieve it"/>
    <x v="3"/>
  </r>
  <r>
    <d v="2022-12-19T20:25:30"/>
    <s v="India"/>
    <n v="382024"/>
    <x v="0"/>
    <x v="4"/>
    <s v="Yes, I will earn and do that"/>
    <s v="This will be hard to do, but if it is the right company I would try"/>
    <s v="No"/>
    <s v="Will work for them"/>
    <n v="4"/>
    <x v="3"/>
    <x v="2"/>
    <x v="5"/>
    <x v="68"/>
    <s v="Manager who clearly describes what she/he needs"/>
    <x v="1"/>
  </r>
  <r>
    <d v="2022-12-19T21:32:20"/>
    <s v="India"/>
    <n v="721101"/>
    <x v="0"/>
    <x v="2"/>
    <s v="No, But if someone could bare the cost I will"/>
    <s v="No way, 3 years with one employer is crazy"/>
    <s v="No"/>
    <s v="Will NOT work for them"/>
    <n v="9"/>
    <x v="2"/>
    <x v="4"/>
    <x v="0"/>
    <x v="69"/>
    <s v="Manager who clearly describes what she/he needs"/>
    <x v="7"/>
  </r>
  <r>
    <d v="2022-12-19T22:13:07"/>
    <s v="India"/>
    <n v="503175"/>
    <x v="0"/>
    <x v="4"/>
    <s v="Yes, I will earn and do that"/>
    <s v="Will work for 3 years or more"/>
    <s v="No"/>
    <s v="Will NOT work for them"/>
    <n v="5"/>
    <x v="0"/>
    <x v="3"/>
    <x v="3"/>
    <x v="64"/>
    <s v="Manager who sets targets and expects me to achieve it"/>
    <x v="6"/>
  </r>
  <r>
    <d v="2022-12-19T22:21:26"/>
    <s v="India"/>
    <n v="533103"/>
    <x v="0"/>
    <x v="4"/>
    <s v="Yes, I will earn and do that"/>
    <s v="This will be hard to do, but if it is the right company I would try"/>
    <s v="Yes"/>
    <s v="Will work for them"/>
    <n v="8"/>
    <x v="5"/>
    <x v="1"/>
    <x v="1"/>
    <x v="45"/>
    <s v="Manager who explains what is expected, sets a goal and helps achieve it"/>
    <x v="0"/>
  </r>
  <r>
    <d v="2022-12-20T09:50:02"/>
    <s v="India"/>
    <n v="382042"/>
    <x v="1"/>
    <x v="2"/>
    <s v="No, But if someone could bare the cost I will"/>
    <s v="Will work for 3 years or more"/>
    <s v="No"/>
    <s v="Will NOT work for them"/>
    <n v="1"/>
    <x v="3"/>
    <x v="2"/>
    <x v="1"/>
    <x v="70"/>
    <s v="Manager who clearly describes what she/he needs"/>
    <x v="3"/>
  </r>
  <r>
    <d v="2022-12-20T12:22:18"/>
    <s v="India"/>
    <n v="600036"/>
    <x v="1"/>
    <x v="3"/>
    <s v="No I would not be pursuing Higher Education outside of India"/>
    <s v="This will be hard to do, but if it is the right company I would try"/>
    <s v="No"/>
    <s v="Will NOT work for them"/>
    <n v="2"/>
    <x v="5"/>
    <x v="2"/>
    <x v="3"/>
    <x v="23"/>
    <s v="Manager who explains what is expected, sets a goal and helps achieve it"/>
    <x v="3"/>
  </r>
  <r>
    <d v="2022-12-20T15:57:13"/>
    <s v="India"/>
    <n v="605110"/>
    <x v="0"/>
    <x v="3"/>
    <s v="No, But if someone could bare the cost I will"/>
    <s v="Will work for 3 years or more"/>
    <s v="No"/>
    <s v="Will NOT work for them"/>
    <n v="6"/>
    <x v="1"/>
    <x v="1"/>
    <x v="2"/>
    <x v="39"/>
    <s v="Manager who explains what is expected, sets a goal and helps achieve it"/>
    <x v="11"/>
  </r>
  <r>
    <d v="2022-12-20T16:02:03"/>
    <s v="India"/>
    <n v="800009"/>
    <x v="1"/>
    <x v="0"/>
    <s v="No I would not be pursuing Higher Education outside of India"/>
    <s v="This will be hard to do, but if it is the right company I would try"/>
    <s v="Yes"/>
    <s v="Will work for them"/>
    <n v="7"/>
    <x v="2"/>
    <x v="1"/>
    <x v="0"/>
    <x v="5"/>
    <s v="Manager who explains what is expected, sets a goal and helps achieve it"/>
    <x v="1"/>
  </r>
  <r>
    <d v="2022-12-20T16:12:11"/>
    <s v="India"/>
    <n v="248002"/>
    <x v="1"/>
    <x v="0"/>
    <s v="No, But if someone could bare the cost I will"/>
    <s v="No way, 3 years with one employer is crazy"/>
    <s v="No"/>
    <s v="Will work for them"/>
    <n v="4"/>
    <x v="5"/>
    <x v="0"/>
    <x v="2"/>
    <x v="71"/>
    <s v="Manager who sets goal and helps me achieve it"/>
    <x v="17"/>
  </r>
  <r>
    <d v="2022-12-20T16:27:06"/>
    <s v="India"/>
    <n v="845438"/>
    <x v="1"/>
    <x v="3"/>
    <s v="Yes, I will earn and do that"/>
    <s v="This will be hard to do, but if it is the right company I would try"/>
    <s v="No"/>
    <s v="Will NOT work for them"/>
    <n v="5"/>
    <x v="3"/>
    <x v="4"/>
    <x v="1"/>
    <x v="72"/>
    <s v="Manager who sets goal and helps me achieve it"/>
    <x v="1"/>
  </r>
  <r>
    <d v="2022-12-20T16:38:32"/>
    <s v="India"/>
    <n v="800006"/>
    <x v="0"/>
    <x v="4"/>
    <s v="No I would not be pursuing Higher Education outside of India"/>
    <s v="This will be hard to do, but if it is the right company I would try"/>
    <s v="Yes"/>
    <s v="Will work for them"/>
    <n v="6"/>
    <x v="3"/>
    <x v="1"/>
    <x v="1"/>
    <x v="40"/>
    <s v="Manager who explains what is expected, sets a goal and helps achieve it"/>
    <x v="3"/>
  </r>
  <r>
    <d v="2022-12-20T16:46:09"/>
    <s v="India"/>
    <n v="800024"/>
    <x v="0"/>
    <x v="4"/>
    <s v="No, But if someone could bare the cost I will"/>
    <s v="This will be hard to do, but if it is the right company I would try"/>
    <s v="No"/>
    <s v="Will NOT work for them"/>
    <n v="4"/>
    <x v="2"/>
    <x v="1"/>
    <x v="5"/>
    <x v="15"/>
    <s v="Manager who explains what is expected, sets a goal and helps achieve it"/>
    <x v="1"/>
  </r>
  <r>
    <d v="2022-12-20T16:46:49"/>
    <s v="India"/>
    <n v="248002"/>
    <x v="1"/>
    <x v="4"/>
    <s v="Yes, I will earn and do that"/>
    <s v="Will work for 3 years or more"/>
    <s v="No"/>
    <s v="Will NOT work for them"/>
    <n v="7"/>
    <x v="3"/>
    <x v="1"/>
    <x v="4"/>
    <x v="14"/>
    <s v="Manager who explains what is expected, sets a goal and helps achieve it"/>
    <x v="1"/>
  </r>
  <r>
    <d v="2022-12-20T17:05:27"/>
    <s v="India"/>
    <n v="502285"/>
    <x v="0"/>
    <x v="4"/>
    <s v="No I would not be pursuing Higher Education outside of India"/>
    <s v="This will be hard to do, but if it is the right company I would try"/>
    <s v="Yes"/>
    <s v="Will work for them"/>
    <n v="8"/>
    <x v="3"/>
    <x v="0"/>
    <x v="1"/>
    <x v="38"/>
    <s v="Manager who sets goal and helps me achieve it"/>
    <x v="1"/>
  </r>
  <r>
    <d v="2022-12-20T17:18:25"/>
    <s v="India"/>
    <n v="123106"/>
    <x v="0"/>
    <x v="3"/>
    <s v="No, But if someone could bare the cost I will"/>
    <s v="Will work for 3 years or more"/>
    <s v="No"/>
    <s v="Will NOT work for them"/>
    <n v="3"/>
    <x v="2"/>
    <x v="1"/>
    <x v="3"/>
    <x v="20"/>
    <s v="Manager who explains what is expected, sets a goal and helps achieve it"/>
    <x v="1"/>
  </r>
  <r>
    <d v="2022-12-20T17:32:31"/>
    <s v="India"/>
    <n v="365541"/>
    <x v="1"/>
    <x v="1"/>
    <s v="Yes, I will earn and do that"/>
    <s v="Will work for 3 years or more"/>
    <s v="No"/>
    <s v="Will NOT work for them"/>
    <n v="5"/>
    <x v="1"/>
    <x v="2"/>
    <x v="2"/>
    <x v="39"/>
    <s v="Manager who clearly describes what she/he needs"/>
    <x v="6"/>
  </r>
  <r>
    <d v="2022-12-20T17:51:01"/>
    <s v="India"/>
    <n v="425001"/>
    <x v="0"/>
    <x v="0"/>
    <s v="Yes, I will earn and do that"/>
    <s v="This will be hard to do, but if it is the right company I would try"/>
    <s v="No"/>
    <s v="Will NOT work for them"/>
    <n v="4"/>
    <x v="2"/>
    <x v="0"/>
    <x v="4"/>
    <x v="15"/>
    <s v="Manager who sets targets and expects me to achieve it"/>
    <x v="4"/>
  </r>
  <r>
    <d v="2022-12-20T17:55:22"/>
    <s v="India"/>
    <n v="425001"/>
    <x v="0"/>
    <x v="4"/>
    <s v="Yes, I will earn and do that"/>
    <s v="This will be hard to do, but if it is the right company I would try"/>
    <s v="No"/>
    <s v="Will NOT work for them"/>
    <n v="3"/>
    <x v="1"/>
    <x v="2"/>
    <x v="3"/>
    <x v="28"/>
    <s v="Manager who sets goal and helps me achieve it"/>
    <x v="6"/>
  </r>
  <r>
    <d v="2022-12-20T17:56:03"/>
    <s v="India"/>
    <n v="424206"/>
    <x v="0"/>
    <x v="4"/>
    <s v="No I would not be pursuing Higher Education outside of India"/>
    <s v="Will work for 3 years or more"/>
    <s v="No"/>
    <s v="Will NOT work for them"/>
    <n v="7"/>
    <x v="1"/>
    <x v="1"/>
    <x v="2"/>
    <x v="55"/>
    <s v="Manager who explains what is expected, sets a goal and helps achieve it"/>
    <x v="7"/>
  </r>
  <r>
    <d v="2022-12-20T17:58:17"/>
    <s v="India"/>
    <n v="122004"/>
    <x v="0"/>
    <x v="1"/>
    <s v="No, But if someone could bare the cost I will"/>
    <s v="This will be hard to do, but if it is the right company I would try"/>
    <s v="Yes"/>
    <s v="Will NOT work for them"/>
    <n v="3"/>
    <x v="2"/>
    <x v="1"/>
    <x v="0"/>
    <x v="73"/>
    <s v="Manager who explains what is expected, sets a goal and helps achieve it"/>
    <x v="5"/>
  </r>
  <r>
    <d v="2022-12-20T18:13:02"/>
    <s v="India"/>
    <n v="246701"/>
    <x v="1"/>
    <x v="4"/>
    <s v="Yes, I will earn and do that"/>
    <s v="This will be hard to do, but if it is the right company I would try"/>
    <s v="No"/>
    <s v="Will NOT work for them"/>
    <n v="5"/>
    <x v="2"/>
    <x v="1"/>
    <x v="1"/>
    <x v="3"/>
    <s v="Manager who explains what is expected, sets a goal and helps achieve it"/>
    <x v="3"/>
  </r>
  <r>
    <d v="2022-12-20T18:31:23"/>
    <s v="India"/>
    <n v="412308"/>
    <x v="0"/>
    <x v="0"/>
    <s v="No I would not be pursuing Higher Education outside of India"/>
    <s v="Will work for 3 years or more"/>
    <s v="No"/>
    <s v="Will NOT work for them"/>
    <n v="1"/>
    <x v="3"/>
    <x v="1"/>
    <x v="1"/>
    <x v="15"/>
    <s v="Manager who sets goal and helps me achieve it"/>
    <x v="7"/>
  </r>
  <r>
    <d v="2022-12-20T18:32:20"/>
    <s v="India"/>
    <n v="248001"/>
    <x v="1"/>
    <x v="1"/>
    <s v="No, But if someone could bare the cost I will"/>
    <s v="Will work for 3 years or more"/>
    <s v="No"/>
    <s v="Will work for them"/>
    <n v="5"/>
    <x v="4"/>
    <x v="2"/>
    <x v="4"/>
    <x v="8"/>
    <s v="Manager who clearly describes what she/he needs"/>
    <x v="1"/>
  </r>
  <r>
    <d v="2022-12-20T19:36:56"/>
    <s v="India"/>
    <n v="500001"/>
    <x v="1"/>
    <x v="0"/>
    <s v="No, But if someone could bare the cost I will"/>
    <s v="This will be hard to do, but if it is the right company I would try"/>
    <s v="No"/>
    <s v="Will NOT work for them"/>
    <n v="3"/>
    <x v="1"/>
    <x v="0"/>
    <x v="3"/>
    <x v="64"/>
    <s v="Manager who clearly describes what she/he needs"/>
    <x v="3"/>
  </r>
  <r>
    <d v="2022-12-20T19:40:07"/>
    <s v="India"/>
    <n v="670504"/>
    <x v="1"/>
    <x v="2"/>
    <s v="Yes, I will earn and do that"/>
    <s v="Will work for 3 years or more"/>
    <s v="No"/>
    <s v="Will NOT work for them"/>
    <n v="1"/>
    <x v="2"/>
    <x v="0"/>
    <x v="0"/>
    <x v="18"/>
    <s v="Manager who clearly describes what she/he needs"/>
    <x v="3"/>
  </r>
  <r>
    <d v="2022-12-20T19:49:43"/>
    <s v="India"/>
    <n v="301018"/>
    <x v="1"/>
    <x v="4"/>
    <s v="No, But if someone could bare the cost I will"/>
    <s v="This will be hard to do, but if it is the right company I would try"/>
    <s v="Yes"/>
    <s v="Will NOT work for them"/>
    <n v="8"/>
    <x v="1"/>
    <x v="1"/>
    <x v="0"/>
    <x v="48"/>
    <s v="Manager who clearly describes what she/he needs"/>
    <x v="1"/>
  </r>
  <r>
    <d v="2022-12-20T20:53:40"/>
    <s v="India"/>
    <n v="680307"/>
    <x v="1"/>
    <x v="0"/>
    <s v="Yes, I will earn and do that"/>
    <s v="Will work for 3 years or more"/>
    <s v="No"/>
    <s v="Will NOT work for them"/>
    <n v="1"/>
    <x v="1"/>
    <x v="1"/>
    <x v="4"/>
    <x v="3"/>
    <s v="Manager who clearly describes what she/he needs"/>
    <x v="3"/>
  </r>
  <r>
    <d v="2022-12-20T21:15:18"/>
    <s v="India"/>
    <n v="607102"/>
    <x v="0"/>
    <x v="4"/>
    <s v="Yes, I will earn and do that"/>
    <s v="Will work for 3 years or more"/>
    <s v="Yes"/>
    <s v="Will work for them"/>
    <n v="6"/>
    <x v="3"/>
    <x v="2"/>
    <x v="3"/>
    <x v="23"/>
    <s v="Manager who sets unrealistic targets"/>
    <x v="1"/>
  </r>
  <r>
    <d v="2022-12-20T21:22:27"/>
    <s v="India"/>
    <n v="605110"/>
    <x v="0"/>
    <x v="1"/>
    <s v="Yes, I will earn and do that"/>
    <s v="No way, 3 years with one employer is crazy"/>
    <s v="Yes"/>
    <s v="Will work for them"/>
    <n v="5"/>
    <x v="5"/>
    <x v="1"/>
    <x v="4"/>
    <x v="28"/>
    <s v="Manager who explains what is expected, sets a goal and helps achieve it"/>
    <x v="6"/>
  </r>
  <r>
    <d v="2022-12-20T21:31:59"/>
    <s v="India"/>
    <n v="680586"/>
    <x v="1"/>
    <x v="3"/>
    <s v="Yes, I will earn and do that"/>
    <s v="Will work for 3 years or more"/>
    <s v="No"/>
    <s v="Will NOT work for them"/>
    <n v="5"/>
    <x v="1"/>
    <x v="1"/>
    <x v="0"/>
    <x v="3"/>
    <s v="Manager who explains what is expected, sets a goal and helps achieve it"/>
    <x v="18"/>
  </r>
  <r>
    <d v="2022-12-20T21:49:57"/>
    <s v="India"/>
    <n v="431001"/>
    <x v="0"/>
    <x v="3"/>
    <s v="Yes, I will earn and do that"/>
    <s v="This will be hard to do, but if it is the right company I would try"/>
    <s v="No"/>
    <s v="Will NOT work for them"/>
    <n v="5"/>
    <x v="5"/>
    <x v="1"/>
    <x v="1"/>
    <x v="72"/>
    <s v="Manager who clearly describes what she/he needs"/>
    <x v="11"/>
  </r>
  <r>
    <d v="2022-12-20T22:07:55"/>
    <s v="India"/>
    <n v="411046"/>
    <x v="0"/>
    <x v="0"/>
    <s v="Yes, I will earn and do that"/>
    <s v="This will be hard to do, but if it is the right company I would try"/>
    <s v="No"/>
    <s v="Will NOT work for them"/>
    <n v="1"/>
    <x v="2"/>
    <x v="1"/>
    <x v="3"/>
    <x v="74"/>
    <s v="Manager who sets targets and expects me to achieve it"/>
    <x v="0"/>
  </r>
  <r>
    <d v="2022-12-20T22:21:56"/>
    <s v="India"/>
    <n v="431105"/>
    <x v="0"/>
    <x v="3"/>
    <s v="Yes, I will earn and do that"/>
    <s v="This will be hard to do, but if it is the right company I would try"/>
    <s v="No"/>
    <s v="Will NOT work for them"/>
    <n v="7"/>
    <x v="3"/>
    <x v="1"/>
    <x v="1"/>
    <x v="9"/>
    <s v="Manager who explains what is expected, sets a goal and helps achieve it"/>
    <x v="1"/>
  </r>
  <r>
    <d v="2022-12-20T22:39:10"/>
    <s v="India"/>
    <n v="110024"/>
    <x v="1"/>
    <x v="0"/>
    <s v="Yes, I will earn and do that"/>
    <s v="This will be hard to do, but if it is the right company I would try"/>
    <s v="No"/>
    <s v="Will NOT work for them"/>
    <n v="8"/>
    <x v="2"/>
    <x v="1"/>
    <x v="5"/>
    <x v="18"/>
    <s v="Manager who explains what is expected, sets a goal and helps achieve it"/>
    <x v="5"/>
  </r>
  <r>
    <d v="2022-12-20T22:50:30"/>
    <s v="India"/>
    <n v="431001"/>
    <x v="1"/>
    <x v="3"/>
    <s v="No, But if someone could bare the cost I will"/>
    <s v="Will work for 3 years or more"/>
    <s v="Yes"/>
    <s v="Will work for them"/>
    <n v="6"/>
    <x v="5"/>
    <x v="0"/>
    <x v="3"/>
    <x v="75"/>
    <s v="Manager who explains what is expected, sets a goal and helps achieve it"/>
    <x v="1"/>
  </r>
  <r>
    <d v="2022-12-20T23:32:48"/>
    <s v="India"/>
    <n v="425001"/>
    <x v="0"/>
    <x v="3"/>
    <s v="Yes, I will earn and do that"/>
    <s v="This will be hard to do, but if it is the right company I would try"/>
    <s v="Yes"/>
    <s v="Will NOT work for them"/>
    <n v="9"/>
    <x v="4"/>
    <x v="1"/>
    <x v="0"/>
    <x v="55"/>
    <s v="Manager who explains what is expected, sets a goal and helps achieve it"/>
    <x v="19"/>
  </r>
  <r>
    <d v="2022-12-21T06:32:38"/>
    <s v="India"/>
    <n v="500028"/>
    <x v="0"/>
    <x v="2"/>
    <s v="Yes, I will earn and do that"/>
    <s v="No way, 3 years with one employer is crazy"/>
    <s v="Yes"/>
    <s v="Will work for them"/>
    <n v="8"/>
    <x v="1"/>
    <x v="0"/>
    <x v="0"/>
    <x v="29"/>
    <s v="Manager who sets targets and expects me to achieve it"/>
    <x v="3"/>
  </r>
  <r>
    <d v="2022-12-21T07:21:10"/>
    <s v="India"/>
    <n v="413525"/>
    <x v="0"/>
    <x v="4"/>
    <s v="Yes, I will earn and do that"/>
    <s v="Will work for 3 years or more"/>
    <s v="Yes"/>
    <s v="Will work for them"/>
    <n v="7"/>
    <x v="5"/>
    <x v="2"/>
    <x v="3"/>
    <x v="36"/>
    <s v="Manager who sets targets and expects me to achieve it"/>
    <x v="6"/>
  </r>
  <r>
    <d v="2022-12-21T11:59:25"/>
    <s v="India"/>
    <n v="691505"/>
    <x v="0"/>
    <x v="2"/>
    <s v="No, But if someone could bare the cost I will"/>
    <s v="This will be hard to do, but if it is the right company I would try"/>
    <s v="Yes"/>
    <s v="Will work for them"/>
    <n v="8"/>
    <x v="2"/>
    <x v="0"/>
    <x v="1"/>
    <x v="76"/>
    <s v="Manager who explains what is expected, sets a goal and helps achieve it"/>
    <x v="1"/>
  </r>
  <r>
    <d v="2022-12-21T12:02:05"/>
    <s v="India"/>
    <n v="605110"/>
    <x v="0"/>
    <x v="4"/>
    <s v="No I would not be pursuing Higher Education outside of India"/>
    <s v="This will be hard to do, but if it is the right company I would try"/>
    <s v="No"/>
    <s v="Will NOT work for them"/>
    <n v="5"/>
    <x v="2"/>
    <x v="2"/>
    <x v="1"/>
    <x v="0"/>
    <s v="Manager who sets goal and helps me achieve it"/>
    <x v="1"/>
  </r>
  <r>
    <d v="2022-12-21T12:55:05"/>
    <s v="India"/>
    <n v="673507"/>
    <x v="1"/>
    <x v="2"/>
    <s v="No I would not be pursuing Higher Education outside of India"/>
    <s v="No way, 3 years with one employer is crazy"/>
    <s v="No"/>
    <s v="Will NOT work for them"/>
    <n v="1"/>
    <x v="4"/>
    <x v="0"/>
    <x v="5"/>
    <x v="8"/>
    <s v="Manager who clearly describes what she/he needs"/>
    <x v="4"/>
  </r>
  <r>
    <d v="2022-12-21T13:42:01"/>
    <s v="India"/>
    <n v="796701"/>
    <x v="1"/>
    <x v="0"/>
    <s v="No, But if someone could bare the cost I will"/>
    <s v="This will be hard to do, but if it is the right company I would try"/>
    <s v="No"/>
    <s v="Will NOT work for them"/>
    <n v="3"/>
    <x v="2"/>
    <x v="0"/>
    <x v="0"/>
    <x v="22"/>
    <s v="Manager who explains what is expected, sets a goal and helps achieve it"/>
    <x v="1"/>
  </r>
  <r>
    <d v="2022-12-21T14:26:41"/>
    <s v="India"/>
    <n v="1234"/>
    <x v="0"/>
    <x v="4"/>
    <s v="Yes, I will earn and do that"/>
    <s v="Will work for 3 years or more"/>
    <s v="Yes"/>
    <s v="Will work for them"/>
    <n v="1"/>
    <x v="3"/>
    <x v="2"/>
    <x v="3"/>
    <x v="18"/>
    <s v="Manager who clearly describes what she/he needs"/>
    <x v="3"/>
  </r>
  <r>
    <d v="2022-12-21T14:30:07"/>
    <s v="India"/>
    <n v="605110"/>
    <x v="0"/>
    <x v="0"/>
    <s v="Yes, I will earn and do that"/>
    <s v="This will be hard to do, but if it is the right company I would try"/>
    <s v="Yes"/>
    <s v="Will NOT work for them"/>
    <n v="3"/>
    <x v="2"/>
    <x v="2"/>
    <x v="0"/>
    <x v="77"/>
    <s v="Manager who sets goal and helps me achieve it"/>
    <x v="7"/>
  </r>
  <r>
    <d v="2022-12-21T14:33:09"/>
    <s v="India"/>
    <n v="605501"/>
    <x v="0"/>
    <x v="1"/>
    <s v="No I would not be pursuing Higher Education outside of India"/>
    <s v="Will work for 3 years or more"/>
    <s v="Yes"/>
    <s v="Will work for them"/>
    <n v="8"/>
    <x v="3"/>
    <x v="2"/>
    <x v="5"/>
    <x v="4"/>
    <s v="Manager who sets targets and expects me to achieve it"/>
    <x v="7"/>
  </r>
  <r>
    <d v="2022-12-21T14:33:21"/>
    <s v="India"/>
    <n v="604102"/>
    <x v="1"/>
    <x v="1"/>
    <s v="No, But if someone could bare the cost I will"/>
    <s v="This will be hard to do, but if it is the right company I would try"/>
    <s v="No"/>
    <s v="Will NOT work for them"/>
    <n v="7"/>
    <x v="3"/>
    <x v="0"/>
    <x v="3"/>
    <x v="13"/>
    <s v="Manager who explains what is expected, sets a goal and helps achieve it"/>
    <x v="3"/>
  </r>
  <r>
    <d v="2022-12-21T14:34:03"/>
    <s v="India"/>
    <n v="605102"/>
    <x v="0"/>
    <x v="4"/>
    <s v="Yes, I will earn and do that"/>
    <s v="This will be hard to do, but if it is the right company I would try"/>
    <s v="Yes"/>
    <s v="Will NOT work for them"/>
    <n v="2"/>
    <x v="3"/>
    <x v="2"/>
    <x v="1"/>
    <x v="15"/>
    <s v="Manager who sets targets and expects me to achieve it"/>
    <x v="3"/>
  </r>
  <r>
    <d v="2022-12-21T14:34:09"/>
    <s v="India"/>
    <n v="607402"/>
    <x v="0"/>
    <x v="0"/>
    <s v="No I would not be pursuing Higher Education outside of India"/>
    <s v="This will be hard to do, but if it is the right company I would try"/>
    <s v="No"/>
    <s v="Will NOT work for them"/>
    <n v="4"/>
    <x v="1"/>
    <x v="2"/>
    <x v="4"/>
    <x v="19"/>
    <s v="Manager who explains what is expected, sets a goal and helps achieve it"/>
    <x v="7"/>
  </r>
  <r>
    <d v="2022-12-21T14:35:25"/>
    <s v="India"/>
    <n v="605003"/>
    <x v="0"/>
    <x v="4"/>
    <s v="Yes, I will earn and do that"/>
    <s v="No way, 3 years with one employer is crazy"/>
    <s v="Yes"/>
    <s v="Will work for them"/>
    <n v="2"/>
    <x v="3"/>
    <x v="2"/>
    <x v="4"/>
    <x v="78"/>
    <s v="Manager who sets targets and expects me to achieve it"/>
    <x v="4"/>
  </r>
  <r>
    <d v="2022-12-21T14:35:43"/>
    <s v="India"/>
    <n v="607003"/>
    <x v="0"/>
    <x v="0"/>
    <s v="Yes, I will earn and do that"/>
    <s v="This will be hard to do, but if it is the right company I would try"/>
    <s v="Yes"/>
    <s v="Will work for them"/>
    <n v="5"/>
    <x v="1"/>
    <x v="1"/>
    <x v="3"/>
    <x v="72"/>
    <s v="Manager who explains what is expected, sets a goal and helps achieve it"/>
    <x v="1"/>
  </r>
  <r>
    <d v="2022-12-21T14:37:45"/>
    <s v="India"/>
    <n v="605110"/>
    <x v="1"/>
    <x v="4"/>
    <s v="No I would not be pursuing Higher Education outside of India"/>
    <s v="Will work for 3 years or more"/>
    <s v="Yes"/>
    <s v="Will work for them"/>
    <n v="10"/>
    <x v="3"/>
    <x v="2"/>
    <x v="4"/>
    <x v="79"/>
    <s v="Manager who sets goal and helps me achieve it"/>
    <x v="7"/>
  </r>
  <r>
    <d v="2022-12-21T14:39:50"/>
    <s v="India"/>
    <n v="605008"/>
    <x v="0"/>
    <x v="4"/>
    <s v="Yes, I will earn and do that"/>
    <s v="This will be hard to do, but if it is the right company I would try"/>
    <s v="Yes"/>
    <s v="Will work for them"/>
    <n v="10"/>
    <x v="3"/>
    <x v="0"/>
    <x v="2"/>
    <x v="25"/>
    <s v="Manager who clearly describes what she/he needs"/>
    <x v="4"/>
  </r>
  <r>
    <d v="2022-12-21T14:40:59"/>
    <s v="India"/>
    <n v="605110"/>
    <x v="1"/>
    <x v="4"/>
    <s v="No I would not be pursuing Higher Education outside of India"/>
    <s v="This will be hard to do, but if it is the right company I would try"/>
    <s v="No"/>
    <s v="Will work for them"/>
    <n v="5"/>
    <x v="1"/>
    <x v="2"/>
    <x v="0"/>
    <x v="10"/>
    <s v="Manager who explains what is expected, sets a goal and helps achieve it"/>
    <x v="1"/>
  </r>
  <r>
    <d v="2022-12-21T14:45:55"/>
    <s v="India"/>
    <n v="605110"/>
    <x v="0"/>
    <x v="3"/>
    <s v="Yes, I will earn and do that"/>
    <s v="This will be hard to do, but if it is the right company I would try"/>
    <s v="Yes"/>
    <s v="Will work for them"/>
    <n v="3"/>
    <x v="1"/>
    <x v="0"/>
    <x v="1"/>
    <x v="63"/>
    <s v="Manager who clearly describes what she/he needs"/>
    <x v="1"/>
  </r>
  <r>
    <d v="2022-12-21T14:46:28"/>
    <s v="India"/>
    <n v="605102"/>
    <x v="0"/>
    <x v="4"/>
    <s v="Yes, I will earn and do that"/>
    <s v="Will work for 3 years or more"/>
    <s v="Yes"/>
    <s v="Will work for them"/>
    <n v="10"/>
    <x v="3"/>
    <x v="2"/>
    <x v="3"/>
    <x v="80"/>
    <s v="Manager who sets targets and expects me to achieve it"/>
    <x v="3"/>
  </r>
  <r>
    <d v="2022-12-21T14:47:07"/>
    <s v="India"/>
    <n v="2004"/>
    <x v="0"/>
    <x v="4"/>
    <s v="No, But if someone could bare the cost I will"/>
    <s v="No way, 3 years with one employer is crazy"/>
    <s v="Yes"/>
    <s v="Will work for them"/>
    <n v="5"/>
    <x v="2"/>
    <x v="3"/>
    <x v="1"/>
    <x v="64"/>
    <s v="Manager who sets goal and helps me achieve it"/>
    <x v="18"/>
  </r>
  <r>
    <d v="2022-12-21T14:53:35"/>
    <s v="India"/>
    <n v="605005"/>
    <x v="1"/>
    <x v="0"/>
    <s v="No I would not be pursuing Higher Education outside of India"/>
    <s v="This will be hard to do, but if it is the right company I would try"/>
    <s v="Yes"/>
    <s v="Will NOT work for them"/>
    <n v="5"/>
    <x v="1"/>
    <x v="2"/>
    <x v="3"/>
    <x v="73"/>
    <s v="Manager who explains what is expected, sets a goal and helps achieve it"/>
    <x v="1"/>
  </r>
  <r>
    <d v="2022-12-21T14:54:49"/>
    <s v="India"/>
    <n v="605007"/>
    <x v="0"/>
    <x v="4"/>
    <s v="Yes, I will earn and do that"/>
    <s v="No way, 3 years with one employer is crazy"/>
    <s v="Yes"/>
    <s v="Will work for them"/>
    <n v="4"/>
    <x v="3"/>
    <x v="0"/>
    <x v="4"/>
    <x v="27"/>
    <s v="Manager who sets targets and expects me to achieve it"/>
    <x v="2"/>
  </r>
  <r>
    <d v="2022-12-21T15:00:58"/>
    <s v="India"/>
    <n v="605009"/>
    <x v="1"/>
    <x v="1"/>
    <s v="No I would not be pursuing Higher Education outside of India"/>
    <s v="This will be hard to do, but if it is the right company I would try"/>
    <s v="No"/>
    <s v="Will work for them"/>
    <n v="10"/>
    <x v="3"/>
    <x v="2"/>
    <x v="3"/>
    <x v="17"/>
    <s v="Manager who clearly describes what she/he needs"/>
    <x v="6"/>
  </r>
  <r>
    <d v="2022-12-21T15:03:38"/>
    <s v="India"/>
    <n v="605007"/>
    <x v="0"/>
    <x v="0"/>
    <s v="No I would not be pursuing Higher Education outside of India"/>
    <s v="This will be hard to do, but if it is the right company I would try"/>
    <s v="No"/>
    <s v="Will NOT work for them"/>
    <n v="8"/>
    <x v="3"/>
    <x v="2"/>
    <x v="3"/>
    <x v="72"/>
    <s v="Manager who clearly describes what she/he needs"/>
    <x v="6"/>
  </r>
  <r>
    <d v="2022-12-21T15:09:08"/>
    <s v="India"/>
    <n v="605014"/>
    <x v="0"/>
    <x v="4"/>
    <s v="Yes, I will earn and do that"/>
    <s v="This will be hard to do, but if it is the right company I would try"/>
    <s v="Yes"/>
    <s v="Will NOT work for them"/>
    <n v="8"/>
    <x v="1"/>
    <x v="2"/>
    <x v="1"/>
    <x v="35"/>
    <s v="Manager who sets unrealistic targets"/>
    <x v="7"/>
  </r>
  <r>
    <d v="2022-12-21T15:20:56"/>
    <s v="India"/>
    <n v="605107"/>
    <x v="0"/>
    <x v="0"/>
    <s v="No I would not be pursuing Higher Education outside of India"/>
    <s v="This will be hard to do, but if it is the right company I would try"/>
    <s v="No"/>
    <s v="Will NOT work for them"/>
    <n v="3"/>
    <x v="3"/>
    <x v="2"/>
    <x v="0"/>
    <x v="70"/>
    <s v="Manager who clearly describes what she/he needs"/>
    <x v="6"/>
  </r>
  <r>
    <d v="2022-12-21T15:33:44"/>
    <s v="India"/>
    <n v="605009"/>
    <x v="1"/>
    <x v="0"/>
    <s v="No I would not be pursuing Higher Education outside of India"/>
    <s v="This will be hard to do, but if it is the right company I would try"/>
    <s v="No"/>
    <s v="Will NOT work for them"/>
    <n v="2"/>
    <x v="4"/>
    <x v="2"/>
    <x v="0"/>
    <x v="16"/>
    <s v="Manager who explains what is expected, sets a goal and helps achieve it"/>
    <x v="4"/>
  </r>
  <r>
    <d v="2022-12-21T15:34:19"/>
    <s v="India"/>
    <n v="605001"/>
    <x v="1"/>
    <x v="1"/>
    <s v="Yes, I will earn and do that"/>
    <s v="No way, 3 years with one employer is crazy"/>
    <s v="Yes"/>
    <s v="Will work for them"/>
    <n v="8"/>
    <x v="2"/>
    <x v="4"/>
    <x v="5"/>
    <x v="81"/>
    <s v="Manager who clearly describes what she/he needs"/>
    <x v="6"/>
  </r>
  <r>
    <d v="2022-12-21T15:44:50"/>
    <s v="India"/>
    <n v="605110"/>
    <x v="1"/>
    <x v="4"/>
    <s v="No, But if someone could bare the cost I will"/>
    <s v="This will be hard to do, but if it is the right company I would try"/>
    <s v="Yes"/>
    <s v="Will work for them"/>
    <n v="3"/>
    <x v="3"/>
    <x v="2"/>
    <x v="2"/>
    <x v="12"/>
    <s v="Manager who sets targets and expects me to achieve it"/>
    <x v="6"/>
  </r>
  <r>
    <d v="2022-12-21T16:12:35"/>
    <s v="India"/>
    <n v="442406"/>
    <x v="0"/>
    <x v="4"/>
    <s v="No, But if someone could bare the cost I will"/>
    <s v="This will be hard to do, but if it is the right company I would try"/>
    <s v="No"/>
    <s v="Will NOT work for them"/>
    <n v="7"/>
    <x v="0"/>
    <x v="1"/>
    <x v="2"/>
    <x v="37"/>
    <s v="Manager who explains what is expected, sets a goal and helps achieve it"/>
    <x v="1"/>
  </r>
  <r>
    <d v="2022-12-21T16:51:36"/>
    <s v="India"/>
    <n v="605101"/>
    <x v="0"/>
    <x v="4"/>
    <s v="Yes, I will earn and do that"/>
    <s v="This will be hard to do, but if it is the right company I would try"/>
    <s v="Yes"/>
    <s v="Will work for them"/>
    <n v="10"/>
    <x v="1"/>
    <x v="2"/>
    <x v="1"/>
    <x v="35"/>
    <s v="Manager who sets targets and expects me to achieve it"/>
    <x v="1"/>
  </r>
  <r>
    <d v="2022-12-21T17:10:18"/>
    <s v="India"/>
    <n v="605008"/>
    <x v="0"/>
    <x v="2"/>
    <s v="Yes, I will earn and do that"/>
    <s v="Will work for 3 years or more"/>
    <s v="No"/>
    <s v="Will NOT work for them"/>
    <n v="7"/>
    <x v="1"/>
    <x v="1"/>
    <x v="3"/>
    <x v="72"/>
    <s v="Manager who sets goal and helps me achieve it"/>
    <x v="7"/>
  </r>
  <r>
    <d v="2022-12-21T17:26:05"/>
    <s v="India"/>
    <n v="722207"/>
    <x v="0"/>
    <x v="2"/>
    <s v="No I would not be pursuing Higher Education outside of India"/>
    <s v="This will be hard to do, but if it is the right company I would try"/>
    <s v="Yes"/>
    <s v="Will work for them"/>
    <n v="5"/>
    <x v="5"/>
    <x v="0"/>
    <x v="5"/>
    <x v="30"/>
    <s v="Manager who explains what is expected, sets a goal and helps achieve it"/>
    <x v="3"/>
  </r>
  <r>
    <d v="2022-12-21T17:43:42"/>
    <s v="India"/>
    <n v="604102"/>
    <x v="1"/>
    <x v="0"/>
    <s v="Yes, I will earn and do that"/>
    <s v="Will work for 3 years or more"/>
    <s v="Yes"/>
    <s v="Will work for them"/>
    <n v="4"/>
    <x v="4"/>
    <x v="2"/>
    <x v="3"/>
    <x v="5"/>
    <s v="Manager who sets goal and helps me achieve it"/>
    <x v="7"/>
  </r>
  <r>
    <d v="2022-12-21T18:07:47"/>
    <s v="India"/>
    <n v="122002"/>
    <x v="0"/>
    <x v="0"/>
    <s v="Yes, I will earn and do that"/>
    <s v="No way, 3 years with one employer is crazy"/>
    <s v="No"/>
    <s v="Will NOT work for them"/>
    <n v="7"/>
    <x v="2"/>
    <x v="0"/>
    <x v="1"/>
    <x v="82"/>
    <s v="Manager who explains what is expected, sets a goal and helps achieve it"/>
    <x v="1"/>
  </r>
  <r>
    <d v="2022-12-21T18:12:42"/>
    <s v="India"/>
    <n v="605102"/>
    <x v="1"/>
    <x v="4"/>
    <s v="Yes, I will earn and do that"/>
    <s v="This will be hard to do, but if it is the right company I would try"/>
    <s v="Yes"/>
    <s v="Will work for them"/>
    <n v="5"/>
    <x v="3"/>
    <x v="2"/>
    <x v="1"/>
    <x v="83"/>
    <s v="Manager who sets targets and expects me to achieve it"/>
    <x v="4"/>
  </r>
  <r>
    <d v="2022-12-21T21:23:38"/>
    <s v="India"/>
    <n v="607001"/>
    <x v="0"/>
    <x v="1"/>
    <s v="No, But if someone could bare the cost I will"/>
    <s v="This will be hard to do, but if it is the right company I would try"/>
    <s v="Yes"/>
    <s v="Will work for them"/>
    <n v="5"/>
    <x v="2"/>
    <x v="1"/>
    <x v="3"/>
    <x v="15"/>
    <s v="Manager who explains what is expected, sets a goal and helps achieve it"/>
    <x v="3"/>
  </r>
  <r>
    <d v="2022-12-21T21:40:05"/>
    <s v="India"/>
    <n v="605102"/>
    <x v="1"/>
    <x v="4"/>
    <s v="Yes, I will earn and do that"/>
    <s v="Will work for 3 years or more"/>
    <s v="Yes"/>
    <s v="Will work for them"/>
    <n v="1"/>
    <x v="3"/>
    <x v="2"/>
    <x v="3"/>
    <x v="84"/>
    <s v="Manager who sets goal and helps me achieve it"/>
    <x v="4"/>
  </r>
  <r>
    <d v="2022-12-22T07:31:57"/>
    <s v="India"/>
    <n v="500026"/>
    <x v="1"/>
    <x v="0"/>
    <s v="No I would not be pursuing Higher Education outside of India"/>
    <s v="This will be hard to do, but if it is the right company I would try"/>
    <s v="No"/>
    <s v="Will NOT work for them"/>
    <n v="7"/>
    <x v="4"/>
    <x v="1"/>
    <x v="1"/>
    <x v="22"/>
    <s v="Manager who explains what is expected, sets a goal and helps achieve it"/>
    <x v="1"/>
  </r>
  <r>
    <d v="2022-12-22T08:48:49"/>
    <s v="India"/>
    <n v="500030"/>
    <x v="1"/>
    <x v="1"/>
    <s v="Yes, I will earn and do that"/>
    <s v="This will be hard to do, but if it is the right company I would try"/>
    <s v="No"/>
    <s v="Will NOT work for them"/>
    <n v="5"/>
    <x v="3"/>
    <x v="2"/>
    <x v="4"/>
    <x v="25"/>
    <s v="Manager who explains what is expected, sets a goal and helps achieve it"/>
    <x v="4"/>
  </r>
  <r>
    <d v="2022-12-22T10:47:53"/>
    <s v="India"/>
    <n v="462043"/>
    <x v="1"/>
    <x v="0"/>
    <s v="Yes, I will earn and do that"/>
    <s v="This will be hard to do, but if it is the right company I would try"/>
    <s v="No"/>
    <s v="Will NOT work for them"/>
    <n v="8"/>
    <x v="3"/>
    <x v="1"/>
    <x v="0"/>
    <x v="24"/>
    <s v="Manager who sets goal and helps me achieve it"/>
    <x v="5"/>
  </r>
  <r>
    <d v="2022-12-22T11:41:05"/>
    <s v="India"/>
    <n v="786001"/>
    <x v="0"/>
    <x v="2"/>
    <s v="No, But if someone could bare the cost I will"/>
    <s v="This will be hard to do, but if it is the right company I would try"/>
    <s v="No"/>
    <s v="Will work for them"/>
    <n v="9"/>
    <x v="2"/>
    <x v="1"/>
    <x v="0"/>
    <x v="39"/>
    <s v="Manager who explains what is expected, sets a goal and helps achieve it"/>
    <x v="4"/>
  </r>
  <r>
    <d v="2022-12-22T12:27:18"/>
    <s v="India"/>
    <n v="605004"/>
    <x v="0"/>
    <x v="3"/>
    <s v="Yes, I will earn and do that"/>
    <s v="This will be hard to do, but if it is the right company I would try"/>
    <s v="No"/>
    <s v="Will NOT work for them"/>
    <n v="3"/>
    <x v="2"/>
    <x v="1"/>
    <x v="0"/>
    <x v="15"/>
    <s v="Manager who explains what is expected, sets a goal and helps achieve it"/>
    <x v="9"/>
  </r>
  <r>
    <d v="2022-12-22T12:40:31"/>
    <s v="India"/>
    <n v="700041"/>
    <x v="0"/>
    <x v="0"/>
    <s v="No I would not be pursuing Higher Education outside of India"/>
    <s v="This will be hard to do, but if it is the right company I would try"/>
    <s v="No"/>
    <s v="Will NOT work for them"/>
    <n v="3"/>
    <x v="1"/>
    <x v="1"/>
    <x v="0"/>
    <x v="18"/>
    <s v="Manager who explains what is expected, sets a goal and helps achieve it"/>
    <x v="3"/>
  </r>
  <r>
    <d v="2022-12-22T12:47:00"/>
    <s v="India"/>
    <n v="700041"/>
    <x v="1"/>
    <x v="4"/>
    <s v="No I would not be pursuing Higher Education outside of India"/>
    <s v="This will be hard to do, but if it is the right company I would try"/>
    <s v="No"/>
    <s v="Will NOT work for them"/>
    <n v="9"/>
    <x v="1"/>
    <x v="2"/>
    <x v="0"/>
    <x v="18"/>
    <s v="Manager who sets goal and helps me achieve it"/>
    <x v="11"/>
  </r>
  <r>
    <d v="2022-12-22T14:58:34"/>
    <s v="India"/>
    <n v="828114"/>
    <x v="0"/>
    <x v="3"/>
    <s v="Yes, I will earn and do that"/>
    <s v="This will be hard to do, but if it is the right company I would try"/>
    <s v="No"/>
    <s v="Will NOT work for them"/>
    <n v="7"/>
    <x v="2"/>
    <x v="1"/>
    <x v="1"/>
    <x v="42"/>
    <s v="Manager who sets goal and helps me achieve it"/>
    <x v="1"/>
  </r>
  <r>
    <d v="2022-12-22T15:34:47"/>
    <s v="Germany"/>
    <n v="85368"/>
    <x v="1"/>
    <x v="0"/>
    <s v="Yes, I will earn and do that"/>
    <s v="This will be hard to do, but if it is the right company I would try"/>
    <s v="No"/>
    <s v="Will NOT work for them"/>
    <n v="5"/>
    <x v="1"/>
    <x v="2"/>
    <x v="1"/>
    <x v="57"/>
    <s v="Manager who clearly describes what she/he needs"/>
    <x v="3"/>
  </r>
  <r>
    <d v="2022-12-22T15:37:31"/>
    <s v="Germany"/>
    <n v="81369"/>
    <x v="1"/>
    <x v="4"/>
    <s v="Yes, I will earn and do that"/>
    <s v="This will be hard to do, but if it is the right company I would try"/>
    <s v="Yes"/>
    <s v="Will work for them"/>
    <n v="10"/>
    <x v="4"/>
    <x v="0"/>
    <x v="2"/>
    <x v="79"/>
    <s v="Manager who explains what is expected, sets a goal and helps achieve it"/>
    <x v="3"/>
  </r>
  <r>
    <d v="2022-12-22T17:06:52"/>
    <s v="India"/>
    <n v="81241"/>
    <x v="0"/>
    <x v="0"/>
    <s v="Yes, I will earn and do that"/>
    <s v="This will be hard to do, but if it is the right company I would try"/>
    <s v="No"/>
    <s v="Will NOT work for them"/>
    <n v="5"/>
    <x v="2"/>
    <x v="1"/>
    <x v="0"/>
    <x v="13"/>
    <s v="Manager who explains what is expected, sets a goal and helps achieve it"/>
    <x v="1"/>
  </r>
  <r>
    <d v="2022-12-22T17:19:50"/>
    <s v="India"/>
    <n v="176022"/>
    <x v="0"/>
    <x v="1"/>
    <s v="Yes, I will earn and do that"/>
    <s v="Will work for 3 years or more"/>
    <s v="No"/>
    <s v="Will work for them"/>
    <n v="7"/>
    <x v="4"/>
    <x v="0"/>
    <x v="3"/>
    <x v="41"/>
    <s v="Manager who sets targets and expects me to achieve it"/>
    <x v="1"/>
  </r>
  <r>
    <d v="2022-12-22T21:30:17"/>
    <s v="Canada"/>
    <s v="N2H6M6"/>
    <x v="0"/>
    <x v="0"/>
    <s v="Yes, I will earn and do that"/>
    <s v="This will be hard to do, but if it is the right company I would try"/>
    <s v="No"/>
    <s v="Will NOT work for them"/>
    <n v="5"/>
    <x v="2"/>
    <x v="1"/>
    <x v="0"/>
    <x v="15"/>
    <s v="Manager who explains what is expected, sets a goal and helps achieve it"/>
    <x v="7"/>
  </r>
  <r>
    <d v="2022-12-22T22:59:12"/>
    <s v="India"/>
    <n v="500078"/>
    <x v="0"/>
    <x v="4"/>
    <s v="No, But if someone could bare the cost I will"/>
    <s v="This will be hard to do, but if it is the right company I would try"/>
    <s v="Yes"/>
    <s v="Will work for them"/>
    <n v="8"/>
    <x v="2"/>
    <x v="0"/>
    <x v="3"/>
    <x v="85"/>
    <s v="Manager who explains what is expected, sets a goal and helps achieve it"/>
    <x v="2"/>
  </r>
  <r>
    <d v="2022-12-23T01:32:49"/>
    <s v="Germany"/>
    <n v="81241"/>
    <x v="0"/>
    <x v="4"/>
    <s v="Yes, I will earn and do that"/>
    <s v="This will be hard to do, but if it is the right company I would try"/>
    <s v="No"/>
    <s v="Will NOT work for them"/>
    <n v="3"/>
    <x v="2"/>
    <x v="0"/>
    <x v="1"/>
    <x v="15"/>
    <s v="Manager who sets goal and helps me achieve it"/>
    <x v="3"/>
  </r>
  <r>
    <d v="2022-12-23T17:15:29"/>
    <s v="India"/>
    <n v="305901"/>
    <x v="0"/>
    <x v="2"/>
    <s v="Yes, I will earn and do that"/>
    <s v="This will be hard to do, but if it is the right company I would try"/>
    <s v="No"/>
    <s v="Will NOT work for them"/>
    <n v="6"/>
    <x v="2"/>
    <x v="1"/>
    <x v="4"/>
    <x v="11"/>
    <s v="Manager who explains what is expected, sets a goal and helps achieve it"/>
    <x v="1"/>
  </r>
  <r>
    <d v="2022-12-23T18:15:23"/>
    <s v="India"/>
    <n v="385001"/>
    <x v="1"/>
    <x v="4"/>
    <s v="No I would not be pursuing Higher Education outside of India"/>
    <s v="This will be hard to do, but if it is the right company I would try"/>
    <s v="Yes"/>
    <s v="Will work for them"/>
    <n v="10"/>
    <x v="1"/>
    <x v="2"/>
    <x v="5"/>
    <x v="86"/>
    <s v="Manager who clearly describes what she/he needs"/>
    <x v="6"/>
  </r>
  <r>
    <d v="2022-12-23T18:16:37"/>
    <s v="India"/>
    <n v="385001"/>
    <x v="1"/>
    <x v="4"/>
    <s v="No I would not be pursuing Higher Education outside of India"/>
    <s v="This will be hard to do, but if it is the right company I would try"/>
    <s v="Yes"/>
    <s v="Will work for them"/>
    <n v="4"/>
    <x v="3"/>
    <x v="2"/>
    <x v="1"/>
    <x v="70"/>
    <s v="Manager who explains what is expected, sets a goal and helps achieve it"/>
    <x v="1"/>
  </r>
  <r>
    <d v="2022-12-23T18:17:13"/>
    <s v="India"/>
    <n v="380052"/>
    <x v="1"/>
    <x v="4"/>
    <s v="Yes, I will earn and do that"/>
    <s v="Will work for 3 years or more"/>
    <s v="Yes"/>
    <s v="Will NOT work for them"/>
    <n v="10"/>
    <x v="5"/>
    <x v="1"/>
    <x v="4"/>
    <x v="72"/>
    <s v="Manager who explains what is expected, sets a goal and helps achieve it"/>
    <x v="3"/>
  </r>
  <r>
    <d v="2022-12-23T18:49:14"/>
    <s v="India"/>
    <n v="576213"/>
    <x v="0"/>
    <x v="0"/>
    <s v="No, But if someone could bare the cost I will"/>
    <s v="Will work for 3 years or more"/>
    <s v="No"/>
    <s v="Will work for them"/>
    <n v="3"/>
    <x v="4"/>
    <x v="2"/>
    <x v="3"/>
    <x v="32"/>
    <s v="Manager who explains what is expected, sets a goal and helps achieve it"/>
    <x v="1"/>
  </r>
  <r>
    <d v="2022-12-23T18:52:23"/>
    <s v="India"/>
    <n v="576213"/>
    <x v="1"/>
    <x v="3"/>
    <s v="No, But if someone could bare the cost I will"/>
    <s v="This will be hard to do, but if it is the right company I would try"/>
    <s v="Yes"/>
    <s v="Will NOT work for them"/>
    <n v="5"/>
    <x v="2"/>
    <x v="1"/>
    <x v="0"/>
    <x v="3"/>
    <s v="Manager who clearly describes what she/he needs"/>
    <x v="4"/>
  </r>
  <r>
    <d v="2022-12-23T18:58:21"/>
    <s v="India"/>
    <n v="385210"/>
    <x v="0"/>
    <x v="3"/>
    <s v="No I would not be pursuing Higher Education outside of India"/>
    <s v="Will work for 3 years or more"/>
    <s v="Yes"/>
    <s v="Will work for them"/>
    <n v="10"/>
    <x v="1"/>
    <x v="1"/>
    <x v="3"/>
    <x v="13"/>
    <s v="Manager who sets targets and expects me to achieve it"/>
    <x v="3"/>
  </r>
  <r>
    <d v="2022-12-23T19:00:31"/>
    <s v="India"/>
    <n v="575007"/>
    <x v="1"/>
    <x v="4"/>
    <s v="No I would not be pursuing Higher Education outside of India"/>
    <s v="This will be hard to do, but if it is the right company I would try"/>
    <s v="No"/>
    <s v="Will NOT work for them"/>
    <n v="5"/>
    <x v="2"/>
    <x v="1"/>
    <x v="0"/>
    <x v="87"/>
    <s v="Manager who explains what is expected, sets a goal and helps achieve it"/>
    <x v="3"/>
  </r>
  <r>
    <d v="2022-12-23T19:05:40"/>
    <s v="India"/>
    <n v="385001"/>
    <x v="1"/>
    <x v="4"/>
    <s v="Yes, I will earn and do that"/>
    <s v="Will work for 3 years or more"/>
    <s v="Yes"/>
    <s v="Will work for them"/>
    <n v="1"/>
    <x v="3"/>
    <x v="2"/>
    <x v="1"/>
    <x v="27"/>
    <s v="Manager who clearly describes what she/he needs"/>
    <x v="7"/>
  </r>
  <r>
    <d v="2022-12-23T19:05:43"/>
    <s v="India"/>
    <n v="574141"/>
    <x v="1"/>
    <x v="4"/>
    <s v="No I would not be pursuing Higher Education outside of India"/>
    <s v="Will work for 3 years or more"/>
    <s v="No"/>
    <s v="Will NOT work for them"/>
    <n v="5"/>
    <x v="3"/>
    <x v="1"/>
    <x v="4"/>
    <x v="72"/>
    <s v="Manager who explains what is expected, sets a goal and helps achieve it"/>
    <x v="3"/>
  </r>
  <r>
    <d v="2022-12-23T19:06:54"/>
    <s v="India"/>
    <n v="385001"/>
    <x v="0"/>
    <x v="4"/>
    <s v="Yes, I will earn and do that"/>
    <s v="Will work for 3 years or more"/>
    <s v="Yes"/>
    <s v="Will work for them"/>
    <n v="4"/>
    <x v="3"/>
    <x v="1"/>
    <x v="5"/>
    <x v="48"/>
    <s v="Manager who sets goal and helps me achieve it"/>
    <x v="0"/>
  </r>
  <r>
    <d v="2022-12-23T19:07:56"/>
    <s v="India"/>
    <n v="576221"/>
    <x v="1"/>
    <x v="0"/>
    <s v="No I would not be pursuing Higher Education outside of India"/>
    <s v="This will be hard to do, but if it is the right company I would try"/>
    <s v="No"/>
    <s v="Will NOT work for them"/>
    <n v="3"/>
    <x v="3"/>
    <x v="2"/>
    <x v="0"/>
    <x v="16"/>
    <s v="Manager who explains what is expected, sets a goal and helps achieve it"/>
    <x v="4"/>
  </r>
  <r>
    <d v="2022-12-23T19:09:40"/>
    <s v="India"/>
    <n v="385001"/>
    <x v="0"/>
    <x v="0"/>
    <s v="Yes, I will earn and do that"/>
    <s v="This will be hard to do, but if it is the right company I would try"/>
    <s v="No"/>
    <s v="Will NOT work for them"/>
    <n v="10"/>
    <x v="3"/>
    <x v="1"/>
    <x v="0"/>
    <x v="66"/>
    <s v="Manager who explains what is expected, sets a goal and helps achieve it"/>
    <x v="3"/>
  </r>
  <r>
    <d v="2022-12-23T19:10:38"/>
    <s v="India"/>
    <n v="574227"/>
    <x v="0"/>
    <x v="4"/>
    <s v="No, But if someone could bare the cost I will"/>
    <s v="This will be hard to do, but if it is the right company I would try"/>
    <s v="Yes"/>
    <s v="Will NOT work for them"/>
    <n v="2"/>
    <x v="1"/>
    <x v="1"/>
    <x v="0"/>
    <x v="7"/>
    <s v="Manager who sets goal and helps me achieve it"/>
    <x v="8"/>
  </r>
  <r>
    <d v="2022-12-23T19:14:15"/>
    <s v="India"/>
    <n v="385001"/>
    <x v="1"/>
    <x v="4"/>
    <s v="Yes, I will earn and do that"/>
    <s v="This will be hard to do, but if it is the right company I would try"/>
    <s v="No"/>
    <s v="Will NOT work for them"/>
    <n v="5"/>
    <x v="1"/>
    <x v="1"/>
    <x v="5"/>
    <x v="65"/>
    <s v="Manager who explains what is expected, sets a goal and helps achieve it"/>
    <x v="1"/>
  </r>
  <r>
    <d v="2022-12-23T19:18:08"/>
    <s v="India"/>
    <n v="576106"/>
    <x v="0"/>
    <x v="4"/>
    <s v="No I would not be pursuing Higher Education outside of India"/>
    <s v="Will work for 3 years or more"/>
    <s v="No"/>
    <s v="Will NOT work for them"/>
    <n v="1"/>
    <x v="1"/>
    <x v="2"/>
    <x v="3"/>
    <x v="57"/>
    <s v="Manager who sets goal and helps me achieve it"/>
    <x v="7"/>
  </r>
  <r>
    <d v="2022-12-23T19:18:21"/>
    <s v="United Arab Emirates"/>
    <n v="420"/>
    <x v="1"/>
    <x v="0"/>
    <s v="No I would not be pursuing Higher Education outside of India"/>
    <s v="No way, 3 years with one employer is crazy"/>
    <s v="No"/>
    <s v="Will NOT work for them"/>
    <n v="1"/>
    <x v="0"/>
    <x v="4"/>
    <x v="5"/>
    <x v="88"/>
    <s v="Manager who sets unrealistic targets"/>
    <x v="6"/>
  </r>
  <r>
    <d v="2022-12-23T19:25:52"/>
    <s v="India"/>
    <n v="576213"/>
    <x v="1"/>
    <x v="2"/>
    <s v="No I would not be pursuing Higher Education outside of India"/>
    <s v="This will be hard to do, but if it is the right company I would try"/>
    <s v="Yes"/>
    <s v="Will NOT work for them"/>
    <n v="8"/>
    <x v="4"/>
    <x v="2"/>
    <x v="0"/>
    <x v="63"/>
    <s v="Manager who explains what is expected, sets a goal and helps achieve it"/>
    <x v="4"/>
  </r>
  <r>
    <d v="2022-12-23T19:34:41"/>
    <s v="India"/>
    <n v="576210"/>
    <x v="1"/>
    <x v="4"/>
    <s v="Yes, I will earn and do that"/>
    <s v="Will work for 3 years or more"/>
    <s v="No"/>
    <s v="Will NOT work for them"/>
    <n v="5"/>
    <x v="3"/>
    <x v="2"/>
    <x v="1"/>
    <x v="1"/>
    <s v="Manager who clearly describes what she/he needs"/>
    <x v="7"/>
  </r>
  <r>
    <d v="2022-12-23T19:37:33"/>
    <s v="India"/>
    <n v="385001"/>
    <x v="1"/>
    <x v="4"/>
    <s v="No I would not be pursuing Higher Education outside of India"/>
    <s v="This will be hard to do, but if it is the right company I would try"/>
    <s v="No"/>
    <s v="Will NOT work for them"/>
    <n v="3"/>
    <x v="3"/>
    <x v="2"/>
    <x v="3"/>
    <x v="89"/>
    <s v="Manager who clearly describes what she/he needs"/>
    <x v="7"/>
  </r>
  <r>
    <d v="2022-12-23T19:44:41"/>
    <s v="India"/>
    <n v="385001"/>
    <x v="1"/>
    <x v="4"/>
    <s v="No I would not be pursuing Higher Education outside of India"/>
    <s v="This will be hard to do, but if it is the right company I would try"/>
    <s v="Yes"/>
    <s v="Will work for them"/>
    <n v="9"/>
    <x v="3"/>
    <x v="3"/>
    <x v="2"/>
    <x v="35"/>
    <s v="Manager who explains what is expected, sets a goal and helps achieve it"/>
    <x v="4"/>
  </r>
  <r>
    <d v="2022-12-23T19:57:32"/>
    <s v="India"/>
    <n v="574102"/>
    <x v="0"/>
    <x v="2"/>
    <s v="Yes, I will earn and do that"/>
    <s v="Will work for 3 years or more"/>
    <s v="Yes"/>
    <s v="Will NOT work for them"/>
    <n v="9"/>
    <x v="1"/>
    <x v="0"/>
    <x v="0"/>
    <x v="15"/>
    <s v="Manager who explains what is expected, sets a goal and helps achieve it"/>
    <x v="1"/>
  </r>
  <r>
    <d v="2022-12-23T20:13:18"/>
    <s v="India"/>
    <n v="576221"/>
    <x v="1"/>
    <x v="4"/>
    <s v="No I would not be pursuing Higher Education outside of India"/>
    <s v="This will be hard to do, but if it is the right company I would try"/>
    <s v="Yes"/>
    <s v="Will NOT work for them"/>
    <n v="4"/>
    <x v="3"/>
    <x v="0"/>
    <x v="4"/>
    <x v="63"/>
    <s v="Manager who sets goal and helps me achieve it"/>
    <x v="1"/>
  </r>
  <r>
    <d v="2022-12-23T21:36:47"/>
    <s v="India"/>
    <n v="605008"/>
    <x v="1"/>
    <x v="1"/>
    <s v="Yes, I will earn and do that"/>
    <s v="Will work for 3 years or more"/>
    <s v="Yes"/>
    <s v="Will work for them"/>
    <n v="5"/>
    <x v="3"/>
    <x v="0"/>
    <x v="3"/>
    <x v="33"/>
    <s v="Manager who explains what is expected, sets a goal and helps achieve it"/>
    <x v="1"/>
  </r>
  <r>
    <d v="2022-12-23T21:39:28"/>
    <s v="India"/>
    <n v="385120"/>
    <x v="0"/>
    <x v="4"/>
    <s v="No I would not be pursuing Higher Education outside of India"/>
    <s v="Will work for 3 years or more"/>
    <s v="No"/>
    <s v="Will NOT work for them"/>
    <n v="1"/>
    <x v="3"/>
    <x v="2"/>
    <x v="4"/>
    <x v="33"/>
    <s v="Manager who explains what is expected, sets a goal and helps achieve it"/>
    <x v="1"/>
  </r>
  <r>
    <d v="2022-12-23T21:41:13"/>
    <s v="India"/>
    <n v="605601"/>
    <x v="0"/>
    <x v="4"/>
    <s v="No I would not be pursuing Higher Education outside of India"/>
    <s v="Will work for 3 years or more"/>
    <s v="Yes"/>
    <s v="Will work for them"/>
    <n v="1"/>
    <x v="5"/>
    <x v="0"/>
    <x v="2"/>
    <x v="89"/>
    <s v="Manager who explains what is expected, sets a goal and helps achieve it"/>
    <x v="6"/>
  </r>
  <r>
    <d v="2022-12-23T21:54:00"/>
    <s v="India"/>
    <n v="385001"/>
    <x v="1"/>
    <x v="4"/>
    <s v="No, But if someone could bare the cost I will"/>
    <s v="This will be hard to do, but if it is the right company I would try"/>
    <s v="No"/>
    <s v="Will NOT work for them"/>
    <n v="5"/>
    <x v="3"/>
    <x v="0"/>
    <x v="3"/>
    <x v="27"/>
    <s v="Manager who explains what is expected, sets a goal and helps achieve it"/>
    <x v="3"/>
  </r>
  <r>
    <d v="2022-12-23T21:54:31"/>
    <s v="India"/>
    <n v="607301"/>
    <x v="0"/>
    <x v="4"/>
    <s v="Yes, I will earn and do that"/>
    <s v="Will work for 3 years or more"/>
    <s v="No"/>
    <s v="Will NOT work for them"/>
    <n v="5"/>
    <x v="1"/>
    <x v="2"/>
    <x v="3"/>
    <x v="0"/>
    <s v="Manager who sets goal and helps me achieve it"/>
    <x v="6"/>
  </r>
  <r>
    <d v="2022-12-23T22:08:51"/>
    <s v="India"/>
    <n v="576229"/>
    <x v="1"/>
    <x v="4"/>
    <s v="No I would not be pursuing Higher Education outside of India"/>
    <s v="This will be hard to do, but if it is the right company I would try"/>
    <s v="No"/>
    <s v="Will NOT work for them"/>
    <n v="3"/>
    <x v="2"/>
    <x v="1"/>
    <x v="0"/>
    <x v="54"/>
    <s v="Manager who explains what is expected, sets a goal and helps achieve it"/>
    <x v="1"/>
  </r>
  <r>
    <d v="2022-12-23T22:59:43"/>
    <s v="India"/>
    <n v="385001"/>
    <x v="0"/>
    <x v="4"/>
    <s v="Yes, I will earn and do that"/>
    <s v="This will be hard to do, but if it is the right company I would try"/>
    <s v="No"/>
    <s v="Will NOT work for them"/>
    <n v="7"/>
    <x v="1"/>
    <x v="1"/>
    <x v="4"/>
    <x v="15"/>
    <s v="Manager who explains what is expected, sets a goal and helps achieve it"/>
    <x v="7"/>
  </r>
  <r>
    <d v="2022-12-23T23:28:32"/>
    <s v="India"/>
    <n v="385001"/>
    <x v="1"/>
    <x v="0"/>
    <s v="No I would not be pursuing Higher Education outside of India"/>
    <s v="This will be hard to do, but if it is the right company I would try"/>
    <s v="No"/>
    <s v="Will NOT work for them"/>
    <n v="1"/>
    <x v="1"/>
    <x v="1"/>
    <x v="4"/>
    <x v="22"/>
    <s v="Manager who clearly describes what she/he needs"/>
    <x v="3"/>
  </r>
  <r>
    <d v="2022-12-24T06:23:12"/>
    <s v="India"/>
    <n v="385210"/>
    <x v="0"/>
    <x v="4"/>
    <s v="No, But if someone could bare the cost I will"/>
    <s v="This will be hard to do, but if it is the right company I would try"/>
    <s v="Yes"/>
    <s v="Will work for them"/>
    <n v="4"/>
    <x v="2"/>
    <x v="1"/>
    <x v="4"/>
    <x v="4"/>
    <s v="Manager who clearly describes what she/he needs"/>
    <x v="6"/>
  </r>
  <r>
    <d v="2022-12-24T09:15:26"/>
    <s v="India"/>
    <n v="574611"/>
    <x v="1"/>
    <x v="3"/>
    <s v="No I would not be pursuing Higher Education outside of India"/>
    <s v="Will work for 3 years or more"/>
    <s v="No"/>
    <s v="Will NOT work for them"/>
    <n v="6"/>
    <x v="3"/>
    <x v="2"/>
    <x v="4"/>
    <x v="72"/>
    <s v="Manager who clearly describes what she/he needs"/>
    <x v="1"/>
  </r>
  <r>
    <d v="2022-12-24T09:39:47"/>
    <s v="India"/>
    <n v="574103"/>
    <x v="0"/>
    <x v="0"/>
    <s v="Yes, I will earn and do that"/>
    <s v="Will work for 3 years or more"/>
    <s v="Yes"/>
    <s v="Will NOT work for them"/>
    <n v="7"/>
    <x v="4"/>
    <x v="1"/>
    <x v="4"/>
    <x v="27"/>
    <s v="Manager who explains what is expected, sets a goal and helps achieve it"/>
    <x v="16"/>
  </r>
  <r>
    <d v="2022-12-24T09:45:50"/>
    <s v="India"/>
    <n v="574111"/>
    <x v="1"/>
    <x v="3"/>
    <s v="No, But if someone could bare the cost I will"/>
    <s v="This will be hard to do, but if it is the right company I would try"/>
    <s v="No"/>
    <s v="Will NOT work for them"/>
    <n v="8"/>
    <x v="1"/>
    <x v="1"/>
    <x v="4"/>
    <x v="32"/>
    <s v="Manager who explains what is expected, sets a goal and helps achieve it"/>
    <x v="11"/>
  </r>
  <r>
    <d v="2022-12-24T11:02:44"/>
    <s v="India"/>
    <n v="385520"/>
    <x v="0"/>
    <x v="0"/>
    <s v="No I would not be pursuing Higher Education outside of India"/>
    <s v="Will work for 3 years or more"/>
    <s v="No"/>
    <s v="Will NOT work for them"/>
    <n v="3"/>
    <x v="1"/>
    <x v="1"/>
    <x v="2"/>
    <x v="63"/>
    <s v="Manager who explains what is expected, sets a goal and helps achieve it"/>
    <x v="3"/>
  </r>
  <r>
    <d v="2022-12-24T11:09:59"/>
    <s v="India"/>
    <n v="576213"/>
    <x v="1"/>
    <x v="0"/>
    <s v="Yes, I will earn and do that"/>
    <s v="This will be hard to do, but if it is the right company I would try"/>
    <s v="No"/>
    <s v="Will NOT work for them"/>
    <n v="3"/>
    <x v="1"/>
    <x v="2"/>
    <x v="0"/>
    <x v="24"/>
    <s v="Manager who sets goal and helps me achieve it"/>
    <x v="3"/>
  </r>
  <r>
    <d v="2022-12-24T14:25:49"/>
    <s v="India"/>
    <n v="385520"/>
    <x v="1"/>
    <x v="3"/>
    <s v="Yes, I will earn and do that"/>
    <s v="This will be hard to do, but if it is the right company I would try"/>
    <s v="Yes"/>
    <s v="Will work for them"/>
    <n v="5"/>
    <x v="4"/>
    <x v="2"/>
    <x v="0"/>
    <x v="9"/>
    <s v="Manager who explains what is expected, sets a goal and helps achieve it"/>
    <x v="1"/>
  </r>
  <r>
    <d v="2022-12-24T14:46:17"/>
    <s v="India"/>
    <n v="442401"/>
    <x v="0"/>
    <x v="4"/>
    <s v="No, But if someone could bare the cost I will"/>
    <s v="This will be hard to do, but if it is the right company I would try"/>
    <s v="No"/>
    <s v="Will NOT work for them"/>
    <n v="7"/>
    <x v="1"/>
    <x v="0"/>
    <x v="0"/>
    <x v="90"/>
    <s v="Manager who explains what is expected, sets a goal and helps achieve it"/>
    <x v="1"/>
  </r>
  <r>
    <d v="2022-12-24T14:49:19"/>
    <s v="India"/>
    <n v="576215"/>
    <x v="1"/>
    <x v="4"/>
    <s v="No I would not be pursuing Higher Education outside of India"/>
    <s v="This will be hard to do, but if it is the right company I would try"/>
    <s v="No"/>
    <s v="Will NOT work for them"/>
    <n v="4"/>
    <x v="2"/>
    <x v="2"/>
    <x v="5"/>
    <x v="12"/>
    <s v="Manager who explains what is expected, sets a goal and helps achieve it"/>
    <x v="1"/>
  </r>
  <r>
    <d v="2022-12-24T15:09:08"/>
    <s v="India"/>
    <n v="401107"/>
    <x v="1"/>
    <x v="1"/>
    <s v="Yes, I will earn and do that"/>
    <s v="Will work for 3 years or more"/>
    <s v="No"/>
    <s v="Will NOT work for them"/>
    <n v="9"/>
    <x v="5"/>
    <x v="0"/>
    <x v="1"/>
    <x v="91"/>
    <s v="Manager who clearly describes what she/he needs"/>
    <x v="10"/>
  </r>
  <r>
    <d v="2022-12-24T15:35:54"/>
    <s v="India"/>
    <n v="400101"/>
    <x v="0"/>
    <x v="2"/>
    <s v="No I would not be pursuing Higher Education outside of India"/>
    <s v="This will be hard to do, but if it is the right company I would try"/>
    <s v="Yes"/>
    <s v="Will NOT work for them"/>
    <n v="3"/>
    <x v="1"/>
    <x v="1"/>
    <x v="2"/>
    <x v="33"/>
    <s v="Manager who explains what is expected, sets a goal and helps achieve it"/>
    <x v="11"/>
  </r>
  <r>
    <d v="2022-12-24T15:35:59"/>
    <s v="India"/>
    <n v="400101"/>
    <x v="0"/>
    <x v="4"/>
    <s v="No, But if someone could bare the cost I will"/>
    <s v="Will work for 3 years or more"/>
    <s v="Yes"/>
    <s v="Will work for them"/>
    <n v="1"/>
    <x v="3"/>
    <x v="2"/>
    <x v="1"/>
    <x v="41"/>
    <s v="Manager who clearly describes what she/he needs"/>
    <x v="6"/>
  </r>
  <r>
    <d v="2022-12-24T15:54:33"/>
    <s v="India"/>
    <n v="385001"/>
    <x v="1"/>
    <x v="4"/>
    <s v="Yes, I will earn and do that"/>
    <s v="No way, 3 years with one employer is crazy"/>
    <s v="Yes"/>
    <s v="Will work for them"/>
    <n v="2"/>
    <x v="3"/>
    <x v="0"/>
    <x v="2"/>
    <x v="21"/>
    <s v="Manager who sets targets and expects me to achieve it"/>
    <x v="3"/>
  </r>
  <r>
    <d v="2022-12-24T15:57:06"/>
    <s v="India"/>
    <n v="576213"/>
    <x v="1"/>
    <x v="4"/>
    <s v="No, But if someone could bare the cost I will"/>
    <s v="This will be hard to do, but if it is the right company I would try"/>
    <s v="No"/>
    <s v="Will NOT work for them"/>
    <n v="5"/>
    <x v="1"/>
    <x v="0"/>
    <x v="1"/>
    <x v="37"/>
    <s v="Manager who clearly describes what she/he needs"/>
    <x v="4"/>
  </r>
  <r>
    <d v="2022-12-24T16:07:09"/>
    <s v="India"/>
    <n v="400101"/>
    <x v="0"/>
    <x v="2"/>
    <s v="No I would not be pursuing Higher Education outside of India"/>
    <s v="This will be hard to do, but if it is the right company I would try"/>
    <s v="No"/>
    <s v="Will NOT work for them"/>
    <n v="1"/>
    <x v="2"/>
    <x v="0"/>
    <x v="5"/>
    <x v="27"/>
    <s v="Manager who clearly describes what she/he needs"/>
    <x v="6"/>
  </r>
  <r>
    <d v="2022-12-24T16:08:53"/>
    <s v="India"/>
    <n v="400028"/>
    <x v="1"/>
    <x v="0"/>
    <s v="Yes, I will earn and do that"/>
    <s v="This will be hard to do, but if it is the right company I would try"/>
    <s v="Yes"/>
    <s v="Will NOT work for them"/>
    <n v="8"/>
    <x v="0"/>
    <x v="2"/>
    <x v="3"/>
    <x v="5"/>
    <s v="Manager who sets targets and expects me to achieve it"/>
    <x v="6"/>
  </r>
  <r>
    <d v="2022-12-24T16:59:39"/>
    <s v="India"/>
    <n v="574214"/>
    <x v="1"/>
    <x v="4"/>
    <s v="No, But if someone could bare the cost I will"/>
    <s v="This will be hard to do, but if it is the right company I would try"/>
    <s v="No"/>
    <s v="Will NOT work for them"/>
    <n v="5"/>
    <x v="1"/>
    <x v="0"/>
    <x v="1"/>
    <x v="63"/>
    <s v="Manager who explains what is expected, sets a goal and helps achieve it"/>
    <x v="3"/>
  </r>
  <r>
    <d v="2022-12-24T17:26:00"/>
    <s v="India"/>
    <n v="576101"/>
    <x v="1"/>
    <x v="3"/>
    <s v="No, But if someone could bare the cost I will"/>
    <s v="This will be hard to do, but if it is the right company I would try"/>
    <s v="No"/>
    <s v="Will NOT work for them"/>
    <n v="2"/>
    <x v="2"/>
    <x v="1"/>
    <x v="1"/>
    <x v="7"/>
    <s v="Manager who explains what is expected, sets a goal and helps achieve it"/>
    <x v="9"/>
  </r>
  <r>
    <d v="2022-12-24T17:44:34"/>
    <s v="India"/>
    <n v="385001"/>
    <x v="1"/>
    <x v="1"/>
    <s v="Yes, I will earn and do that"/>
    <s v="No way, 3 years with one employer is crazy"/>
    <s v="Yes"/>
    <s v="Will NOT work for them"/>
    <n v="10"/>
    <x v="0"/>
    <x v="0"/>
    <x v="5"/>
    <x v="16"/>
    <s v="Manager who sets targets and expects me to achieve it"/>
    <x v="7"/>
  </r>
  <r>
    <d v="2022-12-24T23:15:49"/>
    <s v="India"/>
    <n v="574227"/>
    <x v="1"/>
    <x v="3"/>
    <s v="No I would not be pursuing Higher Education outside of India"/>
    <s v="Will work for 3 years or more"/>
    <s v="No"/>
    <s v="Will NOT work for them"/>
    <n v="5"/>
    <x v="4"/>
    <x v="1"/>
    <x v="0"/>
    <x v="5"/>
    <s v="Manager who explains what is expected, sets a goal and helps achieve it"/>
    <x v="4"/>
  </r>
  <r>
    <d v="2022-12-25T16:06:35"/>
    <s v="India"/>
    <n v="210424"/>
    <x v="0"/>
    <x v="2"/>
    <s v="No I would not be pursuing Higher Education outside of India"/>
    <s v="Will work for 3 years or more"/>
    <s v="No"/>
    <s v="Will NOT work for them"/>
    <n v="5"/>
    <x v="4"/>
    <x v="2"/>
    <x v="4"/>
    <x v="63"/>
    <s v="Manager who sets goal and helps me achieve it"/>
    <x v="3"/>
  </r>
  <r>
    <d v="2022-12-25T16:07:50"/>
    <s v="India"/>
    <n v="600100"/>
    <x v="1"/>
    <x v="4"/>
    <s v="No, But if someone could bare the cost I will"/>
    <s v="This will be hard to do, but if it is the right company I would try"/>
    <s v="No"/>
    <s v="Will NOT work for them"/>
    <n v="9"/>
    <x v="2"/>
    <x v="1"/>
    <x v="1"/>
    <x v="72"/>
    <s v="Manager who clearly describes what she/he needs"/>
    <x v="1"/>
  </r>
  <r>
    <d v="2022-12-25T16:16:59"/>
    <s v="India"/>
    <n v="210427"/>
    <x v="0"/>
    <x v="1"/>
    <s v="Yes, I will earn and do that"/>
    <s v="This will be hard to do, but if it is the right company I would try"/>
    <s v="No"/>
    <s v="Will NOT work for them"/>
    <n v="8"/>
    <x v="5"/>
    <x v="1"/>
    <x v="2"/>
    <x v="30"/>
    <s v="Manager who explains what is expected, sets a goal and helps achieve it"/>
    <x v="6"/>
  </r>
  <r>
    <d v="2022-12-25T17:27:36"/>
    <s v="India"/>
    <n v="210424"/>
    <x v="0"/>
    <x v="4"/>
    <s v="No I would not be pursuing Higher Education outside of India"/>
    <s v="This will be hard to do, but if it is the right company I would try"/>
    <s v="No"/>
    <s v="Will NOT work for them"/>
    <n v="5"/>
    <x v="1"/>
    <x v="2"/>
    <x v="1"/>
    <x v="72"/>
    <s v="Manager who sets goal and helps me achieve it"/>
    <x v="6"/>
  </r>
  <r>
    <d v="2022-12-26T05:45:33"/>
    <s v="India"/>
    <n v="828120"/>
    <x v="1"/>
    <x v="0"/>
    <s v="No I would not be pursuing Higher Education outside of India"/>
    <s v="This will be hard to do, but if it is the right company I would try"/>
    <s v="No"/>
    <s v="Will NOT work for them"/>
    <n v="5"/>
    <x v="0"/>
    <x v="2"/>
    <x v="4"/>
    <x v="11"/>
    <s v="Manager who sets goal and helps me achieve it"/>
    <x v="1"/>
  </r>
  <r>
    <d v="2022-12-27T09:50:41"/>
    <s v="India"/>
    <n v="743127"/>
    <x v="0"/>
    <x v="0"/>
    <s v="Yes, I will earn and do that"/>
    <s v="Will work for 3 years or more"/>
    <s v="No"/>
    <s v="Will NOT work for them"/>
    <n v="2"/>
    <x v="1"/>
    <x v="1"/>
    <x v="2"/>
    <x v="0"/>
    <s v="Manager who explains what is expected, sets a goal and helps achieve it"/>
    <x v="7"/>
  </r>
  <r>
    <d v="2022-12-30T05:21:49"/>
    <s v="Canada"/>
    <s v="N9B2K9"/>
    <x v="0"/>
    <x v="1"/>
    <s v="Yes, I will earn and do that"/>
    <s v="Will work for 3 years or more"/>
    <s v="No"/>
    <s v="Will NOT work for them"/>
    <n v="5"/>
    <x v="1"/>
    <x v="2"/>
    <x v="2"/>
    <x v="1"/>
    <s v="Manager who sets goal and helps me achieve it"/>
    <x v="7"/>
  </r>
  <r>
    <d v="2022-12-30T08:11:59"/>
    <s v="India"/>
    <n v="560064"/>
    <x v="1"/>
    <x v="4"/>
    <s v="Yes, I will earn and do that"/>
    <s v="Will work for 3 years or more"/>
    <s v="No"/>
    <s v="Will NOT work for them"/>
    <n v="5"/>
    <x v="3"/>
    <x v="1"/>
    <x v="1"/>
    <x v="3"/>
    <s v="Manager who explains what is expected, sets a goal and helps achieve it"/>
    <x v="3"/>
  </r>
  <r>
    <d v="2022-12-30T11:41:06"/>
    <s v="India"/>
    <n v="814112"/>
    <x v="0"/>
    <x v="0"/>
    <s v="No, But if someone could bare the cost I will"/>
    <s v="This will be hard to do, but if it is the right company I would try"/>
    <s v="No"/>
    <s v="Will NOT work for them"/>
    <n v="8"/>
    <x v="1"/>
    <x v="0"/>
    <x v="4"/>
    <x v="63"/>
    <s v="Manager who explains what is expected, sets a goal and helps achieve it"/>
    <x v="3"/>
  </r>
  <r>
    <d v="2022-12-31T14:07:53"/>
    <s v="India"/>
    <n v="147001"/>
    <x v="1"/>
    <x v="0"/>
    <s v="No, But if someone could bare the cost I will"/>
    <s v="This will be hard to do, but if it is the right company I would try"/>
    <s v="Yes"/>
    <s v="Will NOT work for them"/>
    <n v="7"/>
    <x v="1"/>
    <x v="1"/>
    <x v="5"/>
    <x v="24"/>
    <s v="Manager who explains what is expected, sets a goal and helps achieve it"/>
    <x v="3"/>
  </r>
  <r>
    <d v="2022-12-31T15:34:58"/>
    <s v="Canada"/>
    <s v="S4s6a6"/>
    <x v="1"/>
    <x v="3"/>
    <s v="Yes, I will earn and do that"/>
    <s v="This will be hard to do, but if it is the right company I would try"/>
    <s v="No"/>
    <s v="Will NOT work for them"/>
    <n v="1"/>
    <x v="1"/>
    <x v="1"/>
    <x v="3"/>
    <x v="1"/>
    <s v="Manager who explains what is expected, sets a goal and helps achieve it"/>
    <x v="7"/>
  </r>
  <r>
    <d v="2022-12-31T18:00:52"/>
    <s v="India"/>
    <n v="431601"/>
    <x v="0"/>
    <x v="3"/>
    <s v="Yes, I will earn and do that"/>
    <s v="Will work for 3 years or more"/>
    <s v="Yes"/>
    <s v="Will work for them"/>
    <n v="4"/>
    <x v="4"/>
    <x v="1"/>
    <x v="4"/>
    <x v="1"/>
    <s v="Manager who sets targets and expects me to achieve it"/>
    <x v="1"/>
  </r>
  <r>
    <d v="2022-12-31T19:59:55"/>
    <s v="India"/>
    <n v="147001"/>
    <x v="1"/>
    <x v="4"/>
    <s v="No I would not be pursuing Higher Education outside of India"/>
    <s v="Will work for 3 years or more"/>
    <s v="No"/>
    <s v="Will NOT work for them"/>
    <n v="1"/>
    <x v="0"/>
    <x v="1"/>
    <x v="0"/>
    <x v="92"/>
    <s v="Manager who sets goal and helps me achieve it"/>
    <x v="1"/>
  </r>
  <r>
    <d v="2022-12-31T21:05:54"/>
    <s v="India"/>
    <n v="412308"/>
    <x v="0"/>
    <x v="4"/>
    <s v="No I would not be pursuing Higher Education outside of India"/>
    <s v="No way, 3 years with one employer is crazy"/>
    <s v="Yes"/>
    <s v="Will work for them"/>
    <n v="5"/>
    <x v="5"/>
    <x v="1"/>
    <x v="2"/>
    <x v="27"/>
    <s v="Manager who explains what is expected, sets a goal and helps achieve it"/>
    <x v="1"/>
  </r>
  <r>
    <d v="2023-01-02T23:16:50"/>
    <s v="India"/>
    <n v="627004"/>
    <x v="0"/>
    <x v="3"/>
    <s v="No I would not be pursuing Higher Education outside of India"/>
    <s v="Will work for 3 years or more"/>
    <s v="Yes"/>
    <s v="Will NOT work for them"/>
    <n v="3"/>
    <x v="2"/>
    <x v="2"/>
    <x v="0"/>
    <x v="5"/>
    <s v="Manager who sets goal and helps me achieve it"/>
    <x v="1"/>
  </r>
  <r>
    <d v="2023-01-03T21:46:43"/>
    <s v="India"/>
    <n v="457001"/>
    <x v="1"/>
    <x v="3"/>
    <s v="Yes, I will earn and do that"/>
    <s v="Will work for 3 years or more"/>
    <s v="No"/>
    <s v="Will work for them"/>
    <n v="3"/>
    <x v="4"/>
    <x v="2"/>
    <x v="1"/>
    <x v="93"/>
    <s v="Manager who clearly describes what she/he needs"/>
    <x v="3"/>
  </r>
  <r>
    <d v="2023-01-08T12:31:37"/>
    <s v="India"/>
    <n v="400016"/>
    <x v="0"/>
    <x v="4"/>
    <s v="Yes, I will earn and do that"/>
    <s v="This will be hard to do, but if it is the right company I would try"/>
    <s v="No"/>
    <s v="Will NOT work for them"/>
    <n v="7"/>
    <x v="4"/>
    <x v="2"/>
    <x v="2"/>
    <x v="30"/>
    <s v="Manager who explains what is expected, sets a goal and helps achieve it"/>
    <x v="3"/>
  </r>
  <r>
    <d v="2023-01-08T18:38:30"/>
    <s v="India"/>
    <n v="600069"/>
    <x v="0"/>
    <x v="0"/>
    <s v="Yes, I will earn and do that"/>
    <s v="This will be hard to do, but if it is the right company I would try"/>
    <s v="Yes"/>
    <s v="Will work for them"/>
    <n v="6"/>
    <x v="2"/>
    <x v="2"/>
    <x v="5"/>
    <x v="1"/>
    <s v="Manager who explains what is expected, sets a goal and helps achieve it"/>
    <x v="1"/>
  </r>
  <r>
    <d v="2023-01-08T20:39:10"/>
    <s v="India"/>
    <n v="342005"/>
    <x v="0"/>
    <x v="1"/>
    <s v="No I would not be pursuing Higher Education outside of India"/>
    <s v="This will be hard to do, but if it is the right company I would try"/>
    <s v="No"/>
    <s v="Will NOT work for them"/>
    <n v="6"/>
    <x v="1"/>
    <x v="1"/>
    <x v="0"/>
    <x v="3"/>
    <s v="Manager who explains what is expected, sets a goal and helps achieve it"/>
    <x v="1"/>
  </r>
  <r>
    <d v="2023-01-09T00:39:37"/>
    <s v="India"/>
    <n v="851101"/>
    <x v="0"/>
    <x v="0"/>
    <s v="Yes, I will earn and do that"/>
    <s v="This will be hard to do, but if it is the right company I would try"/>
    <s v="Yes"/>
    <s v="Will work for them"/>
    <n v="7"/>
    <x v="2"/>
    <x v="1"/>
    <x v="0"/>
    <x v="38"/>
    <s v="Manager who explains what is expected, sets a goal and helps achieve it"/>
    <x v="1"/>
  </r>
  <r>
    <d v="2023-01-09T07:23:41"/>
    <s v="India"/>
    <n v="636701"/>
    <x v="0"/>
    <x v="3"/>
    <s v="No I would not be pursuing Higher Education outside of India"/>
    <s v="This will be hard to do, but if it is the right company I would try"/>
    <s v="No"/>
    <s v="Will NOT work for them"/>
    <n v="5"/>
    <x v="4"/>
    <x v="1"/>
    <x v="3"/>
    <x v="30"/>
    <s v="Manager who sets goal and helps me achieve it"/>
    <x v="1"/>
  </r>
  <r>
    <d v="2023-01-09T11:33:46"/>
    <s v="India"/>
    <n v="600007"/>
    <x v="0"/>
    <x v="0"/>
    <s v="Yes, I will earn and do that"/>
    <s v="Will work for 3 years or more"/>
    <s v="No"/>
    <s v="Will work for them"/>
    <n v="8"/>
    <x v="2"/>
    <x v="1"/>
    <x v="1"/>
    <x v="18"/>
    <s v="Manager who explains what is expected, sets a goal and helps achieve it"/>
    <x v="13"/>
  </r>
  <r>
    <d v="2023-01-09T12:43:08"/>
    <s v="India"/>
    <n v="400070"/>
    <x v="0"/>
    <x v="3"/>
    <s v="Yes, I will earn and do that"/>
    <s v="This will be hard to do, but if it is the right company I would try"/>
    <s v="No"/>
    <s v="Will NOT work for them"/>
    <n v="10"/>
    <x v="4"/>
    <x v="2"/>
    <x v="0"/>
    <x v="41"/>
    <s v="Manager who sets goal and helps me achieve it"/>
    <x v="4"/>
  </r>
  <r>
    <d v="2023-01-09T13:32:01"/>
    <s v="India"/>
    <n v="521001"/>
    <x v="0"/>
    <x v="1"/>
    <s v="No I would not be pursuing Higher Education outside of India"/>
    <s v="This will be hard to do, but if it is the right company I would try"/>
    <s v="No"/>
    <s v="Will NOT work for them"/>
    <n v="5"/>
    <x v="1"/>
    <x v="1"/>
    <x v="1"/>
    <x v="42"/>
    <s v="Manager who explains what is expected, sets a goal and helps achieve it"/>
    <x v="2"/>
  </r>
  <r>
    <d v="2023-01-09T16:55:27"/>
    <s v="India"/>
    <n v="411033"/>
    <x v="1"/>
    <x v="4"/>
    <s v="No I would not be pursuing Higher Education outside of India"/>
    <s v="This will be hard to do, but if it is the right company I would try"/>
    <s v="No"/>
    <s v="Will NOT work for them"/>
    <n v="5"/>
    <x v="3"/>
    <x v="1"/>
    <x v="1"/>
    <x v="63"/>
    <s v="Manager who explains what is expected, sets a goal and helps achieve it"/>
    <x v="3"/>
  </r>
  <r>
    <d v="2023-01-09T18:20:12"/>
    <s v="India"/>
    <n v="263153"/>
    <x v="1"/>
    <x v="3"/>
    <s v="No I would not be pursuing Higher Education outside of India"/>
    <s v="This will be hard to do, but if it is the right company I would try"/>
    <s v="Yes"/>
    <s v="Will NOT work for them"/>
    <n v="5"/>
    <x v="0"/>
    <x v="1"/>
    <x v="0"/>
    <x v="30"/>
    <s v="Manager who explains what is expected, sets a goal and helps achieve it"/>
    <x v="1"/>
  </r>
  <r>
    <d v="2023-01-09T20:06:46"/>
    <s v="India"/>
    <n v="465674"/>
    <x v="1"/>
    <x v="4"/>
    <s v="Yes, I will earn and do that"/>
    <s v="Will work for 3 years or more"/>
    <s v="No"/>
    <s v="Will NOT work for them"/>
    <n v="1"/>
    <x v="2"/>
    <x v="2"/>
    <x v="1"/>
    <x v="25"/>
    <s v="Manager who explains what is expected, sets a goal and helps achieve it"/>
    <x v="4"/>
  </r>
  <r>
    <d v="2023-01-10T00:44:37"/>
    <s v="India"/>
    <n v="110027"/>
    <x v="0"/>
    <x v="2"/>
    <s v="No I would not be pursuing Higher Education outside of India"/>
    <s v="Will work for 3 years or more"/>
    <s v="No"/>
    <s v="Will NOT work for them"/>
    <n v="6"/>
    <x v="2"/>
    <x v="1"/>
    <x v="0"/>
    <x v="30"/>
    <s v="Manager who explains what is expected, sets a goal and helps achieve it"/>
    <x v="5"/>
  </r>
  <r>
    <d v="2023-01-10T12:16:20"/>
    <s v="India"/>
    <n v="145001"/>
    <x v="0"/>
    <x v="3"/>
    <s v="No, But if someone could bare the cost I will"/>
    <s v="This will be hard to do, but if it is the right company I would try"/>
    <s v="No"/>
    <s v="Will NOT work for them"/>
    <n v="1"/>
    <x v="1"/>
    <x v="1"/>
    <x v="4"/>
    <x v="38"/>
    <s v="Manager who explains what is expected, sets a goal and helps achieve it"/>
    <x v="3"/>
  </r>
  <r>
    <d v="2023-01-10T16:19:14"/>
    <s v="India"/>
    <n v="431001"/>
    <x v="0"/>
    <x v="3"/>
    <s v="Yes, I will earn and do that"/>
    <s v="This will be hard to do, but if it is the right company I would try"/>
    <s v="No"/>
    <s v="Will NOT work for them"/>
    <n v="5"/>
    <x v="2"/>
    <x v="1"/>
    <x v="2"/>
    <x v="3"/>
    <s v="Manager who explains what is expected, sets a goal and helps achieve it"/>
    <x v="4"/>
  </r>
  <r>
    <d v="2023-01-10T16:54:41"/>
    <s v="India"/>
    <n v="457001"/>
    <x v="1"/>
    <x v="3"/>
    <s v="No I would not be pursuing Higher Education outside of India"/>
    <s v="This will be hard to do, but if it is the right company I would try"/>
    <s v="No"/>
    <s v="Will NOT work for them"/>
    <n v="5"/>
    <x v="5"/>
    <x v="0"/>
    <x v="1"/>
    <x v="64"/>
    <s v="Manager who clearly describes what she/he needs"/>
    <x v="5"/>
  </r>
  <r>
    <d v="2023-01-11T09:22:48"/>
    <s v="India"/>
    <n v="520013"/>
    <x v="1"/>
    <x v="2"/>
    <s v="No, But if someone could bare the cost I will"/>
    <s v="No way, 3 years with one employer is crazy"/>
    <s v="No"/>
    <s v="Will NOT work for them"/>
    <n v="5"/>
    <x v="5"/>
    <x v="1"/>
    <x v="0"/>
    <x v="51"/>
    <s v="Manager who explains what is expected, sets a goal and helps achieve it"/>
    <x v="7"/>
  </r>
  <r>
    <d v="2023-01-11T12:01:32"/>
    <s v="Nigeria"/>
    <s v="UTC+01"/>
    <x v="0"/>
    <x v="3"/>
    <s v="Yes, I will earn and do that"/>
    <s v="This will be hard to do, but if it is the right company I would try"/>
    <s v="No"/>
    <s v="Will NOT work for them"/>
    <n v="1"/>
    <x v="1"/>
    <x v="1"/>
    <x v="4"/>
    <x v="24"/>
    <s v="Manager who explains what is expected, sets a goal and helps achieve it"/>
    <x v="7"/>
  </r>
  <r>
    <d v="2023-01-11T15:55:00"/>
    <s v="India"/>
    <n v="201304"/>
    <x v="1"/>
    <x v="3"/>
    <s v="No I would not be pursuing Higher Education outside of India"/>
    <s v="This will be hard to do, but if it is the right company I would try"/>
    <s v="No"/>
    <s v="Will NOT work for them"/>
    <n v="2"/>
    <x v="2"/>
    <x v="1"/>
    <x v="0"/>
    <x v="11"/>
    <s v="Manager who clearly describes what she/he needs"/>
    <x v="1"/>
  </r>
  <r>
    <d v="2023-01-11T17:13:47"/>
    <s v="India"/>
    <n v="383007"/>
    <x v="0"/>
    <x v="2"/>
    <s v="No, But if someone could bare the cost I will"/>
    <s v="This will be hard to do, but if it is the right company I would try"/>
    <s v="No"/>
    <s v="Will NOT work for them"/>
    <n v="8"/>
    <x v="4"/>
    <x v="1"/>
    <x v="5"/>
    <x v="5"/>
    <s v="Manager who sets goal and helps me achieve it"/>
    <x v="3"/>
  </r>
  <r>
    <d v="2023-01-11T18:05:24"/>
    <s v="India"/>
    <n v="638012"/>
    <x v="0"/>
    <x v="3"/>
    <s v="Yes, I will earn and do that"/>
    <s v="This will be hard to do, but if it is the right company I would try"/>
    <s v="No"/>
    <s v="Will NOT work for them"/>
    <n v="5"/>
    <x v="2"/>
    <x v="1"/>
    <x v="1"/>
    <x v="3"/>
    <s v="Manager who explains what is expected, sets a goal and helps achieve it"/>
    <x v="1"/>
  </r>
  <r>
    <d v="2023-01-11T18:11:36"/>
    <s v="India"/>
    <n v="457001"/>
    <x v="0"/>
    <x v="0"/>
    <s v="Yes, I will earn and do that"/>
    <s v="Will work for 3 years or more"/>
    <s v="Yes"/>
    <s v="Will work for them"/>
    <n v="5"/>
    <x v="1"/>
    <x v="2"/>
    <x v="3"/>
    <x v="72"/>
    <s v="Manager who sets goal and helps me achieve it"/>
    <x v="7"/>
  </r>
  <r>
    <d v="2023-01-11T21:23:22"/>
    <s v="India"/>
    <n v="560010"/>
    <x v="1"/>
    <x v="4"/>
    <s v="No I would not be pursuing Higher Education outside of India"/>
    <s v="This will be hard to do, but if it is the right company I would try"/>
    <s v="No"/>
    <s v="Will NOT work for them"/>
    <n v="8"/>
    <x v="3"/>
    <x v="2"/>
    <x v="4"/>
    <x v="3"/>
    <s v="Manager who sets goal and helps me achieve it"/>
    <x v="1"/>
  </r>
  <r>
    <d v="2023-01-11T21:24:28"/>
    <s v="India"/>
    <n v="411048"/>
    <x v="0"/>
    <x v="1"/>
    <s v="No, But if someone could bare the cost I will"/>
    <s v="This will be hard to do, but if it is the right company I would try"/>
    <s v="No"/>
    <s v="Will NOT work for them"/>
    <n v="7"/>
    <x v="5"/>
    <x v="1"/>
    <x v="4"/>
    <x v="24"/>
    <s v="Manager who explains what is expected, sets a goal and helps achieve it"/>
    <x v="7"/>
  </r>
  <r>
    <d v="2023-01-12T01:17:31"/>
    <s v="India"/>
    <n v="283203"/>
    <x v="1"/>
    <x v="4"/>
    <s v="Yes, I will earn and do that"/>
    <s v="This will be hard to do, but if it is the right company I would try"/>
    <s v="Yes"/>
    <s v="Will NOT work for them"/>
    <n v="8"/>
    <x v="4"/>
    <x v="1"/>
    <x v="0"/>
    <x v="24"/>
    <s v="Manager who explains what is expected, sets a goal and helps achieve it"/>
    <x v="1"/>
  </r>
  <r>
    <d v="2023-01-12T09:43:23"/>
    <s v="India"/>
    <n v="206001"/>
    <x v="0"/>
    <x v="3"/>
    <s v="Yes, I will earn and do that"/>
    <s v="This will be hard to do, but if it is the right company I would try"/>
    <s v="No"/>
    <s v="Will NOT work for them"/>
    <n v="6"/>
    <x v="1"/>
    <x v="1"/>
    <x v="0"/>
    <x v="5"/>
    <s v="Manager who explains what is expected, sets a goal and helps achieve it"/>
    <x v="1"/>
  </r>
  <r>
    <d v="2023-01-12T19:44:39"/>
    <s v="India"/>
    <n v="412308"/>
    <x v="0"/>
    <x v="3"/>
    <s v="Yes, I will earn and do that"/>
    <s v="Will work for 3 years or more"/>
    <s v="No"/>
    <s v="Will NOT work for them"/>
    <n v="10"/>
    <x v="4"/>
    <x v="1"/>
    <x v="1"/>
    <x v="20"/>
    <s v="Manager who explains what is expected, sets a goal and helps achieve it"/>
    <x v="1"/>
  </r>
  <r>
    <d v="2023-01-12T20:00:55"/>
    <s v="India"/>
    <n v="457001"/>
    <x v="1"/>
    <x v="3"/>
    <s v="No I would not be pursuing Higher Education outside of India"/>
    <s v="This will be hard to do, but if it is the right company I would try"/>
    <s v="No"/>
    <s v="Will NOT work for them"/>
    <n v="4"/>
    <x v="4"/>
    <x v="1"/>
    <x v="3"/>
    <x v="16"/>
    <s v="Manager who explains what is expected, sets a goal and helps achieve it"/>
    <x v="3"/>
  </r>
  <r>
    <d v="2023-01-12T20:28:40"/>
    <s v="India"/>
    <n v="560067"/>
    <x v="0"/>
    <x v="2"/>
    <s v="No I would not be pursuing Higher Education outside of India"/>
    <s v="Will work for 3 years or more"/>
    <s v="No"/>
    <s v="Will NOT work for them"/>
    <n v="5"/>
    <x v="1"/>
    <x v="1"/>
    <x v="1"/>
    <x v="30"/>
    <s v="Manager who explains what is expected, sets a goal and helps achieve it"/>
    <x v="12"/>
  </r>
  <r>
    <d v="2023-01-12T21:39:58"/>
    <s v="India"/>
    <n v="560010"/>
    <x v="0"/>
    <x v="4"/>
    <s v="No, But if someone could bare the cost I will"/>
    <s v="Will work for 3 years or more"/>
    <s v="No"/>
    <s v="Will work for them"/>
    <n v="6"/>
    <x v="5"/>
    <x v="2"/>
    <x v="1"/>
    <x v="15"/>
    <s v="Manager who sets goal and helps me achieve it"/>
    <x v="1"/>
  </r>
  <r>
    <d v="2023-01-13T09:15:33"/>
    <s v="India"/>
    <n v="641602"/>
    <x v="0"/>
    <x v="0"/>
    <s v="No I would not be pursuing Higher Education outside of India"/>
    <s v="This will be hard to do, but if it is the right company I would try"/>
    <s v="No"/>
    <s v="Will NOT work for them"/>
    <n v="8"/>
    <x v="2"/>
    <x v="0"/>
    <x v="3"/>
    <x v="10"/>
    <s v="Manager who sets goal and helps me achieve it"/>
    <x v="15"/>
  </r>
  <r>
    <d v="2023-01-13T09:57:45"/>
    <s v="India"/>
    <n v="457001"/>
    <x v="0"/>
    <x v="1"/>
    <s v="Yes, I will earn and do that"/>
    <s v="This will be hard to do, but if it is the right company I would try"/>
    <s v="No"/>
    <s v="Will NOT work for them"/>
    <n v="4"/>
    <x v="2"/>
    <x v="1"/>
    <x v="0"/>
    <x v="18"/>
    <s v="Manager who explains what is expected, sets a goal and helps achieve it"/>
    <x v="2"/>
  </r>
  <r>
    <d v="2023-01-13T10:50:10"/>
    <s v="India"/>
    <n v="465614"/>
    <x v="0"/>
    <x v="1"/>
    <s v="Yes, I will earn and do that"/>
    <s v="This will be hard to do, but if it is the right company I would try"/>
    <s v="No"/>
    <s v="Will NOT work for them"/>
    <n v="1"/>
    <x v="1"/>
    <x v="2"/>
    <x v="1"/>
    <x v="0"/>
    <s v="Manager who clearly describes what she/he needs"/>
    <x v="7"/>
  </r>
  <r>
    <d v="2023-01-13T10:56:12"/>
    <s v="India"/>
    <n v="560010"/>
    <x v="0"/>
    <x v="0"/>
    <s v="No I would not be pursuing Higher Education outside of India"/>
    <s v="This will be hard to do, but if it is the right company I would try"/>
    <s v="No"/>
    <s v="Will NOT work for them"/>
    <n v="7"/>
    <x v="2"/>
    <x v="1"/>
    <x v="4"/>
    <x v="56"/>
    <s v="Manager who explains what is expected, sets a goal and helps achieve it"/>
    <x v="15"/>
  </r>
  <r>
    <d v="2023-01-13T12:32:46"/>
    <s v="India"/>
    <n v="560015"/>
    <x v="0"/>
    <x v="2"/>
    <s v="No I would not be pursuing Higher Education outside of India"/>
    <s v="This will be hard to do, but if it is the right company I would try"/>
    <s v="No"/>
    <s v="Will NOT work for them"/>
    <n v="1"/>
    <x v="4"/>
    <x v="0"/>
    <x v="3"/>
    <x v="81"/>
    <s v="Manager who explains what is expected, sets a goal and helps achieve it"/>
    <x v="3"/>
  </r>
  <r>
    <d v="2023-01-13T13:44:01"/>
    <s v="India"/>
    <n v="560077"/>
    <x v="0"/>
    <x v="4"/>
    <s v="No, But if someone could bare the cost I will"/>
    <s v="Will work for 3 years or more"/>
    <s v="Yes"/>
    <s v="Will work for them"/>
    <n v="4"/>
    <x v="2"/>
    <x v="0"/>
    <x v="5"/>
    <x v="7"/>
    <s v="Manager who explains what is expected, sets a goal and helps achieve it"/>
    <x v="15"/>
  </r>
  <r>
    <d v="2023-01-13T19:27:50"/>
    <s v="India"/>
    <n v="401105"/>
    <x v="0"/>
    <x v="0"/>
    <s v="No, But if someone could bare the cost I will"/>
    <s v="This will be hard to do, but if it is the right company I would try"/>
    <s v="No"/>
    <s v="Will NOT work for them"/>
    <n v="5"/>
    <x v="4"/>
    <x v="1"/>
    <x v="5"/>
    <x v="33"/>
    <s v="Manager who explains what is expected, sets a goal and helps achieve it"/>
    <x v="1"/>
  </r>
  <r>
    <d v="2023-01-13T22:57:06"/>
    <s v="India"/>
    <n v="500010"/>
    <x v="0"/>
    <x v="1"/>
    <s v="No I would not be pursuing Higher Education outside of India"/>
    <s v="This will be hard to do, but if it is the right company I would try"/>
    <s v="Yes"/>
    <s v="Will work for them"/>
    <n v="6"/>
    <x v="3"/>
    <x v="1"/>
    <x v="0"/>
    <x v="38"/>
    <s v="Manager who explains what is expected, sets a goal and helps achieve it"/>
    <x v="2"/>
  </r>
  <r>
    <d v="2023-01-14T12:07:12"/>
    <s v="India"/>
    <n v="534003"/>
    <x v="1"/>
    <x v="3"/>
    <s v="No I would not be pursuing Higher Education outside of India"/>
    <s v="This will be hard to do, but if it is the right company I would try"/>
    <s v="No"/>
    <s v="Will NOT work for them"/>
    <n v="5"/>
    <x v="0"/>
    <x v="1"/>
    <x v="0"/>
    <x v="9"/>
    <s v="Manager who sets goal and helps me achieve it"/>
    <x v="1"/>
  </r>
  <r>
    <d v="2023-01-14T12:09:07"/>
    <s v="India"/>
    <n v="534001"/>
    <x v="0"/>
    <x v="3"/>
    <s v="No I would not be pursuing Higher Education outside of India"/>
    <s v="This will be hard to do, but if it is the right company I would try"/>
    <s v="No"/>
    <s v="Will NOT work for them"/>
    <n v="6"/>
    <x v="0"/>
    <x v="2"/>
    <x v="3"/>
    <x v="18"/>
    <s v="Manager who explains what is expected, sets a goal and helps achieve it"/>
    <x v="2"/>
  </r>
  <r>
    <d v="2023-01-14T12:19:13"/>
    <s v="India"/>
    <n v="534462"/>
    <x v="1"/>
    <x v="4"/>
    <s v="Yes, I will earn and do that"/>
    <s v="This will be hard to do, but if it is the right company I would try"/>
    <s v="No"/>
    <s v="Will work for them"/>
    <n v="8"/>
    <x v="5"/>
    <x v="0"/>
    <x v="3"/>
    <x v="70"/>
    <s v="Manager who clearly describes what she/he needs"/>
    <x v="3"/>
  </r>
  <r>
    <d v="2023-01-14T12:21:51"/>
    <s v="India"/>
    <n v="503003"/>
    <x v="1"/>
    <x v="0"/>
    <s v="Yes, I will earn and do that"/>
    <s v="This will be hard to do, but if it is the right company I would try"/>
    <s v="No"/>
    <s v="Will NOT work for them"/>
    <n v="4"/>
    <x v="3"/>
    <x v="1"/>
    <x v="1"/>
    <x v="10"/>
    <s v="Manager who explains what is expected, sets a goal and helps achieve it"/>
    <x v="7"/>
  </r>
  <r>
    <d v="2023-01-14T12:32:53"/>
    <s v="India"/>
    <n v="534001"/>
    <x v="0"/>
    <x v="0"/>
    <s v="No I would not be pursuing Higher Education outside of India"/>
    <s v="This will be hard to do, but if it is the right company I would try"/>
    <s v="No"/>
    <s v="Will NOT work for them"/>
    <n v="8"/>
    <x v="2"/>
    <x v="1"/>
    <x v="4"/>
    <x v="71"/>
    <s v="Manager who sets goal and helps me achieve it"/>
    <x v="2"/>
  </r>
  <r>
    <d v="2023-01-14T12:35:43"/>
    <s v="India"/>
    <n v="516401"/>
    <x v="0"/>
    <x v="3"/>
    <s v="Yes, I will earn and do that"/>
    <s v="Will work for 3 years or more"/>
    <s v="No"/>
    <s v="Will NOT work for them"/>
    <n v="10"/>
    <x v="3"/>
    <x v="1"/>
    <x v="4"/>
    <x v="17"/>
    <s v="Manager who explains what is expected, sets a goal and helps achieve it"/>
    <x v="1"/>
  </r>
  <r>
    <d v="2023-01-14T12:44:51"/>
    <s v="India"/>
    <n v="473551"/>
    <x v="0"/>
    <x v="4"/>
    <s v="No I would not be pursuing Higher Education outside of India"/>
    <s v="This will be hard to do, but if it is the right company I would try"/>
    <s v="Yes"/>
    <s v="Will NOT work for them"/>
    <n v="5"/>
    <x v="1"/>
    <x v="2"/>
    <x v="0"/>
    <x v="5"/>
    <s v="Manager who explains what is expected, sets a goal and helps achieve it"/>
    <x v="18"/>
  </r>
  <r>
    <d v="2023-01-14T14:54:35"/>
    <s v="India"/>
    <n v="522647"/>
    <x v="1"/>
    <x v="2"/>
    <s v="Yes, I will earn and do that"/>
    <s v="This will be hard to do, but if it is the right company I would try"/>
    <s v="Yes"/>
    <s v="Will work for them"/>
    <n v="2"/>
    <x v="5"/>
    <x v="2"/>
    <x v="2"/>
    <x v="21"/>
    <s v="Manager who clearly describes what she/he needs"/>
    <x v="2"/>
  </r>
  <r>
    <d v="2023-01-14T14:57:29"/>
    <s v="India"/>
    <n v="500083"/>
    <x v="1"/>
    <x v="2"/>
    <s v="Yes, I will earn and do that"/>
    <s v="This will be hard to do, but if it is the right company I would try"/>
    <s v="No"/>
    <s v="Will work for them"/>
    <n v="9"/>
    <x v="5"/>
    <x v="0"/>
    <x v="3"/>
    <x v="1"/>
    <s v="Manager who explains what is expected, sets a goal and helps achieve it"/>
    <x v="2"/>
  </r>
  <r>
    <d v="2023-01-14T16:55:53"/>
    <s v="India"/>
    <n v="305001"/>
    <x v="1"/>
    <x v="3"/>
    <s v="No I would not be pursuing Higher Education outside of India"/>
    <s v="This will be hard to do, but if it is the right company I would try"/>
    <s v="No"/>
    <s v="Will NOT work for them"/>
    <n v="6"/>
    <x v="1"/>
    <x v="1"/>
    <x v="0"/>
    <x v="7"/>
    <s v="Manager who explains what is expected, sets a goal and helps achieve it"/>
    <x v="3"/>
  </r>
  <r>
    <d v="2023-01-14T23:19:00"/>
    <s v="India"/>
    <n v="110034"/>
    <x v="0"/>
    <x v="1"/>
    <s v="Yes, I will earn and do that"/>
    <s v="Will work for 3 years or more"/>
    <s v="No"/>
    <s v="Will NOT work for them"/>
    <n v="5"/>
    <x v="5"/>
    <x v="0"/>
    <x v="3"/>
    <x v="5"/>
    <s v="Manager who sets targets and expects me to achieve it"/>
    <x v="15"/>
  </r>
  <r>
    <d v="2023-01-18T09:23:16"/>
    <s v="India"/>
    <n v="760009"/>
    <x v="0"/>
    <x v="0"/>
    <s v="No I would not be pursuing Higher Education outside of India"/>
    <s v="This will be hard to do, but if it is the right company I would try"/>
    <s v="No"/>
    <s v="Will work for them"/>
    <n v="5"/>
    <x v="2"/>
    <x v="2"/>
    <x v="0"/>
    <x v="5"/>
    <s v="Manager who explains what is expected, sets a goal and helps achieve it"/>
    <x v="7"/>
  </r>
  <r>
    <d v="2023-01-18T10:18:58"/>
    <s v="India"/>
    <n v="500062"/>
    <x v="1"/>
    <x v="4"/>
    <s v="Yes, I will earn and do that"/>
    <s v="Will work for 3 years or more"/>
    <s v="No"/>
    <s v="Will NOT work for them"/>
    <n v="5"/>
    <x v="3"/>
    <x v="2"/>
    <x v="1"/>
    <x v="35"/>
    <s v="Manager who sets goal and helps me achieve it"/>
    <x v="1"/>
  </r>
  <r>
    <d v="2023-01-18T21:38:53"/>
    <s v="India"/>
    <n v="560100"/>
    <x v="1"/>
    <x v="0"/>
    <s v="Yes, I will earn and do that"/>
    <s v="This will be hard to do, but if it is the right company I would try"/>
    <s v="Yes"/>
    <s v="Will NOT work for them"/>
    <n v="6"/>
    <x v="4"/>
    <x v="1"/>
    <x v="0"/>
    <x v="23"/>
    <s v="Manager who explains what is expected, sets a goal and helps achieve it"/>
    <x v="1"/>
  </r>
  <r>
    <d v="2023-01-19T16:57:49"/>
    <s v="India"/>
    <n v="490006"/>
    <x v="1"/>
    <x v="4"/>
    <s v="No I would not be pursuing Higher Education outside of India"/>
    <s v="This will be hard to do, but if it is the right company I would try"/>
    <s v="No"/>
    <s v="Will NOT work for them"/>
    <n v="7"/>
    <x v="2"/>
    <x v="1"/>
    <x v="0"/>
    <x v="5"/>
    <s v="Manager who clearly describes what she/he needs"/>
    <x v="1"/>
  </r>
  <r>
    <d v="2023-01-20T20:43:49"/>
    <s v="India"/>
    <n v="834001"/>
    <x v="0"/>
    <x v="3"/>
    <s v="No, But if someone could bare the cost I will"/>
    <s v="This will be hard to do, but if it is the right company I would try"/>
    <s v="Yes"/>
    <s v="Will NOT work for them"/>
    <n v="7"/>
    <x v="2"/>
    <x v="1"/>
    <x v="0"/>
    <x v="7"/>
    <s v="Manager who explains what is expected, sets a goal and helps achieve it"/>
    <x v="1"/>
  </r>
  <r>
    <d v="2023-01-25T15:02:52"/>
    <s v="India"/>
    <n v="441111"/>
    <x v="1"/>
    <x v="3"/>
    <s v="Yes, I will earn and do that"/>
    <s v="This will be hard to do, but if it is the right company I would try"/>
    <s v="No"/>
    <s v="Will NOT work for them"/>
    <n v="1"/>
    <x v="3"/>
    <x v="1"/>
    <x v="0"/>
    <x v="3"/>
    <s v="Manager who explains what is expected, sets a goal and helps achieve it"/>
    <x v="7"/>
  </r>
  <r>
    <d v="2023-01-26T17:15:36"/>
    <s v="India"/>
    <n v="631052"/>
    <x v="1"/>
    <x v="4"/>
    <s v="Yes, I will earn and do that"/>
    <s v="This will be hard to do, but if it is the right company I would try"/>
    <s v="No"/>
    <s v="Will NOT work for them"/>
    <n v="2"/>
    <x v="2"/>
    <x v="2"/>
    <x v="1"/>
    <x v="9"/>
    <s v="Manager who explains what is expected, sets a goal and helps achieve it"/>
    <x v="4"/>
  </r>
  <r>
    <d v="2023-01-26T22:41:51"/>
    <s v="India"/>
    <n v="416520"/>
    <x v="1"/>
    <x v="4"/>
    <s v="No I would not be pursuing Higher Education outside of India"/>
    <s v="Will work for 3 years or more"/>
    <s v="Yes"/>
    <s v="Will work for them"/>
    <n v="2"/>
    <x v="1"/>
    <x v="1"/>
    <x v="5"/>
    <x v="1"/>
    <s v="Manager who explains what is expected, sets a goal and helps achieve it"/>
    <x v="1"/>
  </r>
  <r>
    <d v="2023-01-28T11:37:20"/>
    <s v="India"/>
    <n v="560100"/>
    <x v="0"/>
    <x v="3"/>
    <s v="No I would not be pursuing Higher Education outside of India"/>
    <s v="Will work for 3 years or more"/>
    <s v="No"/>
    <s v="Will NOT work for them"/>
    <n v="10"/>
    <x v="3"/>
    <x v="2"/>
    <x v="4"/>
    <x v="28"/>
    <s v="Manager who sets goal and helps me achieve it"/>
    <x v="7"/>
  </r>
  <r>
    <d v="2023-01-28T11:37:23"/>
    <s v="India"/>
    <n v="632301"/>
    <x v="1"/>
    <x v="3"/>
    <s v="No I would not be pursuing Higher Education outside of India"/>
    <s v="This will be hard to do, but if it is the right company I would try"/>
    <s v="Yes"/>
    <s v="Will work for them"/>
    <n v="5"/>
    <x v="3"/>
    <x v="2"/>
    <x v="3"/>
    <x v="13"/>
    <s v="Manager who explains what is expected, sets a goal and helps achieve it"/>
    <x v="1"/>
  </r>
  <r>
    <d v="2023-02-20T21:04:17"/>
    <s v="India"/>
    <n v="641046"/>
    <x v="0"/>
    <x v="0"/>
    <s v="Yes, I will earn and do that"/>
    <s v="This will be hard to do, but if it is the right company I would try"/>
    <s v="Yes"/>
    <s v="Will NOT work for them"/>
    <n v="6"/>
    <x v="3"/>
    <x v="2"/>
    <x v="4"/>
    <x v="72"/>
    <s v="Manager who explains what is expected, sets a goal and helps achieve it"/>
    <x v="16"/>
  </r>
  <r>
    <d v="2023-02-22T12:15:03"/>
    <s v="India"/>
    <n v="394230"/>
    <x v="0"/>
    <x v="4"/>
    <s v="No, But if someone could bare the cost I will"/>
    <s v="This will be hard to do, but if it is the right company I would try"/>
    <s v="Yes"/>
    <s v="Will work for them"/>
    <n v="10"/>
    <x v="3"/>
    <x v="1"/>
    <x v="0"/>
    <x v="83"/>
    <s v="Manager who explains what is expected, sets a goal and helps achieve it"/>
    <x v="1"/>
  </r>
  <r>
    <d v="2023-02-28T19:40:43"/>
    <s v="India"/>
    <n v="44023"/>
    <x v="0"/>
    <x v="4"/>
    <s v="No I would not be pursuing Higher Education outside of India"/>
    <s v="This will be hard to do, but if it is the right company I would try"/>
    <s v="Yes"/>
    <s v="Will work for them"/>
    <n v="5"/>
    <x v="4"/>
    <x v="0"/>
    <x v="4"/>
    <x v="42"/>
    <s v="Manager who sets goal and helps me achieve it"/>
    <x v="7"/>
  </r>
  <r>
    <d v="2023-03-27T15:56:38"/>
    <s v="India"/>
    <n v="620017"/>
    <x v="1"/>
    <x v="0"/>
    <s v="No, But if someone could bare the cost I will"/>
    <s v="Will work for 3 years or more"/>
    <s v="No"/>
    <s v="Will NOT work for them"/>
    <n v="5"/>
    <x v="2"/>
    <x v="2"/>
    <x v="1"/>
    <x v="24"/>
    <s v="Manager who explains what is expected, sets a goal and helps achieve it"/>
    <x v="12"/>
  </r>
  <r>
    <d v="2023-04-04T21:03:24"/>
    <s v="India"/>
    <n v="500032"/>
    <x v="0"/>
    <x v="0"/>
    <s v="No I would not be pursuing Higher Education outside of India"/>
    <s v="Will work for 3 years or more"/>
    <s v="No"/>
    <s v="Will NOT work for them"/>
    <n v="5"/>
    <x v="1"/>
    <x v="1"/>
    <x v="0"/>
    <x v="58"/>
    <s v="Manager who explains what is expected, sets a goal and helps achieve it"/>
    <x v="19"/>
  </r>
  <r>
    <d v="2023-04-04T21:04:46"/>
    <s v="India"/>
    <n v="600083"/>
    <x v="1"/>
    <x v="2"/>
    <s v="Yes, I will earn and do that"/>
    <s v="No way, 3 years with one employer is crazy"/>
    <s v="No"/>
    <s v="Will NOT work for them"/>
    <n v="3"/>
    <x v="1"/>
    <x v="1"/>
    <x v="3"/>
    <x v="5"/>
    <s v="Manager who explains what is expected, sets a goal and helps achieve it"/>
    <x v="11"/>
  </r>
  <r>
    <d v="2023-04-04T21:13:36"/>
    <s v="India"/>
    <n v="560016"/>
    <x v="0"/>
    <x v="3"/>
    <s v="No, But if someone could bare the cost I will"/>
    <s v="This will be hard to do, but if it is the right company I would try"/>
    <s v="No"/>
    <s v="Will work for them"/>
    <n v="5"/>
    <x v="1"/>
    <x v="2"/>
    <x v="0"/>
    <x v="94"/>
    <s v="Manager who explains what is expected, sets a goal and helps achieve it"/>
    <x v="7"/>
  </r>
  <r>
    <d v="2023-04-04T21:14:17"/>
    <s v="India"/>
    <n v="560083"/>
    <x v="0"/>
    <x v="2"/>
    <s v="No I would not be pursuing Higher Education outside of India"/>
    <s v="Will work for 3 years or more"/>
    <s v="No"/>
    <s v="Will NOT work for them"/>
    <n v="1"/>
    <x v="5"/>
    <x v="1"/>
    <x v="1"/>
    <x v="95"/>
    <s v="Manager who explains what is expected, sets a goal and helps achieve it"/>
    <x v="1"/>
  </r>
  <r>
    <d v="2023-04-04T21:15:02"/>
    <s v="India"/>
    <n v="250001"/>
    <x v="0"/>
    <x v="0"/>
    <s v="Yes, I will earn and do that"/>
    <s v="This will be hard to do, but if it is the right company I would try"/>
    <s v="No"/>
    <s v="Will NOT work for them"/>
    <n v="6"/>
    <x v="5"/>
    <x v="0"/>
    <x v="2"/>
    <x v="96"/>
    <s v="Manager who sets goal and helps me achieve it"/>
    <x v="3"/>
  </r>
  <r>
    <d v="2023-04-04T21:20:22"/>
    <s v="India"/>
    <n v="560034"/>
    <x v="0"/>
    <x v="0"/>
    <s v="Yes, I will earn and do that"/>
    <s v="This will be hard to do, but if it is the right company I would try"/>
    <s v="No"/>
    <s v="Will NOT work for them"/>
    <n v="1"/>
    <x v="1"/>
    <x v="1"/>
    <x v="6"/>
    <x v="97"/>
    <s v="Manager who explains what is expected, sets a goal and helps achieve it"/>
    <x v="5"/>
  </r>
  <r>
    <d v="2023-04-04T21:30:33"/>
    <s v="India"/>
    <n v="641004"/>
    <x v="0"/>
    <x v="1"/>
    <s v="Yes, I will earn and do that"/>
    <s v="Will work for 3 years or more"/>
    <s v="Yes"/>
    <s v="Will NOT work for them"/>
    <n v="8"/>
    <x v="0"/>
    <x v="2"/>
    <x v="7"/>
    <x v="98"/>
    <s v="Manager who sets goal and helps me achieve it"/>
    <x v="2"/>
  </r>
  <r>
    <d v="2023-04-04T21:41:58"/>
    <s v="India"/>
    <n v="452003"/>
    <x v="0"/>
    <x v="0"/>
    <s v="Yes, I will earn and do that"/>
    <s v="This will be hard to do, but if it is the right company I would try"/>
    <s v="No"/>
    <s v="Will NOT work for them"/>
    <n v="4"/>
    <x v="1"/>
    <x v="1"/>
    <x v="6"/>
    <x v="99"/>
    <s v="Manager who sets targets and expects me to achieve it"/>
    <x v="3"/>
  </r>
  <r>
    <d v="2023-04-04T21:45:32"/>
    <s v="India"/>
    <n v="560049"/>
    <x v="0"/>
    <x v="4"/>
    <s v="Yes, I will earn and do that"/>
    <s v="This will be hard to do, but if it is the right company I would try"/>
    <s v="No"/>
    <s v="Will NOT work for them"/>
    <n v="6"/>
    <x v="6"/>
    <x v="1"/>
    <x v="8"/>
    <x v="100"/>
    <s v="Manager who explains what is expected, sets a goal and helps achieve it"/>
    <x v="2"/>
  </r>
  <r>
    <d v="2023-04-04T22:44:43"/>
    <s v="India"/>
    <n v="335526"/>
    <x v="1"/>
    <x v="0"/>
    <s v="Yes, I will earn and do that"/>
    <s v="This will be hard to do, but if it is the right company I would try"/>
    <s v="No"/>
    <s v="Will NOT work for them"/>
    <n v="5"/>
    <x v="1"/>
    <x v="2"/>
    <x v="6"/>
    <x v="101"/>
    <s v="Manager who sets goal and helps me achieve it"/>
    <x v="4"/>
  </r>
  <r>
    <d v="2023-04-04T22:49:42"/>
    <s v="India"/>
    <n v="58000"/>
    <x v="1"/>
    <x v="3"/>
    <s v="Yes, I will earn and do that"/>
    <s v="Will work for 3 years or more"/>
    <s v="Yes"/>
    <s v="Will NOT work for them"/>
    <n v="5"/>
    <x v="1"/>
    <x v="0"/>
    <x v="9"/>
    <x v="102"/>
    <s v="Manager who explains what is expected, sets a goal and helps achieve it"/>
    <x v="4"/>
  </r>
  <r>
    <d v="2023-04-05T00:08:44"/>
    <s v="India"/>
    <n v="400078"/>
    <x v="0"/>
    <x v="0"/>
    <s v="Yes, I will earn and do that"/>
    <s v="No way"/>
    <s v="Yes"/>
    <s v="Will NOT work for them"/>
    <n v="7"/>
    <x v="5"/>
    <x v="1"/>
    <x v="9"/>
    <x v="103"/>
    <s v="Manager who explains what is expected, sets a goal and helps achieve it"/>
    <x v="7"/>
  </r>
  <r>
    <d v="2023-04-05T00:12:34"/>
    <s v="India"/>
    <n v="411028"/>
    <x v="0"/>
    <x v="0"/>
    <s v="Yes, I will earn and do that"/>
    <s v="This will be hard to do, but if it is the right company I would try"/>
    <s v="Yes"/>
    <s v="Will NOT work for them"/>
    <n v="7"/>
    <x v="1"/>
    <x v="1"/>
    <x v="10"/>
    <x v="104"/>
    <s v="Manager who explains what is expected, sets a goal and helps achieve it"/>
    <x v="7"/>
  </r>
  <r>
    <d v="2023-04-05T00:19:17"/>
    <s v="Canada"/>
    <n v="132001"/>
    <x v="1"/>
    <x v="0"/>
    <s v="Yes, I will earn and do that"/>
    <s v="This will be hard to do, but if it is the right company I would try"/>
    <s v="No"/>
    <s v="Will NOT work for them"/>
    <n v="5"/>
    <x v="1"/>
    <x v="1"/>
    <x v="11"/>
    <x v="105"/>
    <s v="Manager who explains what is expected, sets a goal and helps achieve it"/>
    <x v="1"/>
  </r>
  <r>
    <d v="2023-04-05T00:30:25"/>
    <s v="India"/>
    <n v="440002"/>
    <x v="0"/>
    <x v="4"/>
    <s v="No, But if someone could bare the cost I will"/>
    <s v="This will be hard to do, but if it is the right company I would try"/>
    <s v="No"/>
    <s v="Will NOT work for them"/>
    <n v="4"/>
    <x v="6"/>
    <x v="0"/>
    <x v="7"/>
    <x v="106"/>
    <s v="Manager who sets goal and helps me achieve it"/>
    <x v="7"/>
  </r>
  <r>
    <d v="2023-04-05T00:36:02"/>
    <s v="India"/>
    <n v="624005"/>
    <x v="1"/>
    <x v="0"/>
    <s v="No I would not be pursuing Higher Education outside of India"/>
    <s v="Will work for 3 years or more"/>
    <s v="No"/>
    <s v="Will NOT work for them"/>
    <n v="1"/>
    <x v="6"/>
    <x v="2"/>
    <x v="12"/>
    <x v="107"/>
    <s v="Manager who explains what is expected, sets a goal and helps achieve it"/>
    <x v="1"/>
  </r>
  <r>
    <d v="2023-04-05T00:47:54"/>
    <s v="India"/>
    <n v="382424"/>
    <x v="0"/>
    <x v="2"/>
    <s v="No I would not be pursuing Higher Education outside of India"/>
    <s v="Will work for 3 years or more"/>
    <s v="No"/>
    <s v="Will NOT work for them"/>
    <n v="6"/>
    <x v="1"/>
    <x v="1"/>
    <x v="6"/>
    <x v="108"/>
    <s v="Manager who sets unrealistic targets"/>
    <x v="1"/>
  </r>
  <r>
    <d v="2023-04-05T00:48:27"/>
    <s v="Canada"/>
    <n v="226016"/>
    <x v="1"/>
    <x v="2"/>
    <s v="No, But if someone could bare the cost I will"/>
    <s v="Will work for 3 years or more"/>
    <s v="No"/>
    <s v="Will NOT work for them"/>
    <n v="8"/>
    <x v="5"/>
    <x v="2"/>
    <x v="9"/>
    <x v="109"/>
    <s v="Manager who sets goal and helps me achieve it"/>
    <x v="3"/>
  </r>
  <r>
    <d v="2023-04-05T00:50:50"/>
    <s v="India"/>
    <n v="110077"/>
    <x v="0"/>
    <x v="0"/>
    <s v="No I would not be pursuing Higher Education outside of India"/>
    <s v="This will be hard to do, but if it is the right company I would try"/>
    <s v="No"/>
    <s v="Will NOT work for them"/>
    <n v="5"/>
    <x v="6"/>
    <x v="1"/>
    <x v="6"/>
    <x v="110"/>
    <s v="Manager who explains what is expected, sets a goal and helps achieve it"/>
    <x v="9"/>
  </r>
  <r>
    <d v="2023-04-05T01:00:42"/>
    <s v="India"/>
    <n v="442902"/>
    <x v="0"/>
    <x v="3"/>
    <s v="Yes, I will earn and do that"/>
    <s v="This will be hard to do, but if it is the right company I would try"/>
    <s v="No"/>
    <s v="Will NOT work for them"/>
    <n v="5"/>
    <x v="6"/>
    <x v="1"/>
    <x v="7"/>
    <x v="105"/>
    <s v="Manager who explains what is expected, sets a goal and helps achieve it"/>
    <x v="19"/>
  </r>
  <r>
    <d v="2023-04-05T01:08:58"/>
    <s v="India"/>
    <n v="530032"/>
    <x v="0"/>
    <x v="2"/>
    <s v="No I would not be pursuing Higher Education outside of India"/>
    <s v="This will be hard to do, but if it is the right company I would try"/>
    <s v="No"/>
    <s v="Will work for them"/>
    <n v="8"/>
    <x v="1"/>
    <x v="0"/>
    <x v="13"/>
    <x v="111"/>
    <s v="Manager who clearly describes what she/he needs"/>
    <x v="11"/>
  </r>
  <r>
    <d v="2023-04-05T01:46:02"/>
    <s v="India"/>
    <n v="412207"/>
    <x v="0"/>
    <x v="0"/>
    <s v="No I would not be pursuing Higher Education outside of India"/>
    <s v="This will be hard to do, but if it is the right company I would try"/>
    <s v="Yes"/>
    <s v="Will NOT work for them"/>
    <n v="4"/>
    <x v="3"/>
    <x v="2"/>
    <x v="14"/>
    <x v="112"/>
    <s v="Manager who explains what is expected, sets a goal and helps achieve it"/>
    <x v="1"/>
  </r>
  <r>
    <d v="2023-04-05T07:18:30"/>
    <s v="India"/>
    <n v="110059"/>
    <x v="0"/>
    <x v="4"/>
    <s v="Yes, I will earn and do that"/>
    <s v="This will be hard to do, but if it is the right company I would try"/>
    <s v="No"/>
    <s v="Will NOT work for them"/>
    <n v="8"/>
    <x v="6"/>
    <x v="2"/>
    <x v="6"/>
    <x v="113"/>
    <s v="Manager who sets goal and helps me achieve it"/>
    <x v="4"/>
  </r>
  <r>
    <d v="2023-04-05T07:27:27"/>
    <s v="India"/>
    <n v="627002"/>
    <x v="0"/>
    <x v="4"/>
    <s v="No, But if someone could bare the cost I will"/>
    <s v="Will work for 3 years or more"/>
    <s v="No"/>
    <s v="Will NOT work for them"/>
    <n v="6"/>
    <x v="6"/>
    <x v="1"/>
    <x v="9"/>
    <x v="111"/>
    <s v="Manager who explains what is expected, sets a goal and helps achieve it"/>
    <x v="1"/>
  </r>
  <r>
    <d v="2023-04-05T07:37:24"/>
    <s v="India"/>
    <n v="250001"/>
    <x v="0"/>
    <x v="2"/>
    <s v="Yes, I will earn and do that"/>
    <s v="This will be hard to do, but if it is the right company I would try"/>
    <s v="No"/>
    <s v="Will NOT work for them"/>
    <n v="6"/>
    <x v="1"/>
    <x v="1"/>
    <x v="9"/>
    <x v="114"/>
    <s v="Manager who clearly describes what she/he needs"/>
    <x v="11"/>
  </r>
  <r>
    <d v="2023-04-05T09:06:13"/>
    <s v="India"/>
    <n v="721506"/>
    <x v="1"/>
    <x v="3"/>
    <s v="Yes, I will earn and do that"/>
    <s v="Will work for 3 years or more"/>
    <s v="Yes"/>
    <s v="Will NOT work for them"/>
    <n v="9"/>
    <x v="3"/>
    <x v="1"/>
    <x v="9"/>
    <x v="111"/>
    <s v="Manager who explains what is expected, sets a goal and helps achieve it"/>
    <x v="15"/>
  </r>
  <r>
    <d v="2023-04-05T09:17:37"/>
    <s v="India"/>
    <n v="600091"/>
    <x v="0"/>
    <x v="3"/>
    <s v="Yes, I will earn and do that"/>
    <s v="This will be hard to do, but if it is the right company I would try"/>
    <s v="No"/>
    <s v="Will NOT work for them"/>
    <n v="3"/>
    <x v="1"/>
    <x v="2"/>
    <x v="14"/>
    <x v="115"/>
    <s v="Manager who explains what is expected, sets a goal and helps achieve it"/>
    <x v="4"/>
  </r>
  <r>
    <d v="2023-04-05T09:31:12"/>
    <s v="India"/>
    <n v="600129"/>
    <x v="0"/>
    <x v="4"/>
    <s v="No I would not be pursuing Higher Education outside of India"/>
    <s v="Will work for 3 years or more"/>
    <s v="No"/>
    <s v="Will work for them"/>
    <n v="7"/>
    <x v="3"/>
    <x v="2"/>
    <x v="15"/>
    <x v="116"/>
    <s v="Manager who explains what is expected, sets a goal and helps achieve it"/>
    <x v="1"/>
  </r>
  <r>
    <d v="2023-04-05T09:33:56"/>
    <s v="India"/>
    <n v="834001"/>
    <x v="1"/>
    <x v="1"/>
    <s v="Yes, I will earn and do that"/>
    <s v="This will be hard to do, but if it is the right company I would try"/>
    <s v="No"/>
    <s v="Will NOT work for them"/>
    <n v="2"/>
    <x v="6"/>
    <x v="1"/>
    <x v="10"/>
    <x v="117"/>
    <s v="Manager who explains what is expected, sets a goal and helps achieve it"/>
    <x v="16"/>
  </r>
  <r>
    <d v="2023-04-05T09:36:45"/>
    <s v="India"/>
    <n v="641028"/>
    <x v="0"/>
    <x v="0"/>
    <s v="Yes, I will earn and do that"/>
    <s v="This will be hard to do, but if it is the right company I would try"/>
    <s v="Yes"/>
    <s v="Will work for them"/>
    <n v="6"/>
    <x v="6"/>
    <x v="1"/>
    <x v="11"/>
    <x v="118"/>
    <s v="Manager who explains what is expected, sets a goal and helps achieve it"/>
    <x v="5"/>
  </r>
  <r>
    <d v="2023-04-05T09:45:29"/>
    <s v="India"/>
    <s v="+91"/>
    <x v="0"/>
    <x v="1"/>
    <s v="Yes, I will earn and do that"/>
    <s v="Will work for 3 years or more"/>
    <s v="Yes"/>
    <s v="Will NOT work for them"/>
    <n v="8"/>
    <x v="6"/>
    <x v="1"/>
    <x v="16"/>
    <x v="119"/>
    <s v="Manager who clearly describes what she/he needs"/>
    <x v="7"/>
  </r>
  <r>
    <d v="2023-04-05T10:00:10"/>
    <s v="India"/>
    <n v="600014"/>
    <x v="0"/>
    <x v="1"/>
    <s v="No I would not be pursuing Higher Education outside of India"/>
    <s v="This will be hard to do, but if it is the right company I would try"/>
    <s v="No"/>
    <s v="Will NOT work for them"/>
    <n v="5"/>
    <x v="5"/>
    <x v="2"/>
    <x v="11"/>
    <x v="109"/>
    <s v="Manager who explains what is expected, sets a goal and helps achieve it"/>
    <x v="3"/>
  </r>
  <r>
    <d v="2023-04-05T10:12:37"/>
    <s v="India"/>
    <n v="671315"/>
    <x v="0"/>
    <x v="1"/>
    <s v="No, But if someone could bare the cost I will"/>
    <s v="This will be hard to do, but if it is the right company I would try"/>
    <s v="Yes"/>
    <s v="Will work for them"/>
    <n v="4"/>
    <x v="5"/>
    <x v="1"/>
    <x v="11"/>
    <x v="120"/>
    <s v="Manager who explains what is expected, sets a goal and helps achieve it"/>
    <x v="2"/>
  </r>
  <r>
    <d v="2023-04-05T10:29:08"/>
    <s v="India"/>
    <n v="500079"/>
    <x v="0"/>
    <x v="3"/>
    <s v="Yes, I will earn and do that"/>
    <s v="This will be hard to do, but if it is the right company I would try"/>
    <s v="No"/>
    <s v="Will NOT work for them"/>
    <n v="4"/>
    <x v="1"/>
    <x v="2"/>
    <x v="6"/>
    <x v="98"/>
    <s v="Manager who explains what is expected, sets a goal and helps achieve it"/>
    <x v="1"/>
  </r>
  <r>
    <d v="2023-04-05T10:29:15"/>
    <s v="Others"/>
    <n v="2151"/>
    <x v="0"/>
    <x v="2"/>
    <s v="Yes, I will earn and do that"/>
    <s v="Will work for 3 years or more"/>
    <s v="Yes"/>
    <s v="Will work for them"/>
    <n v="10"/>
    <x v="3"/>
    <x v="2"/>
    <x v="15"/>
    <x v="121"/>
    <s v="Manager who explains what is expected, sets a goal and helps achieve it"/>
    <x v="7"/>
  </r>
  <r>
    <d v="2023-04-05T10:30:56"/>
    <s v="India"/>
    <n v="670014"/>
    <x v="0"/>
    <x v="2"/>
    <s v="Yes, I will earn and do that"/>
    <s v="Will work for 3 years or more"/>
    <s v="Yes"/>
    <s v="Will work for them"/>
    <n v="6"/>
    <x v="6"/>
    <x v="1"/>
    <x v="9"/>
    <x v="122"/>
    <s v="Manager who explains what is expected, sets a goal and helps achieve it"/>
    <x v="1"/>
  </r>
  <r>
    <d v="2023-04-05T10:33:20"/>
    <s v="India"/>
    <n v="390009"/>
    <x v="0"/>
    <x v="3"/>
    <s v="Yes, I will earn and do that"/>
    <s v="This will be hard to do, but if it is the right company I would try"/>
    <s v="No"/>
    <s v="Will NOT work for them"/>
    <n v="1"/>
    <x v="3"/>
    <x v="1"/>
    <x v="8"/>
    <x v="118"/>
    <s v="Manager who explains what is expected, sets a goal and helps achieve it"/>
    <x v="7"/>
  </r>
  <r>
    <d v="2023-04-05T10:37:24"/>
    <s v="India"/>
    <n v="500079"/>
    <x v="0"/>
    <x v="3"/>
    <s v="Yes, I will earn and do that"/>
    <s v="This will be hard to do, but if it is the right company I would try"/>
    <s v="No"/>
    <s v="Will NOT work for them"/>
    <n v="2"/>
    <x v="6"/>
    <x v="1"/>
    <x v="11"/>
    <x v="123"/>
    <s v="Manager who explains what is expected, sets a goal and helps achieve it"/>
    <x v="1"/>
  </r>
  <r>
    <d v="2023-04-05T10:37:42"/>
    <s v="India"/>
    <n v="560066"/>
    <x v="0"/>
    <x v="0"/>
    <s v="Yes, I will earn and do that"/>
    <s v="Will work for 3 years or more"/>
    <s v="Yes"/>
    <s v="Will NOT work for them"/>
    <n v="7"/>
    <x v="6"/>
    <x v="1"/>
    <x v="17"/>
    <x v="124"/>
    <s v="Manager who explains what is expected, sets a goal and helps achieve it"/>
    <x v="9"/>
  </r>
  <r>
    <d v="2023-04-05T10:37:58"/>
    <s v="India"/>
    <n v="421301"/>
    <x v="0"/>
    <x v="0"/>
    <s v="No I would not be pursuing Higher Education outside of India"/>
    <s v="Will work for 3 years or more"/>
    <s v="Yes"/>
    <s v="Will NOT work for them"/>
    <n v="5"/>
    <x v="1"/>
    <x v="1"/>
    <x v="7"/>
    <x v="125"/>
    <s v="Manager who clearly describes what she/he needs"/>
    <x v="4"/>
  </r>
  <r>
    <d v="2023-04-05T10:39:37"/>
    <s v="Others"/>
    <s v="02-414"/>
    <x v="0"/>
    <x v="2"/>
    <s v="Yes, I will earn and do that"/>
    <s v="This will be hard to do, but if it is the right company I would try"/>
    <s v="Yes"/>
    <s v="Will work for them"/>
    <n v="6"/>
    <x v="5"/>
    <x v="1"/>
    <x v="11"/>
    <x v="126"/>
    <s v="Manager who explains what is expected, sets a goal and helps achieve it"/>
    <x v="2"/>
  </r>
  <r>
    <d v="2023-04-05T10:40:25"/>
    <s v="India"/>
    <n v="500008"/>
    <x v="0"/>
    <x v="0"/>
    <s v="No, But if someone could bare the cost I will"/>
    <s v="This will be hard to do, but if it is the right company I would try"/>
    <s v="Yes"/>
    <s v="Will work for them"/>
    <n v="5"/>
    <x v="1"/>
    <x v="2"/>
    <x v="7"/>
    <x v="124"/>
    <s v="Manager who sets goal and helps me achieve it"/>
    <x v="6"/>
  </r>
  <r>
    <d v="2023-04-05T10:42:07"/>
    <s v="India"/>
    <n v="400083"/>
    <x v="0"/>
    <x v="1"/>
    <s v="No I would not be pursuing Higher Education outside of India"/>
    <s v="This will be hard to do, but if it is the right company I would try"/>
    <s v="Yes"/>
    <s v="Will work for them"/>
    <n v="10"/>
    <x v="5"/>
    <x v="2"/>
    <x v="8"/>
    <x v="97"/>
    <s v="Manager who clearly describes what she/he needs"/>
    <x v="3"/>
  </r>
  <r>
    <d v="2023-04-05T10:46:43"/>
    <s v="India"/>
    <n v="627357"/>
    <x v="0"/>
    <x v="0"/>
    <s v="Yes, I will earn and do that"/>
    <s v="This will be hard to do, but if it is the right company I would try"/>
    <s v="Yes"/>
    <s v="Will work for them"/>
    <n v="8"/>
    <x v="3"/>
    <x v="1"/>
    <x v="6"/>
    <x v="127"/>
    <s v="Manager who explains what is expected, sets a goal and helps achieve it"/>
    <x v="1"/>
  </r>
  <r>
    <d v="2023-04-05T10:48:14"/>
    <s v="India"/>
    <n v="500036"/>
    <x v="0"/>
    <x v="4"/>
    <s v="Yes, I will earn and do that"/>
    <s v="This will be hard to do, but if it is the right company I would try"/>
    <s v="No"/>
    <s v="Will NOT work for them"/>
    <n v="3"/>
    <x v="6"/>
    <x v="2"/>
    <x v="17"/>
    <x v="128"/>
    <s v="Manager who clearly describes what she/he needs"/>
    <x v="3"/>
  </r>
  <r>
    <d v="2023-04-05T10:48:18"/>
    <s v="India"/>
    <n v="500079"/>
    <x v="1"/>
    <x v="0"/>
    <s v="No, But if someone could bare the cost I will"/>
    <s v="This will be hard to do, but if it is the right company I would try"/>
    <s v="No"/>
    <s v="Will NOT work for them"/>
    <n v="7"/>
    <x v="1"/>
    <x v="1"/>
    <x v="6"/>
    <x v="129"/>
    <s v="Manager who explains what is expected, sets a goal and helps achieve it"/>
    <x v="4"/>
  </r>
  <r>
    <d v="2023-04-05T10:49:53"/>
    <s v="India"/>
    <n v="440036"/>
    <x v="1"/>
    <x v="4"/>
    <s v="Yes, I will earn and do that"/>
    <s v="This will be hard to do, but if it is the right company I would try"/>
    <s v="Yes"/>
    <s v="Will NOT work for them"/>
    <n v="3"/>
    <x v="1"/>
    <x v="1"/>
    <x v="8"/>
    <x v="130"/>
    <s v="Manager who explains what is expected, sets a goal and helps achieve it"/>
    <x v="3"/>
  </r>
  <r>
    <d v="2023-04-05T10:51:08"/>
    <s v="India"/>
    <n v="500060"/>
    <x v="0"/>
    <x v="0"/>
    <s v="No I would not be pursuing Higher Education outside of India"/>
    <s v="No way"/>
    <s v="No"/>
    <s v="Will NOT work for them"/>
    <n v="1"/>
    <x v="5"/>
    <x v="3"/>
    <x v="6"/>
    <x v="131"/>
    <s v="Manager who clearly describes what she/he needs"/>
    <x v="1"/>
  </r>
  <r>
    <d v="2023-04-05T10:53:16"/>
    <s v="India"/>
    <n v="560076"/>
    <x v="0"/>
    <x v="3"/>
    <s v="Yes, I will earn and do that"/>
    <s v="This will be hard to do, but if it is the right company I would try"/>
    <s v="No"/>
    <s v="Will NOT work for them"/>
    <n v="2"/>
    <x v="5"/>
    <x v="1"/>
    <x v="10"/>
    <x v="113"/>
    <s v="Manager who explains what is expected, sets a goal and helps achieve it"/>
    <x v="11"/>
  </r>
  <r>
    <d v="2023-04-05T10:55:51"/>
    <s v="India"/>
    <n v="500079"/>
    <x v="1"/>
    <x v="3"/>
    <s v="No I would not be pursuing Higher Education outside of India"/>
    <s v="Will work for 3 years or more"/>
    <s v="No"/>
    <s v="Will NOT work for them"/>
    <n v="5"/>
    <x v="6"/>
    <x v="1"/>
    <x v="9"/>
    <x v="132"/>
    <s v="Manager who sets goal and helps me achieve it"/>
    <x v="1"/>
  </r>
  <r>
    <d v="2023-04-05T10:56:07"/>
    <s v="India"/>
    <n v="560003"/>
    <x v="1"/>
    <x v="0"/>
    <s v="No I would not be pursuing Higher Education outside of India"/>
    <s v="Will work for 3 years or more"/>
    <s v="No"/>
    <s v="Will NOT work for them"/>
    <n v="3"/>
    <x v="5"/>
    <x v="1"/>
    <x v="18"/>
    <x v="113"/>
    <s v="Manager who explains what is expected, sets a goal and helps achieve it"/>
    <x v="1"/>
  </r>
  <r>
    <d v="2023-04-05T10:57:04"/>
    <s v="India"/>
    <n v="560100"/>
    <x v="0"/>
    <x v="0"/>
    <s v="No, But if someone could bare the cost I will"/>
    <s v="This will be hard to do, but if it is the right company I would try"/>
    <s v="No"/>
    <s v="Will NOT work for them"/>
    <n v="5"/>
    <x v="1"/>
    <x v="2"/>
    <x v="7"/>
    <x v="133"/>
    <s v="Manager who clearly describes what she/he needs"/>
    <x v="3"/>
  </r>
  <r>
    <d v="2023-04-05T10:58:16"/>
    <s v="India"/>
    <n v="400042"/>
    <x v="0"/>
    <x v="3"/>
    <s v="Yes, I will earn and do that"/>
    <s v="This will be hard to do, but if it is the right company I would try"/>
    <s v="No"/>
    <s v="Will NOT work for them"/>
    <n v="1"/>
    <x v="3"/>
    <x v="0"/>
    <x v="8"/>
    <x v="134"/>
    <s v="Manager who explains what is expected, sets a goal and helps achieve it"/>
    <x v="14"/>
  </r>
  <r>
    <d v="2023-04-05T11:06:59"/>
    <s v="India"/>
    <n v="500079"/>
    <x v="0"/>
    <x v="3"/>
    <s v="Yes, I will earn and do that"/>
    <s v="This will be hard to do, but if it is the right company I would try"/>
    <s v="No"/>
    <s v="Will NOT work for them"/>
    <n v="6"/>
    <x v="6"/>
    <x v="1"/>
    <x v="17"/>
    <x v="135"/>
    <s v="Manager who sets goal and helps me achieve it"/>
    <x v="7"/>
  </r>
  <r>
    <d v="2023-04-05T11:08:22"/>
    <s v="India"/>
    <n v="641005"/>
    <x v="1"/>
    <x v="2"/>
    <s v="No I would not be pursuing Higher Education outside of India"/>
    <s v="This will be hard to do, but if it is the right company I would try"/>
    <s v="No"/>
    <s v="Will NOT work for them"/>
    <n v="4"/>
    <x v="0"/>
    <x v="0"/>
    <x v="6"/>
    <x v="136"/>
    <s v="Manager who explains what is expected, sets a goal and helps achieve it"/>
    <x v="3"/>
  </r>
  <r>
    <d v="2023-04-05T11:11:10"/>
    <s v="India"/>
    <n v="201305"/>
    <x v="1"/>
    <x v="4"/>
    <s v="Yes, I will earn and do that"/>
    <s v="Will work for 3 years or more"/>
    <s v="No"/>
    <s v="Will NOT work for them"/>
    <n v="1"/>
    <x v="3"/>
    <x v="1"/>
    <x v="19"/>
    <x v="137"/>
    <s v="Manager who clearly describes what she/he needs"/>
    <x v="7"/>
  </r>
  <r>
    <d v="2023-04-05T11:13:59"/>
    <s v="India"/>
    <n v="509209"/>
    <x v="1"/>
    <x v="4"/>
    <s v="Yes, I will earn and do that"/>
    <s v="This will be hard to do, but if it is the right company I would try"/>
    <s v="No"/>
    <s v="Will NOT work for them"/>
    <n v="1"/>
    <x v="1"/>
    <x v="2"/>
    <x v="15"/>
    <x v="138"/>
    <s v="Manager who clearly describes what she/he needs"/>
    <x v="3"/>
  </r>
  <r>
    <d v="2023-04-05T11:16:38"/>
    <s v="India"/>
    <n v="501505"/>
    <x v="0"/>
    <x v="4"/>
    <s v="Yes, I will earn and do that"/>
    <s v="Will work for 3 years or more"/>
    <s v="No"/>
    <s v="Will NOT work for them"/>
    <n v="5"/>
    <x v="6"/>
    <x v="1"/>
    <x v="19"/>
    <x v="139"/>
    <s v="Manager who sets goal and helps me achieve it"/>
    <x v="1"/>
  </r>
  <r>
    <d v="2023-04-05T11:20:43"/>
    <s v="India"/>
    <n v="442906"/>
    <x v="0"/>
    <x v="2"/>
    <s v="No, But if someone could bare the cost I will"/>
    <s v="Will work for 3 years or more"/>
    <s v="Yes"/>
    <s v="Will work for them"/>
    <n v="4"/>
    <x v="6"/>
    <x v="1"/>
    <x v="20"/>
    <x v="140"/>
    <s v="Manager who explains what is expected, sets a goal and helps achieve it"/>
    <x v="1"/>
  </r>
  <r>
    <d v="2023-04-05T11:21:00"/>
    <s v="Canada"/>
    <n v="508213"/>
    <x v="0"/>
    <x v="3"/>
    <s v="Yes, I will earn and do that"/>
    <s v="Will work for 3 years or more"/>
    <s v="Yes"/>
    <s v="Will work for them"/>
    <n v="3"/>
    <x v="1"/>
    <x v="1"/>
    <x v="9"/>
    <x v="132"/>
    <s v="Manager who explains what is expected, sets a goal and helps achieve it"/>
    <x v="16"/>
  </r>
  <r>
    <d v="2023-04-05T11:21:05"/>
    <s v="India"/>
    <n v="500079"/>
    <x v="1"/>
    <x v="0"/>
    <s v="No I would not be pursuing Higher Education outside of India"/>
    <s v="Will work for 3 years or more"/>
    <s v="No"/>
    <s v="Will NOT work for them"/>
    <n v="1"/>
    <x v="5"/>
    <x v="2"/>
    <x v="9"/>
    <x v="141"/>
    <s v="Manager who explains what is expected, sets a goal and helps achieve it"/>
    <x v="6"/>
  </r>
  <r>
    <d v="2023-04-05T11:21:24"/>
    <s v="India"/>
    <n v="500070"/>
    <x v="1"/>
    <x v="4"/>
    <s v="No, But if someone could bare the cost I will"/>
    <s v="This will be hard to do, but if it is the right company I would try"/>
    <s v="No"/>
    <s v="Will NOT work for them"/>
    <n v="2"/>
    <x v="1"/>
    <x v="2"/>
    <x v="6"/>
    <x v="142"/>
    <s v="Manager who explains what is expected, sets a goal and helps achieve it"/>
    <x v="3"/>
  </r>
  <r>
    <d v="2023-04-05T11:22:28"/>
    <s v="India"/>
    <n v="509209"/>
    <x v="1"/>
    <x v="4"/>
    <s v="No I would not be pursuing Higher Education outside of India"/>
    <s v="This will be hard to do, but if it is the right company I would try"/>
    <s v="No"/>
    <s v="Will NOT work for them"/>
    <n v="6"/>
    <x v="1"/>
    <x v="1"/>
    <x v="9"/>
    <x v="143"/>
    <s v="Manager who explains what is expected, sets a goal and helps achieve it"/>
    <x v="2"/>
  </r>
  <r>
    <d v="2023-04-05T11:23:10"/>
    <s v="India"/>
    <n v="600056"/>
    <x v="0"/>
    <x v="4"/>
    <s v="No I would not be pursuing Higher Education outside of India"/>
    <s v="Will work for 3 years or more"/>
    <s v="No"/>
    <s v="Will NOT work for them"/>
    <n v="9"/>
    <x v="6"/>
    <x v="0"/>
    <x v="14"/>
    <x v="144"/>
    <s v="Manager who clearly describes what she/he needs"/>
    <x v="3"/>
  </r>
  <r>
    <d v="2023-04-05T11:24:52"/>
    <s v="Others"/>
    <n v="312"/>
    <x v="0"/>
    <x v="0"/>
    <s v="No, But if someone could bare the cost I will"/>
    <s v="This will be hard to do, but if it is the right company I would try"/>
    <s v="No"/>
    <s v="Will NOT work for them"/>
    <n v="5"/>
    <x v="5"/>
    <x v="1"/>
    <x v="7"/>
    <x v="145"/>
    <s v="Manager who sets goal and helps me achieve it"/>
    <x v="7"/>
  </r>
  <r>
    <d v="2023-04-05T11:25:17"/>
    <s v="India"/>
    <n v="500078"/>
    <x v="0"/>
    <x v="2"/>
    <s v="No, But if someone could bare the cost I will"/>
    <s v="This will be hard to do, but if it is the right company I would try"/>
    <s v="No"/>
    <s v="Will NOT work for them"/>
    <n v="1"/>
    <x v="6"/>
    <x v="2"/>
    <x v="19"/>
    <x v="116"/>
    <s v="Manager who sets goal and helps me achieve it"/>
    <x v="3"/>
  </r>
  <r>
    <d v="2023-04-05T11:25:51"/>
    <s v="India"/>
    <n v="500068"/>
    <x v="0"/>
    <x v="4"/>
    <s v="Yes, I will earn and do that"/>
    <s v="This will be hard to do, but if it is the right company I would try"/>
    <s v="No"/>
    <s v="Will work for them"/>
    <n v="4"/>
    <x v="1"/>
    <x v="1"/>
    <x v="15"/>
    <x v="146"/>
    <s v="Manager who explains what is expected, sets a goal and helps achieve it"/>
    <x v="3"/>
  </r>
  <r>
    <d v="2023-04-05T11:27:38"/>
    <s v="India"/>
    <n v="500097"/>
    <x v="1"/>
    <x v="1"/>
    <s v="No I would not be pursuing Higher Education outside of India"/>
    <s v="Will work for 3 years or more"/>
    <s v="Yes"/>
    <s v="Will NOT work for them"/>
    <n v="9"/>
    <x v="3"/>
    <x v="1"/>
    <x v="7"/>
    <x v="147"/>
    <s v="Manager who explains what is expected, sets a goal and helps achieve it"/>
    <x v="1"/>
  </r>
  <r>
    <d v="2023-04-05T11:32:00"/>
    <s v="India"/>
    <n v="400043"/>
    <x v="1"/>
    <x v="3"/>
    <s v="Yes, I will earn and do that"/>
    <s v="This will be hard to do, but if it is the right company I would try"/>
    <s v="No"/>
    <s v="Will NOT work for them"/>
    <n v="8"/>
    <x v="6"/>
    <x v="0"/>
    <x v="9"/>
    <x v="148"/>
    <s v="Manager who explains what is expected, sets a goal and helps achieve it"/>
    <x v="3"/>
  </r>
  <r>
    <d v="2023-04-05T11:32:36"/>
    <s v="India"/>
    <n v="500048"/>
    <x v="1"/>
    <x v="0"/>
    <s v="Yes, I will earn and do that"/>
    <s v="Will work for 3 years or more"/>
    <s v="No"/>
    <s v="Will NOT work for them"/>
    <n v="5"/>
    <x v="3"/>
    <x v="2"/>
    <x v="9"/>
    <x v="139"/>
    <s v="Manager who explains what is expected, sets a goal and helps achieve it"/>
    <x v="12"/>
  </r>
  <r>
    <d v="2023-04-05T11:34:20"/>
    <s v="India"/>
    <n v="600125"/>
    <x v="0"/>
    <x v="0"/>
    <s v="No I would not be pursuing Higher Education outside of India"/>
    <s v="Will work for 3 years or more"/>
    <s v="No"/>
    <s v="Will work for them"/>
    <n v="9"/>
    <x v="5"/>
    <x v="1"/>
    <x v="9"/>
    <x v="149"/>
    <s v="Manager who clearly describes what she/he needs"/>
    <x v="3"/>
  </r>
  <r>
    <d v="2023-04-05T11:34:31"/>
    <s v="India"/>
    <n v="131028"/>
    <x v="1"/>
    <x v="0"/>
    <s v="No I would not be pursuing Higher Education outside of India"/>
    <s v="Will work for 3 years or more"/>
    <s v="No"/>
    <s v="Will NOT work for them"/>
    <n v="8"/>
    <x v="6"/>
    <x v="1"/>
    <x v="9"/>
    <x v="150"/>
    <s v="Manager who clearly describes what she/he needs"/>
    <x v="1"/>
  </r>
  <r>
    <d v="2023-04-05T11:36:48"/>
    <s v="India"/>
    <n v="560092"/>
    <x v="0"/>
    <x v="0"/>
    <s v="Yes, I will earn and do that"/>
    <s v="This will be hard to do, but if it is the right company I would try"/>
    <s v="No"/>
    <s v="Will NOT work for them"/>
    <n v="5"/>
    <x v="5"/>
    <x v="1"/>
    <x v="15"/>
    <x v="151"/>
    <s v="Manager who sets goal and helps me achieve it"/>
    <x v="7"/>
  </r>
  <r>
    <d v="2023-04-05T11:37:14"/>
    <s v="India"/>
    <n v="500036"/>
    <x v="1"/>
    <x v="3"/>
    <s v="Yes, I will earn and do that"/>
    <s v="Will work for 3 years or more"/>
    <s v="Yes"/>
    <s v="Will NOT work for them"/>
    <n v="2"/>
    <x v="1"/>
    <x v="2"/>
    <x v="13"/>
    <x v="152"/>
    <s v="Manager who sets targets and expects me to achieve it"/>
    <x v="3"/>
  </r>
  <r>
    <d v="2023-04-05T11:38:14"/>
    <s v="India"/>
    <n v="603210"/>
    <x v="0"/>
    <x v="0"/>
    <s v="Yes, I will earn and do that"/>
    <s v="This will be hard to do, but if it is the right company I would try"/>
    <s v="Yes"/>
    <s v="Will NOT work for them"/>
    <n v="3"/>
    <x v="5"/>
    <x v="1"/>
    <x v="21"/>
    <x v="153"/>
    <s v="Manager who clearly describes what she/he needs"/>
    <x v="7"/>
  </r>
  <r>
    <d v="2023-04-05T11:38:57"/>
    <s v="India"/>
    <n v="500079"/>
    <x v="0"/>
    <x v="0"/>
    <s v="No, But if someone could bare the cost I will"/>
    <s v="Will work for 3 years or more"/>
    <s v="No"/>
    <s v="Will NOT work for them"/>
    <n v="5"/>
    <x v="5"/>
    <x v="1"/>
    <x v="9"/>
    <x v="154"/>
    <s v="Manager who clearly describes what she/he needs"/>
    <x v="8"/>
  </r>
  <r>
    <d v="2023-04-05T11:39:27"/>
    <s v="India"/>
    <n v="501510"/>
    <x v="0"/>
    <x v="4"/>
    <s v="No, But if someone could bare the cost I will"/>
    <s v="Will work for 3 years or more"/>
    <s v="No"/>
    <s v="Will NOT work for them"/>
    <n v="5"/>
    <x v="6"/>
    <x v="0"/>
    <x v="9"/>
    <x v="155"/>
    <s v="Manager who sets goal and helps me achieve it"/>
    <x v="3"/>
  </r>
  <r>
    <d v="2023-04-05T11:40:45"/>
    <s v="India"/>
    <n v="641017"/>
    <x v="1"/>
    <x v="1"/>
    <s v="No I would not be pursuing Higher Education outside of India"/>
    <s v="This will be hard to do, but if it is the right company I would try"/>
    <s v="No"/>
    <s v="Will NOT work for them"/>
    <n v="3"/>
    <x v="6"/>
    <x v="2"/>
    <x v="17"/>
    <x v="156"/>
    <s v="Manager who explains what is expected, sets a goal and helps achieve it"/>
    <x v="4"/>
  </r>
  <r>
    <d v="2023-04-05T11:40:47"/>
    <s v="India"/>
    <n v="400043"/>
    <x v="1"/>
    <x v="3"/>
    <s v="Yes, I will earn and do that"/>
    <s v="No way"/>
    <s v="No"/>
    <s v="Will NOT work for them"/>
    <n v="7"/>
    <x v="1"/>
    <x v="1"/>
    <x v="15"/>
    <x v="148"/>
    <s v="Manager who explains what is expected, sets a goal and helps achieve it"/>
    <x v="11"/>
  </r>
  <r>
    <d v="2023-04-05T11:41:39"/>
    <s v="India"/>
    <n v="71"/>
    <x v="0"/>
    <x v="0"/>
    <s v="No I would not be pursuing Higher Education outside of India"/>
    <s v="No way"/>
    <s v="No"/>
    <s v="Will NOT work for them"/>
    <n v="1"/>
    <x v="1"/>
    <x v="2"/>
    <x v="7"/>
    <x v="157"/>
    <s v="Manager who sets unrealistic targets"/>
    <x v="3"/>
  </r>
  <r>
    <d v="2023-04-05T11:42:52"/>
    <s v="India"/>
    <n v="602105"/>
    <x v="0"/>
    <x v="2"/>
    <s v="No I would not be pursuing Higher Education outside of India"/>
    <s v="Will work for 3 years or more"/>
    <s v="Yes"/>
    <s v="Will work for them"/>
    <n v="8"/>
    <x v="1"/>
    <x v="2"/>
    <x v="9"/>
    <x v="158"/>
    <s v="Manager who clearly describes what she/he needs"/>
    <x v="7"/>
  </r>
  <r>
    <d v="2023-04-05T11:43:08"/>
    <s v="India"/>
    <n v="600056"/>
    <x v="0"/>
    <x v="4"/>
    <s v="No I would not be pursuing Higher Education outside of India"/>
    <s v="Will work for 3 years or more"/>
    <s v="Yes"/>
    <s v="Will work for them"/>
    <n v="3"/>
    <x v="3"/>
    <x v="2"/>
    <x v="9"/>
    <x v="159"/>
    <s v="Manager who clearly describes what she/he needs"/>
    <x v="6"/>
  </r>
  <r>
    <d v="2023-04-05T11:43:21"/>
    <s v="India"/>
    <n v="682027"/>
    <x v="0"/>
    <x v="3"/>
    <s v="No, But if someone could bare the cost I will"/>
    <s v="This will be hard to do, but if it is the right company I would try"/>
    <s v="No"/>
    <s v="Will NOT work for them"/>
    <n v="7"/>
    <x v="1"/>
    <x v="1"/>
    <x v="19"/>
    <x v="122"/>
    <s v="Manager who explains what is expected, sets a goal and helps achieve it"/>
    <x v="1"/>
  </r>
  <r>
    <d v="2023-04-05T11:45:22"/>
    <s v="India"/>
    <n v="442902"/>
    <x v="1"/>
    <x v="4"/>
    <s v="No, But if someone could bare the cost I will"/>
    <s v="This will be hard to do, but if it is the right company I would try"/>
    <s v="No"/>
    <s v="Will NOT work for them"/>
    <n v="4"/>
    <x v="6"/>
    <x v="1"/>
    <x v="6"/>
    <x v="160"/>
    <s v="Manager who explains what is expected, sets a goal and helps achieve it"/>
    <x v="3"/>
  </r>
  <r>
    <d v="2023-04-05T11:46:53"/>
    <s v="India"/>
    <n v="500078"/>
    <x v="1"/>
    <x v="3"/>
    <s v="Yes, I will earn and do that"/>
    <s v="This will be hard to do, but if it is the right company I would try"/>
    <s v="Yes"/>
    <s v="Will work for them"/>
    <n v="8"/>
    <x v="3"/>
    <x v="2"/>
    <x v="22"/>
    <x v="161"/>
    <s v="Manager who sets goal and helps me achieve it"/>
    <x v="4"/>
  </r>
  <r>
    <d v="2023-04-05T11:49:29"/>
    <s v="India"/>
    <n v="500035"/>
    <x v="1"/>
    <x v="4"/>
    <s v="No, But if someone could bare the cost I will"/>
    <s v="Will work for 3 years or more"/>
    <s v="No"/>
    <s v="Will NOT work for them"/>
    <n v="5"/>
    <x v="6"/>
    <x v="1"/>
    <x v="14"/>
    <x v="132"/>
    <s v="Manager who explains what is expected, sets a goal and helps achieve it"/>
    <x v="0"/>
  </r>
  <r>
    <d v="2023-04-05T11:50:16"/>
    <s v="India"/>
    <n v="500070"/>
    <x v="1"/>
    <x v="4"/>
    <s v="Yes, I will earn and do that"/>
    <s v="This will be hard to do, but if it is the right company I would try"/>
    <s v="Yes"/>
    <s v="Will NOT work for them"/>
    <n v="5"/>
    <x v="6"/>
    <x v="2"/>
    <x v="10"/>
    <x v="162"/>
    <s v="Manager who explains what is expected, sets a goal and helps achieve it"/>
    <x v="2"/>
  </r>
  <r>
    <d v="2023-04-05T11:52:27"/>
    <s v="India"/>
    <n v="500070"/>
    <x v="1"/>
    <x v="4"/>
    <s v="No I would not be pursuing Higher Education outside of India"/>
    <s v="This will be hard to do, but if it is the right company I would try"/>
    <s v="No"/>
    <s v="Will NOT work for them"/>
    <n v="6"/>
    <x v="0"/>
    <x v="2"/>
    <x v="9"/>
    <x v="134"/>
    <s v="Manager who explains what is expected, sets a goal and helps achieve it"/>
    <x v="1"/>
  </r>
  <r>
    <d v="2023-04-05T11:52:28"/>
    <s v="India"/>
    <n v="500070"/>
    <x v="1"/>
    <x v="4"/>
    <s v="No I would not be pursuing Higher Education outside of India"/>
    <s v="This will be hard to do, but if it is the right company I would try"/>
    <s v="No"/>
    <s v="Will NOT work for them"/>
    <n v="6"/>
    <x v="0"/>
    <x v="2"/>
    <x v="9"/>
    <x v="134"/>
    <s v="Manager who explains what is expected, sets a goal and helps achieve it"/>
    <x v="1"/>
  </r>
  <r>
    <d v="2023-04-05T11:53:39"/>
    <s v="India"/>
    <n v="624601"/>
    <x v="0"/>
    <x v="2"/>
    <s v="No, But if someone could bare the cost I will"/>
    <s v="Will work for 3 years or more"/>
    <s v="Yes"/>
    <s v="Will work for them"/>
    <n v="6"/>
    <x v="0"/>
    <x v="4"/>
    <x v="10"/>
    <x v="163"/>
    <s v="Manager who clearly describes what she/he needs"/>
    <x v="11"/>
  </r>
  <r>
    <d v="2023-04-05T11:54:14"/>
    <s v="India"/>
    <n v="516003"/>
    <x v="1"/>
    <x v="4"/>
    <s v="No I would not be pursuing Higher Education outside of India"/>
    <s v="Will work for 3 years or more"/>
    <s v="Yes"/>
    <s v="Will work for them"/>
    <n v="4"/>
    <x v="5"/>
    <x v="1"/>
    <x v="23"/>
    <x v="164"/>
    <s v="Manager who sets targets and expects me to achieve it"/>
    <x v="3"/>
  </r>
  <r>
    <d v="2023-04-05T11:56:11"/>
    <s v="India"/>
    <n v="500080"/>
    <x v="0"/>
    <x v="0"/>
    <s v="Yes, I will earn and do that"/>
    <s v="Will work for 3 years or more"/>
    <s v="No"/>
    <s v="Will NOT work for them"/>
    <n v="5"/>
    <x v="6"/>
    <x v="0"/>
    <x v="11"/>
    <x v="134"/>
    <s v="Manager who explains what is expected, sets a goal and helps achieve it"/>
    <x v="4"/>
  </r>
  <r>
    <d v="2023-04-05T11:56:51"/>
    <s v="India"/>
    <n v="516003"/>
    <x v="1"/>
    <x v="4"/>
    <s v="Yes, I will earn and do that"/>
    <s v="Will work for 3 years or more"/>
    <s v="Yes"/>
    <s v="Will NOT work for them"/>
    <n v="2"/>
    <x v="3"/>
    <x v="0"/>
    <x v="17"/>
    <x v="165"/>
    <s v="Manager who sets targets and expects me to achieve it"/>
    <x v="1"/>
  </r>
  <r>
    <d v="2023-04-05T12:01:14"/>
    <s v="India"/>
    <n v="500037"/>
    <x v="1"/>
    <x v="4"/>
    <s v="No I would not be pursuing Higher Education outside of India"/>
    <s v="Will work for 3 years or more"/>
    <s v="Yes"/>
    <s v="Will NOT work for them"/>
    <n v="5"/>
    <x v="3"/>
    <x v="2"/>
    <x v="9"/>
    <x v="166"/>
    <s v="Manager who clearly describes what she/he needs"/>
    <x v="2"/>
  </r>
  <r>
    <d v="2023-04-05T12:01:46"/>
    <s v="India"/>
    <n v="560064"/>
    <x v="0"/>
    <x v="4"/>
    <s v="Yes, I will earn and do that"/>
    <s v="Will work for 3 years or more"/>
    <s v="Yes"/>
    <s v="Will work for them"/>
    <n v="8"/>
    <x v="6"/>
    <x v="0"/>
    <x v="18"/>
    <x v="98"/>
    <s v="Manager who explains what is expected, sets a goal and helps achieve it"/>
    <x v="3"/>
  </r>
  <r>
    <d v="2023-04-05T12:08:22"/>
    <s v="India"/>
    <n v="600014"/>
    <x v="0"/>
    <x v="4"/>
    <s v="Yes, I will earn and do that"/>
    <s v="This will be hard to do, but if it is the right company I would try"/>
    <s v="Yes"/>
    <s v="Will work for them"/>
    <n v="7"/>
    <x v="1"/>
    <x v="3"/>
    <x v="21"/>
    <x v="161"/>
    <s v="Manager who sets unrealistic targets"/>
    <x v="3"/>
  </r>
  <r>
    <d v="2023-04-05T12:13:24"/>
    <s v="India"/>
    <n v="560064"/>
    <x v="0"/>
    <x v="4"/>
    <s v="Yes, I will earn and do that"/>
    <s v="This will be hard to do, but if it is the right company I would try"/>
    <s v="No"/>
    <s v="Will work for them"/>
    <n v="8"/>
    <x v="6"/>
    <x v="1"/>
    <x v="8"/>
    <x v="147"/>
    <s v="Manager who sets targets and expects me to achieve it"/>
    <x v="5"/>
  </r>
  <r>
    <d v="2023-04-05T12:14:10"/>
    <s v="India"/>
    <n v="516003"/>
    <x v="0"/>
    <x v="3"/>
    <s v="Yes, I will earn and do that"/>
    <s v="Will work for 3 years or more"/>
    <s v="Yes"/>
    <s v="Will work for them"/>
    <n v="2"/>
    <x v="3"/>
    <x v="2"/>
    <x v="14"/>
    <x v="167"/>
    <s v="Manager who sets goal and helps me achieve it"/>
    <x v="3"/>
  </r>
  <r>
    <d v="2023-04-05T12:15:45"/>
    <s v="India"/>
    <n v="500070"/>
    <x v="1"/>
    <x v="4"/>
    <s v="Yes, I will earn and do that"/>
    <s v="This will be hard to do, but if it is the right company I would try"/>
    <s v="No"/>
    <s v="Will NOT work for them"/>
    <n v="5"/>
    <x v="1"/>
    <x v="2"/>
    <x v="9"/>
    <x v="168"/>
    <s v="Manager who explains what is expected, sets a goal and helps achieve it"/>
    <x v="2"/>
  </r>
  <r>
    <d v="2023-04-05T12:19:04"/>
    <s v="India"/>
    <n v="400067"/>
    <x v="0"/>
    <x v="4"/>
    <s v="No I would not be pursuing Higher Education outside of India"/>
    <s v="This will be hard to do, but if it is the right company I would try"/>
    <s v="No"/>
    <s v="Will NOT work for them"/>
    <n v="10"/>
    <x v="6"/>
    <x v="0"/>
    <x v="22"/>
    <x v="169"/>
    <s v="Manager who explains what is expected, sets a goal and helps achieve it"/>
    <x v="15"/>
  </r>
  <r>
    <d v="2023-04-05T12:21:36"/>
    <s v="India"/>
    <n v="50090"/>
    <x v="1"/>
    <x v="2"/>
    <s v="Yes, I will earn and do that"/>
    <s v="This will be hard to do, but if it is the right company I would try"/>
    <s v="Yes"/>
    <s v="Will work for them"/>
    <n v="7"/>
    <x v="5"/>
    <x v="1"/>
    <x v="6"/>
    <x v="149"/>
    <s v="Manager who sets targets and expects me to achieve it"/>
    <x v="1"/>
  </r>
  <r>
    <d v="2023-04-05T12:25:04"/>
    <s v="India"/>
    <n v="500045"/>
    <x v="1"/>
    <x v="3"/>
    <s v="No, But if someone could bare the cost I will"/>
    <s v="This will be hard to do, but if it is the right company I would try"/>
    <s v="Yes"/>
    <s v="Will NOT work for them"/>
    <n v="6"/>
    <x v="1"/>
    <x v="2"/>
    <x v="7"/>
    <x v="170"/>
    <s v="Manager who sets goal and helps me achieve it"/>
    <x v="0"/>
  </r>
  <r>
    <d v="2023-04-05T12:26:52"/>
    <s v="India"/>
    <n v="400037"/>
    <x v="0"/>
    <x v="3"/>
    <s v="No, But if someone could bare the cost I will"/>
    <s v="No way"/>
    <s v="No"/>
    <s v="Will NOT work for them"/>
    <n v="3"/>
    <x v="1"/>
    <x v="1"/>
    <x v="11"/>
    <x v="171"/>
    <s v="Manager who explains what is expected, sets a goal and helps achieve it"/>
    <x v="20"/>
  </r>
  <r>
    <d v="2023-04-05T12:26:56"/>
    <s v="India"/>
    <n v="500052"/>
    <x v="1"/>
    <x v="4"/>
    <s v="No I would not be pursuing Higher Education outside of India"/>
    <s v="Will work for 3 years or more"/>
    <s v="No"/>
    <s v="Will NOT work for them"/>
    <n v="1"/>
    <x v="1"/>
    <x v="1"/>
    <x v="19"/>
    <x v="172"/>
    <s v="Manager who sets targets and expects me to achieve it"/>
    <x v="1"/>
  </r>
  <r>
    <d v="2023-04-05T12:28:44"/>
    <s v="India"/>
    <n v="500090"/>
    <x v="1"/>
    <x v="0"/>
    <s v="No, But if someone could bare the cost I will"/>
    <s v="This will be hard to do, but if it is the right company I would try"/>
    <s v="No"/>
    <s v="Will NOT work for them"/>
    <n v="1"/>
    <x v="6"/>
    <x v="1"/>
    <x v="9"/>
    <x v="173"/>
    <s v="Manager who explains what is expected, sets a goal and helps achieve it"/>
    <x v="1"/>
  </r>
  <r>
    <d v="2023-04-05T12:31:11"/>
    <s v="India"/>
    <n v="400077"/>
    <x v="0"/>
    <x v="4"/>
    <s v="No I would not be pursuing Higher Education outside of India"/>
    <s v="This will be hard to do, but if it is the right company I would try"/>
    <s v="No"/>
    <s v="Will NOT work for them"/>
    <n v="5"/>
    <x v="3"/>
    <x v="1"/>
    <x v="21"/>
    <x v="174"/>
    <s v="Manager who sets goal and helps me achieve it"/>
    <x v="3"/>
  </r>
  <r>
    <d v="2023-04-05T12:31:56"/>
    <s v="India"/>
    <n v="600123"/>
    <x v="0"/>
    <x v="2"/>
    <s v="No I would not be pursuing Higher Education outside of India"/>
    <s v="Will work for 3 years or more"/>
    <s v="Yes"/>
    <s v="Will work for them"/>
    <n v="7"/>
    <x v="3"/>
    <x v="1"/>
    <x v="22"/>
    <x v="175"/>
    <s v="Manager who sets targets and expects me to achieve it"/>
    <x v="6"/>
  </r>
  <r>
    <d v="2023-04-05T12:34:17"/>
    <s v="India"/>
    <n v="500070"/>
    <x v="1"/>
    <x v="3"/>
    <s v="No I would not be pursuing Higher Education outside of India"/>
    <s v="This will be hard to do, but if it is the right company I would try"/>
    <s v="Yes"/>
    <s v="Will work for them"/>
    <n v="9"/>
    <x v="0"/>
    <x v="0"/>
    <x v="14"/>
    <x v="176"/>
    <s v="Manager who clearly describes what she/he needs"/>
    <x v="1"/>
  </r>
  <r>
    <d v="2023-04-05T12:34:36"/>
    <s v="India"/>
    <n v="580031"/>
    <x v="0"/>
    <x v="4"/>
    <s v="No I would not be pursuing Higher Education outside of India"/>
    <s v="This will be hard to do, but if it is the right company I would try"/>
    <s v="Yes"/>
    <s v="Will work for them"/>
    <n v="5"/>
    <x v="5"/>
    <x v="1"/>
    <x v="17"/>
    <x v="177"/>
    <s v="Manager who explains what is expected, sets a goal and helps achieve it"/>
    <x v="3"/>
  </r>
  <r>
    <d v="2023-04-05T12:39:44"/>
    <s v="India"/>
    <n v="400067"/>
    <x v="1"/>
    <x v="4"/>
    <s v="No I would not be pursuing Higher Education outside of India"/>
    <s v="This will be hard to do, but if it is the right company I would try"/>
    <s v="No"/>
    <s v="Will NOT work for them"/>
    <n v="7"/>
    <x v="5"/>
    <x v="1"/>
    <x v="9"/>
    <x v="178"/>
    <s v="Manager who explains what is expected, sets a goal and helps achieve it"/>
    <x v="15"/>
  </r>
  <r>
    <d v="2023-04-05T12:41:10"/>
    <s v="India"/>
    <n v="560018"/>
    <x v="1"/>
    <x v="4"/>
    <s v="No, But if someone could bare the cost I will"/>
    <s v="This will be hard to do, but if it is the right company I would try"/>
    <s v="No"/>
    <s v="Will work for them"/>
    <n v="7"/>
    <x v="6"/>
    <x v="1"/>
    <x v="9"/>
    <x v="174"/>
    <s v="Manager who sets targets and expects me to achieve it"/>
    <x v="4"/>
  </r>
  <r>
    <d v="2023-04-05T12:47:44"/>
    <s v="India"/>
    <n v="641011"/>
    <x v="0"/>
    <x v="4"/>
    <s v="No, But if someone could bare the cost I will"/>
    <s v="Will work for 3 years or more"/>
    <s v="Yes"/>
    <s v="Will work for them"/>
    <n v="7"/>
    <x v="5"/>
    <x v="2"/>
    <x v="23"/>
    <x v="179"/>
    <s v="Manager who clearly describes what she/he needs"/>
    <x v="3"/>
  </r>
  <r>
    <d v="2023-04-05T12:48:55"/>
    <s v="India"/>
    <n v="500085"/>
    <x v="1"/>
    <x v="4"/>
    <s v="Yes, I will earn and do that"/>
    <s v="This will be hard to do, but if it is the right company I would try"/>
    <s v="No"/>
    <s v="Will NOT work for them"/>
    <n v="1"/>
    <x v="1"/>
    <x v="2"/>
    <x v="7"/>
    <x v="180"/>
    <s v="Manager who sets goal and helps me achieve it"/>
    <x v="3"/>
  </r>
  <r>
    <d v="2023-04-05T12:52:49"/>
    <s v="India"/>
    <n v="121012"/>
    <x v="1"/>
    <x v="3"/>
    <s v="Yes, I will earn and do that"/>
    <s v="This will be hard to do, but if it is the right company I would try"/>
    <s v="No"/>
    <s v="Will NOT work for them"/>
    <n v="3"/>
    <x v="6"/>
    <x v="1"/>
    <x v="6"/>
    <x v="181"/>
    <s v="Manager who explains what is expected, sets a goal and helps achieve it"/>
    <x v="1"/>
  </r>
  <r>
    <d v="2023-04-05T12:53:45"/>
    <s v="India"/>
    <n v="400097"/>
    <x v="0"/>
    <x v="4"/>
    <s v="No, But if someone could bare the cost I will"/>
    <s v="Will work for 3 years or more"/>
    <s v="Yes"/>
    <s v="Will NOT work for them"/>
    <n v="8"/>
    <x v="1"/>
    <x v="1"/>
    <x v="15"/>
    <x v="182"/>
    <s v="Manager who explains what is expected, sets a goal and helps achieve it"/>
    <x v="14"/>
  </r>
  <r>
    <d v="2023-04-05T12:58:21"/>
    <s v="India"/>
    <n v="201306"/>
    <x v="0"/>
    <x v="4"/>
    <s v="No I would not be pursuing Higher Education outside of India"/>
    <s v="This will be hard to do, but if it is the right company I would try"/>
    <s v="No"/>
    <s v="Will NOT work for them"/>
    <n v="5"/>
    <x v="1"/>
    <x v="2"/>
    <x v="24"/>
    <x v="183"/>
    <s v="Manager who clearly describes what she/he needs"/>
    <x v="6"/>
  </r>
  <r>
    <d v="2023-04-05T12:59:28"/>
    <s v="India"/>
    <n v="501023"/>
    <x v="1"/>
    <x v="0"/>
    <s v="Yes, I will earn and do that"/>
    <s v="Will work for 3 years or more"/>
    <s v="No"/>
    <s v="Will NOT work for them"/>
    <n v="7"/>
    <x v="6"/>
    <x v="1"/>
    <x v="14"/>
    <x v="184"/>
    <s v="Manager who sets goal and helps me achieve it"/>
    <x v="1"/>
  </r>
  <r>
    <d v="2023-04-05T13:01:18"/>
    <s v="India"/>
    <n v="400067"/>
    <x v="0"/>
    <x v="3"/>
    <s v="No I would not be pursuing Higher Education outside of India"/>
    <s v="This will be hard to do, but if it is the right company I would try"/>
    <s v="No"/>
    <s v="Will NOT work for them"/>
    <n v="7"/>
    <x v="6"/>
    <x v="1"/>
    <x v="25"/>
    <x v="185"/>
    <s v="Manager who explains what is expected, sets a goal and helps achieve it"/>
    <x v="4"/>
  </r>
  <r>
    <d v="2023-04-05T13:04:47"/>
    <s v="India"/>
    <n v="500090"/>
    <x v="1"/>
    <x v="3"/>
    <s v="Yes, I will earn and do that"/>
    <s v="Will work for 3 years or more"/>
    <s v="No"/>
    <s v="Will NOT work for them"/>
    <n v="4"/>
    <x v="3"/>
    <x v="1"/>
    <x v="19"/>
    <x v="186"/>
    <s v="Manager who explains what is expected, sets a goal and helps achieve it"/>
    <x v="7"/>
  </r>
  <r>
    <d v="2023-04-05T13:07:22"/>
    <s v="India"/>
    <n v="500048"/>
    <x v="1"/>
    <x v="4"/>
    <s v="Yes, I will earn and do that"/>
    <s v="This will be hard to do, but if it is the right company I would try"/>
    <s v="No"/>
    <s v="Will NOT work for them"/>
    <n v="7"/>
    <x v="1"/>
    <x v="1"/>
    <x v="19"/>
    <x v="187"/>
    <s v="Manager who explains what is expected, sets a goal and helps achieve it"/>
    <x v="2"/>
  </r>
  <r>
    <d v="2023-04-05T13:07:29"/>
    <s v="India"/>
    <n v="110077"/>
    <x v="1"/>
    <x v="4"/>
    <s v="No I would not be pursuing Higher Education outside of India"/>
    <s v="Will work for 3 years or more"/>
    <s v="Yes"/>
    <s v="Will NOT work for them"/>
    <n v="5"/>
    <x v="3"/>
    <x v="2"/>
    <x v="9"/>
    <x v="188"/>
    <s v="Manager who sets goal and helps me achieve it"/>
    <x v="3"/>
  </r>
  <r>
    <d v="2023-04-05T13:12:21"/>
    <s v="India"/>
    <n v="209305"/>
    <x v="0"/>
    <x v="1"/>
    <s v="Yes, I will earn and do that"/>
    <s v="This will be hard to do, but if it is the right company I would try"/>
    <s v="Yes"/>
    <s v="Will work for them"/>
    <n v="9"/>
    <x v="1"/>
    <x v="1"/>
    <x v="22"/>
    <x v="189"/>
    <s v="Manager who sets targets and expects me to achieve it"/>
    <x v="14"/>
  </r>
  <r>
    <d v="2023-04-05T13:12:48"/>
    <s v="India"/>
    <n v="400067"/>
    <x v="0"/>
    <x v="0"/>
    <s v="Yes, I will earn and do that"/>
    <s v="This will be hard to do, but if it is the right company I would try"/>
    <s v="No"/>
    <s v="Will NOT work for them"/>
    <n v="3"/>
    <x v="1"/>
    <x v="0"/>
    <x v="15"/>
    <x v="167"/>
    <s v="Manager who sets goal and helps me achieve it"/>
    <x v="1"/>
  </r>
  <r>
    <d v="2023-04-05T13:14:32"/>
    <s v="India"/>
    <n v="249407"/>
    <x v="0"/>
    <x v="0"/>
    <s v="No, But if someone could bare the cost I will"/>
    <s v="This will be hard to do, but if it is the right company I would try"/>
    <s v="No"/>
    <s v="Will NOT work for them"/>
    <n v="1"/>
    <x v="1"/>
    <x v="1"/>
    <x v="11"/>
    <x v="190"/>
    <s v="Manager who sets targets and expects me to achieve it"/>
    <x v="7"/>
  </r>
  <r>
    <d v="2023-04-05T13:17:16"/>
    <s v="India"/>
    <n v="500060"/>
    <x v="0"/>
    <x v="3"/>
    <s v="Yes, I will earn and do that"/>
    <s v="Will work for 3 years or more"/>
    <s v="No"/>
    <s v="Will NOT work for them"/>
    <n v="5"/>
    <x v="5"/>
    <x v="1"/>
    <x v="11"/>
    <x v="191"/>
    <s v="Manager who explains what is expected, sets a goal and helps achieve it"/>
    <x v="0"/>
  </r>
  <r>
    <d v="2023-04-05T13:18:59"/>
    <s v="India"/>
    <n v="500019"/>
    <x v="1"/>
    <x v="4"/>
    <s v="Yes, I will earn and do that"/>
    <s v="This will be hard to do, but if it is the right company I would try"/>
    <s v="No"/>
    <s v="Will NOT work for them"/>
    <n v="5"/>
    <x v="6"/>
    <x v="2"/>
    <x v="18"/>
    <x v="192"/>
    <s v="Manager who explains what is expected, sets a goal and helps achieve it"/>
    <x v="5"/>
  </r>
  <r>
    <d v="2023-04-05T13:22:28"/>
    <s v="India"/>
    <n v="509375"/>
    <x v="1"/>
    <x v="3"/>
    <s v="No I would not be pursuing Higher Education outside of India"/>
    <s v="This will be hard to do, but if it is the right company I would try"/>
    <s v="Yes"/>
    <s v="Will NOT work for them"/>
    <n v="6"/>
    <x v="1"/>
    <x v="2"/>
    <x v="18"/>
    <x v="179"/>
    <s v="Manager who explains what is expected, sets a goal and helps achieve it"/>
    <x v="1"/>
  </r>
  <r>
    <d v="2023-04-05T13:28:14"/>
    <s v="India"/>
    <n v="641659"/>
    <x v="0"/>
    <x v="1"/>
    <s v="No I would not be pursuing Higher Education outside of India"/>
    <s v="This will be hard to do, but if it is the right company I would try"/>
    <s v="No"/>
    <s v="Will NOT work for them"/>
    <n v="7"/>
    <x v="1"/>
    <x v="1"/>
    <x v="18"/>
    <x v="193"/>
    <s v="Manager who explains what is expected, sets a goal and helps achieve it"/>
    <x v="8"/>
  </r>
  <r>
    <d v="2023-04-05T13:33:44"/>
    <s v="India"/>
    <n v="50006"/>
    <x v="0"/>
    <x v="1"/>
    <s v="No, But if someone could bare the cost I will"/>
    <s v="Will work for 3 years or more"/>
    <s v="Yes"/>
    <s v="Will work for them"/>
    <n v="4"/>
    <x v="5"/>
    <x v="0"/>
    <x v="7"/>
    <x v="153"/>
    <s v="Manager who sets targets and expects me to achieve it"/>
    <x v="1"/>
  </r>
  <r>
    <d v="2023-04-05T13:35:25"/>
    <s v="India"/>
    <n v="110059"/>
    <x v="1"/>
    <x v="4"/>
    <s v="No I would not be pursuing Higher Education outside of India"/>
    <s v="Will work for 3 years or more"/>
    <s v="Yes"/>
    <s v="Will NOT work for them"/>
    <n v="6"/>
    <x v="1"/>
    <x v="1"/>
    <x v="13"/>
    <x v="194"/>
    <s v="Manager who explains what is expected, sets a goal and helps achieve it"/>
    <x v="3"/>
  </r>
  <r>
    <d v="2023-04-05T13:37:20"/>
    <s v="India"/>
    <n v="201009"/>
    <x v="0"/>
    <x v="0"/>
    <s v="Yes, I will earn and do that"/>
    <s v="Will work for 3 years or more"/>
    <s v="Yes"/>
    <s v="Will work for them"/>
    <n v="9"/>
    <x v="6"/>
    <x v="1"/>
    <x v="23"/>
    <x v="195"/>
    <s v="Manager who explains what is expected, sets a goal and helps achieve it"/>
    <x v="21"/>
  </r>
  <r>
    <d v="2023-04-05T13:40:53"/>
    <s v="India"/>
    <n v="517101"/>
    <x v="0"/>
    <x v="1"/>
    <s v="No I would not be pursuing Higher Education outside of India"/>
    <s v="This will be hard to do, but if it is the right company I would try"/>
    <s v="No"/>
    <s v="Will NOT work for them"/>
    <n v="2"/>
    <x v="6"/>
    <x v="1"/>
    <x v="9"/>
    <x v="196"/>
    <s v="Manager who explains what is expected, sets a goal and helps achieve it"/>
    <x v="5"/>
  </r>
  <r>
    <d v="2023-04-05T13:40:41"/>
    <s v="India"/>
    <n v="679101"/>
    <x v="0"/>
    <x v="0"/>
    <s v="Yes, I will earn and do that"/>
    <s v="This will be hard to do, but if it is the right company I would try"/>
    <s v="No"/>
    <s v="Will NOT work for them"/>
    <n v="9"/>
    <x v="6"/>
    <x v="1"/>
    <x v="17"/>
    <x v="138"/>
    <s v="Manager who explains what is expected, sets a goal and helps achieve it"/>
    <x v="1"/>
  </r>
  <r>
    <d v="2023-04-05T13:47:23"/>
    <s v="India"/>
    <n v="517501"/>
    <x v="1"/>
    <x v="0"/>
    <s v="No, But if someone could bare the cost I will"/>
    <s v="This will be hard to do, but if it is the right company I would try"/>
    <s v="No"/>
    <s v="Will NOT work for them"/>
    <n v="1"/>
    <x v="5"/>
    <x v="1"/>
    <x v="11"/>
    <x v="147"/>
    <s v="Manager who explains what is expected, sets a goal and helps achieve it"/>
    <x v="1"/>
  </r>
  <r>
    <d v="2023-04-05T13:58:51"/>
    <s v="India"/>
    <n v="517501"/>
    <x v="0"/>
    <x v="4"/>
    <s v="No I would not be pursuing Higher Education outside of India"/>
    <s v="Will work for 3 years or more"/>
    <s v="Yes"/>
    <s v="Will work for them"/>
    <n v="10"/>
    <x v="3"/>
    <x v="1"/>
    <x v="9"/>
    <x v="197"/>
    <s v="Manager who sets goal and helps me achieve it"/>
    <x v="8"/>
  </r>
  <r>
    <d v="2023-04-05T13:59:49"/>
    <s v="India"/>
    <s v="Bts "/>
    <x v="1"/>
    <x v="3"/>
    <s v="Yes, I will earn and do that"/>
    <s v="This will be hard to do, but if it is the right company I would try"/>
    <s v="No"/>
    <s v="Will work for them"/>
    <n v="6"/>
    <x v="1"/>
    <x v="2"/>
    <x v="12"/>
    <x v="198"/>
    <s v="Manager who sets goal and helps me achieve it"/>
    <x v="2"/>
  </r>
  <r>
    <d v="2023-04-05T14:13:48"/>
    <s v="India"/>
    <n v="518563"/>
    <x v="0"/>
    <x v="2"/>
    <s v="No I would not be pursuing Higher Education outside of India"/>
    <s v="This will be hard to do, but if it is the right company I would try"/>
    <s v="No"/>
    <s v="Will NOT work for them"/>
    <n v="5"/>
    <x v="1"/>
    <x v="0"/>
    <x v="9"/>
    <x v="109"/>
    <s v="Manager who explains what is expected, sets a goal and helps achieve it"/>
    <x v="3"/>
  </r>
  <r>
    <d v="2023-04-05T14:14:05"/>
    <s v="India"/>
    <n v="600092"/>
    <x v="0"/>
    <x v="3"/>
    <s v="No, But if someone could bare the cost I will"/>
    <s v="Will work for 3 years or more"/>
    <s v="No"/>
    <s v="Will NOT work for them"/>
    <n v="6"/>
    <x v="3"/>
    <x v="2"/>
    <x v="10"/>
    <x v="140"/>
    <s v="Manager who clearly describes what she/he needs"/>
    <x v="4"/>
  </r>
  <r>
    <d v="2023-04-05T14:21:15"/>
    <s v="India"/>
    <n v="600056"/>
    <x v="0"/>
    <x v="4"/>
    <s v="No I would not be pursuing Higher Education outside of India"/>
    <s v="Will work for 3 years or more"/>
    <s v="Yes"/>
    <s v="Will work for them"/>
    <n v="6"/>
    <x v="6"/>
    <x v="1"/>
    <x v="10"/>
    <x v="199"/>
    <s v="Manager who sets goal and helps me achieve it"/>
    <x v="6"/>
  </r>
  <r>
    <d v="2023-04-05T14:25:51"/>
    <s v="India"/>
    <n v="453331"/>
    <x v="1"/>
    <x v="1"/>
    <s v="No, But if someone could bare the cost I will"/>
    <s v="No way"/>
    <s v="No"/>
    <s v="Will NOT work for them"/>
    <n v="7"/>
    <x v="1"/>
    <x v="0"/>
    <x v="11"/>
    <x v="105"/>
    <s v="Manager who explains what is expected, sets a goal and helps achieve it"/>
    <x v="11"/>
  </r>
  <r>
    <d v="2023-04-05T14:36:46"/>
    <s v="India"/>
    <n v="600127"/>
    <x v="1"/>
    <x v="2"/>
    <s v="No, But if someone could bare the cost I will"/>
    <s v="Will work for 3 years or more"/>
    <s v="No"/>
    <s v="Will NOT work for them"/>
    <n v="8"/>
    <x v="6"/>
    <x v="1"/>
    <x v="8"/>
    <x v="109"/>
    <s v="Manager who explains what is expected, sets a goal and helps achieve it"/>
    <x v="1"/>
  </r>
  <r>
    <d v="2023-04-05T14:43:17"/>
    <s v="India"/>
    <n v="560034"/>
    <x v="0"/>
    <x v="2"/>
    <s v="No, But if someone could bare the cost I will"/>
    <s v="This will be hard to do, but if it is the right company I would try"/>
    <s v="No"/>
    <s v="Will work for them"/>
    <n v="5"/>
    <x v="3"/>
    <x v="1"/>
    <x v="7"/>
    <x v="141"/>
    <s v="Manager who explains what is expected, sets a goal and helps achieve it"/>
    <x v="3"/>
  </r>
  <r>
    <d v="2023-04-05T14:45:08"/>
    <s v="India"/>
    <n v="470002"/>
    <x v="0"/>
    <x v="4"/>
    <s v="Yes, I will earn and do that"/>
    <s v="This will be hard to do, but if it is the right company I would try"/>
    <s v="No"/>
    <s v="Will NOT work for them"/>
    <n v="7"/>
    <x v="6"/>
    <x v="1"/>
    <x v="9"/>
    <x v="200"/>
    <s v="Manager who explains what is expected, sets a goal and helps achieve it"/>
    <x v="3"/>
  </r>
  <r>
    <d v="2023-04-05T14:49:26"/>
    <s v="India"/>
    <n v="560100"/>
    <x v="1"/>
    <x v="2"/>
    <s v="No, But if someone could bare the cost I will"/>
    <s v="This will be hard to do, but if it is the right company I would try"/>
    <s v="No"/>
    <s v="Will NOT work for them"/>
    <n v="7"/>
    <x v="3"/>
    <x v="2"/>
    <x v="13"/>
    <x v="201"/>
    <s v="Manager who explains what is expected, sets a goal and helps achieve it"/>
    <x v="3"/>
  </r>
  <r>
    <d v="2023-04-05T14:50:35"/>
    <s v="India"/>
    <n v="560078"/>
    <x v="0"/>
    <x v="1"/>
    <s v="No, But if someone could bare the cost I will"/>
    <s v="This will be hard to do, but if it is the right company I would try"/>
    <s v="No"/>
    <s v="Will NOT work for them"/>
    <n v="7"/>
    <x v="5"/>
    <x v="1"/>
    <x v="15"/>
    <x v="111"/>
    <s v="Manager who explains what is expected, sets a goal and helps achieve it"/>
    <x v="3"/>
  </r>
  <r>
    <d v="2023-04-05T14:51:41"/>
    <s v="Others"/>
    <n v="122001"/>
    <x v="0"/>
    <x v="0"/>
    <s v="No, But if someone could bare the cost I will"/>
    <s v="This will be hard to do, but if it is the right company I would try"/>
    <s v="No"/>
    <s v="Will NOT work for them"/>
    <n v="8"/>
    <x v="1"/>
    <x v="1"/>
    <x v="13"/>
    <x v="202"/>
    <s v="Manager who explains what is expected, sets a goal and helps achieve it"/>
    <x v="6"/>
  </r>
  <r>
    <d v="2023-04-05T14:58:09"/>
    <s v="India"/>
    <n v="400053"/>
    <x v="0"/>
    <x v="4"/>
    <s v="No I would not be pursuing Higher Education outside of India"/>
    <s v="This will be hard to do, but if it is the right company I would try"/>
    <s v="No"/>
    <s v="Will NOT work for them"/>
    <n v="5"/>
    <x v="6"/>
    <x v="1"/>
    <x v="19"/>
    <x v="95"/>
    <s v="Manager who explains what is expected, sets a goal and helps achieve it"/>
    <x v="1"/>
  </r>
  <r>
    <d v="2023-04-05T15:08:24"/>
    <s v="India"/>
    <n v="517502"/>
    <x v="0"/>
    <x v="4"/>
    <s v="No I would not be pursuing Higher Education outside of India"/>
    <s v="This will be hard to do, but if it is the right company I would try"/>
    <s v="Yes"/>
    <s v="Will work for them"/>
    <n v="3"/>
    <x v="3"/>
    <x v="3"/>
    <x v="23"/>
    <x v="203"/>
    <s v="Manager who explains what is expected, sets a goal and helps achieve it"/>
    <x v="4"/>
  </r>
  <r>
    <d v="2023-04-05T15:19:28"/>
    <s v="India"/>
    <n v="452013"/>
    <x v="0"/>
    <x v="4"/>
    <s v="Yes, I will earn and do that"/>
    <s v="This will be hard to do, but if it is the right company I would try"/>
    <s v="No"/>
    <s v="Will NOT work for them"/>
    <n v="6"/>
    <x v="3"/>
    <x v="2"/>
    <x v="7"/>
    <x v="204"/>
    <s v="Manager who explains what is expected, sets a goal and helps achieve it"/>
    <x v="0"/>
  </r>
  <r>
    <d v="2023-04-05T15:20:55"/>
    <s v="India"/>
    <n v="364001"/>
    <x v="0"/>
    <x v="0"/>
    <s v="Yes, I will earn and do that"/>
    <s v="No way"/>
    <s v="No"/>
    <s v="Will NOT work for them"/>
    <n v="1"/>
    <x v="1"/>
    <x v="1"/>
    <x v="17"/>
    <x v="205"/>
    <s v="Manager who sets goal and helps me achieve it"/>
    <x v="3"/>
  </r>
  <r>
    <d v="2023-04-05T15:24:39"/>
    <s v="India"/>
    <n v="382340"/>
    <x v="1"/>
    <x v="3"/>
    <s v="Yes, I will earn and do that"/>
    <s v="This will be hard to do, but if it is the right company I would try"/>
    <s v="No"/>
    <s v="Will NOT work for them"/>
    <n v="5"/>
    <x v="1"/>
    <x v="2"/>
    <x v="9"/>
    <x v="140"/>
    <s v="Manager who explains what is expected, sets a goal and helps achieve it"/>
    <x v="7"/>
  </r>
  <r>
    <d v="2023-04-05T15:27:55"/>
    <s v="India"/>
    <n v="831015"/>
    <x v="1"/>
    <x v="1"/>
    <s v="No, But if someone could bare the cost I will"/>
    <s v="This will be hard to do, but if it is the right company I would try"/>
    <s v="No"/>
    <s v="Will work for them"/>
    <n v="9"/>
    <x v="1"/>
    <x v="0"/>
    <x v="8"/>
    <x v="206"/>
    <s v="Manager who clearly describes what she/he needs"/>
    <x v="1"/>
  </r>
  <r>
    <d v="2023-04-05T15:30:09"/>
    <s v="India"/>
    <n v="422003"/>
    <x v="0"/>
    <x v="0"/>
    <s v="No I would not be pursuing Higher Education outside of India"/>
    <s v="This will be hard to do, but if it is the right company I would try"/>
    <s v="No"/>
    <s v="Will NOT work for them"/>
    <n v="5"/>
    <x v="3"/>
    <x v="2"/>
    <x v="19"/>
    <x v="109"/>
    <s v="Manager who explains what is expected, sets a goal and helps achieve it"/>
    <x v="3"/>
  </r>
  <r>
    <d v="2023-04-05T15:32:30"/>
    <s v="India"/>
    <n v="517501"/>
    <x v="0"/>
    <x v="4"/>
    <s v="Yes, I will earn and do that"/>
    <s v="Will work for 3 years or more"/>
    <s v="No"/>
    <s v="Will NOT work for them"/>
    <n v="7"/>
    <x v="3"/>
    <x v="1"/>
    <x v="17"/>
    <x v="109"/>
    <s v="Manager who explains what is expected, sets a goal and helps achieve it"/>
    <x v="1"/>
  </r>
  <r>
    <d v="2023-04-05T15:35:46"/>
    <s v="India"/>
    <n v="831015"/>
    <x v="0"/>
    <x v="3"/>
    <s v="Yes, I will earn and do that"/>
    <s v="Will work for 3 years or more"/>
    <s v="Yes"/>
    <s v="Will work for them"/>
    <n v="10"/>
    <x v="1"/>
    <x v="2"/>
    <x v="9"/>
    <x v="141"/>
    <s v="Manager who explains what is expected, sets a goal and helps achieve it"/>
    <x v="4"/>
  </r>
  <r>
    <d v="2023-04-05T15:41:29"/>
    <s v="India"/>
    <n v="831006"/>
    <x v="1"/>
    <x v="4"/>
    <s v="Yes, I will earn and do that"/>
    <s v="This will be hard to do, but if it is the right company I would try"/>
    <s v="Yes"/>
    <s v="Will work for them"/>
    <n v="2"/>
    <x v="1"/>
    <x v="1"/>
    <x v="19"/>
    <x v="161"/>
    <s v="Manager who clearly describes what she/he needs"/>
    <x v="3"/>
  </r>
  <r>
    <d v="2023-04-05T15:41:52"/>
    <s v="India"/>
    <n v="832110"/>
    <x v="0"/>
    <x v="4"/>
    <s v="No I would not be pursuing Higher Education outside of India"/>
    <s v="This will be hard to do, but if it is the right company I would try"/>
    <s v="No"/>
    <s v="Will NOT work for them"/>
    <n v="10"/>
    <x v="6"/>
    <x v="1"/>
    <x v="9"/>
    <x v="207"/>
    <s v="Manager who clearly describes what she/he needs"/>
    <x v="6"/>
  </r>
  <r>
    <d v="2023-04-05T15:42:13"/>
    <s v="India"/>
    <n v="831016"/>
    <x v="0"/>
    <x v="2"/>
    <s v="Yes, I will earn and do that"/>
    <s v="No way"/>
    <s v="No"/>
    <s v="Will work for them"/>
    <n v="8"/>
    <x v="6"/>
    <x v="3"/>
    <x v="24"/>
    <x v="208"/>
    <s v="Manager who sets goal and helps me achieve it"/>
    <x v="1"/>
  </r>
  <r>
    <d v="2023-04-05T15:45:44"/>
    <s v="India"/>
    <n v="831001"/>
    <x v="1"/>
    <x v="4"/>
    <s v="Yes, I will earn and do that"/>
    <s v="Will work for 3 years or more"/>
    <s v="Yes"/>
    <s v="Will NOT work for them"/>
    <n v="3"/>
    <x v="1"/>
    <x v="3"/>
    <x v="13"/>
    <x v="209"/>
    <s v="Manager who sets unrealistic targets"/>
    <x v="17"/>
  </r>
  <r>
    <d v="2023-04-05T15:46:03"/>
    <s v="India"/>
    <n v="831001"/>
    <x v="1"/>
    <x v="2"/>
    <s v="Yes, I will earn and do that"/>
    <s v="This will be hard to do, but if it is the right company I would try"/>
    <s v="No"/>
    <s v="Will NOT work for them"/>
    <n v="4"/>
    <x v="1"/>
    <x v="4"/>
    <x v="24"/>
    <x v="210"/>
    <s v="Manager who sets targets and expects me to achieve it"/>
    <x v="6"/>
  </r>
  <r>
    <d v="2023-04-05T15:46:06"/>
    <s v="India"/>
    <n v="442902"/>
    <x v="0"/>
    <x v="3"/>
    <s v="Yes, I will earn and do that"/>
    <s v="This will be hard to do, but if it is the right company I would try"/>
    <s v="No"/>
    <s v="Will NOT work for them"/>
    <n v="2"/>
    <x v="1"/>
    <x v="1"/>
    <x v="17"/>
    <x v="197"/>
    <s v="Manager who sets goal and helps me achieve it"/>
    <x v="3"/>
  </r>
  <r>
    <d v="2023-04-05T15:52:33"/>
    <s v="Others"/>
    <n v="414"/>
    <x v="0"/>
    <x v="0"/>
    <s v="Yes, I will earn and do that"/>
    <s v="This will be hard to do, but if it is the right company I would try"/>
    <s v="No"/>
    <s v="Will NOT work for them"/>
    <n v="5"/>
    <x v="1"/>
    <x v="1"/>
    <x v="21"/>
    <x v="211"/>
    <s v="Manager who explains what is expected, sets a goal and helps achieve it"/>
    <x v="6"/>
  </r>
  <r>
    <d v="2023-04-05T15:53:10"/>
    <s v="India"/>
    <n v="452001"/>
    <x v="0"/>
    <x v="4"/>
    <s v="Yes, I will earn and do that"/>
    <s v="This will be hard to do, but if it is the right company I would try"/>
    <s v="No"/>
    <s v="Will work for them"/>
    <n v="8"/>
    <x v="3"/>
    <x v="1"/>
    <x v="19"/>
    <x v="212"/>
    <s v="Manager who sets goal and helps me achieve it"/>
    <x v="0"/>
  </r>
  <r>
    <d v="2023-04-05T15:54:52"/>
    <s v="India"/>
    <n v="382424"/>
    <x v="1"/>
    <x v="2"/>
    <s v="No I would not be pursuing Higher Education outside of India"/>
    <s v="This will be hard to do, but if it is the right company I would try"/>
    <s v="No"/>
    <s v="Will NOT work for them"/>
    <n v="2"/>
    <x v="1"/>
    <x v="1"/>
    <x v="8"/>
    <x v="213"/>
    <s v="Manager who explains what is expected, sets a goal and helps achieve it"/>
    <x v="1"/>
  </r>
  <r>
    <d v="2023-04-05T16:01:27"/>
    <s v="India"/>
    <n v="452012"/>
    <x v="1"/>
    <x v="3"/>
    <s v="Yes, I will earn and do that"/>
    <s v="This will be hard to do, but if it is the right company I would try"/>
    <s v="No"/>
    <s v="Will work for them"/>
    <n v="6"/>
    <x v="3"/>
    <x v="1"/>
    <x v="12"/>
    <x v="214"/>
    <s v="Manager who explains what is expected, sets a goal and helps achieve it"/>
    <x v="2"/>
  </r>
  <r>
    <d v="2023-04-05T16:03:03"/>
    <s v="India"/>
    <n v="621216"/>
    <x v="0"/>
    <x v="4"/>
    <s v="No I would not be pursuing Higher Education outside of India"/>
    <s v="Will work for 3 years or more"/>
    <s v="Yes"/>
    <s v="Will NOT work for them"/>
    <n v="1"/>
    <x v="5"/>
    <x v="0"/>
    <x v="24"/>
    <x v="110"/>
    <s v="Manager who clearly describes what she/he needs"/>
    <x v="18"/>
  </r>
  <r>
    <d v="2023-04-05T16:07:24"/>
    <s v="India"/>
    <n v="620003"/>
    <x v="0"/>
    <x v="4"/>
    <s v="No, But if someone could bare the cost I will"/>
    <s v="This will be hard to do, but if it is the right company I would try"/>
    <s v="Yes"/>
    <s v="Will work for them"/>
    <n v="5"/>
    <x v="3"/>
    <x v="2"/>
    <x v="9"/>
    <x v="215"/>
    <s v="Manager who clearly describes what she/he needs"/>
    <x v="17"/>
  </r>
  <r>
    <d v="2023-04-05T16:08:33"/>
    <s v="India"/>
    <n v="625009"/>
    <x v="0"/>
    <x v="1"/>
    <s v="No I would not be pursuing Higher Education outside of India"/>
    <s v="Will work for 3 years or more"/>
    <s v="No"/>
    <s v="Will NOT work for them"/>
    <n v="6"/>
    <x v="1"/>
    <x v="2"/>
    <x v="11"/>
    <x v="113"/>
    <s v="Manager who explains what is expected, sets a goal and helps achieve it"/>
    <x v="15"/>
  </r>
  <r>
    <d v="2023-04-05T16:09:05"/>
    <s v="India"/>
    <n v="452001"/>
    <x v="0"/>
    <x v="2"/>
    <s v="No I would not be pursuing Higher Education outside of India"/>
    <s v="Will work for 3 years or more"/>
    <s v="Yes"/>
    <s v="Will work for them"/>
    <n v="8"/>
    <x v="3"/>
    <x v="1"/>
    <x v="19"/>
    <x v="216"/>
    <s v="Manager who clearly describes what she/he needs"/>
    <x v="0"/>
  </r>
  <r>
    <d v="2023-04-05T16:13:09"/>
    <s v="India"/>
    <n v="670561"/>
    <x v="1"/>
    <x v="1"/>
    <s v="No, But if someone could bare the cost I will"/>
    <s v="This will be hard to do, but if it is the right company I would try"/>
    <s v="No"/>
    <s v="Will work for them"/>
    <n v="5"/>
    <x v="0"/>
    <x v="0"/>
    <x v="8"/>
    <x v="217"/>
    <s v="Manager who explains what is expected, sets a goal and helps achieve it"/>
    <x v="15"/>
  </r>
  <r>
    <d v="2023-04-05T16:25:33"/>
    <s v="India"/>
    <n v="600044"/>
    <x v="0"/>
    <x v="2"/>
    <s v="Yes, I will earn and do that"/>
    <s v="Will work for 3 years or more"/>
    <s v="No"/>
    <s v="Will NOT work for them"/>
    <n v="10"/>
    <x v="3"/>
    <x v="2"/>
    <x v="10"/>
    <x v="197"/>
    <s v="Manager who explains what is expected, sets a goal and helps achieve it"/>
    <x v="7"/>
  </r>
  <r>
    <d v="2023-04-05T16:34:10"/>
    <s v="India"/>
    <n v="485001"/>
    <x v="0"/>
    <x v="2"/>
    <s v="No, But if someone could bare the cost I will"/>
    <s v="This will be hard to do, but if it is the right company I would try"/>
    <s v="No"/>
    <s v="Will NOT work for them"/>
    <n v="1"/>
    <x v="1"/>
    <x v="2"/>
    <x v="19"/>
    <x v="218"/>
    <s v="Manager who explains what is expected, sets a goal and helps achieve it"/>
    <x v="3"/>
  </r>
  <r>
    <d v="2023-04-05T16:39:24"/>
    <s v="India"/>
    <n v="635109"/>
    <x v="0"/>
    <x v="1"/>
    <s v="Yes, I will earn and do that"/>
    <s v="This will be hard to do, but if it is the right company I would try"/>
    <s v="Yes"/>
    <s v="Will work for them"/>
    <n v="9"/>
    <x v="3"/>
    <x v="1"/>
    <x v="6"/>
    <x v="200"/>
    <s v="Manager who sets goal and helps me achieve it"/>
    <x v="4"/>
  </r>
  <r>
    <d v="2023-04-05T16:44:31"/>
    <s v="India"/>
    <n v="360001"/>
    <x v="0"/>
    <x v="4"/>
    <s v="Yes, I will earn and do that"/>
    <s v="This will be hard to do, but if it is the right company I would try"/>
    <s v="No"/>
    <s v="Will NOT work for them"/>
    <n v="1"/>
    <x v="3"/>
    <x v="1"/>
    <x v="11"/>
    <x v="219"/>
    <s v="Manager who clearly describes what she/he needs"/>
    <x v="4"/>
  </r>
  <r>
    <d v="2023-04-05T16:51:37"/>
    <s v="India"/>
    <n v="620008"/>
    <x v="1"/>
    <x v="4"/>
    <s v="Yes, I will earn and do that"/>
    <s v="This will be hard to do, but if it is the right company I would try"/>
    <s v="Yes"/>
    <s v="Will NOT work for them"/>
    <n v="1"/>
    <x v="5"/>
    <x v="2"/>
    <x v="24"/>
    <x v="220"/>
    <s v="Manager who sets goal and helps me achieve it"/>
    <x v="2"/>
  </r>
  <r>
    <d v="2023-04-05T16:53:54"/>
    <s v="India"/>
    <n v="122001"/>
    <x v="0"/>
    <x v="4"/>
    <s v="Yes, I will earn and do that"/>
    <s v="Will work for 3 years or more"/>
    <s v="No"/>
    <s v="Will NOT work for them"/>
    <n v="5"/>
    <x v="6"/>
    <x v="1"/>
    <x v="7"/>
    <x v="156"/>
    <s v="Manager who explains what is expected, sets a goal and helps achieve it"/>
    <x v="8"/>
  </r>
  <r>
    <d v="2023-04-05T16:55:04"/>
    <s v="India"/>
    <n v="626108"/>
    <x v="0"/>
    <x v="2"/>
    <s v="No I would not be pursuing Higher Education outside of India"/>
    <s v="Will work for 3 years or more"/>
    <s v="No"/>
    <s v="Will NOT work for them"/>
    <n v="10"/>
    <x v="5"/>
    <x v="2"/>
    <x v="6"/>
    <x v="201"/>
    <s v="Manager who sets goal and helps me achieve it"/>
    <x v="3"/>
  </r>
  <r>
    <d v="2023-04-05T16:56:13"/>
    <s v="India"/>
    <n v="641004"/>
    <x v="0"/>
    <x v="3"/>
    <s v="Yes, I will earn and do that"/>
    <s v="This will be hard to do, but if it is the right company I would try"/>
    <s v="No"/>
    <s v="Will NOT work for them"/>
    <n v="3"/>
    <x v="5"/>
    <x v="2"/>
    <x v="6"/>
    <x v="221"/>
    <s v="Manager who clearly describes what she/he needs"/>
    <x v="7"/>
  </r>
  <r>
    <d v="2023-04-05T16:58:19"/>
    <s v="India"/>
    <n v="110059"/>
    <x v="0"/>
    <x v="2"/>
    <s v="No I would not be pursuing Higher Education outside of India"/>
    <s v="This will be hard to do, but if it is the right company I would try"/>
    <s v="No"/>
    <s v="Will NOT work for them"/>
    <n v="2"/>
    <x v="6"/>
    <x v="1"/>
    <x v="17"/>
    <x v="222"/>
    <s v="Manager who sets goal and helps me achieve it"/>
    <x v="6"/>
  </r>
  <r>
    <d v="2023-04-05T17:01:38"/>
    <s v="India"/>
    <n v="380007"/>
    <x v="1"/>
    <x v="0"/>
    <s v="No I would not be pursuing Higher Education outside of India"/>
    <s v="This will be hard to do, but if it is the right company I would try"/>
    <s v="No"/>
    <s v="Will NOT work for them"/>
    <n v="2"/>
    <x v="1"/>
    <x v="1"/>
    <x v="6"/>
    <x v="114"/>
    <s v="Manager who clearly describes what she/he needs"/>
    <x v="7"/>
  </r>
  <r>
    <d v="2023-04-05T17:03:39"/>
    <s v="India"/>
    <n v="631101"/>
    <x v="0"/>
    <x v="0"/>
    <s v="Yes, I will earn and do that"/>
    <s v="Will work for 3 years or more"/>
    <s v="No"/>
    <s v="Will NOT work for them"/>
    <n v="5"/>
    <x v="5"/>
    <x v="0"/>
    <x v="21"/>
    <x v="188"/>
    <s v="Manager who explains what is expected, sets a goal and helps achieve it"/>
    <x v="13"/>
  </r>
  <r>
    <d v="2023-04-05T17:03:43"/>
    <s v="India"/>
    <n v="626136"/>
    <x v="0"/>
    <x v="2"/>
    <s v="No I would not be pursuing Higher Education outside of India"/>
    <s v="This will be hard to do, but if it is the right company I would try"/>
    <s v="Yes"/>
    <s v="Will work for them"/>
    <n v="7"/>
    <x v="1"/>
    <x v="1"/>
    <x v="6"/>
    <x v="223"/>
    <s v="Manager who sets goal and helps me achieve it"/>
    <x v="1"/>
  </r>
  <r>
    <d v="2023-04-05T17:06:31"/>
    <s v="India"/>
    <n v="530024"/>
    <x v="0"/>
    <x v="4"/>
    <s v="No, But if someone could bare the cost I will"/>
    <s v="Will work for 3 years or more"/>
    <s v="No"/>
    <s v="Will NOT work for them"/>
    <n v="7"/>
    <x v="1"/>
    <x v="1"/>
    <x v="17"/>
    <x v="195"/>
    <s v="Manager who explains what is expected, sets a goal and helps achieve it"/>
    <x v="1"/>
  </r>
  <r>
    <d v="2023-04-05T17:07:04"/>
    <s v="India"/>
    <n v="606601"/>
    <x v="0"/>
    <x v="4"/>
    <s v="Yes, I will earn and do that"/>
    <s v="Will work for 3 years or more"/>
    <s v="Yes"/>
    <s v="Will work for them"/>
    <n v="10"/>
    <x v="1"/>
    <x v="1"/>
    <x v="17"/>
    <x v="216"/>
    <s v="Manager who explains what is expected, sets a goal and helps achieve it"/>
    <x v="7"/>
  </r>
  <r>
    <d v="2023-04-05T17:07:53"/>
    <s v="India"/>
    <n v="522006"/>
    <x v="0"/>
    <x v="4"/>
    <s v="No I would not be pursuing Higher Education outside of India"/>
    <s v="This will be hard to do, but if it is the right company I would try"/>
    <s v="No"/>
    <s v="Will NOT work for them"/>
    <n v="1"/>
    <x v="3"/>
    <x v="2"/>
    <x v="18"/>
    <x v="174"/>
    <s v="Manager who sets goal and helps me achieve it"/>
    <x v="11"/>
  </r>
  <r>
    <d v="2023-04-05T17:08:50"/>
    <s v="India"/>
    <n v="523301"/>
    <x v="1"/>
    <x v="4"/>
    <s v="Yes, I will earn and do that"/>
    <s v="Will work for 3 years or more"/>
    <s v="Yes"/>
    <s v="Will work for them"/>
    <n v="6"/>
    <x v="5"/>
    <x v="1"/>
    <x v="10"/>
    <x v="224"/>
    <s v="Manager who clearly describes what she/he needs"/>
    <x v="11"/>
  </r>
  <r>
    <d v="2023-04-05T17:09:00"/>
    <s v="India"/>
    <n v="500089"/>
    <x v="1"/>
    <x v="4"/>
    <s v="Yes, I will earn and do that"/>
    <s v="This will be hard to do, but if it is the right company I would try"/>
    <s v="Yes"/>
    <s v="Will work for them"/>
    <n v="10"/>
    <x v="5"/>
    <x v="2"/>
    <x v="11"/>
    <x v="161"/>
    <s v="Manager who clearly describes what she/he needs"/>
    <x v="3"/>
  </r>
  <r>
    <d v="2023-04-05T17:09:49"/>
    <s v="India"/>
    <n v="517583"/>
    <x v="0"/>
    <x v="0"/>
    <s v="No, But if someone could bare the cost I will"/>
    <s v="Will work for 3 years or more"/>
    <s v="No"/>
    <s v="Will NOT work for them"/>
    <n v="2"/>
    <x v="3"/>
    <x v="1"/>
    <x v="17"/>
    <x v="225"/>
    <s v="Manager who clearly describes what she/he needs"/>
    <x v="1"/>
  </r>
  <r>
    <d v="2023-04-05T17:10:10"/>
    <s v="India"/>
    <n v="530024"/>
    <x v="0"/>
    <x v="3"/>
    <s v="No I would not be pursuing Higher Education outside of India"/>
    <s v="This will be hard to do, but if it is the right company I would try"/>
    <s v="Yes"/>
    <s v="Will work for them"/>
    <n v="8"/>
    <x v="1"/>
    <x v="2"/>
    <x v="19"/>
    <x v="226"/>
    <s v="Manager who sets goal and helps me achieve it"/>
    <x v="8"/>
  </r>
  <r>
    <d v="2023-04-05T17:11:45"/>
    <s v="India"/>
    <n v="641015"/>
    <x v="0"/>
    <x v="1"/>
    <s v="Yes, I will earn and do that"/>
    <s v="This will be hard to do, but if it is the right company I would try"/>
    <s v="No"/>
    <s v="Will NOT work for them"/>
    <n v="1"/>
    <x v="5"/>
    <x v="1"/>
    <x v="8"/>
    <x v="197"/>
    <s v="Manager who explains what is expected, sets a goal and helps achieve it"/>
    <x v="9"/>
  </r>
  <r>
    <d v="2023-04-05T17:11:46"/>
    <s v="India"/>
    <n v="603203"/>
    <x v="0"/>
    <x v="3"/>
    <s v="Yes, I will earn and do that"/>
    <s v="Will work for 3 years or more"/>
    <s v="Yes"/>
    <s v="Will NOT work for them"/>
    <n v="4"/>
    <x v="5"/>
    <x v="2"/>
    <x v="7"/>
    <x v="227"/>
    <s v="Manager who sets goal and helps me achieve it"/>
    <x v="7"/>
  </r>
  <r>
    <d v="2023-04-05T17:13:12"/>
    <s v="India"/>
    <n v="630562"/>
    <x v="0"/>
    <x v="3"/>
    <s v="Yes, I will earn and do that"/>
    <s v="This will be hard to do, but if it is the right company I would try"/>
    <s v="No"/>
    <s v="Will NOT work for them"/>
    <n v="5"/>
    <x v="3"/>
    <x v="1"/>
    <x v="9"/>
    <x v="113"/>
    <s v="Manager who clearly describes what she/he needs"/>
    <x v="0"/>
  </r>
  <r>
    <d v="2023-04-05T17:14:36"/>
    <s v="India"/>
    <n v="577204"/>
    <x v="1"/>
    <x v="2"/>
    <s v="Yes, I will earn and do that"/>
    <s v="This will be hard to do, but if it is the right company I would try"/>
    <s v="No"/>
    <s v="Will NOT work for them"/>
    <n v="4"/>
    <x v="1"/>
    <x v="2"/>
    <x v="22"/>
    <x v="227"/>
    <s v="Manager who explains what is expected, sets a goal and helps achieve it"/>
    <x v="11"/>
  </r>
  <r>
    <d v="2023-04-05T17:17:27"/>
    <s v="India"/>
    <n v="442902"/>
    <x v="0"/>
    <x v="3"/>
    <s v="No I would not be pursuing Higher Education outside of India"/>
    <s v="This will be hard to do, but if it is the right company I would try"/>
    <s v="Yes"/>
    <s v="Will work for them"/>
    <n v="8"/>
    <x v="1"/>
    <x v="1"/>
    <x v="16"/>
    <x v="228"/>
    <s v="Manager who explains what is expected, sets a goal and helps achieve it"/>
    <x v="1"/>
  </r>
  <r>
    <d v="2023-04-05T17:18:04"/>
    <s v="India"/>
    <n v="641005"/>
    <x v="2"/>
    <x v="0"/>
    <s v="Yes, I will earn and do that"/>
    <s v="This will be hard to do, but if it is the right company I would try"/>
    <s v="No"/>
    <s v="Will NOT work for them"/>
    <n v="1"/>
    <x v="3"/>
    <x v="1"/>
    <x v="19"/>
    <x v="196"/>
    <s v="Manager who clearly describes what she/he needs"/>
    <x v="2"/>
  </r>
  <r>
    <d v="2023-04-05T17:18:42"/>
    <s v="India"/>
    <n v="641062"/>
    <x v="0"/>
    <x v="1"/>
    <s v="No, But if someone could bare the cost I will"/>
    <s v="This will be hard to do, but if it is the right company I would try"/>
    <s v="No"/>
    <s v="Will NOT work for them"/>
    <n v="1"/>
    <x v="1"/>
    <x v="1"/>
    <x v="11"/>
    <x v="229"/>
    <s v="Manager who explains what is expected, sets a goal and helps achieve it"/>
    <x v="3"/>
  </r>
  <r>
    <d v="2023-04-05T17:25:43"/>
    <s v="India"/>
    <n v="400097"/>
    <x v="0"/>
    <x v="4"/>
    <s v="No, But if someone could bare the cost I will"/>
    <s v="This will be hard to do, but if it is the right company I would try"/>
    <s v="No"/>
    <s v="Will NOT work for them"/>
    <n v="3"/>
    <x v="1"/>
    <x v="2"/>
    <x v="6"/>
    <x v="129"/>
    <s v="Manager who clearly describes what she/he needs"/>
    <x v="4"/>
  </r>
  <r>
    <d v="2023-04-05T17:26:05"/>
    <s v="India"/>
    <n v="442902"/>
    <x v="1"/>
    <x v="4"/>
    <s v="No, But if someone could bare the cost I will"/>
    <s v="This will be hard to do, but if it is the right company I would try"/>
    <s v="No"/>
    <s v="Will NOT work for them"/>
    <n v="1"/>
    <x v="3"/>
    <x v="2"/>
    <x v="10"/>
    <x v="230"/>
    <s v="Manager who explains what is expected, sets a goal and helps achieve it"/>
    <x v="3"/>
  </r>
  <r>
    <d v="2023-04-05T17:26:56"/>
    <s v="India"/>
    <n v="621218"/>
    <x v="1"/>
    <x v="4"/>
    <s v="No, But if someone could bare the cost I will"/>
    <s v="This will be hard to do, but if it is the right company I would try"/>
    <s v="No"/>
    <s v="Will NOT work for them"/>
    <n v="2"/>
    <x v="3"/>
    <x v="2"/>
    <x v="7"/>
    <x v="214"/>
    <s v="Manager who explains what is expected, sets a goal and helps achieve it"/>
    <x v="11"/>
  </r>
  <r>
    <d v="2023-04-05T17:28:32"/>
    <s v="India"/>
    <n v="560100"/>
    <x v="1"/>
    <x v="2"/>
    <s v="No I would not be pursuing Higher Education outside of India"/>
    <s v="This will be hard to do, but if it is the right company I would try"/>
    <s v="No"/>
    <s v="Will NOT work for them"/>
    <n v="5"/>
    <x v="6"/>
    <x v="2"/>
    <x v="11"/>
    <x v="231"/>
    <s v="Manager who explains what is expected, sets a goal and helps achieve it"/>
    <x v="7"/>
  </r>
  <r>
    <d v="2023-04-05T17:32:45"/>
    <s v="India"/>
    <n v="364001"/>
    <x v="1"/>
    <x v="0"/>
    <s v="Yes, I will earn and do that"/>
    <s v="This will be hard to do, but if it is the right company I would try"/>
    <s v="No"/>
    <s v="Will NOT work for them"/>
    <n v="3"/>
    <x v="3"/>
    <x v="2"/>
    <x v="9"/>
    <x v="160"/>
    <s v="Manager who explains what is expected, sets a goal and helps achieve it"/>
    <x v="7"/>
  </r>
  <r>
    <d v="2023-04-05T17:34:28"/>
    <s v="India"/>
    <n v="442501"/>
    <x v="1"/>
    <x v="0"/>
    <s v="Yes, I will earn and do that"/>
    <s v="This will be hard to do, but if it is the right company I would try"/>
    <s v="Yes"/>
    <s v="Will work for them"/>
    <n v="3"/>
    <x v="3"/>
    <x v="1"/>
    <x v="20"/>
    <x v="134"/>
    <s v="Manager who sets targets and expects me to achieve it"/>
    <x v="1"/>
  </r>
  <r>
    <d v="2023-04-05T17:35:24"/>
    <s v="India"/>
    <n v="500083"/>
    <x v="0"/>
    <x v="4"/>
    <s v="Yes, I will earn and do that"/>
    <s v="This will be hard to do, but if it is the right company I would try"/>
    <s v="No"/>
    <s v="Will NOT work for them"/>
    <n v="5"/>
    <x v="5"/>
    <x v="1"/>
    <x v="15"/>
    <x v="134"/>
    <s v="Manager who explains what is expected, sets a goal and helps achieve it"/>
    <x v="6"/>
  </r>
  <r>
    <d v="2023-04-05T17:35:51"/>
    <s v="India"/>
    <n v="670301"/>
    <x v="0"/>
    <x v="4"/>
    <s v="Yes, I will earn and do that"/>
    <s v="This will be hard to do, but if it is the right company I would try"/>
    <s v="No"/>
    <s v="Will NOT work for them"/>
    <n v="5"/>
    <x v="3"/>
    <x v="2"/>
    <x v="10"/>
    <x v="232"/>
    <s v="Manager who explains what is expected, sets a goal and helps achieve it"/>
    <x v="6"/>
  </r>
  <r>
    <d v="2023-04-05T17:39:20"/>
    <s v="India"/>
    <n v="400607"/>
    <x v="0"/>
    <x v="0"/>
    <s v="No I would not be pursuing Higher Education outside of India"/>
    <s v="This will be hard to do, but if it is the right company I would try"/>
    <s v="No"/>
    <s v="Will NOT work for them"/>
    <n v="5"/>
    <x v="6"/>
    <x v="2"/>
    <x v="17"/>
    <x v="179"/>
    <s v="Manager who explains what is expected, sets a goal and helps achieve it"/>
    <x v="3"/>
  </r>
  <r>
    <d v="2023-04-05T17:40:05"/>
    <s v="India"/>
    <n v="632515"/>
    <x v="0"/>
    <x v="1"/>
    <s v="No I would not be pursuing Higher Education outside of India"/>
    <s v="This will be hard to do, but if it is the right company I would try"/>
    <s v="No"/>
    <s v="Will NOT work for them"/>
    <n v="5"/>
    <x v="1"/>
    <x v="0"/>
    <x v="9"/>
    <x v="233"/>
    <s v="Manager who explains what is expected, sets a goal and helps achieve it"/>
    <x v="0"/>
  </r>
  <r>
    <d v="2023-04-05T17:41:04"/>
    <s v="India"/>
    <n v="516329"/>
    <x v="1"/>
    <x v="4"/>
    <s v="No, But if someone could bare the cost I will"/>
    <s v="Will work for 3 years or more"/>
    <s v="No"/>
    <s v="Will work for them"/>
    <n v="7"/>
    <x v="1"/>
    <x v="1"/>
    <x v="22"/>
    <x v="234"/>
    <s v="Manager who explains what is expected, sets a goal and helps achieve it"/>
    <x v="2"/>
  </r>
  <r>
    <d v="2023-04-05T17:43:15"/>
    <s v="India"/>
    <n v="620001"/>
    <x v="1"/>
    <x v="2"/>
    <s v="No, But if someone could bare the cost I will"/>
    <s v="Will work for 3 years or more"/>
    <s v="No"/>
    <s v="Will NOT work for them"/>
    <n v="6"/>
    <x v="1"/>
    <x v="1"/>
    <x v="14"/>
    <x v="235"/>
    <s v="Manager who explains what is expected, sets a goal and helps achieve it"/>
    <x v="1"/>
  </r>
  <r>
    <d v="2023-04-05T17:43:53"/>
    <s v="India"/>
    <n v="600116"/>
    <x v="0"/>
    <x v="2"/>
    <s v="No I would not be pursuing Higher Education outside of India"/>
    <s v="Will work for 3 years or more"/>
    <s v="No"/>
    <s v="Will work for them"/>
    <n v="4"/>
    <x v="6"/>
    <x v="2"/>
    <x v="25"/>
    <x v="153"/>
    <s v="Manager who explains what is expected, sets a goal and helps achieve it"/>
    <x v="7"/>
  </r>
  <r>
    <d v="2023-04-05T17:44:22"/>
    <s v="India"/>
    <n v="560016"/>
    <x v="0"/>
    <x v="2"/>
    <s v="Yes, I will earn and do that"/>
    <s v="This will be hard to do, but if it is the right company I would try"/>
    <s v="Yes"/>
    <s v="Will NOT work for them"/>
    <n v="8"/>
    <x v="6"/>
    <x v="1"/>
    <x v="6"/>
    <x v="236"/>
    <s v="Manager who explains what is expected, sets a goal and helps achieve it"/>
    <x v="1"/>
  </r>
  <r>
    <d v="2023-04-05T17:44:32"/>
    <s v="India"/>
    <n v="641062"/>
    <x v="0"/>
    <x v="3"/>
    <s v="No, But if someone could bare the cost I will"/>
    <s v="This will be hard to do, but if it is the right company I would try"/>
    <s v="No"/>
    <s v="Will NOT work for them"/>
    <n v="1"/>
    <x v="5"/>
    <x v="1"/>
    <x v="11"/>
    <x v="237"/>
    <s v="Manager who explains what is expected, sets a goal and helps achieve it"/>
    <x v="3"/>
  </r>
  <r>
    <d v="2023-04-05T17:49:38"/>
    <s v="India"/>
    <n v="793002"/>
    <x v="0"/>
    <x v="2"/>
    <s v="No I would not be pursuing Higher Education outside of India"/>
    <s v="This will be hard to do, but if it is the right company I would try"/>
    <s v="Yes"/>
    <s v="Will NOT work for them"/>
    <n v="4"/>
    <x v="1"/>
    <x v="1"/>
    <x v="17"/>
    <x v="238"/>
    <s v="Manager who explains what is expected, sets a goal and helps achieve it"/>
    <x v="5"/>
  </r>
  <r>
    <d v="2023-04-05T17:52:58"/>
    <s v="India"/>
    <n v="122022"/>
    <x v="0"/>
    <x v="2"/>
    <s v="No I would not be pursuing Higher Education outside of India"/>
    <s v="Will work for 3 years or more"/>
    <s v="No"/>
    <s v="Will NOT work for them"/>
    <n v="10"/>
    <x v="5"/>
    <x v="1"/>
    <x v="8"/>
    <x v="161"/>
    <s v="Manager who clearly describes what she/he needs"/>
    <x v="7"/>
  </r>
  <r>
    <d v="2023-04-05T17:55:26"/>
    <s v="India"/>
    <n v="110059"/>
    <x v="0"/>
    <x v="0"/>
    <s v="No I would not be pursuing Higher Education outside of India"/>
    <s v="This will be hard to do, but if it is the right company I would try"/>
    <s v="No"/>
    <s v="Will NOT work for them"/>
    <n v="2"/>
    <x v="1"/>
    <x v="1"/>
    <x v="11"/>
    <x v="239"/>
    <s v="Manager who explains what is expected, sets a goal and helps achieve it"/>
    <x v="1"/>
  </r>
  <r>
    <d v="2023-04-05T17:56:08"/>
    <s v="India"/>
    <n v="620002"/>
    <x v="0"/>
    <x v="3"/>
    <s v="No I would not be pursuing Higher Education outside of India"/>
    <s v="This will be hard to do, but if it is the right company I would try"/>
    <s v="Yes"/>
    <s v="Will NOT work for them"/>
    <n v="5"/>
    <x v="5"/>
    <x v="1"/>
    <x v="17"/>
    <x v="198"/>
    <s v="Manager who sets goal and helps me achieve it"/>
    <x v="4"/>
  </r>
  <r>
    <d v="2023-04-05T17:57:46"/>
    <s v="India"/>
    <n v="641028"/>
    <x v="0"/>
    <x v="2"/>
    <s v="No I would not be pursuing Higher Education outside of India"/>
    <s v="This will be hard to do, but if it is the right company I would try"/>
    <s v="No"/>
    <s v="Will NOT work for them"/>
    <n v="3"/>
    <x v="6"/>
    <x v="1"/>
    <x v="17"/>
    <x v="211"/>
    <s v="Manager who clearly describes what she/he needs"/>
    <x v="4"/>
  </r>
  <r>
    <d v="2023-04-05T17:58:22"/>
    <s v="India"/>
    <n v="632515"/>
    <x v="0"/>
    <x v="4"/>
    <s v="Yes, I will earn and do that"/>
    <s v="No way"/>
    <s v="No"/>
    <s v="Will NOT work for them"/>
    <n v="4"/>
    <x v="5"/>
    <x v="0"/>
    <x v="19"/>
    <x v="240"/>
    <s v="Manager who sets goal and helps me achieve it"/>
    <x v="18"/>
  </r>
  <r>
    <d v="2023-04-05T18:04:05"/>
    <s v="India"/>
    <n v="620017"/>
    <x v="1"/>
    <x v="0"/>
    <s v="Yes, I will earn and do that"/>
    <s v="This will be hard to do, but if it is the right company I would try"/>
    <s v="No"/>
    <s v="Will NOT work for them"/>
    <n v="6"/>
    <x v="6"/>
    <x v="2"/>
    <x v="11"/>
    <x v="132"/>
    <s v="Manager who sets targets and expects me to achieve it"/>
    <x v="15"/>
  </r>
  <r>
    <d v="2023-04-05T18:04:55"/>
    <s v="India"/>
    <n v="574106"/>
    <x v="1"/>
    <x v="1"/>
    <s v="Yes, I will earn and do that"/>
    <s v="Will work for 3 years or more"/>
    <s v="Yes"/>
    <s v="Will work for them"/>
    <n v="7"/>
    <x v="1"/>
    <x v="1"/>
    <x v="18"/>
    <x v="241"/>
    <s v="Manager who explains what is expected, sets a goal and helps achieve it"/>
    <x v="3"/>
  </r>
  <r>
    <d v="2023-04-05T18:05:23"/>
    <s v="India"/>
    <n v="752050"/>
    <x v="0"/>
    <x v="2"/>
    <s v="No I would not be pursuing Higher Education outside of India"/>
    <s v="This will be hard to do, but if it is the right company I would try"/>
    <s v="No"/>
    <s v="Will NOT work for them"/>
    <n v="8"/>
    <x v="1"/>
    <x v="0"/>
    <x v="11"/>
    <x v="118"/>
    <s v="Manager who sets targets and expects me to achieve it"/>
    <x v="1"/>
  </r>
  <r>
    <d v="2023-04-05T18:08:31"/>
    <s v="India"/>
    <n v="781015"/>
    <x v="0"/>
    <x v="4"/>
    <s v="Yes, I will earn and do that"/>
    <s v="Will work for 3 years or more"/>
    <s v="Yes"/>
    <s v="Will work for them"/>
    <n v="1"/>
    <x v="3"/>
    <x v="2"/>
    <x v="14"/>
    <x v="174"/>
    <s v="Manager who sets targets and expects me to achieve it"/>
    <x v="4"/>
  </r>
  <r>
    <d v="2023-04-05T18:27:59"/>
    <s v="India"/>
    <n v="380008"/>
    <x v="0"/>
    <x v="3"/>
    <s v="Yes, I will earn and do that"/>
    <s v="Will work for 3 years or more"/>
    <s v="No"/>
    <s v="Will NOT work for them"/>
    <n v="6"/>
    <x v="5"/>
    <x v="1"/>
    <x v="10"/>
    <x v="187"/>
    <s v="Manager who sets goal and helps me achieve it"/>
    <x v="3"/>
  </r>
  <r>
    <d v="2023-04-05T18:32:47"/>
    <s v="India"/>
    <n v="600073"/>
    <x v="0"/>
    <x v="0"/>
    <s v="No, But if someone could bare the cost I will"/>
    <s v="This will be hard to do, but if it is the right company I would try"/>
    <s v="No"/>
    <s v="Will NOT work for them"/>
    <n v="3"/>
    <x v="1"/>
    <x v="0"/>
    <x v="10"/>
    <x v="109"/>
    <s v="Manager who sets goal and helps me achieve it"/>
    <x v="4"/>
  </r>
  <r>
    <d v="2023-04-05T18:44:17"/>
    <s v="India"/>
    <n v="620001"/>
    <x v="0"/>
    <x v="3"/>
    <s v="Yes, I will earn and do that"/>
    <s v="Will work for 3 years or more"/>
    <s v="No"/>
    <s v="Will NOT work for them"/>
    <n v="10"/>
    <x v="3"/>
    <x v="2"/>
    <x v="9"/>
    <x v="239"/>
    <s v="Manager who clearly describes what she/he needs"/>
    <x v="1"/>
  </r>
  <r>
    <d v="2023-04-05T18:49:09"/>
    <s v="India"/>
    <n v="401202"/>
    <x v="0"/>
    <x v="3"/>
    <s v="Yes, I will earn and do that"/>
    <s v="This will be hard to do, but if it is the right company I would try"/>
    <s v="Yes"/>
    <s v="Will work for them"/>
    <n v="7"/>
    <x v="3"/>
    <x v="1"/>
    <x v="11"/>
    <x v="242"/>
    <s v="Manager who explains what is expected, sets a goal and helps achieve it"/>
    <x v="14"/>
  </r>
  <r>
    <d v="2023-04-05T18:55:05"/>
    <s v="India"/>
    <n v="620102"/>
    <x v="1"/>
    <x v="4"/>
    <s v="Yes, I will earn and do that"/>
    <s v="This will be hard to do, but if it is the right company I would try"/>
    <s v="No"/>
    <s v="Will NOT work for them"/>
    <n v="3"/>
    <x v="3"/>
    <x v="0"/>
    <x v="9"/>
    <x v="109"/>
    <s v="Manager who sets goal and helps me achieve it"/>
    <x v="1"/>
  </r>
  <r>
    <d v="2023-04-05T19:00:44"/>
    <s v="India"/>
    <n v="560037"/>
    <x v="0"/>
    <x v="4"/>
    <s v="Yes, I will earn and do that"/>
    <s v="This will be hard to do, but if it is the right company I would try"/>
    <s v="No"/>
    <s v="Will NOT work for them"/>
    <n v="1"/>
    <x v="6"/>
    <x v="2"/>
    <x v="7"/>
    <x v="243"/>
    <s v="Manager who clearly describes what she/he needs"/>
    <x v="5"/>
  </r>
  <r>
    <d v="2023-04-05T19:01:49"/>
    <s v="India"/>
    <n v="400053"/>
    <x v="1"/>
    <x v="4"/>
    <s v="No I would not be pursuing Higher Education outside of India"/>
    <s v="This will be hard to do, but if it is the right company I would try"/>
    <s v="No"/>
    <s v="Will NOT work for them"/>
    <n v="3"/>
    <x v="3"/>
    <x v="2"/>
    <x v="10"/>
    <x v="244"/>
    <s v="Manager who clearly describes what she/he needs"/>
    <x v="3"/>
  </r>
  <r>
    <d v="2023-04-05T19:05:07"/>
    <s v="India"/>
    <n v="620002"/>
    <x v="1"/>
    <x v="0"/>
    <s v="Yes, I will earn and do that"/>
    <s v="This will be hard to do, but if it is the right company I would try"/>
    <s v="No"/>
    <s v="Will NOT work for them"/>
    <n v="5"/>
    <x v="1"/>
    <x v="1"/>
    <x v="19"/>
    <x v="138"/>
    <s v="Manager who explains what is expected, sets a goal and helps achieve it"/>
    <x v="3"/>
  </r>
  <r>
    <d v="2023-04-05T19:13:44"/>
    <s v="India"/>
    <n v="711102"/>
    <x v="0"/>
    <x v="0"/>
    <s v="No I would not be pursuing Higher Education outside of India"/>
    <s v="This will be hard to do, but if it is the right company I would try"/>
    <s v="No"/>
    <s v="Will NOT work for them"/>
    <n v="10"/>
    <x v="1"/>
    <x v="1"/>
    <x v="8"/>
    <x v="245"/>
    <s v="Manager who explains what is expected, sets a goal and helps achieve it"/>
    <x v="8"/>
  </r>
  <r>
    <d v="2023-04-05T19:16:22"/>
    <s v="India"/>
    <n v="520015"/>
    <x v="1"/>
    <x v="3"/>
    <s v="Yes, I will earn and do that"/>
    <s v="Will work for 3 years or more"/>
    <s v="No"/>
    <s v="Will NOT work for them"/>
    <n v="4"/>
    <x v="5"/>
    <x v="2"/>
    <x v="7"/>
    <x v="246"/>
    <s v="Manager who explains what is expected, sets a goal and helps achieve it"/>
    <x v="1"/>
  </r>
  <r>
    <d v="2023-04-05T19:19:24"/>
    <s v="India"/>
    <n v="607104"/>
    <x v="0"/>
    <x v="3"/>
    <s v="No, But if someone could bare the cost I will"/>
    <s v="This will be hard to do, but if it is the right company I would try"/>
    <s v="No"/>
    <s v="Will NOT work for them"/>
    <n v="8"/>
    <x v="5"/>
    <x v="2"/>
    <x v="12"/>
    <x v="247"/>
    <s v="Manager who explains what is expected, sets a goal and helps achieve it"/>
    <x v="1"/>
  </r>
  <r>
    <d v="2023-04-05T19:20:25"/>
    <s v="India"/>
    <n v="842002"/>
    <x v="1"/>
    <x v="0"/>
    <s v="No, But if someone could bare the cost I will"/>
    <s v="This will be hard to do, but if it is the right company I would try"/>
    <s v="No"/>
    <s v="Will NOT work for them"/>
    <n v="5"/>
    <x v="6"/>
    <x v="0"/>
    <x v="6"/>
    <x v="248"/>
    <s v="Manager who sets goal and helps me achieve it"/>
    <x v="2"/>
  </r>
  <r>
    <d v="2023-04-05T19:21:53"/>
    <s v="India"/>
    <n v="517501"/>
    <x v="0"/>
    <x v="0"/>
    <s v="Yes, I will earn and do that"/>
    <s v="This will be hard to do, but if it is the right company I would try"/>
    <s v="No"/>
    <s v="Will NOT work for them"/>
    <n v="4"/>
    <x v="5"/>
    <x v="2"/>
    <x v="11"/>
    <x v="224"/>
    <s v="Manager who clearly describes what she/he needs"/>
    <x v="3"/>
  </r>
  <r>
    <d v="2023-04-05T19:22:07"/>
    <s v="India"/>
    <n v="208027"/>
    <x v="0"/>
    <x v="3"/>
    <s v="Yes, I will earn and do that"/>
    <s v="This will be hard to do, but if it is the right company I would try"/>
    <s v="No"/>
    <s v="Will NOT work for them"/>
    <n v="5"/>
    <x v="3"/>
    <x v="1"/>
    <x v="17"/>
    <x v="245"/>
    <s v="Manager who sets goal and helps me achieve it"/>
    <x v="14"/>
  </r>
  <r>
    <d v="2023-04-05T19:26:03"/>
    <s v="India"/>
    <n v="400022"/>
    <x v="0"/>
    <x v="2"/>
    <s v="No I would not be pursuing Higher Education outside of India"/>
    <s v="No way"/>
    <s v="Yes"/>
    <s v="Will work for them"/>
    <n v="10"/>
    <x v="5"/>
    <x v="2"/>
    <x v="18"/>
    <x v="249"/>
    <s v="Manager who clearly describes what she/he needs"/>
    <x v="3"/>
  </r>
  <r>
    <d v="2023-04-05T19:27:56"/>
    <s v="India"/>
    <n v="522503"/>
    <x v="0"/>
    <x v="4"/>
    <s v="No, But if someone could bare the cost I will"/>
    <s v="This will be hard to do, but if it is the right company I would try"/>
    <s v="No"/>
    <s v="Will NOT work for them"/>
    <n v="5"/>
    <x v="0"/>
    <x v="2"/>
    <x v="24"/>
    <x v="250"/>
    <s v="Manager who clearly describes what she/he needs"/>
    <x v="3"/>
  </r>
  <r>
    <d v="2023-04-05T19:29:01"/>
    <s v="India"/>
    <n v="535125"/>
    <x v="0"/>
    <x v="3"/>
    <s v="No I would not be pursuing Higher Education outside of India"/>
    <s v="This will be hard to do, but if it is the right company I would try"/>
    <s v="No"/>
    <s v="Will NOT work for them"/>
    <n v="7"/>
    <x v="5"/>
    <x v="1"/>
    <x v="18"/>
    <x v="251"/>
    <s v="Manager who explains what is expected, sets a goal and helps achieve it"/>
    <x v="1"/>
  </r>
  <r>
    <d v="2023-04-05T19:30:56"/>
    <s v="India"/>
    <n v="364001"/>
    <x v="1"/>
    <x v="4"/>
    <s v="Yes, I will earn and do that"/>
    <s v="Will work for 3 years or more"/>
    <s v="No"/>
    <s v="Will NOT work for them"/>
    <n v="5"/>
    <x v="3"/>
    <x v="2"/>
    <x v="7"/>
    <x v="252"/>
    <s v="Manager who clearly describes what she/he needs"/>
    <x v="4"/>
  </r>
  <r>
    <d v="2023-04-05T19:38:33"/>
    <s v="India"/>
    <n v="91"/>
    <x v="1"/>
    <x v="0"/>
    <s v="Yes, I will earn and do that"/>
    <s v="This will be hard to do, but if it is the right company I would try"/>
    <s v="No"/>
    <s v="Will NOT work for them"/>
    <n v="5"/>
    <x v="1"/>
    <x v="1"/>
    <x v="9"/>
    <x v="224"/>
    <s v="Manager who explains what is expected, sets a goal and helps achieve it"/>
    <x v="1"/>
  </r>
  <r>
    <d v="2023-04-05T19:50:19"/>
    <s v="India"/>
    <n v="711102"/>
    <x v="0"/>
    <x v="3"/>
    <s v="Yes, I will earn and do that"/>
    <s v="Will work for 3 years or more"/>
    <s v="No"/>
    <s v="Will NOT work for them"/>
    <n v="8"/>
    <x v="3"/>
    <x v="1"/>
    <x v="9"/>
    <x v="141"/>
    <s v="Manager who explains what is expected, sets a goal and helps achieve it"/>
    <x v="3"/>
  </r>
  <r>
    <d v="2023-04-05T19:53:38"/>
    <s v="India"/>
    <n v="678732"/>
    <x v="1"/>
    <x v="2"/>
    <s v="Yes, I will earn and do that"/>
    <s v="This will be hard to do, but if it is the right company I would try"/>
    <s v="No"/>
    <s v="Will NOT work for them"/>
    <n v="5"/>
    <x v="1"/>
    <x v="1"/>
    <x v="9"/>
    <x v="253"/>
    <s v="Manager who explains what is expected, sets a goal and helps achieve it"/>
    <x v="5"/>
  </r>
  <r>
    <d v="2023-04-05T19:54:53"/>
    <s v="India"/>
    <n v="400064"/>
    <x v="0"/>
    <x v="4"/>
    <s v="Yes, I will earn and do that"/>
    <s v="This will be hard to do, but if it is the right company I would try"/>
    <s v="No"/>
    <s v="Will NOT work for them"/>
    <n v="8"/>
    <x v="3"/>
    <x v="2"/>
    <x v="19"/>
    <x v="254"/>
    <s v="Manager who sets goal and helps me achieve it"/>
    <x v="22"/>
  </r>
  <r>
    <d v="2023-04-05T19:55:27"/>
    <s v="India"/>
    <n v="500045"/>
    <x v="0"/>
    <x v="3"/>
    <s v="Yes, I will earn and do that"/>
    <s v="This will be hard to do, but if it is the right company I would try"/>
    <s v="No"/>
    <s v="Will NOT work for them"/>
    <n v="1"/>
    <x v="5"/>
    <x v="0"/>
    <x v="9"/>
    <x v="141"/>
    <s v="Manager who explains what is expected, sets a goal and helps achieve it"/>
    <x v="1"/>
  </r>
  <r>
    <d v="2023-04-05T19:56:31"/>
    <s v="Others"/>
    <s v="SY23"/>
    <x v="0"/>
    <x v="2"/>
    <s v="Yes, I will earn and do that"/>
    <s v="This will be hard to do, but if it is the right company I would try"/>
    <s v="Yes"/>
    <s v="Will work for them"/>
    <n v="10"/>
    <x v="6"/>
    <x v="2"/>
    <x v="10"/>
    <x v="255"/>
    <s v="Manager who explains what is expected, sets a goal and helps achieve it"/>
    <x v="11"/>
  </r>
  <r>
    <d v="2023-04-05T20:13:51"/>
    <s v="India"/>
    <n v="440014"/>
    <x v="0"/>
    <x v="3"/>
    <s v="Yes, I will earn and do that"/>
    <s v="This will be hard to do, but if it is the right company I would try"/>
    <s v="Yes"/>
    <s v="Will NOT work for them"/>
    <n v="4"/>
    <x v="3"/>
    <x v="2"/>
    <x v="19"/>
    <x v="256"/>
    <s v="Manager who clearly describes what she/he needs"/>
    <x v="6"/>
  </r>
  <r>
    <d v="2023-04-05T20:20:52"/>
    <s v="India"/>
    <n v="400059"/>
    <x v="1"/>
    <x v="0"/>
    <s v="Yes, I will earn and do that"/>
    <s v="This will be hard to do, but if it is the right company I would try"/>
    <s v="No"/>
    <s v="Will NOT work for them"/>
    <n v="5"/>
    <x v="5"/>
    <x v="1"/>
    <x v="19"/>
    <x v="109"/>
    <s v="Manager who explains what is expected, sets a goal and helps achieve it"/>
    <x v="11"/>
  </r>
  <r>
    <d v="2023-04-05T20:21:56"/>
    <s v="India"/>
    <n v="442902"/>
    <x v="0"/>
    <x v="2"/>
    <s v="No I would not be pursuing Higher Education outside of India"/>
    <s v="This will be hard to do, but if it is the right company I would try"/>
    <s v="No"/>
    <s v="Will NOT work for them"/>
    <n v="5"/>
    <x v="6"/>
    <x v="2"/>
    <x v="9"/>
    <x v="257"/>
    <s v="Manager who explains what is expected, sets a goal and helps achieve it"/>
    <x v="3"/>
  </r>
  <r>
    <d v="2023-04-05T20:22:32"/>
    <s v="India"/>
    <n v="600088"/>
    <x v="0"/>
    <x v="4"/>
    <s v="No I would not be pursuing Higher Education outside of India"/>
    <s v="Will work for 3 years or more"/>
    <s v="No"/>
    <s v="Will work for them"/>
    <n v="4"/>
    <x v="6"/>
    <x v="1"/>
    <x v="9"/>
    <x v="161"/>
    <s v="Manager who sets goal and helps me achieve it"/>
    <x v="1"/>
  </r>
  <r>
    <d v="2023-04-05T20:24:05"/>
    <s v="India"/>
    <n v="641402"/>
    <x v="1"/>
    <x v="4"/>
    <s v="No, But if someone could bare the cost I will"/>
    <s v="No way"/>
    <s v="No"/>
    <s v="Will work for them"/>
    <n v="4"/>
    <x v="5"/>
    <x v="2"/>
    <x v="22"/>
    <x v="258"/>
    <s v="Manager who clearly describes what she/he needs"/>
    <x v="7"/>
  </r>
  <r>
    <d v="2023-04-05T20:25:44"/>
    <s v="India"/>
    <n v="606601"/>
    <x v="0"/>
    <x v="3"/>
    <s v="Yes, I will earn and do that"/>
    <s v="Will work for 3 years or more"/>
    <s v="Yes"/>
    <s v="Will NOT work for them"/>
    <n v="7"/>
    <x v="6"/>
    <x v="2"/>
    <x v="19"/>
    <x v="129"/>
    <s v="Manager who explains what is expected, sets a goal and helps achieve it"/>
    <x v="1"/>
  </r>
  <r>
    <d v="2023-04-05T20:29:20"/>
    <s v="India"/>
    <n v="400075"/>
    <x v="1"/>
    <x v="4"/>
    <s v="No I would not be pursuing Higher Education outside of India"/>
    <s v="This will be hard to do, but if it is the right company I would try"/>
    <s v="No"/>
    <s v="Will work for them"/>
    <n v="5"/>
    <x v="3"/>
    <x v="1"/>
    <x v="19"/>
    <x v="239"/>
    <s v="Manager who explains what is expected, sets a goal and helps achieve it"/>
    <x v="1"/>
  </r>
  <r>
    <d v="2023-04-05T20:29:48"/>
    <s v="Others"/>
    <n v="58200"/>
    <x v="0"/>
    <x v="1"/>
    <s v="No, But if someone could bare the cost I will"/>
    <s v="Will work for 3 years or more"/>
    <s v="No"/>
    <s v="Will NOT work for them"/>
    <n v="7"/>
    <x v="1"/>
    <x v="1"/>
    <x v="11"/>
    <x v="259"/>
    <s v="Manager who explains what is expected, sets a goal and helps achieve it"/>
    <x v="7"/>
  </r>
  <r>
    <d v="2023-04-05T20:31:09"/>
    <s v="India"/>
    <n v="400067"/>
    <x v="0"/>
    <x v="0"/>
    <s v="No I would not be pursuing Higher Education outside of India"/>
    <s v="This will be hard to do, but if it is the right company I would try"/>
    <s v="No"/>
    <s v="Will NOT work for them"/>
    <n v="4"/>
    <x v="6"/>
    <x v="1"/>
    <x v="9"/>
    <x v="197"/>
    <s v="Manager who explains what is expected, sets a goal and helps achieve it"/>
    <x v="1"/>
  </r>
  <r>
    <d v="2023-04-05T20:32:36"/>
    <s v="India"/>
    <n v="452002"/>
    <x v="0"/>
    <x v="4"/>
    <s v="Yes, I will earn and do that"/>
    <s v="This will be hard to do, but if it is the right company I would try"/>
    <s v="Yes"/>
    <s v="Will NOT work for them"/>
    <n v="2"/>
    <x v="3"/>
    <x v="2"/>
    <x v="17"/>
    <x v="199"/>
    <s v="Manager who sets goal and helps me achieve it"/>
    <x v="2"/>
  </r>
  <r>
    <d v="2023-04-05T20:36:00"/>
    <s v="India"/>
    <n v="522101"/>
    <x v="0"/>
    <x v="0"/>
    <s v="No I would not be pursuing Higher Education outside of India"/>
    <s v="This will be hard to do, but if it is the right company I would try"/>
    <s v="No"/>
    <s v="Will NOT work for them"/>
    <n v="5"/>
    <x v="1"/>
    <x v="1"/>
    <x v="11"/>
    <x v="260"/>
    <s v="Manager who clearly describes what she/he needs"/>
    <x v="1"/>
  </r>
  <r>
    <d v="2023-04-05T20:38:46"/>
    <s v="India"/>
    <n v="560023"/>
    <x v="1"/>
    <x v="0"/>
    <s v="Yes, I will earn and do that"/>
    <s v="This will be hard to do, but if it is the right company I would try"/>
    <s v="No"/>
    <s v="Will NOT work for them"/>
    <n v="4"/>
    <x v="6"/>
    <x v="1"/>
    <x v="7"/>
    <x v="109"/>
    <s v="Manager who explains what is expected, sets a goal and helps achieve it"/>
    <x v="3"/>
  </r>
  <r>
    <d v="2023-04-05T20:45:17"/>
    <s v="India"/>
    <n v="442902"/>
    <x v="1"/>
    <x v="4"/>
    <s v="No, But if someone could bare the cost I will"/>
    <s v="This will be hard to do, but if it is the right company I would try"/>
    <s v="No"/>
    <s v="Will NOT work for them"/>
    <n v="5"/>
    <x v="6"/>
    <x v="1"/>
    <x v="11"/>
    <x v="143"/>
    <s v="Manager who sets goal and helps me achieve it"/>
    <x v="4"/>
  </r>
  <r>
    <d v="2023-04-05T20:45:18"/>
    <s v="India"/>
    <n v="442902"/>
    <x v="0"/>
    <x v="4"/>
    <s v="No, But if someone could bare the cost I will"/>
    <s v="This will be hard to do, but if it is the right company I would try"/>
    <s v="No"/>
    <s v="Will NOT work for them"/>
    <n v="5"/>
    <x v="1"/>
    <x v="3"/>
    <x v="18"/>
    <x v="174"/>
    <s v="Manager who explains what is expected, sets a goal and helps achieve it"/>
    <x v="4"/>
  </r>
  <r>
    <d v="2023-04-05T20:54:23"/>
    <s v="India"/>
    <n v="560034"/>
    <x v="0"/>
    <x v="3"/>
    <s v="Yes, I will earn and do that"/>
    <s v="This will be hard to do, but if it is the right company I would try"/>
    <s v="No"/>
    <s v="Will NOT work for them"/>
    <n v="6"/>
    <x v="6"/>
    <x v="0"/>
    <x v="19"/>
    <x v="261"/>
    <s v="Manager who explains what is expected, sets a goal and helps achieve it"/>
    <x v="22"/>
  </r>
  <r>
    <d v="2023-04-05T21:00:35"/>
    <s v="India"/>
    <n v="560064"/>
    <x v="0"/>
    <x v="4"/>
    <s v="Yes, I will earn and do that"/>
    <s v="This will be hard to do, but if it is the right company I would try"/>
    <s v="No"/>
    <s v="Will NOT work for them"/>
    <n v="5"/>
    <x v="6"/>
    <x v="0"/>
    <x v="7"/>
    <x v="128"/>
    <s v="Manager who explains what is expected, sets a goal and helps achieve it"/>
    <x v="1"/>
  </r>
  <r>
    <d v="2023-04-05T21:00:49"/>
    <s v="India"/>
    <n v="560004"/>
    <x v="1"/>
    <x v="2"/>
    <s v="Yes, I will earn and do that"/>
    <s v="This will be hard to do, but if it is the right company I would try"/>
    <s v="No"/>
    <s v="Will NOT work for them"/>
    <n v="7"/>
    <x v="1"/>
    <x v="1"/>
    <x v="6"/>
    <x v="224"/>
    <s v="Manager who explains what is expected, sets a goal and helps achieve it"/>
    <x v="1"/>
  </r>
  <r>
    <d v="2023-04-05T21:05:13"/>
    <s v="India"/>
    <n v="603103"/>
    <x v="1"/>
    <x v="3"/>
    <s v="No, But if someone could bare the cost I will"/>
    <s v="This will be hard to do, but if it is the right company I would try"/>
    <s v="No"/>
    <s v="Will NOT work for them"/>
    <n v="1"/>
    <x v="5"/>
    <x v="2"/>
    <x v="10"/>
    <x v="172"/>
    <s v="Manager who sets unrealistic targets"/>
    <x v="4"/>
  </r>
  <r>
    <d v="2023-04-05T21:05:35"/>
    <s v="India"/>
    <n v="144003"/>
    <x v="0"/>
    <x v="4"/>
    <s v="No I would not be pursuing Higher Education outside of India"/>
    <s v="No way"/>
    <s v="No"/>
    <s v="Will NOT work for them"/>
    <n v="1"/>
    <x v="3"/>
    <x v="1"/>
    <x v="9"/>
    <x v="181"/>
    <s v="Manager who explains what is expected, sets a goal and helps achieve it"/>
    <x v="1"/>
  </r>
  <r>
    <d v="2023-04-05T21:06:32"/>
    <s v="India"/>
    <n v="800003"/>
    <x v="1"/>
    <x v="4"/>
    <s v="Yes, I will earn and do that"/>
    <s v="No way"/>
    <s v="No"/>
    <s v="Will NOT work for them"/>
    <n v="2"/>
    <x v="3"/>
    <x v="4"/>
    <x v="14"/>
    <x v="262"/>
    <s v="Manager who sets targets and expects me to achieve it"/>
    <x v="11"/>
  </r>
  <r>
    <d v="2023-04-05T21:08:47"/>
    <s v="India"/>
    <n v="380058"/>
    <x v="1"/>
    <x v="1"/>
    <s v="No, But if someone could bare the cost I will"/>
    <s v="This will be hard to do, but if it is the right company I would try"/>
    <s v="No"/>
    <s v="Will NOT work for them"/>
    <n v="2"/>
    <x v="5"/>
    <x v="0"/>
    <x v="8"/>
    <x v="111"/>
    <s v="Manager who explains what is expected, sets a goal and helps achieve it"/>
    <x v="3"/>
  </r>
  <r>
    <d v="2023-04-05T21:08:50"/>
    <s v="India"/>
    <n v="400037"/>
    <x v="0"/>
    <x v="3"/>
    <s v="No, But if someone could bare the cost I will"/>
    <s v="Will work for 3 years or more"/>
    <s v="Yes"/>
    <s v="Will work for them"/>
    <n v="3"/>
    <x v="6"/>
    <x v="3"/>
    <x v="24"/>
    <x v="263"/>
    <s v="Manager who sets goal and helps me achieve it"/>
    <x v="1"/>
  </r>
  <r>
    <d v="2023-04-05T21:09:36"/>
    <s v="India"/>
    <n v="411040"/>
    <x v="1"/>
    <x v="4"/>
    <s v="Yes, I will earn and do that"/>
    <s v="Will work for 3 years or more"/>
    <s v="No"/>
    <s v="Will NOT work for them"/>
    <n v="1"/>
    <x v="6"/>
    <x v="1"/>
    <x v="17"/>
    <x v="264"/>
    <s v="Manager who clearly describes what she/he needs"/>
    <x v="3"/>
  </r>
  <r>
    <d v="2023-04-05T21:12:33"/>
    <s v="India"/>
    <n v="631209"/>
    <x v="1"/>
    <x v="4"/>
    <s v="No I would not be pursuing Higher Education outside of India"/>
    <s v="Will work for 3 years or more"/>
    <s v="Yes"/>
    <s v="Will NOT work for them"/>
    <n v="5"/>
    <x v="3"/>
    <x v="2"/>
    <x v="14"/>
    <x v="183"/>
    <s v="Manager who sets goal and helps me achieve it"/>
    <x v="1"/>
  </r>
  <r>
    <d v="2023-04-05T21:13:46"/>
    <s v="India"/>
    <n v="364002"/>
    <x v="1"/>
    <x v="4"/>
    <s v="No, But if someone could bare the cost I will"/>
    <s v="This will be hard to do, but if it is the right company I would try"/>
    <s v="Yes"/>
    <s v="Will work for them"/>
    <n v="1"/>
    <x v="1"/>
    <x v="1"/>
    <x v="20"/>
    <x v="265"/>
    <s v="Manager who explains what is expected, sets a goal and helps achieve it"/>
    <x v="1"/>
  </r>
  <r>
    <d v="2023-04-05T21:17:29"/>
    <s v="India"/>
    <n v="500088"/>
    <x v="1"/>
    <x v="4"/>
    <s v="Yes, I will earn and do that"/>
    <s v="This will be hard to do, but if it is the right company I would try"/>
    <s v="No"/>
    <s v="Will NOT work for them"/>
    <n v="5"/>
    <x v="1"/>
    <x v="1"/>
    <x v="11"/>
    <x v="132"/>
    <s v="Manager who explains what is expected, sets a goal and helps achieve it"/>
    <x v="1"/>
  </r>
  <r>
    <d v="2023-04-05T21:19:13"/>
    <s v="India"/>
    <n v="524002"/>
    <x v="0"/>
    <x v="3"/>
    <s v="No, But if someone could bare the cost I will"/>
    <s v="This will be hard to do, but if it is the right company I would try"/>
    <s v="No"/>
    <s v="Will NOT work for them"/>
    <n v="6"/>
    <x v="1"/>
    <x v="1"/>
    <x v="7"/>
    <x v="266"/>
    <s v="Manager who explains what is expected, sets a goal and helps achieve it"/>
    <x v="1"/>
  </r>
  <r>
    <d v="2023-04-05T21:19:41"/>
    <s v="India"/>
    <n v="110059"/>
    <x v="0"/>
    <x v="4"/>
    <s v="No, But if someone could bare the cost I will"/>
    <s v="This will be hard to do, but if it is the right company I would try"/>
    <s v="No"/>
    <s v="Will NOT work for them"/>
    <n v="7"/>
    <x v="6"/>
    <x v="1"/>
    <x v="6"/>
    <x v="172"/>
    <s v="Manager who sets targets and expects me to achieve it"/>
    <x v="5"/>
  </r>
  <r>
    <d v="2023-04-05T21:23:46"/>
    <s v="India"/>
    <n v="20201"/>
    <x v="0"/>
    <x v="2"/>
    <s v="Yes, I will earn and do that"/>
    <s v="No way"/>
    <s v="No"/>
    <s v="Will work for them"/>
    <n v="3"/>
    <x v="0"/>
    <x v="4"/>
    <x v="13"/>
    <x v="267"/>
    <s v="Manager who sets goal and helps me achieve it"/>
    <x v="0"/>
  </r>
  <r>
    <d v="2023-04-05T21:28:29"/>
    <s v="India"/>
    <n v="800001"/>
    <x v="0"/>
    <x v="1"/>
    <s v="Yes, I will earn and do that"/>
    <s v="No way"/>
    <s v="Yes"/>
    <s v="Will work for them"/>
    <n v="5"/>
    <x v="6"/>
    <x v="3"/>
    <x v="21"/>
    <x v="164"/>
    <s v="Manager who explains what is expected, sets a goal and helps achieve it"/>
    <x v="4"/>
  </r>
  <r>
    <d v="2023-04-05T21:29:01"/>
    <s v="India"/>
    <n v="515571"/>
    <x v="0"/>
    <x v="4"/>
    <s v="Yes, I will earn and do that"/>
    <s v="Will work for 3 years or more"/>
    <s v="Yes"/>
    <s v="Will work for them"/>
    <n v="9"/>
    <x v="3"/>
    <x v="1"/>
    <x v="6"/>
    <x v="174"/>
    <s v="Manager who clearly describes what she/he needs"/>
    <x v="1"/>
  </r>
  <r>
    <d v="2023-04-05T21:30:57"/>
    <s v="India"/>
    <n v="517503"/>
    <x v="0"/>
    <x v="3"/>
    <s v="No I would not be pursuing Higher Education outside of India"/>
    <s v="This will be hard to do, but if it is the right company I would try"/>
    <s v="Yes"/>
    <s v="Will work for them"/>
    <n v="5"/>
    <x v="0"/>
    <x v="0"/>
    <x v="25"/>
    <x v="140"/>
    <s v="Manager who sets goal and helps me achieve it"/>
    <x v="1"/>
  </r>
  <r>
    <d v="2023-04-05T21:32:17"/>
    <s v="India"/>
    <n v="201306"/>
    <x v="1"/>
    <x v="0"/>
    <s v="No I would not be pursuing Higher Education outside of India"/>
    <s v="Will work for 3 years or more"/>
    <s v="No"/>
    <s v="Will NOT work for them"/>
    <n v="2"/>
    <x v="1"/>
    <x v="2"/>
    <x v="6"/>
    <x v="222"/>
    <s v="Manager who explains what is expected, sets a goal and helps achieve it"/>
    <x v="14"/>
  </r>
  <r>
    <d v="2023-04-05T21:32:20"/>
    <s v="India"/>
    <n v="602024"/>
    <x v="1"/>
    <x v="4"/>
    <s v="No, But if someone could bare the cost I will"/>
    <s v="This will be hard to do, but if it is the right company I would try"/>
    <s v="No"/>
    <s v="Will NOT work for them"/>
    <n v="5"/>
    <x v="5"/>
    <x v="1"/>
    <x v="8"/>
    <x v="231"/>
    <s v="Manager who sets goal and helps me achieve it"/>
    <x v="15"/>
  </r>
  <r>
    <d v="2023-04-05T21:35:53"/>
    <s v="India"/>
    <n v="517501"/>
    <x v="0"/>
    <x v="4"/>
    <s v="Yes, I will earn and do that"/>
    <s v="Will work for 3 years or more"/>
    <s v="Yes"/>
    <s v="Will work for them"/>
    <n v="1"/>
    <x v="6"/>
    <x v="2"/>
    <x v="18"/>
    <x v="268"/>
    <s v="Manager who sets goal and helps me achieve it"/>
    <x v="6"/>
  </r>
  <r>
    <d v="2023-04-05T21:36:14"/>
    <s v="India"/>
    <n v="560064"/>
    <x v="0"/>
    <x v="3"/>
    <s v="No, But if someone could bare the cost I will"/>
    <s v="This will be hard to do, but if it is the right company I would try"/>
    <s v="No"/>
    <s v="Will NOT work for them"/>
    <n v="4"/>
    <x v="6"/>
    <x v="0"/>
    <x v="15"/>
    <x v="269"/>
    <s v="Manager who explains what is expected, sets a goal and helps achieve it"/>
    <x v="2"/>
  </r>
  <r>
    <d v="2023-04-05T21:37:17"/>
    <s v="India"/>
    <n v="422101"/>
    <x v="0"/>
    <x v="1"/>
    <s v="Yes, I will earn and do that"/>
    <s v="Will work for 3 years or more"/>
    <s v="Yes"/>
    <s v="Will NOT work for them"/>
    <n v="5"/>
    <x v="0"/>
    <x v="2"/>
    <x v="18"/>
    <x v="108"/>
    <s v="Manager who explains what is expected, sets a goal and helps achieve it"/>
    <x v="19"/>
  </r>
  <r>
    <d v="2023-04-05T21:37:31"/>
    <s v="India"/>
    <n v="560064"/>
    <x v="1"/>
    <x v="4"/>
    <s v="No, But if someone could bare the cost I will"/>
    <s v="This will be hard to do, but if it is the right company I would try"/>
    <s v="No"/>
    <s v="Will NOT work for them"/>
    <n v="5"/>
    <x v="1"/>
    <x v="1"/>
    <x v="9"/>
    <x v="270"/>
    <s v="Manager who explains what is expected, sets a goal and helps achieve it"/>
    <x v="1"/>
  </r>
  <r>
    <d v="2023-04-05T21:39:31"/>
    <s v="India"/>
    <n v="517592"/>
    <x v="1"/>
    <x v="3"/>
    <s v="No I would not be pursuing Higher Education outside of India"/>
    <s v="This will be hard to do, but if it is the right company I would try"/>
    <s v="No"/>
    <s v="Will NOT work for them"/>
    <n v="10"/>
    <x v="5"/>
    <x v="1"/>
    <x v="6"/>
    <x v="271"/>
    <s v="Manager who sets goal and helps me achieve it"/>
    <x v="1"/>
  </r>
  <r>
    <d v="2023-04-05T21:40:25"/>
    <s v="India"/>
    <n v="641004"/>
    <x v="1"/>
    <x v="4"/>
    <s v="No I would not be pursuing Higher Education outside of India"/>
    <s v="Will work for 3 years or more"/>
    <s v="Yes"/>
    <s v="Will NOT work for them"/>
    <n v="6"/>
    <x v="0"/>
    <x v="2"/>
    <x v="19"/>
    <x v="207"/>
    <s v="Manager who explains what is expected, sets a goal and helps achieve it"/>
    <x v="5"/>
  </r>
  <r>
    <d v="2023-04-05T21:41:33"/>
    <s v="India"/>
    <n v="600099"/>
    <x v="1"/>
    <x v="0"/>
    <s v="Yes, I will earn and do that"/>
    <s v="Will work for 3 years or more"/>
    <s v="No"/>
    <s v="Will NOT work for them"/>
    <n v="7"/>
    <x v="5"/>
    <x v="1"/>
    <x v="9"/>
    <x v="272"/>
    <s v="Manager who explains what is expected, sets a goal and helps achieve it"/>
    <x v="11"/>
  </r>
  <r>
    <d v="2023-04-05T21:41:57"/>
    <s v="India"/>
    <n v="517123"/>
    <x v="0"/>
    <x v="4"/>
    <s v="No, But if someone could bare the cost I will"/>
    <s v="No way"/>
    <s v="No"/>
    <s v="Will NOT work for them"/>
    <n v="1"/>
    <x v="1"/>
    <x v="0"/>
    <x v="9"/>
    <x v="170"/>
    <s v="Manager who clearly describes what she/he needs"/>
    <x v="14"/>
  </r>
  <r>
    <d v="2023-04-05T21:42:09"/>
    <s v="India"/>
    <n v="641015"/>
    <x v="0"/>
    <x v="4"/>
    <s v="Yes, I will earn and do that"/>
    <s v="Will work for 3 years or more"/>
    <s v="Yes"/>
    <s v="Will work for them"/>
    <n v="10"/>
    <x v="3"/>
    <x v="4"/>
    <x v="23"/>
    <x v="273"/>
    <s v="Manager who sets goal and helps me achieve it"/>
    <x v="18"/>
  </r>
  <r>
    <d v="2023-04-05T21:43:18"/>
    <s v="India"/>
    <n v="560065"/>
    <x v="1"/>
    <x v="3"/>
    <s v="Yes, I will earn and do that"/>
    <s v="This will be hard to do, but if it is the right company I would try"/>
    <s v="No"/>
    <s v="Will NOT work for them"/>
    <n v="2"/>
    <x v="6"/>
    <x v="0"/>
    <x v="24"/>
    <x v="96"/>
    <s v="Manager who explains what is expected, sets a goal and helps achieve it"/>
    <x v="7"/>
  </r>
  <r>
    <d v="2023-04-05T21:44:25"/>
    <s v="India"/>
    <n v="518501"/>
    <x v="0"/>
    <x v="0"/>
    <s v="Yes, I will earn and do that"/>
    <s v="This will be hard to do, but if it is the right company I would try"/>
    <s v="No"/>
    <s v="Will NOT work for them"/>
    <n v="6"/>
    <x v="5"/>
    <x v="0"/>
    <x v="18"/>
    <x v="274"/>
    <s v="Manager who explains what is expected, sets a goal and helps achieve it"/>
    <x v="1"/>
  </r>
  <r>
    <d v="2023-04-05T21:45:01"/>
    <s v="India"/>
    <n v="442902"/>
    <x v="1"/>
    <x v="2"/>
    <s v="No I would not be pursuing Higher Education outside of India"/>
    <s v="This will be hard to do, but if it is the right company I would try"/>
    <s v="No"/>
    <s v="Will NOT work for them"/>
    <n v="5"/>
    <x v="3"/>
    <x v="1"/>
    <x v="6"/>
    <x v="181"/>
    <s v="Manager who sets goal and helps me achieve it"/>
    <x v="7"/>
  </r>
  <r>
    <d v="2023-04-05T21:45:54"/>
    <s v="India"/>
    <n v="500036"/>
    <x v="1"/>
    <x v="4"/>
    <s v="Yes, I will earn and do that"/>
    <s v="Will work for 3 years or more"/>
    <s v="No"/>
    <s v="Will NOT work for them"/>
    <n v="5"/>
    <x v="3"/>
    <x v="1"/>
    <x v="19"/>
    <x v="141"/>
    <s v="Manager who sets goal and helps me achieve it"/>
    <x v="1"/>
  </r>
  <r>
    <d v="2023-04-05T21:47:32"/>
    <s v="India"/>
    <n v="631209"/>
    <x v="1"/>
    <x v="3"/>
    <s v="Yes, I will earn and do that"/>
    <s v="Will work for 3 years or more"/>
    <s v="No"/>
    <s v="Will NOT work for them"/>
    <n v="6"/>
    <x v="3"/>
    <x v="0"/>
    <x v="23"/>
    <x v="198"/>
    <s v="Manager who sets goal and helps me achieve it"/>
    <x v="7"/>
  </r>
  <r>
    <d v="2023-04-05T21:51:49"/>
    <s v="India"/>
    <n v="632007"/>
    <x v="1"/>
    <x v="4"/>
    <s v="Yes, I will earn and do that"/>
    <s v="Will work for 3 years or more"/>
    <s v="Yes"/>
    <s v="Will work for them"/>
    <n v="6"/>
    <x v="3"/>
    <x v="0"/>
    <x v="9"/>
    <x v="275"/>
    <s v="Manager who sets goal and helps me achieve it"/>
    <x v="6"/>
  </r>
  <r>
    <d v="2023-04-05T21:55:03"/>
    <s v="India"/>
    <n v="515721"/>
    <x v="0"/>
    <x v="2"/>
    <s v="Yes, I will earn and do that"/>
    <s v="This will be hard to do, but if it is the right company I would try"/>
    <s v="No"/>
    <s v="Will NOT work for them"/>
    <n v="5"/>
    <x v="1"/>
    <x v="0"/>
    <x v="6"/>
    <x v="276"/>
    <s v="Manager who explains what is expected, sets a goal and helps achieve it"/>
    <x v="1"/>
  </r>
  <r>
    <d v="2023-04-05T21:55:40"/>
    <s v="India"/>
    <n v="641015"/>
    <x v="0"/>
    <x v="2"/>
    <s v="Yes, I will earn and do that"/>
    <s v="This will be hard to do, but if it is the right company I would try"/>
    <s v="No"/>
    <s v="Will NOT work for them"/>
    <n v="5"/>
    <x v="1"/>
    <x v="0"/>
    <x v="9"/>
    <x v="173"/>
    <s v="Manager who explains what is expected, sets a goal and helps achieve it"/>
    <x v="14"/>
  </r>
  <r>
    <d v="2023-04-05T21:55:43"/>
    <s v="India"/>
    <n v="500072"/>
    <x v="0"/>
    <x v="4"/>
    <s v="No I would not be pursuing Higher Education outside of India"/>
    <s v="This will be hard to do, but if it is the right company I would try"/>
    <s v="Yes"/>
    <s v="Will NOT work for them"/>
    <n v="6"/>
    <x v="0"/>
    <x v="1"/>
    <x v="9"/>
    <x v="174"/>
    <s v="Manager who clearly describes what she/he needs"/>
    <x v="1"/>
  </r>
  <r>
    <d v="2023-04-05T22:05:22"/>
    <s v="India"/>
    <n v="410206"/>
    <x v="0"/>
    <x v="2"/>
    <s v="No I would not be pursuing Higher Education outside of India"/>
    <s v="This will be hard to do, but if it is the right company I would try"/>
    <s v="No"/>
    <s v="Will NOT work for them"/>
    <n v="5"/>
    <x v="0"/>
    <x v="2"/>
    <x v="13"/>
    <x v="139"/>
    <s v="Manager who explains what is expected, sets a goal and helps achieve it"/>
    <x v="16"/>
  </r>
  <r>
    <d v="2023-04-05T22:06:07"/>
    <s v="India"/>
    <n v="577201"/>
    <x v="1"/>
    <x v="0"/>
    <s v="No I would not be pursuing Higher Education outside of India"/>
    <s v="Will work for 3 years or more"/>
    <s v="No"/>
    <s v="Will NOT work for them"/>
    <n v="1"/>
    <x v="6"/>
    <x v="1"/>
    <x v="11"/>
    <x v="277"/>
    <s v="Manager who explains what is expected, sets a goal and helps achieve it"/>
    <x v="7"/>
  </r>
  <r>
    <d v="2023-04-05T22:08:43"/>
    <s v="India"/>
    <n v="632007"/>
    <x v="0"/>
    <x v="3"/>
    <s v="No, But if someone could bare the cost I will"/>
    <s v="This will be hard to do, but if it is the right company I would try"/>
    <s v="No"/>
    <s v="Will NOT work for them"/>
    <n v="8"/>
    <x v="1"/>
    <x v="1"/>
    <x v="7"/>
    <x v="200"/>
    <s v="Manager who sets goal and helps me achieve it"/>
    <x v="1"/>
  </r>
  <r>
    <d v="2023-04-05T22:18:04"/>
    <s v="India"/>
    <n v="201009"/>
    <x v="0"/>
    <x v="0"/>
    <s v="No I would not be pursuing Higher Education outside of India"/>
    <s v="Will work for 3 years or more"/>
    <s v="No"/>
    <s v="Will NOT work for them"/>
    <n v="2"/>
    <x v="5"/>
    <x v="1"/>
    <x v="18"/>
    <x v="278"/>
    <s v="Manager who explains what is expected, sets a goal and helps achieve it"/>
    <x v="1"/>
  </r>
  <r>
    <d v="2023-04-05T22:28:31"/>
    <s v="India"/>
    <n v="510101"/>
    <x v="0"/>
    <x v="3"/>
    <s v="No, But if someone could bare the cost I will"/>
    <s v="Will work for 3 years or more"/>
    <s v="No"/>
    <s v="Will NOT work for them"/>
    <n v="10"/>
    <x v="3"/>
    <x v="4"/>
    <x v="24"/>
    <x v="124"/>
    <s v="Manager who sets goal and helps me achieve it"/>
    <x v="6"/>
  </r>
  <r>
    <d v="2023-04-05T22:33:36"/>
    <s v="India"/>
    <n v="122001"/>
    <x v="0"/>
    <x v="0"/>
    <s v="No I would not be pursuing Higher Education outside of India"/>
    <s v="Will work for 3 years or more"/>
    <s v="Yes"/>
    <s v="Will work for them"/>
    <n v="10"/>
    <x v="1"/>
    <x v="1"/>
    <x v="10"/>
    <x v="105"/>
    <s v="Manager who clearly describes what she/he needs"/>
    <x v="9"/>
  </r>
  <r>
    <d v="2023-04-05T22:38:40"/>
    <s v="India"/>
    <n v="305001"/>
    <x v="0"/>
    <x v="4"/>
    <s v="No, But if someone could bare the cost I will"/>
    <s v="Will work for 3 years or more"/>
    <s v="Yes"/>
    <s v="Will work for them"/>
    <n v="2"/>
    <x v="6"/>
    <x v="2"/>
    <x v="6"/>
    <x v="279"/>
    <s v="Manager who explains what is expected, sets a goal and helps achieve it"/>
    <x v="3"/>
  </r>
  <r>
    <d v="2023-04-05T22:39:17"/>
    <s v="India"/>
    <n v="110059"/>
    <x v="1"/>
    <x v="0"/>
    <s v="Yes, I will earn and do that"/>
    <s v="This will be hard to do, but if it is the right company I would try"/>
    <s v="Yes"/>
    <s v="Will NOT work for them"/>
    <n v="6"/>
    <x v="0"/>
    <x v="2"/>
    <x v="17"/>
    <x v="280"/>
    <s v="Manager who explains what is expected, sets a goal and helps achieve it"/>
    <x v="4"/>
  </r>
  <r>
    <d v="2023-04-05T22:39:29"/>
    <s v="India"/>
    <n v="400072"/>
    <x v="0"/>
    <x v="3"/>
    <s v="Yes, I will earn and do that"/>
    <s v="This will be hard to do, but if it is the right company I would try"/>
    <s v="No"/>
    <s v="Will NOT work for them"/>
    <n v="5"/>
    <x v="5"/>
    <x v="1"/>
    <x v="8"/>
    <x v="111"/>
    <s v="Manager who explains what is expected, sets a goal and helps achieve it"/>
    <x v="0"/>
  </r>
  <r>
    <d v="2023-04-05T22:43:05"/>
    <s v="India"/>
    <n v="620011"/>
    <x v="1"/>
    <x v="2"/>
    <s v="No, But if someone could bare the cost I will"/>
    <s v="This will be hard to do, but if it is the right company I would try"/>
    <s v="Yes"/>
    <s v="Will NOT work for them"/>
    <n v="3"/>
    <x v="6"/>
    <x v="1"/>
    <x v="16"/>
    <x v="281"/>
    <s v="Manager who sets targets and expects me to achieve it"/>
    <x v="1"/>
  </r>
  <r>
    <d v="2023-04-05T22:45:37"/>
    <s v="India"/>
    <n v="110059"/>
    <x v="1"/>
    <x v="0"/>
    <s v="Yes, I will earn and do that"/>
    <s v="No way"/>
    <s v="Yes"/>
    <s v="Will NOT work for them"/>
    <n v="4"/>
    <x v="5"/>
    <x v="0"/>
    <x v="10"/>
    <x v="282"/>
    <s v="Manager who explains what is expected, sets a goal and helps achieve it"/>
    <x v="1"/>
  </r>
  <r>
    <d v="2023-04-05T22:58:05"/>
    <s v="India"/>
    <n v="641663"/>
    <x v="1"/>
    <x v="0"/>
    <s v="No, But if someone could bare the cost I will"/>
    <s v="This will be hard to do, but if it is the right company I would try"/>
    <s v="Yes"/>
    <s v="Will NOT work for them"/>
    <n v="3"/>
    <x v="0"/>
    <x v="1"/>
    <x v="15"/>
    <x v="283"/>
    <s v="Manager who explains what is expected, sets a goal and helps achieve it"/>
    <x v="6"/>
  </r>
  <r>
    <d v="2023-04-05T22:59:03"/>
    <s v="India"/>
    <n v="641004"/>
    <x v="0"/>
    <x v="4"/>
    <s v="No I would not be pursuing Higher Education outside of India"/>
    <s v="This will be hard to do, but if it is the right company I would try"/>
    <s v="Yes"/>
    <s v="Will work for them"/>
    <n v="8"/>
    <x v="6"/>
    <x v="0"/>
    <x v="19"/>
    <x v="284"/>
    <s v="Manager who sets goal and helps me achieve it"/>
    <x v="5"/>
  </r>
  <r>
    <d v="2023-04-05T23:09:24"/>
    <s v="India"/>
    <n v="673005"/>
    <x v="1"/>
    <x v="2"/>
    <s v="Yes, I will earn and do that"/>
    <s v="This will be hard to do, but if it is the right company I would try"/>
    <s v="No"/>
    <s v="Will NOT work for them"/>
    <n v="5"/>
    <x v="1"/>
    <x v="0"/>
    <x v="13"/>
    <x v="109"/>
    <s v="Manager who explains what is expected, sets a goal and helps achieve it"/>
    <x v="3"/>
  </r>
  <r>
    <d v="2023-04-05T23:11:57"/>
    <s v="India"/>
    <n v="400067"/>
    <x v="0"/>
    <x v="4"/>
    <s v="No I would not be pursuing Higher Education outside of India"/>
    <s v="This will be hard to do, but if it is the right company I would try"/>
    <s v="Yes"/>
    <s v="Will work for them"/>
    <n v="10"/>
    <x v="5"/>
    <x v="1"/>
    <x v="11"/>
    <x v="141"/>
    <s v="Manager who explains what is expected, sets a goal and helps achieve it"/>
    <x v="7"/>
  </r>
  <r>
    <d v="2023-04-05T23:17:53"/>
    <s v="India"/>
    <n v="400067"/>
    <x v="1"/>
    <x v="4"/>
    <s v="No I would not be pursuing Higher Education outside of India"/>
    <s v="No way"/>
    <s v="No"/>
    <s v="Will NOT work for them"/>
    <n v="1"/>
    <x v="6"/>
    <x v="1"/>
    <x v="8"/>
    <x v="285"/>
    <s v="Manager who explains what is expected, sets a goal and helps achieve it"/>
    <x v="12"/>
  </r>
  <r>
    <d v="2023-04-05T23:30:22"/>
    <s v="India"/>
    <n v="507002"/>
    <x v="0"/>
    <x v="2"/>
    <s v="Yes, I will earn and do that"/>
    <s v="This will be hard to do, but if it is the right company I would try"/>
    <s v="Yes"/>
    <s v="Will NOT work for them"/>
    <n v="8"/>
    <x v="5"/>
    <x v="1"/>
    <x v="6"/>
    <x v="286"/>
    <s v="Manager who sets goal and helps me achieve it"/>
    <x v="3"/>
  </r>
  <r>
    <d v="2023-04-05T23:30:32"/>
    <s v="India"/>
    <n v="574102"/>
    <x v="0"/>
    <x v="3"/>
    <s v="No I would not be pursuing Higher Education outside of India"/>
    <s v="Will work for 3 years or more"/>
    <s v="No"/>
    <s v="Will work for them"/>
    <n v="10"/>
    <x v="6"/>
    <x v="0"/>
    <x v="11"/>
    <x v="174"/>
    <s v="Manager who sets targets and expects me to achieve it"/>
    <x v="7"/>
  </r>
  <r>
    <d v="2023-04-06T00:04:27"/>
    <s v="India"/>
    <n v="507002"/>
    <x v="0"/>
    <x v="4"/>
    <s v="Yes, I will earn and do that"/>
    <s v="Will work for 3 years or more"/>
    <s v="Yes"/>
    <s v="Will work for them"/>
    <n v="8"/>
    <x v="1"/>
    <x v="1"/>
    <x v="11"/>
    <x v="124"/>
    <s v="Manager who explains what is expected, sets a goal and helps achieve it"/>
    <x v="3"/>
  </r>
  <r>
    <d v="2023-04-06T00:04:59"/>
    <s v="India"/>
    <n v="132001"/>
    <x v="0"/>
    <x v="4"/>
    <s v="Yes, I will earn and do that"/>
    <s v="This will be hard to do, but if it is the right company I would try"/>
    <s v="No"/>
    <s v="Will NOT work for them"/>
    <n v="5"/>
    <x v="0"/>
    <x v="2"/>
    <x v="7"/>
    <x v="287"/>
    <s v="Manager who explains what is expected, sets a goal and helps achieve it"/>
    <x v="4"/>
  </r>
  <r>
    <d v="2023-04-06T00:05:02"/>
    <s v="India"/>
    <n v="314025"/>
    <x v="0"/>
    <x v="0"/>
    <s v="Yes, I will earn and do that"/>
    <s v="This will be hard to do, but if it is the right company I would try"/>
    <s v="Yes"/>
    <s v="Will NOT work for them"/>
    <n v="7"/>
    <x v="3"/>
    <x v="2"/>
    <x v="17"/>
    <x v="288"/>
    <s v="Manager who explains what is expected, sets a goal and helps achieve it"/>
    <x v="21"/>
  </r>
  <r>
    <d v="2023-04-06T00:16:44"/>
    <s v="India"/>
    <n v="305001"/>
    <x v="1"/>
    <x v="4"/>
    <s v="No, But if someone could bare the cost I will"/>
    <s v="This will be hard to do, but if it is the right company I would try"/>
    <s v="Yes"/>
    <s v="Will NOT work for them"/>
    <n v="6"/>
    <x v="5"/>
    <x v="1"/>
    <x v="13"/>
    <x v="264"/>
    <s v="Manager who explains what is expected, sets a goal and helps achieve it"/>
    <x v="4"/>
  </r>
  <r>
    <d v="2023-04-06T00:30:28"/>
    <s v="India"/>
    <n v="382418"/>
    <x v="1"/>
    <x v="4"/>
    <s v="No I would not be pursuing Higher Education outside of India"/>
    <s v="This will be hard to do, but if it is the right company I would try"/>
    <s v="No"/>
    <s v="Will NOT work for them"/>
    <n v="1"/>
    <x v="1"/>
    <x v="1"/>
    <x v="9"/>
    <x v="186"/>
    <s v="Manager who explains what is expected, sets a goal and helps achieve it"/>
    <x v="2"/>
  </r>
  <r>
    <d v="2023-04-06T00:46:18"/>
    <s v="India"/>
    <n v="132001"/>
    <x v="1"/>
    <x v="4"/>
    <s v="Yes, I will earn and do that"/>
    <s v="This will be hard to do, but if it is the right company I would try"/>
    <s v="No"/>
    <s v="Will NOT work for them"/>
    <n v="5"/>
    <x v="5"/>
    <x v="1"/>
    <x v="7"/>
    <x v="201"/>
    <s v="Manager who explains what is expected, sets a goal and helps achieve it"/>
    <x v="7"/>
  </r>
  <r>
    <d v="2023-04-06T01:35:24"/>
    <s v="Others"/>
    <s v="01-923"/>
    <x v="1"/>
    <x v="0"/>
    <s v="Yes, I will earn and do that"/>
    <s v="This will be hard to do, but if it is the right company I would try"/>
    <s v="Yes"/>
    <s v="Will NOT work for them"/>
    <n v="7"/>
    <x v="0"/>
    <x v="1"/>
    <x v="15"/>
    <x v="127"/>
    <s v="Manager who explains what is expected, sets a goal and helps achieve it"/>
    <x v="6"/>
  </r>
  <r>
    <d v="2023-04-06T01:52:42"/>
    <s v="India"/>
    <n v="670562"/>
    <x v="0"/>
    <x v="0"/>
    <s v="Yes, I will earn and do that"/>
    <s v="This will be hard to do, but if it is the right company I would try"/>
    <s v="No"/>
    <s v="Will work for them"/>
    <n v="8"/>
    <x v="3"/>
    <x v="1"/>
    <x v="16"/>
    <x v="230"/>
    <s v="Manager who explains what is expected, sets a goal and helps achieve it"/>
    <x v="3"/>
  </r>
  <r>
    <d v="2023-04-06T02:36:15"/>
    <s v="India"/>
    <n v="560094"/>
    <x v="0"/>
    <x v="0"/>
    <s v="Yes, I will earn and do that"/>
    <s v="Will work for 3 years or more"/>
    <s v="No"/>
    <s v="Will NOT work for them"/>
    <n v="5"/>
    <x v="1"/>
    <x v="1"/>
    <x v="15"/>
    <x v="243"/>
    <s v="Manager who explains what is expected, sets a goal and helps achieve it"/>
    <x v="11"/>
  </r>
  <r>
    <d v="2023-04-06T04:12:07"/>
    <s v="India"/>
    <n v="560050"/>
    <x v="0"/>
    <x v="2"/>
    <s v="Yes, I will earn and do that"/>
    <s v="Will work for 3 years or more"/>
    <s v="Yes"/>
    <s v="Will work for them"/>
    <n v="10"/>
    <x v="3"/>
    <x v="1"/>
    <x v="9"/>
    <x v="289"/>
    <s v="Manager who explains what is expected, sets a goal and helps achieve it"/>
    <x v="1"/>
  </r>
  <r>
    <d v="2023-04-06T05:37:00"/>
    <s v="India"/>
    <n v="577127"/>
    <x v="1"/>
    <x v="1"/>
    <s v="No, But if someone could bare the cost I will"/>
    <s v="Will work for 3 years or more"/>
    <s v="No"/>
    <s v="Will NOT work for them"/>
    <n v="1"/>
    <x v="1"/>
    <x v="2"/>
    <x v="25"/>
    <x v="290"/>
    <s v="Manager who sets goal and helps me achieve it"/>
    <x v="6"/>
  </r>
  <r>
    <d v="2023-04-06T05:54:47"/>
    <s v="India"/>
    <n v="151001"/>
    <x v="0"/>
    <x v="3"/>
    <s v="Yes, I will earn and do that"/>
    <s v="Will work for 3 years or more"/>
    <s v="No"/>
    <s v="Will work for them"/>
    <n v="6"/>
    <x v="6"/>
    <x v="1"/>
    <x v="11"/>
    <x v="291"/>
    <s v="Manager who explains what is expected, sets a goal and helps achieve it"/>
    <x v="0"/>
  </r>
  <r>
    <d v="2023-04-06T06:00:31"/>
    <s v="Canada"/>
    <s v="N5v3c4"/>
    <x v="0"/>
    <x v="1"/>
    <s v="Yes, I will earn and do that"/>
    <s v="Will work for 3 years or more"/>
    <s v="No"/>
    <s v="Will NOT work for them"/>
    <n v="6"/>
    <x v="1"/>
    <x v="1"/>
    <x v="22"/>
    <x v="111"/>
    <s v="Manager who explains what is expected, sets a goal and helps achieve it"/>
    <x v="3"/>
  </r>
  <r>
    <d v="2023-04-06T06:02:33"/>
    <s v="India"/>
    <n v="441009"/>
    <x v="0"/>
    <x v="1"/>
    <s v="No I would not be pursuing Higher Education outside of India"/>
    <s v="Will work for 3 years or more"/>
    <s v="No"/>
    <s v="Will NOT work for them"/>
    <n v="7"/>
    <x v="6"/>
    <x v="1"/>
    <x v="11"/>
    <x v="239"/>
    <s v="Manager who explains what is expected, sets a goal and helps achieve it"/>
    <x v="1"/>
  </r>
  <r>
    <d v="2023-04-06T06:10:37"/>
    <s v="India"/>
    <n v="201310"/>
    <x v="0"/>
    <x v="2"/>
    <s v="No, But if someone could bare the cost I will"/>
    <s v="This will be hard to do, but if it is the right company I would try"/>
    <s v="No"/>
    <s v="Will NOT work for them"/>
    <n v="5"/>
    <x v="6"/>
    <x v="2"/>
    <x v="11"/>
    <x v="239"/>
    <s v="Manager who explains what is expected, sets a goal and helps achieve it"/>
    <x v="3"/>
  </r>
  <r>
    <d v="2023-04-06T07:09:17"/>
    <s v="India"/>
    <n v="445402"/>
    <x v="0"/>
    <x v="0"/>
    <s v="Yes, I will earn and do that"/>
    <s v="This will be hard to do, but if it is the right company I would try"/>
    <s v="No"/>
    <s v="Will NOT work for them"/>
    <n v="10"/>
    <x v="1"/>
    <x v="2"/>
    <x v="20"/>
    <x v="292"/>
    <s v="Manager who sets unrealistic targets"/>
    <x v="3"/>
  </r>
  <r>
    <d v="2023-04-06T07:31:20"/>
    <s v="India"/>
    <n v="110059"/>
    <x v="0"/>
    <x v="3"/>
    <s v="Yes, I will earn and do that"/>
    <s v="No way"/>
    <s v="Yes"/>
    <s v="Will NOT work for them"/>
    <n v="5"/>
    <x v="0"/>
    <x v="0"/>
    <x v="14"/>
    <x v="280"/>
    <s v="Manager who clearly describes what she/he needs"/>
    <x v="4"/>
  </r>
  <r>
    <d v="2023-04-06T07:51:55"/>
    <s v="India"/>
    <n v="395009"/>
    <x v="1"/>
    <x v="3"/>
    <s v="Yes, I will earn and do that"/>
    <s v="This will be hard to do, but if it is the right company I would try"/>
    <s v="No"/>
    <s v="Will NOT work for them"/>
    <n v="5"/>
    <x v="3"/>
    <x v="1"/>
    <x v="6"/>
    <x v="198"/>
    <s v="Manager who explains what is expected, sets a goal and helps achieve it"/>
    <x v="1"/>
  </r>
  <r>
    <d v="2023-04-06T08:06:04"/>
    <s v="India"/>
    <n v="462041"/>
    <x v="0"/>
    <x v="4"/>
    <s v="Yes, I will earn and do that"/>
    <s v="This will be hard to do, but if it is the right company I would try"/>
    <s v="No"/>
    <s v="Will NOT work for them"/>
    <n v="4"/>
    <x v="1"/>
    <x v="1"/>
    <x v="21"/>
    <x v="293"/>
    <s v="Manager who sets goal and helps me achieve it"/>
    <x v="1"/>
  </r>
  <r>
    <d v="2023-04-06T08:52:41"/>
    <s v="India"/>
    <n v="110077"/>
    <x v="0"/>
    <x v="2"/>
    <s v="No I would not be pursuing Higher Education outside of India"/>
    <s v="Will work for 3 years or more"/>
    <s v="Yes"/>
    <s v="Will NOT work for them"/>
    <n v="7"/>
    <x v="1"/>
    <x v="1"/>
    <x v="6"/>
    <x v="294"/>
    <s v="Manager who explains what is expected, sets a goal and helps achieve it"/>
    <x v="3"/>
  </r>
  <r>
    <d v="2023-04-06T09:00:39"/>
    <s v="India"/>
    <n v="400072"/>
    <x v="0"/>
    <x v="2"/>
    <s v="Yes, I will earn and do that"/>
    <s v="Will work for 3 years or more"/>
    <s v="No"/>
    <s v="Will NOT work for them"/>
    <n v="4"/>
    <x v="6"/>
    <x v="2"/>
    <x v="18"/>
    <x v="141"/>
    <s v="Manager who explains what is expected, sets a goal and helps achieve it"/>
    <x v="7"/>
  </r>
  <r>
    <d v="2023-04-06T09:08:24"/>
    <s v="India"/>
    <n v="680508"/>
    <x v="0"/>
    <x v="4"/>
    <s v="Yes, I will earn and do that"/>
    <s v="This will be hard to do, but if it is the right company I would try"/>
    <s v="No"/>
    <s v="Will NOT work for them"/>
    <n v="9"/>
    <x v="1"/>
    <x v="0"/>
    <x v="12"/>
    <x v="295"/>
    <s v="Manager who clearly describes what she/he needs"/>
    <x v="1"/>
  </r>
  <r>
    <d v="2023-04-06T09:20:29"/>
    <s v="India"/>
    <n v="670011"/>
    <x v="1"/>
    <x v="1"/>
    <s v="No I would not be pursuing Higher Education outside of India"/>
    <s v="This will be hard to do, but if it is the right company I would try"/>
    <s v="No"/>
    <s v="Will NOT work for them"/>
    <n v="6"/>
    <x v="6"/>
    <x v="1"/>
    <x v="10"/>
    <x v="180"/>
    <s v="Manager who explains what is expected, sets a goal and helps achieve it"/>
    <x v="1"/>
  </r>
  <r>
    <d v="2023-04-06T09:51:53"/>
    <s v="India"/>
    <n v="201009"/>
    <x v="1"/>
    <x v="2"/>
    <s v="No, But if someone could bare the cost I will"/>
    <s v="This will be hard to do, but if it is the right company I would try"/>
    <s v="Yes"/>
    <s v="Will work for them"/>
    <n v="6"/>
    <x v="0"/>
    <x v="2"/>
    <x v="9"/>
    <x v="111"/>
    <s v="Manager who explains what is expected, sets a goal and helps achieve it"/>
    <x v="5"/>
  </r>
  <r>
    <d v="2023-04-06T09:54:17"/>
    <s v="India"/>
    <n v="201009"/>
    <x v="0"/>
    <x v="0"/>
    <s v="No, But if someone could bare the cost I will"/>
    <s v="This will be hard to do, but if it is the right company I would try"/>
    <s v="No"/>
    <s v="Will work for them"/>
    <n v="10"/>
    <x v="6"/>
    <x v="1"/>
    <x v="17"/>
    <x v="296"/>
    <s v="Manager who explains what is expected, sets a goal and helps achieve it"/>
    <x v="11"/>
  </r>
  <r>
    <d v="2023-04-06T10:00:46"/>
    <s v="India"/>
    <n v="500072"/>
    <x v="0"/>
    <x v="1"/>
    <s v="Yes, I will earn and do that"/>
    <s v="Will work for 3 years or more"/>
    <s v="Yes"/>
    <s v="Will NOT work for them"/>
    <n v="1"/>
    <x v="1"/>
    <x v="1"/>
    <x v="22"/>
    <x v="109"/>
    <s v="Manager who sets targets and expects me to achieve it"/>
    <x v="7"/>
  </r>
  <r>
    <d v="2023-04-06T10:02:25"/>
    <s v="India"/>
    <n v="201009"/>
    <x v="1"/>
    <x v="0"/>
    <s v="No, But if someone could bare the cost I will"/>
    <s v="This will be hard to do, but if it is the right company I would try"/>
    <s v="No"/>
    <s v="Will NOT work for them"/>
    <n v="2"/>
    <x v="6"/>
    <x v="0"/>
    <x v="19"/>
    <x v="297"/>
    <s v="Manager who sets targets and expects me to achieve it"/>
    <x v="6"/>
  </r>
  <r>
    <d v="2023-04-06T10:18:54"/>
    <s v="India"/>
    <n v="110017"/>
    <x v="0"/>
    <x v="2"/>
    <s v="Yes, I will earn and do that"/>
    <s v="This will be hard to do, but if it is the right company I would try"/>
    <s v="No"/>
    <s v="Will NOT work for them"/>
    <n v="6"/>
    <x v="1"/>
    <x v="1"/>
    <x v="17"/>
    <x v="298"/>
    <s v="Manager who sets goal and helps me achieve it"/>
    <x v="1"/>
  </r>
  <r>
    <d v="2023-04-06T10:21:19"/>
    <s v="India"/>
    <n v="721422"/>
    <x v="0"/>
    <x v="4"/>
    <s v="No I would not be pursuing Higher Education outside of India"/>
    <s v="Will work for 3 years or more"/>
    <s v="Yes"/>
    <s v="Will NOT work for them"/>
    <n v="4"/>
    <x v="1"/>
    <x v="0"/>
    <x v="21"/>
    <x v="156"/>
    <s v="Manager who clearly describes what she/he needs"/>
    <x v="2"/>
  </r>
  <r>
    <d v="2023-04-06T10:25:48"/>
    <s v="India"/>
    <n v="400610"/>
    <x v="0"/>
    <x v="3"/>
    <s v="No, But if someone could bare the cost I will"/>
    <s v="Will work for 3 years or more"/>
    <s v="No"/>
    <s v="Will NOT work for them"/>
    <n v="1"/>
    <x v="6"/>
    <x v="1"/>
    <x v="7"/>
    <x v="299"/>
    <s v="Manager who sets goal and helps me achieve it"/>
    <x v="7"/>
  </r>
  <r>
    <d v="2023-04-06T10:27:47"/>
    <s v="India"/>
    <n v="201301"/>
    <x v="0"/>
    <x v="1"/>
    <s v="Yes, I will earn and do that"/>
    <s v="Will work for 3 years or more"/>
    <s v="No"/>
    <s v="Will NOT work for them"/>
    <n v="9"/>
    <x v="5"/>
    <x v="2"/>
    <x v="7"/>
    <x v="155"/>
    <s v="Manager who clearly describes what she/he needs"/>
    <x v="1"/>
  </r>
  <r>
    <d v="2023-04-06T10:37:28"/>
    <s v="India"/>
    <n v="201301"/>
    <x v="0"/>
    <x v="4"/>
    <s v="Yes, I will earn and do that"/>
    <s v="Will work for 3 years or more"/>
    <s v="No"/>
    <s v="Will NOT work for them"/>
    <n v="3"/>
    <x v="6"/>
    <x v="1"/>
    <x v="9"/>
    <x v="114"/>
    <s v="Manager who explains what is expected, sets a goal and helps achieve it"/>
    <x v="1"/>
  </r>
  <r>
    <d v="2023-04-06T10:42:17"/>
    <s v="India"/>
    <n v="110059"/>
    <x v="1"/>
    <x v="1"/>
    <s v="Yes, I will earn and do that"/>
    <s v="Will work for 3 years or more"/>
    <s v="No"/>
    <s v="Will NOT work for them"/>
    <n v="3"/>
    <x v="0"/>
    <x v="2"/>
    <x v="10"/>
    <x v="300"/>
    <s v="Manager who clearly describes what she/he needs"/>
    <x v="3"/>
  </r>
  <r>
    <d v="2023-04-06T10:50:21"/>
    <s v="India"/>
    <n v="110008"/>
    <x v="0"/>
    <x v="3"/>
    <s v="Yes, I will earn and do that"/>
    <s v="Will work for 3 years or more"/>
    <s v="Yes"/>
    <s v="Will work for them"/>
    <n v="9"/>
    <x v="0"/>
    <x v="0"/>
    <x v="10"/>
    <x v="301"/>
    <s v="Manager who clearly describes what she/he needs"/>
    <x v="4"/>
  </r>
  <r>
    <d v="2023-04-06T10:56:20"/>
    <s v="India"/>
    <n v="110067"/>
    <x v="1"/>
    <x v="3"/>
    <s v="Yes, I will earn and do that"/>
    <s v="This will be hard to do, but if it is the right company I would try"/>
    <s v="Yes"/>
    <s v="Will work for them"/>
    <n v="8"/>
    <x v="0"/>
    <x v="2"/>
    <x v="10"/>
    <x v="249"/>
    <s v="Manager who clearly describes what she/he needs"/>
    <x v="7"/>
  </r>
  <r>
    <d v="2023-04-06T10:58:11"/>
    <s v="India"/>
    <n v="122022"/>
    <x v="1"/>
    <x v="3"/>
    <s v="Yes, I will earn and do that"/>
    <s v="Will work for 3 years or more"/>
    <s v="No"/>
    <s v="Will NOT work for them"/>
    <n v="5"/>
    <x v="1"/>
    <x v="1"/>
    <x v="7"/>
    <x v="101"/>
    <s v="Manager who explains what is expected, sets a goal and helps achieve it"/>
    <x v="3"/>
  </r>
  <r>
    <d v="2023-04-06T11:04:57"/>
    <s v="India"/>
    <n v="110078"/>
    <x v="0"/>
    <x v="3"/>
    <s v="Yes, I will earn and do that"/>
    <s v="Will work for 3 years or more"/>
    <s v="Yes"/>
    <s v="Will work for them"/>
    <n v="10"/>
    <x v="0"/>
    <x v="2"/>
    <x v="20"/>
    <x v="302"/>
    <s v="Manager who sets goal and helps me achieve it"/>
    <x v="4"/>
  </r>
  <r>
    <d v="2023-04-06T11:11:32"/>
    <s v="India"/>
    <n v="442906"/>
    <x v="0"/>
    <x v="4"/>
    <s v="No I would not be pursuing Higher Education outside of India"/>
    <s v="This will be hard to do, but if it is the right company I would try"/>
    <s v="Yes"/>
    <s v="Will work for them"/>
    <n v="7"/>
    <x v="3"/>
    <x v="2"/>
    <x v="11"/>
    <x v="303"/>
    <s v="Manager who clearly describes what she/he needs"/>
    <x v="11"/>
  </r>
  <r>
    <d v="2023-04-06T11:14:32"/>
    <s v="India"/>
    <n v="122102"/>
    <x v="1"/>
    <x v="4"/>
    <s v="No I would not be pursuing Higher Education outside of India"/>
    <s v="Will work for 3 years or more"/>
    <s v="No"/>
    <s v="Will NOT work for them"/>
    <n v="1"/>
    <x v="3"/>
    <x v="2"/>
    <x v="16"/>
    <x v="207"/>
    <s v="Manager who sets goal and helps me achieve it"/>
    <x v="1"/>
  </r>
  <r>
    <d v="2023-04-06T11:18:38"/>
    <s v="India"/>
    <n v="110022"/>
    <x v="1"/>
    <x v="3"/>
    <s v="No, But if someone could bare the cost I will"/>
    <s v="Will work for 3 years or more"/>
    <s v="Yes"/>
    <s v="Will work for them"/>
    <n v="10"/>
    <x v="0"/>
    <x v="2"/>
    <x v="10"/>
    <x v="304"/>
    <s v="Manager who clearly describes what she/he needs"/>
    <x v="4"/>
  </r>
  <r>
    <d v="2023-04-06T11:26:19"/>
    <s v="India"/>
    <n v="110030"/>
    <x v="0"/>
    <x v="4"/>
    <s v="Yes, I will earn and do that"/>
    <s v="This will be hard to do, but if it is the right company I would try"/>
    <s v="No"/>
    <s v="Will NOT work for them"/>
    <n v="8"/>
    <x v="5"/>
    <x v="2"/>
    <x v="9"/>
    <x v="305"/>
    <s v="Manager who clearly describes what she/he needs"/>
    <x v="2"/>
  </r>
  <r>
    <d v="2023-04-06T11:32:06"/>
    <s v="India"/>
    <n v="442902"/>
    <x v="0"/>
    <x v="2"/>
    <s v="Yes, I will earn and do that"/>
    <s v="No way"/>
    <s v="No"/>
    <s v="Will NOT work for them"/>
    <n v="1"/>
    <x v="0"/>
    <x v="0"/>
    <x v="8"/>
    <x v="306"/>
    <s v="Manager who explains what is expected, sets a goal and helps achieve it"/>
    <x v="1"/>
  </r>
  <r>
    <d v="2023-04-06T11:40:41"/>
    <s v="India"/>
    <n v="201014"/>
    <x v="0"/>
    <x v="4"/>
    <s v="Yes, I will earn and do that"/>
    <s v="This will be hard to do, but if it is the right company I would try"/>
    <s v="Yes"/>
    <s v="Will NOT work for them"/>
    <n v="8"/>
    <x v="5"/>
    <x v="2"/>
    <x v="9"/>
    <x v="243"/>
    <s v="Manager who clearly describes what she/he needs"/>
    <x v="1"/>
  </r>
  <r>
    <d v="2023-04-06T11:41:15"/>
    <s v="India"/>
    <n v="110040"/>
    <x v="0"/>
    <x v="4"/>
    <s v="Yes, I will earn and do that"/>
    <s v="Will work for 3 years or more"/>
    <s v="No"/>
    <s v="Will NOT work for them"/>
    <n v="5"/>
    <x v="5"/>
    <x v="1"/>
    <x v="17"/>
    <x v="239"/>
    <s v="Manager who sets targets and expects me to achieve it"/>
    <x v="4"/>
  </r>
  <r>
    <d v="2023-04-06T11:43:13"/>
    <s v="India"/>
    <n v="201301"/>
    <x v="0"/>
    <x v="3"/>
    <s v="Yes, I will earn and do that"/>
    <s v="Will work for 3 years or more"/>
    <s v="No"/>
    <s v="Will NOT work for them"/>
    <n v="1"/>
    <x v="1"/>
    <x v="1"/>
    <x v="6"/>
    <x v="109"/>
    <s v="Manager who explains what is expected, sets a goal and helps achieve it"/>
    <x v="7"/>
  </r>
  <r>
    <d v="2023-04-06T11:48:57"/>
    <s v="India"/>
    <n v="110066"/>
    <x v="1"/>
    <x v="2"/>
    <s v="No I would not be pursuing Higher Education outside of India"/>
    <s v="Will work for 3 years or more"/>
    <s v="No"/>
    <s v="Will NOT work for them"/>
    <n v="2"/>
    <x v="6"/>
    <x v="2"/>
    <x v="9"/>
    <x v="197"/>
    <s v="Manager who clearly describes what she/he needs"/>
    <x v="3"/>
  </r>
  <r>
    <d v="2023-04-06T11:51:35"/>
    <s v="India"/>
    <n v="342001"/>
    <x v="1"/>
    <x v="0"/>
    <s v="Yes, I will earn and do that"/>
    <s v="This will be hard to do, but if it is the right company I would try"/>
    <s v="No"/>
    <s v="Will NOT work for them"/>
    <n v="4"/>
    <x v="6"/>
    <x v="0"/>
    <x v="11"/>
    <x v="132"/>
    <s v="Manager who explains what is expected, sets a goal and helps achieve it"/>
    <x v="7"/>
  </r>
  <r>
    <d v="2023-04-06T11:59:04"/>
    <s v="India"/>
    <n v="201301"/>
    <x v="0"/>
    <x v="4"/>
    <s v="No, But if someone could bare the cost I will"/>
    <s v="Will work for 3 years or more"/>
    <s v="No"/>
    <s v="Will NOT work for them"/>
    <n v="6"/>
    <x v="6"/>
    <x v="0"/>
    <x v="6"/>
    <x v="147"/>
    <s v="Manager who explains what is expected, sets a goal and helps achieve it"/>
    <x v="11"/>
  </r>
  <r>
    <d v="2023-04-06T12:11:22"/>
    <s v="India"/>
    <n v="110045"/>
    <x v="0"/>
    <x v="4"/>
    <s v="No I would not be pursuing Higher Education outside of India"/>
    <s v="Will work for 3 years or more"/>
    <s v="No"/>
    <s v="Will NOT work for them"/>
    <n v="1"/>
    <x v="3"/>
    <x v="1"/>
    <x v="13"/>
    <x v="307"/>
    <s v="Manager who sets goal and helps me achieve it"/>
    <x v="3"/>
  </r>
  <r>
    <d v="2023-04-06T12:13:36"/>
    <s v="India"/>
    <n v="855107"/>
    <x v="0"/>
    <x v="1"/>
    <s v="No I would not be pursuing Higher Education outside of India"/>
    <s v="Will work for 3 years or more"/>
    <s v="No"/>
    <s v="Will NOT work for them"/>
    <n v="6"/>
    <x v="6"/>
    <x v="1"/>
    <x v="10"/>
    <x v="308"/>
    <s v="Manager who explains what is expected, sets a goal and helps achieve it"/>
    <x v="0"/>
  </r>
  <r>
    <d v="2023-04-06T12:25:59"/>
    <s v="India"/>
    <n v="521002"/>
    <x v="1"/>
    <x v="4"/>
    <s v="No, But if someone could bare the cost I will"/>
    <s v="This will be hard to do, but if it is the right company I would try"/>
    <s v="No"/>
    <s v="Will NOT work for them"/>
    <n v="4"/>
    <x v="6"/>
    <x v="1"/>
    <x v="9"/>
    <x v="114"/>
    <s v="Manager who explains what is expected, sets a goal and helps achieve it"/>
    <x v="3"/>
  </r>
  <r>
    <d v="2023-04-06T12:30:58"/>
    <s v="India"/>
    <n v="442001"/>
    <x v="1"/>
    <x v="1"/>
    <s v="No, But if someone could bare the cost I will"/>
    <s v="This will be hard to do, but if it is the right company I would try"/>
    <s v="No"/>
    <s v="Will NOT work for them"/>
    <n v="9"/>
    <x v="1"/>
    <x v="1"/>
    <x v="9"/>
    <x v="245"/>
    <s v="Manager who sets goal and helps me achieve it"/>
    <x v="14"/>
  </r>
  <r>
    <d v="2023-04-06T12:39:44"/>
    <s v="India"/>
    <n v="521165"/>
    <x v="0"/>
    <x v="1"/>
    <s v="No I would not be pursuing Higher Education outside of India"/>
    <s v="This will be hard to do, but if it is the right company I would try"/>
    <s v="No"/>
    <s v="Will work for them"/>
    <n v="9"/>
    <x v="1"/>
    <x v="0"/>
    <x v="14"/>
    <x v="146"/>
    <s v="Manager who sets goal and helps me achieve it"/>
    <x v="1"/>
  </r>
  <r>
    <d v="2023-04-06T12:43:20"/>
    <s v="India"/>
    <n v="110022"/>
    <x v="1"/>
    <x v="0"/>
    <s v="No I would not be pursuing Higher Education outside of India"/>
    <s v="This will be hard to do, but if it is the right company I would try"/>
    <s v="Yes"/>
    <s v="Will work for them"/>
    <n v="7"/>
    <x v="6"/>
    <x v="0"/>
    <x v="8"/>
    <x v="309"/>
    <s v="Manager who sets goal and helps me achieve it"/>
    <x v="6"/>
  </r>
  <r>
    <d v="2023-04-06T12:44:14"/>
    <s v="India"/>
    <n v="560028"/>
    <x v="0"/>
    <x v="0"/>
    <s v="Yes, I will earn and do that"/>
    <s v="This will be hard to do, but if it is the right company I would try"/>
    <s v="No"/>
    <s v="Will NOT work for them"/>
    <n v="7"/>
    <x v="5"/>
    <x v="1"/>
    <x v="9"/>
    <x v="310"/>
    <s v="Manager who sets goal and helps me achieve it"/>
    <x v="4"/>
  </r>
  <r>
    <d v="2023-04-06T12:44:58"/>
    <s v="India"/>
    <n v="641045"/>
    <x v="0"/>
    <x v="4"/>
    <s v="No, But if someone could bare the cost I will"/>
    <s v="This will be hard to do, but if it is the right company I would try"/>
    <s v="Yes"/>
    <s v="Will work for them"/>
    <n v="7"/>
    <x v="1"/>
    <x v="2"/>
    <x v="24"/>
    <x v="311"/>
    <s v="Manager who explains what is expected, sets a goal and helps achieve it"/>
    <x v="6"/>
  </r>
  <r>
    <d v="2023-04-06T12:55:10"/>
    <s v="India"/>
    <n v="110077"/>
    <x v="1"/>
    <x v="3"/>
    <s v="No I would not be pursuing Higher Education outside of India"/>
    <s v="This will be hard to do, but if it is the right company I would try"/>
    <s v="No"/>
    <s v="Will NOT work for them"/>
    <n v="3"/>
    <x v="1"/>
    <x v="1"/>
    <x v="7"/>
    <x v="111"/>
    <s v="Manager who explains what is expected, sets a goal and helps achieve it"/>
    <x v="3"/>
  </r>
  <r>
    <d v="2023-04-06T12:55:17"/>
    <s v="India"/>
    <n v="521163"/>
    <x v="0"/>
    <x v="4"/>
    <s v="No, But if someone could bare the cost I will"/>
    <s v="This will be hard to do, but if it is the right company I would try"/>
    <s v="No"/>
    <s v="Will NOT work for them"/>
    <n v="5"/>
    <x v="1"/>
    <x v="1"/>
    <x v="11"/>
    <x v="312"/>
    <s v="Manager who explains what is expected, sets a goal and helps achieve it"/>
    <x v="1"/>
  </r>
  <r>
    <d v="2023-04-06T12:57:28"/>
    <s v="India"/>
    <n v="560029"/>
    <x v="0"/>
    <x v="1"/>
    <s v="No, But if someone could bare the cost I will"/>
    <s v="This will be hard to do, but if it is the right company I would try"/>
    <s v="No"/>
    <s v="Will NOT work for them"/>
    <n v="1"/>
    <x v="6"/>
    <x v="1"/>
    <x v="18"/>
    <x v="313"/>
    <s v="Manager who sets goal and helps me achieve it"/>
    <x v="8"/>
  </r>
  <r>
    <d v="2023-04-06T12:58:42"/>
    <s v="India"/>
    <n v="560029"/>
    <x v="0"/>
    <x v="4"/>
    <s v="No, But if someone could bare the cost I will"/>
    <s v="This will be hard to do, but if it is the right company I would try"/>
    <s v="No"/>
    <s v="Will NOT work for them"/>
    <n v="3"/>
    <x v="1"/>
    <x v="1"/>
    <x v="15"/>
    <x v="314"/>
    <s v="Manager who sets goal and helps me achieve it"/>
    <x v="4"/>
  </r>
  <r>
    <d v="2023-04-06T13:14:09"/>
    <s v="India"/>
    <n v="431810"/>
    <x v="0"/>
    <x v="3"/>
    <s v="No, But if someone could bare the cost I will"/>
    <s v="This will be hard to do, but if it is the right company I would try"/>
    <s v="Yes"/>
    <s v="Will work for them"/>
    <n v="9"/>
    <x v="1"/>
    <x v="3"/>
    <x v="22"/>
    <x v="315"/>
    <s v="Manager who explains what is expected, sets a goal and helps achieve it"/>
    <x v="1"/>
  </r>
  <r>
    <d v="2023-04-06T13:29:22"/>
    <s v="India"/>
    <n v="431001"/>
    <x v="0"/>
    <x v="1"/>
    <s v="Yes, I will earn and do that"/>
    <s v="This will be hard to do, but if it is the right company I would try"/>
    <s v="No"/>
    <s v="Will NOT work for them"/>
    <n v="5"/>
    <x v="0"/>
    <x v="1"/>
    <x v="6"/>
    <x v="111"/>
    <s v="Manager who explains what is expected, sets a goal and helps achieve it"/>
    <x v="1"/>
  </r>
  <r>
    <d v="2023-04-06T13:35:59"/>
    <s v="India"/>
    <n v="110045"/>
    <x v="0"/>
    <x v="1"/>
    <s v="Yes, I will earn and do that"/>
    <s v="Will work for 3 years or more"/>
    <s v="No"/>
    <s v="Will NOT work for them"/>
    <n v="8"/>
    <x v="1"/>
    <x v="1"/>
    <x v="14"/>
    <x v="316"/>
    <s v="Manager who explains what is expected, sets a goal and helps achieve it"/>
    <x v="3"/>
  </r>
  <r>
    <d v="2023-04-06T13:39:21"/>
    <s v="India"/>
    <n v="577201"/>
    <x v="1"/>
    <x v="0"/>
    <s v="No, But if someone could bare the cost I will"/>
    <s v="This will be hard to do, but if it is the right company I would try"/>
    <s v="No"/>
    <s v="Will NOT work for them"/>
    <n v="5"/>
    <x v="6"/>
    <x v="0"/>
    <x v="8"/>
    <x v="317"/>
    <s v="Manager who explains what is expected, sets a goal and helps achieve it"/>
    <x v="18"/>
  </r>
  <r>
    <d v="2023-04-06T13:47:20"/>
    <s v="India"/>
    <n v="110057"/>
    <x v="0"/>
    <x v="3"/>
    <s v="Yes, I will earn and do that"/>
    <s v="Will work for 3 years or more"/>
    <s v="Yes"/>
    <s v="Will NOT work for them"/>
    <n v="9"/>
    <x v="1"/>
    <x v="1"/>
    <x v="19"/>
    <x v="318"/>
    <s v="Manager who sets goal and helps me achieve it"/>
    <x v="4"/>
  </r>
  <r>
    <d v="2023-04-06T13:50:52"/>
    <s v="India"/>
    <n v="110085"/>
    <x v="1"/>
    <x v="3"/>
    <s v="Yes, I will earn and do that"/>
    <s v="Will work for 3 years or more"/>
    <s v="No"/>
    <s v="Will NOT work for them"/>
    <n v="5"/>
    <x v="3"/>
    <x v="1"/>
    <x v="8"/>
    <x v="319"/>
    <s v="Manager who sets goal and helps me achieve it"/>
    <x v="4"/>
  </r>
  <r>
    <d v="2023-04-06T13:52:45"/>
    <s v="India"/>
    <n v="110018"/>
    <x v="1"/>
    <x v="4"/>
    <s v="No I would not be pursuing Higher Education outside of India"/>
    <s v="Will work for 3 years or more"/>
    <s v="No"/>
    <s v="Will NOT work for them"/>
    <n v="7"/>
    <x v="5"/>
    <x v="2"/>
    <x v="10"/>
    <x v="251"/>
    <s v="Manager who sets goal and helps me achieve it"/>
    <x v="4"/>
  </r>
  <r>
    <d v="2023-04-06T13:57:31"/>
    <s v="India"/>
    <n v="515775"/>
    <x v="0"/>
    <x v="4"/>
    <s v="Yes, I will earn and do that"/>
    <s v="Will work for 3 years or more"/>
    <s v="Yes"/>
    <s v="Will work for them"/>
    <n v="3"/>
    <x v="3"/>
    <x v="2"/>
    <x v="9"/>
    <x v="320"/>
    <s v="Manager who sets targets and expects me to achieve it"/>
    <x v="1"/>
  </r>
  <r>
    <d v="2023-04-06T14:00:40"/>
    <s v="India"/>
    <n v="122010"/>
    <x v="0"/>
    <x v="0"/>
    <s v="Yes, I will earn and do that"/>
    <s v="Will work for 3 years or more"/>
    <s v="No"/>
    <s v="Will work for them"/>
    <n v="8"/>
    <x v="0"/>
    <x v="2"/>
    <x v="9"/>
    <x v="179"/>
    <s v="Manager who sets goal and helps me achieve it"/>
    <x v="3"/>
  </r>
  <r>
    <d v="2023-04-06T14:24:13"/>
    <s v="India"/>
    <n v="401105"/>
    <x v="0"/>
    <x v="3"/>
    <s v="No, But if someone could bare the cost I will"/>
    <s v="This will be hard to do, but if it is the right company I would try"/>
    <s v="No"/>
    <s v="Will NOT work for them"/>
    <n v="6"/>
    <x v="1"/>
    <x v="1"/>
    <x v="8"/>
    <x v="224"/>
    <s v="Manager who explains what is expected, sets a goal and helps achieve it"/>
    <x v="3"/>
  </r>
  <r>
    <d v="2023-04-06T14:32:56"/>
    <s v="India"/>
    <n v="535218"/>
    <x v="0"/>
    <x v="4"/>
    <s v="No I would not be pursuing Higher Education outside of India"/>
    <s v="Will work for 3 years or more"/>
    <s v="No"/>
    <s v="Will NOT work for them"/>
    <n v="5"/>
    <x v="6"/>
    <x v="0"/>
    <x v="7"/>
    <x v="143"/>
    <s v="Manager who clearly describes what she/he needs"/>
    <x v="0"/>
  </r>
  <r>
    <d v="2023-04-06T14:33:32"/>
    <s v="India"/>
    <n v="401105"/>
    <x v="0"/>
    <x v="3"/>
    <s v="Yes, I will earn and do that"/>
    <s v="Will work for 3 years or more"/>
    <s v="No"/>
    <s v="Will NOT work for them"/>
    <n v="5"/>
    <x v="3"/>
    <x v="1"/>
    <x v="9"/>
    <x v="233"/>
    <s v="Manager who explains what is expected, sets a goal and helps achieve it"/>
    <x v="3"/>
  </r>
  <r>
    <d v="2023-04-06T14:33:37"/>
    <s v="India"/>
    <n v="110077"/>
    <x v="0"/>
    <x v="1"/>
    <s v="No, But if someone could bare the cost I will"/>
    <s v="This will be hard to do, but if it is the right company I would try"/>
    <s v="No"/>
    <s v="Will work for them"/>
    <n v="5"/>
    <x v="0"/>
    <x v="1"/>
    <x v="8"/>
    <x v="321"/>
    <s v="Manager who sets targets and expects me to achieve it"/>
    <x v="22"/>
  </r>
  <r>
    <d v="2023-04-06T14:49:00"/>
    <s v="India"/>
    <n v="401105"/>
    <x v="0"/>
    <x v="3"/>
    <s v="No I would not be pursuing Higher Education outside of India"/>
    <s v="Will work for 3 years or more"/>
    <s v="No"/>
    <s v="Will work for them"/>
    <n v="6"/>
    <x v="5"/>
    <x v="2"/>
    <x v="7"/>
    <x v="153"/>
    <s v="Manager who sets targets and expects me to achieve it"/>
    <x v="3"/>
  </r>
  <r>
    <d v="2023-04-06T14:49:18"/>
    <s v="India"/>
    <n v="400086"/>
    <x v="1"/>
    <x v="0"/>
    <s v="No I would not be pursuing Higher Education outside of India"/>
    <s v="This will be hard to do, but if it is the right company I would try"/>
    <s v="No"/>
    <s v="Will NOT work for them"/>
    <n v="10"/>
    <x v="1"/>
    <x v="2"/>
    <x v="9"/>
    <x v="174"/>
    <s v="Manager who clearly describes what she/he needs"/>
    <x v="0"/>
  </r>
  <r>
    <d v="2023-04-06T14:49:19"/>
    <s v="India"/>
    <n v="122001"/>
    <x v="0"/>
    <x v="1"/>
    <s v="No I would not be pursuing Higher Education outside of India"/>
    <s v="Will work for 3 years or more"/>
    <s v="No"/>
    <s v="Will NOT work for them"/>
    <n v="5"/>
    <x v="5"/>
    <x v="0"/>
    <x v="8"/>
    <x v="141"/>
    <s v="Manager who explains what is expected, sets a goal and helps achieve it"/>
    <x v="4"/>
  </r>
  <r>
    <d v="2023-04-06T15:02:02"/>
    <s v="India"/>
    <n v="401107"/>
    <x v="0"/>
    <x v="4"/>
    <s v="No I would not be pursuing Higher Education outside of India"/>
    <s v="Will work for 3 years or more"/>
    <s v="No"/>
    <s v="Will work for them"/>
    <n v="7"/>
    <x v="3"/>
    <x v="1"/>
    <x v="10"/>
    <x v="289"/>
    <s v="Manager who sets unrealistic targets"/>
    <x v="3"/>
  </r>
  <r>
    <d v="2023-04-06T15:05:43"/>
    <s v="India"/>
    <n v="122001"/>
    <x v="0"/>
    <x v="2"/>
    <s v="No I would not be pursuing Higher Education outside of India"/>
    <s v="Will work for 3 years or more"/>
    <s v="Yes"/>
    <s v="Will NOT work for them"/>
    <n v="5"/>
    <x v="1"/>
    <x v="1"/>
    <x v="16"/>
    <x v="322"/>
    <s v="Manager who sets goal and helps me achieve it"/>
    <x v="3"/>
  </r>
  <r>
    <d v="2023-04-06T15:23:49"/>
    <s v="India"/>
    <n v="400067"/>
    <x v="1"/>
    <x v="0"/>
    <s v="Yes, I will earn and do that"/>
    <s v="No way"/>
    <s v="No"/>
    <s v="Will NOT work for them"/>
    <n v="3"/>
    <x v="6"/>
    <x v="0"/>
    <x v="10"/>
    <x v="323"/>
    <s v="Manager who sets targets and expects me to achieve it"/>
    <x v="1"/>
  </r>
  <r>
    <d v="2023-04-06T15:33:51"/>
    <s v="United States of America"/>
    <n v="61455"/>
    <x v="0"/>
    <x v="4"/>
    <s v="Yes, I will earn and do that"/>
    <s v="No way"/>
    <s v="Yes"/>
    <s v="Will NOT work for them"/>
    <n v="8"/>
    <x v="1"/>
    <x v="2"/>
    <x v="8"/>
    <x v="256"/>
    <s v="Manager who clearly describes what she/he needs"/>
    <x v="1"/>
  </r>
  <r>
    <d v="2023-04-06T15:34:15"/>
    <s v="India"/>
    <n v="507115"/>
    <x v="0"/>
    <x v="4"/>
    <s v="Yes, I will earn and do that"/>
    <s v="This will be hard to do, but if it is the right company I would try"/>
    <s v="No"/>
    <s v="Will NOT work for them"/>
    <n v="5"/>
    <x v="1"/>
    <x v="2"/>
    <x v="14"/>
    <x v="217"/>
    <s v="Manager who clearly describes what she/he needs"/>
    <x v="12"/>
  </r>
  <r>
    <d v="2023-04-06T15:34:55"/>
    <s v="India"/>
    <n v="507002"/>
    <x v="0"/>
    <x v="0"/>
    <s v="Yes, I will earn and do that"/>
    <s v="Will work for 3 years or more"/>
    <s v="Yes"/>
    <s v="Will work for them"/>
    <n v="10"/>
    <x v="5"/>
    <x v="2"/>
    <x v="9"/>
    <x v="275"/>
    <s v="Manager who sets goal and helps me achieve it"/>
    <x v="7"/>
  </r>
  <r>
    <d v="2023-04-06T15:36:19"/>
    <s v="India"/>
    <n v="380054"/>
    <x v="1"/>
    <x v="4"/>
    <s v="No I would not be pursuing Higher Education outside of India"/>
    <s v="Will work for 3 years or more"/>
    <s v="Yes"/>
    <s v="Will NOT work for them"/>
    <n v="10"/>
    <x v="3"/>
    <x v="1"/>
    <x v="22"/>
    <x v="324"/>
    <s v="Manager who explains what is expected, sets a goal and helps achieve it"/>
    <x v="7"/>
  </r>
  <r>
    <d v="2023-04-06T15:36:30"/>
    <s v="India"/>
    <n v="507001"/>
    <x v="0"/>
    <x v="3"/>
    <s v="Yes, I will earn and do that"/>
    <s v="This will be hard to do, but if it is the right company I would try"/>
    <s v="No"/>
    <s v="Will NOT work for them"/>
    <n v="7"/>
    <x v="1"/>
    <x v="0"/>
    <x v="16"/>
    <x v="325"/>
    <s v="Manager who explains what is expected, sets a goal and helps achieve it"/>
    <x v="3"/>
  </r>
  <r>
    <d v="2023-04-06T15:36:46"/>
    <s v="India"/>
    <n v="560096"/>
    <x v="1"/>
    <x v="0"/>
    <s v="No, But if someone could bare the cost I will"/>
    <s v="This will be hard to do, but if it is the right company I would try"/>
    <s v="No"/>
    <s v="Will NOT work for them"/>
    <n v="5"/>
    <x v="6"/>
    <x v="0"/>
    <x v="9"/>
    <x v="292"/>
    <s v="Manager who explains what is expected, sets a goal and helps achieve it"/>
    <x v="2"/>
  </r>
  <r>
    <d v="2023-04-06T15:39:51"/>
    <s v="India"/>
    <n v="380006"/>
    <x v="0"/>
    <x v="0"/>
    <s v="No, But if someone could bare the cost I will"/>
    <s v="Will work for 3 years or more"/>
    <s v="No"/>
    <s v="Will NOT work for them"/>
    <n v="3"/>
    <x v="1"/>
    <x v="1"/>
    <x v="6"/>
    <x v="326"/>
    <s v="Manager who explains what is expected, sets a goal and helps achieve it"/>
    <x v="1"/>
  </r>
  <r>
    <d v="2023-04-06T15:42:47"/>
    <s v="India"/>
    <n v="507001"/>
    <x v="1"/>
    <x v="3"/>
    <s v="No I would not be pursuing Higher Education outside of India"/>
    <s v="This will be hard to do, but if it is the right company I would try"/>
    <s v="Yes"/>
    <s v="Will NOT work for them"/>
    <n v="6"/>
    <x v="5"/>
    <x v="0"/>
    <x v="18"/>
    <x v="112"/>
    <s v="Manager who explains what is expected, sets a goal and helps achieve it"/>
    <x v="3"/>
  </r>
  <r>
    <d v="2023-04-06T15:50:34"/>
    <s v="India"/>
    <n v="380026"/>
    <x v="0"/>
    <x v="4"/>
    <s v="No I would not be pursuing Higher Education outside of India"/>
    <s v="This will be hard to do, but if it is the right company I would try"/>
    <s v="No"/>
    <s v="Will NOT work for them"/>
    <n v="5"/>
    <x v="6"/>
    <x v="0"/>
    <x v="9"/>
    <x v="327"/>
    <s v="Manager who sets goal and helps me achieve it"/>
    <x v="7"/>
  </r>
  <r>
    <d v="2023-04-06T16:09:21"/>
    <s v="Others"/>
    <n v="2911"/>
    <x v="1"/>
    <x v="0"/>
    <s v="Yes, I will earn and do that"/>
    <s v="Will work for 3 years or more"/>
    <s v="No"/>
    <s v="Will NOT work for them"/>
    <n v="10"/>
    <x v="1"/>
    <x v="2"/>
    <x v="9"/>
    <x v="129"/>
    <s v="Manager who explains what is expected, sets a goal and helps achieve it"/>
    <x v="7"/>
  </r>
  <r>
    <d v="2023-04-06T16:15:09"/>
    <s v="India"/>
    <n v="380054"/>
    <x v="1"/>
    <x v="2"/>
    <s v="Yes, I will earn and do that"/>
    <s v="Will work for 3 years or more"/>
    <s v="Yes"/>
    <s v="Will NOT work for them"/>
    <n v="9"/>
    <x v="6"/>
    <x v="0"/>
    <x v="15"/>
    <x v="276"/>
    <s v="Manager who explains what is expected, sets a goal and helps achieve it"/>
    <x v="1"/>
  </r>
  <r>
    <d v="2023-04-06T16:15:48"/>
    <s v="India"/>
    <n v="173212"/>
    <x v="0"/>
    <x v="4"/>
    <s v="No I would not be pursuing Higher Education outside of India"/>
    <s v="This will be hard to do, but if it is the right company I would try"/>
    <s v="No"/>
    <s v="Will NOT work for them"/>
    <n v="5"/>
    <x v="1"/>
    <x v="1"/>
    <x v="7"/>
    <x v="105"/>
    <s v="Manager who explains what is expected, sets a goal and helps achieve it"/>
    <x v="3"/>
  </r>
  <r>
    <d v="2023-04-06T16:21:22"/>
    <s v="India"/>
    <n v="507002"/>
    <x v="1"/>
    <x v="2"/>
    <s v="No I would not be pursuing Higher Education outside of India"/>
    <s v="Will work for 3 years or more"/>
    <s v="Yes"/>
    <s v="Will NOT work for them"/>
    <n v="10"/>
    <x v="0"/>
    <x v="0"/>
    <x v="11"/>
    <x v="286"/>
    <s v="Manager who sets goal and helps me achieve it"/>
    <x v="0"/>
  </r>
  <r>
    <d v="2023-04-06T16:26:40"/>
    <s v="India"/>
    <n v="110001"/>
    <x v="1"/>
    <x v="0"/>
    <s v="Yes, I will earn and do that"/>
    <s v="Will work for 3 years or more"/>
    <s v="Yes"/>
    <s v="Will work for them"/>
    <n v="1"/>
    <x v="3"/>
    <x v="0"/>
    <x v="7"/>
    <x v="161"/>
    <s v="Manager who sets goal and helps me achieve it"/>
    <x v="7"/>
  </r>
  <r>
    <d v="2023-04-06T16:33:29"/>
    <s v="India"/>
    <n v="500032"/>
    <x v="0"/>
    <x v="0"/>
    <s v="Yes, I will earn and do that"/>
    <s v="Will work for 3 years or more"/>
    <s v="No"/>
    <s v="Will NOT work for them"/>
    <n v="5"/>
    <x v="6"/>
    <x v="1"/>
    <x v="11"/>
    <x v="141"/>
    <s v="Manager who explains what is expected, sets a goal and helps achieve it"/>
    <x v="4"/>
  </r>
  <r>
    <d v="2023-04-06T17:01:42"/>
    <s v="India"/>
    <n v="110059"/>
    <x v="1"/>
    <x v="3"/>
    <s v="Yes, I will earn and do that"/>
    <s v="Will work for 3 years or more"/>
    <s v="Yes"/>
    <s v="Will work for them"/>
    <n v="10"/>
    <x v="1"/>
    <x v="0"/>
    <x v="17"/>
    <x v="301"/>
    <s v="Manager who explains what is expected, sets a goal and helps achieve it"/>
    <x v="11"/>
  </r>
  <r>
    <d v="2023-04-06T17:07:24"/>
    <s v="India"/>
    <n v="110063"/>
    <x v="0"/>
    <x v="4"/>
    <s v="Yes, I will earn and do that"/>
    <s v="Will work for 3 years or more"/>
    <s v="Yes"/>
    <s v="Will work for them"/>
    <n v="3"/>
    <x v="5"/>
    <x v="2"/>
    <x v="7"/>
    <x v="328"/>
    <s v="Manager who sets targets and expects me to achieve it"/>
    <x v="4"/>
  </r>
  <r>
    <d v="2023-04-06T17:10:00"/>
    <s v="India"/>
    <n v="380007"/>
    <x v="1"/>
    <x v="4"/>
    <s v="No I would not be pursuing Higher Education outside of India"/>
    <s v="This will be hard to do, but if it is the right company I would try"/>
    <s v="No"/>
    <s v="Will NOT work for them"/>
    <n v="2"/>
    <x v="3"/>
    <x v="0"/>
    <x v="6"/>
    <x v="329"/>
    <s v="Manager who clearly describes what she/he needs"/>
    <x v="1"/>
  </r>
  <r>
    <d v="2023-04-06T17:14:45"/>
    <s v="India"/>
    <n v="500032"/>
    <x v="0"/>
    <x v="4"/>
    <s v="No, But if someone could bare the cost I will"/>
    <s v="Will work for 3 years or more"/>
    <s v="Yes"/>
    <s v="Will work for them"/>
    <n v="8"/>
    <x v="0"/>
    <x v="1"/>
    <x v="12"/>
    <x v="330"/>
    <s v="Manager who clearly describes what she/he needs"/>
    <x v="1"/>
  </r>
  <r>
    <d v="2023-04-06T17:24:29"/>
    <s v="India"/>
    <n v="507002"/>
    <x v="1"/>
    <x v="0"/>
    <s v="Yes, I will earn and do that"/>
    <s v="Will work for 3 years or more"/>
    <s v="Yes"/>
    <s v="Will work for them"/>
    <n v="7"/>
    <x v="3"/>
    <x v="1"/>
    <x v="11"/>
    <x v="331"/>
    <s v="Manager who clearly describes what she/he needs"/>
    <x v="11"/>
  </r>
  <r>
    <d v="2023-04-06T17:35:25"/>
    <s v="India"/>
    <n v="641035"/>
    <x v="0"/>
    <x v="3"/>
    <s v="No I would not be pursuing Higher Education outside of India"/>
    <s v="This will be hard to do, but if it is the right company I would try"/>
    <s v="No"/>
    <s v="Will work for them"/>
    <n v="3"/>
    <x v="5"/>
    <x v="2"/>
    <x v="9"/>
    <x v="164"/>
    <s v="Manager who sets goal and helps me achieve it"/>
    <x v="7"/>
  </r>
  <r>
    <d v="2023-04-06T17:44:02"/>
    <s v="India"/>
    <n v="380058"/>
    <x v="1"/>
    <x v="4"/>
    <s v="No I would not be pursuing Higher Education outside of India"/>
    <s v="This will be hard to do, but if it is the right company I would try"/>
    <s v="No"/>
    <s v="Will NOT work for them"/>
    <n v="1"/>
    <x v="3"/>
    <x v="2"/>
    <x v="9"/>
    <x v="332"/>
    <s v="Manager who sets goal and helps me achieve it"/>
    <x v="1"/>
  </r>
  <r>
    <d v="2023-04-06T17:53:58"/>
    <s v="India"/>
    <n v="382330"/>
    <x v="0"/>
    <x v="0"/>
    <s v="Yes, I will earn and do that"/>
    <s v="This will be hard to do, but if it is the right company I would try"/>
    <s v="No"/>
    <s v="Will NOT work for them"/>
    <n v="9"/>
    <x v="3"/>
    <x v="1"/>
    <x v="22"/>
    <x v="220"/>
    <s v="Manager who sets goal and helps me achieve it"/>
    <x v="3"/>
  </r>
  <r>
    <d v="2023-04-06T17:59:45"/>
    <s v="India"/>
    <n v="621214"/>
    <x v="0"/>
    <x v="0"/>
    <s v="Yes, I will earn and do that"/>
    <s v="This will be hard to do, but if it is the right company I would try"/>
    <s v="No"/>
    <s v="Will NOT work for them"/>
    <n v="1"/>
    <x v="3"/>
    <x v="1"/>
    <x v="19"/>
    <x v="333"/>
    <s v="Manager who explains what is expected, sets a goal and helps achieve it"/>
    <x v="6"/>
  </r>
  <r>
    <d v="2023-04-06T18:08:41"/>
    <s v="India"/>
    <n v="110077"/>
    <x v="1"/>
    <x v="4"/>
    <s v="No I would not be pursuing Higher Education outside of India"/>
    <s v="Will work for 3 years or more"/>
    <s v="No"/>
    <s v="Will NOT work for them"/>
    <n v="6"/>
    <x v="6"/>
    <x v="1"/>
    <x v="9"/>
    <x v="334"/>
    <s v="Manager who sets targets and expects me to achieve it"/>
    <x v="9"/>
  </r>
  <r>
    <d v="2023-04-06T18:12:14"/>
    <s v="India"/>
    <n v="522101"/>
    <x v="1"/>
    <x v="0"/>
    <s v="No I would not be pursuing Higher Education outside of India"/>
    <s v="This will be hard to do, but if it is the right company I would try"/>
    <s v="No"/>
    <s v="Will NOT work for them"/>
    <n v="5"/>
    <x v="0"/>
    <x v="1"/>
    <x v="17"/>
    <x v="335"/>
    <s v="Manager who clearly describes what she/he needs"/>
    <x v="2"/>
  </r>
  <r>
    <d v="2023-04-06T18:15:00"/>
    <s v="India"/>
    <n v="500097"/>
    <x v="0"/>
    <x v="1"/>
    <s v="Yes, I will earn and do that"/>
    <s v="This will be hard to do, but if it is the right company I would try"/>
    <s v="No"/>
    <s v="Will NOT work for them"/>
    <n v="10"/>
    <x v="6"/>
    <x v="1"/>
    <x v="17"/>
    <x v="108"/>
    <s v="Manager who explains what is expected, sets a goal and helps achieve it"/>
    <x v="21"/>
  </r>
  <r>
    <d v="2023-04-06T18:15:34"/>
    <s v="India"/>
    <n v="500086"/>
    <x v="1"/>
    <x v="4"/>
    <s v="No I would not be pursuing Higher Education outside of India"/>
    <s v="This will be hard to do, but if it is the right company I would try"/>
    <s v="No"/>
    <s v="Will NOT work for them"/>
    <n v="4"/>
    <x v="1"/>
    <x v="1"/>
    <x v="6"/>
    <x v="336"/>
    <s v="Manager who explains what is expected, sets a goal and helps achieve it"/>
    <x v="1"/>
  </r>
  <r>
    <d v="2023-04-06T18:16:25"/>
    <s v="India"/>
    <n v="623525"/>
    <x v="1"/>
    <x v="1"/>
    <s v="No I would not be pursuing Higher Education outside of India"/>
    <s v="This will be hard to do, but if it is the right company I would try"/>
    <s v="No"/>
    <s v="Will NOT work for them"/>
    <n v="1"/>
    <x v="3"/>
    <x v="2"/>
    <x v="10"/>
    <x v="101"/>
    <s v="Manager who explains what is expected, sets a goal and helps achieve it"/>
    <x v="7"/>
  </r>
  <r>
    <d v="2023-04-06T18:32:41"/>
    <s v="Others"/>
    <n v="522236"/>
    <x v="0"/>
    <x v="3"/>
    <s v="Yes, I will earn and do that"/>
    <s v="Will work for 3 years or more"/>
    <s v="Yes"/>
    <s v="Will work for them"/>
    <n v="10"/>
    <x v="1"/>
    <x v="1"/>
    <x v="14"/>
    <x v="141"/>
    <s v="Manager who sets targets and expects me to achieve it"/>
    <x v="4"/>
  </r>
  <r>
    <d v="2023-04-06T18:36:15"/>
    <s v="India"/>
    <n v="522101"/>
    <x v="1"/>
    <x v="2"/>
    <s v="No, But if someone could bare the cost I will"/>
    <s v="Will work for 3 years or more"/>
    <s v="Yes"/>
    <s v="Will work for them"/>
    <n v="7"/>
    <x v="6"/>
    <x v="2"/>
    <x v="17"/>
    <x v="337"/>
    <s v="Manager who sets goal and helps me achieve it"/>
    <x v="1"/>
  </r>
  <r>
    <d v="2023-04-06T18:37:55"/>
    <s v="India"/>
    <n v="411060"/>
    <x v="1"/>
    <x v="2"/>
    <s v="No, But if someone could bare the cost I will"/>
    <s v="This will be hard to do, but if it is the right company I would try"/>
    <s v="No"/>
    <s v="Will NOT work for them"/>
    <n v="7"/>
    <x v="1"/>
    <x v="2"/>
    <x v="17"/>
    <x v="141"/>
    <s v="Manager who explains what is expected, sets a goal and helps achieve it"/>
    <x v="1"/>
  </r>
  <r>
    <d v="2023-04-06T18:45:46"/>
    <s v="India"/>
    <n v="500049"/>
    <x v="1"/>
    <x v="4"/>
    <s v="Yes, I will earn and do that"/>
    <s v="This will be hard to do, but if it is the right company I would try"/>
    <s v="No"/>
    <s v="Will NOT work for them"/>
    <n v="6"/>
    <x v="6"/>
    <x v="2"/>
    <x v="20"/>
    <x v="338"/>
    <s v="Manager who clearly describes what she/he needs"/>
    <x v="3"/>
  </r>
  <r>
    <d v="2023-04-06T18:57:04"/>
    <s v="India"/>
    <n v="523001"/>
    <x v="0"/>
    <x v="0"/>
    <s v="No I would not be pursuing Higher Education outside of India"/>
    <s v="No way"/>
    <s v="No"/>
    <s v="Will NOT work for them"/>
    <n v="1"/>
    <x v="5"/>
    <x v="1"/>
    <x v="16"/>
    <x v="308"/>
    <s v="Manager who sets goal and helps me achieve it"/>
    <x v="1"/>
  </r>
  <r>
    <d v="2023-04-06T19:07:30"/>
    <s v="India"/>
    <n v="507002"/>
    <x v="0"/>
    <x v="0"/>
    <s v="Yes, I will earn and do that"/>
    <s v="This will be hard to do, but if it is the right company I would try"/>
    <s v="No"/>
    <s v="Will work for them"/>
    <n v="9"/>
    <x v="1"/>
    <x v="3"/>
    <x v="11"/>
    <x v="339"/>
    <s v="Manager who explains what is expected, sets a goal and helps achieve it"/>
    <x v="4"/>
  </r>
  <r>
    <d v="2023-04-06T19:25:34"/>
    <s v="India"/>
    <n v="380001"/>
    <x v="0"/>
    <x v="4"/>
    <s v="No I would not be pursuing Higher Education outside of India"/>
    <s v="This will be hard to do, but if it is the right company I would try"/>
    <s v="No"/>
    <s v="Will NOT work for them"/>
    <n v="1"/>
    <x v="3"/>
    <x v="2"/>
    <x v="15"/>
    <x v="340"/>
    <s v="Manager who sets targets and expects me to achieve it"/>
    <x v="3"/>
  </r>
  <r>
    <d v="2023-04-06T19:47:27"/>
    <s v="India"/>
    <n v="57001"/>
    <x v="0"/>
    <x v="4"/>
    <s v="No I would not be pursuing Higher Education outside of India"/>
    <s v="This will be hard to do, but if it is the right company I would try"/>
    <s v="No"/>
    <s v="Will NOT work for them"/>
    <n v="7"/>
    <x v="1"/>
    <x v="1"/>
    <x v="7"/>
    <x v="341"/>
    <s v="Manager who clearly describes what she/he needs"/>
    <x v="3"/>
  </r>
  <r>
    <d v="2023-04-06T19:52:53"/>
    <s v="India"/>
    <n v="521165"/>
    <x v="1"/>
    <x v="4"/>
    <s v="No I would not be pursuing Higher Education outside of India"/>
    <s v="This will be hard to do, but if it is the right company I would try"/>
    <s v="No"/>
    <s v="Will NOT work for them"/>
    <n v="5"/>
    <x v="3"/>
    <x v="0"/>
    <x v="15"/>
    <x v="325"/>
    <s v="Manager who sets goal and helps me achieve it"/>
    <x v="3"/>
  </r>
  <r>
    <d v="2023-04-06T19:53:44"/>
    <s v="India"/>
    <n v="421306"/>
    <x v="0"/>
    <x v="2"/>
    <s v="Yes, I will earn and do that"/>
    <s v="This will be hard to do, but if it is the right company I would try"/>
    <s v="No"/>
    <s v="Will NOT work for them"/>
    <n v="9"/>
    <x v="1"/>
    <x v="1"/>
    <x v="11"/>
    <x v="342"/>
    <s v="Manager who explains what is expected, sets a goal and helps achieve it"/>
    <x v="8"/>
  </r>
  <r>
    <d v="2023-04-06T19:57:58"/>
    <s v="India"/>
    <n v="440024"/>
    <x v="1"/>
    <x v="2"/>
    <s v="Yes, I will earn and do that"/>
    <s v="This will be hard to do, but if it is the right company I would try"/>
    <s v="No"/>
    <s v="Will work for them"/>
    <n v="5"/>
    <x v="1"/>
    <x v="1"/>
    <x v="11"/>
    <x v="343"/>
    <s v="Manager who explains what is expected, sets a goal and helps achieve it"/>
    <x v="9"/>
  </r>
  <r>
    <d v="2023-04-06T20:03:47"/>
    <s v="India"/>
    <n v="400607"/>
    <x v="0"/>
    <x v="0"/>
    <s v="Yes, I will earn and do that"/>
    <s v="This will be hard to do, but if it is the right company I would try"/>
    <s v="No"/>
    <s v="Will NOT work for them"/>
    <n v="1"/>
    <x v="6"/>
    <x v="1"/>
    <x v="15"/>
    <x v="188"/>
    <s v="Manager who sets targets and expects me to achieve it"/>
    <x v="2"/>
  </r>
  <r>
    <d v="2023-04-06T20:05:05"/>
    <s v="India"/>
    <n v="522001"/>
    <x v="0"/>
    <x v="2"/>
    <s v="No I would not be pursuing Higher Education outside of India"/>
    <s v="Will work for 3 years or more"/>
    <s v="No"/>
    <s v="Will NOT work for them"/>
    <n v="7"/>
    <x v="1"/>
    <x v="1"/>
    <x v="9"/>
    <x v="186"/>
    <s v="Manager who explains what is expected, sets a goal and helps achieve it"/>
    <x v="2"/>
  </r>
  <r>
    <d v="2023-04-06T20:13:34"/>
    <s v="India"/>
    <n v="400709"/>
    <x v="0"/>
    <x v="4"/>
    <s v="No I would not be pursuing Higher Education outside of India"/>
    <s v="No way"/>
    <s v="Yes"/>
    <s v="Will work for them"/>
    <n v="3"/>
    <x v="6"/>
    <x v="3"/>
    <x v="23"/>
    <x v="143"/>
    <s v="Manager who sets targets and expects me to achieve it"/>
    <x v="16"/>
  </r>
  <r>
    <d v="2023-04-06T20:20:13"/>
    <s v="India"/>
    <s v="000000"/>
    <x v="1"/>
    <x v="0"/>
    <s v="No I would not be pursuing Higher Education outside of India"/>
    <s v="No way"/>
    <s v="Yes"/>
    <s v="Will work for them"/>
    <n v="5"/>
    <x v="0"/>
    <x v="1"/>
    <x v="15"/>
    <x v="96"/>
    <s v="Manager who sets unrealistic targets"/>
    <x v="7"/>
  </r>
  <r>
    <d v="2023-04-06T20:28:16"/>
    <s v="India"/>
    <n v="400068"/>
    <x v="0"/>
    <x v="4"/>
    <s v="Yes, I will earn and do that"/>
    <s v="This will be hard to do, but if it is the right company I would try"/>
    <s v="Yes"/>
    <s v="Will NOT work for them"/>
    <n v="5"/>
    <x v="6"/>
    <x v="1"/>
    <x v="8"/>
    <x v="97"/>
    <s v="Manager who explains what is expected, sets a goal and helps achieve it"/>
    <x v="15"/>
  </r>
  <r>
    <d v="2023-04-06T20:48:08"/>
    <s v="United States of America"/>
    <n v="44114"/>
    <x v="0"/>
    <x v="3"/>
    <s v="Yes, I will earn and do that"/>
    <s v="This will be hard to do, but if it is the right company I would try"/>
    <s v="No"/>
    <s v="Will work for them"/>
    <n v="9"/>
    <x v="5"/>
    <x v="1"/>
    <x v="17"/>
    <x v="344"/>
    <s v="Manager who explains what is expected, sets a goal and helps achieve it"/>
    <x v="1"/>
  </r>
  <r>
    <d v="2023-04-06T21:10:34"/>
    <s v="India"/>
    <n v="522212"/>
    <x v="1"/>
    <x v="0"/>
    <s v="No I would not be pursuing Higher Education outside of India"/>
    <s v="This will be hard to do, but if it is the right company I would try"/>
    <s v="No"/>
    <s v="Will NOT work for them"/>
    <n v="8"/>
    <x v="3"/>
    <x v="1"/>
    <x v="9"/>
    <x v="124"/>
    <s v="Manager who explains what is expected, sets a goal and helps achieve it"/>
    <x v="1"/>
  </r>
  <r>
    <d v="2023-04-06T21:19:00"/>
    <s v="Others"/>
    <s v="02-781"/>
    <x v="1"/>
    <x v="2"/>
    <s v="No I would not be pursuing Higher Education outside of India"/>
    <s v="Will work for 3 years or more"/>
    <s v="No"/>
    <s v="Will NOT work for them"/>
    <n v="1"/>
    <x v="3"/>
    <x v="0"/>
    <x v="11"/>
    <x v="345"/>
    <s v="Manager who explains what is expected, sets a goal and helps achieve it"/>
    <x v="4"/>
  </r>
  <r>
    <d v="2023-04-06T21:20:54"/>
    <s v="India"/>
    <n v="641105"/>
    <x v="0"/>
    <x v="0"/>
    <s v="No I would not be pursuing Higher Education outside of India"/>
    <s v="This will be hard to do, but if it is the right company I would try"/>
    <s v="Yes"/>
    <s v="Will work for them"/>
    <n v="10"/>
    <x v="6"/>
    <x v="1"/>
    <x v="17"/>
    <x v="125"/>
    <s v="Manager who explains what is expected, sets a goal and helps achieve it"/>
    <x v="1"/>
  </r>
  <r>
    <d v="2023-04-06T21:33:57"/>
    <s v="India"/>
    <n v="400603"/>
    <x v="1"/>
    <x v="2"/>
    <s v="Yes, I will earn and do that"/>
    <s v="This will be hard to do, but if it is the right company I would try"/>
    <s v="Yes"/>
    <s v="Will work for them"/>
    <n v="5"/>
    <x v="5"/>
    <x v="1"/>
    <x v="19"/>
    <x v="188"/>
    <s v="Manager who explains what is expected, sets a goal and helps achieve it"/>
    <x v="3"/>
  </r>
  <r>
    <d v="2023-04-06T22:40:53"/>
    <s v="India"/>
    <n v="670002"/>
    <x v="0"/>
    <x v="1"/>
    <s v="Yes, I will earn and do that"/>
    <s v="Will work for 3 years or more"/>
    <s v="No"/>
    <s v="Will NOT work for them"/>
    <n v="1"/>
    <x v="5"/>
    <x v="0"/>
    <x v="7"/>
    <x v="346"/>
    <s v="Manager who sets targets and expects me to achieve it"/>
    <x v="4"/>
  </r>
  <r>
    <d v="2023-04-06T22:51:54"/>
    <s v="India"/>
    <n v="751012"/>
    <x v="0"/>
    <x v="0"/>
    <s v="Yes, I will earn and do that"/>
    <s v="Will work for 3 years or more"/>
    <s v="No"/>
    <s v="Will NOT work for them"/>
    <n v="8"/>
    <x v="6"/>
    <x v="2"/>
    <x v="8"/>
    <x v="194"/>
    <s v="Manager who explains what is expected, sets a goal and helps achieve it"/>
    <x v="2"/>
  </r>
  <r>
    <d v="2023-04-06T23:37:19"/>
    <s v="India"/>
    <n v="400022"/>
    <x v="1"/>
    <x v="4"/>
    <s v="Yes, I will earn and do that"/>
    <s v="No way"/>
    <s v="No"/>
    <s v="Will NOT work for them"/>
    <n v="5"/>
    <x v="1"/>
    <x v="2"/>
    <x v="17"/>
    <x v="347"/>
    <s v="Manager who explains what is expected, sets a goal and helps achieve it"/>
    <x v="1"/>
  </r>
  <r>
    <d v="2023-04-07T00:01:58"/>
    <s v="India"/>
    <n v="688529"/>
    <x v="1"/>
    <x v="4"/>
    <s v="Yes, I will earn and do that"/>
    <s v="This will be hard to do, but if it is the right company I would try"/>
    <s v="No"/>
    <s v="Will NOT work for them"/>
    <n v="8"/>
    <x v="3"/>
    <x v="1"/>
    <x v="18"/>
    <x v="215"/>
    <s v="Manager who clearly describes what she/he needs"/>
    <x v="1"/>
  </r>
  <r>
    <d v="2023-04-07T00:32:44"/>
    <s v="India"/>
    <n v="190020"/>
    <x v="1"/>
    <x v="1"/>
    <s v="No I would not be pursuing Higher Education outside of India"/>
    <s v="No way"/>
    <s v="No"/>
    <s v="Will NOT work for them"/>
    <n v="10"/>
    <x v="0"/>
    <x v="0"/>
    <x v="20"/>
    <x v="348"/>
    <s v="Manager who explains what is expected, sets a goal and helps achieve it"/>
    <x v="4"/>
  </r>
  <r>
    <d v="2023-04-07T01:24:17"/>
    <s v="India"/>
    <n v="500074"/>
    <x v="0"/>
    <x v="0"/>
    <s v="Yes, I will earn and do that"/>
    <s v="This will be hard to do, but if it is the right company I would try"/>
    <s v="No"/>
    <s v="Will NOT work for them"/>
    <n v="7"/>
    <x v="0"/>
    <x v="1"/>
    <x v="18"/>
    <x v="96"/>
    <s v="Manager who sets goal and helps me achieve it"/>
    <x v="3"/>
  </r>
  <r>
    <d v="2023-04-07T06:04:27"/>
    <s v="India"/>
    <n v="110078"/>
    <x v="0"/>
    <x v="4"/>
    <s v="Yes, I will earn and do that"/>
    <s v="Will work for 3 years or more"/>
    <s v="No"/>
    <s v="Will NOT work for them"/>
    <n v="8"/>
    <x v="3"/>
    <x v="2"/>
    <x v="9"/>
    <x v="109"/>
    <s v="Manager who clearly describes what she/he needs"/>
    <x v="1"/>
  </r>
  <r>
    <d v="2023-04-07T06:47:27"/>
    <s v="India"/>
    <n v="247667"/>
    <x v="1"/>
    <x v="2"/>
    <s v="Yes, I will earn and do that"/>
    <s v="Will work for 3 years or more"/>
    <s v="No"/>
    <s v="Will NOT work for them"/>
    <n v="7"/>
    <x v="1"/>
    <x v="1"/>
    <x v="6"/>
    <x v="174"/>
    <s v="Manager who explains what is expected, sets a goal and helps achieve it"/>
    <x v="2"/>
  </r>
  <r>
    <d v="2023-04-07T07:28:38"/>
    <s v="India"/>
    <n v="625010"/>
    <x v="1"/>
    <x v="3"/>
    <s v="No, But if someone could bare the cost I will"/>
    <s v="Will work for 3 years or more"/>
    <s v="No"/>
    <s v="Will NOT work for them"/>
    <n v="5"/>
    <x v="5"/>
    <x v="0"/>
    <x v="6"/>
    <x v="337"/>
    <s v="Manager who explains what is expected, sets a goal and helps achieve it"/>
    <x v="4"/>
  </r>
  <r>
    <d v="2023-04-07T08:53:59"/>
    <s v="India"/>
    <n v="400607"/>
    <x v="1"/>
    <x v="3"/>
    <s v="Yes, I will earn and do that"/>
    <s v="This will be hard to do, but if it is the right company I would try"/>
    <s v="Yes"/>
    <s v="Will NOT work for them"/>
    <n v="6"/>
    <x v="1"/>
    <x v="1"/>
    <x v="7"/>
    <x v="262"/>
    <s v="Manager who clearly describes what she/he needs"/>
    <x v="5"/>
  </r>
  <r>
    <d v="2023-04-07T08:57:20"/>
    <s v="India"/>
    <n v="600125"/>
    <x v="0"/>
    <x v="0"/>
    <s v="No I would not be pursuing Higher Education outside of India"/>
    <s v="Will work for 3 years or more"/>
    <s v="No"/>
    <s v="Will NOT work for them"/>
    <n v="7"/>
    <x v="3"/>
    <x v="1"/>
    <x v="6"/>
    <x v="153"/>
    <s v="Manager who clearly describes what she/he needs"/>
    <x v="4"/>
  </r>
  <r>
    <d v="2023-04-07T09:08:01"/>
    <s v="India"/>
    <n v="560043"/>
    <x v="0"/>
    <x v="0"/>
    <s v="Yes, I will earn and do that"/>
    <s v="This will be hard to do, but if it is the right company I would try"/>
    <s v="No"/>
    <s v="Will NOT work for them"/>
    <n v="6"/>
    <x v="6"/>
    <x v="1"/>
    <x v="17"/>
    <x v="345"/>
    <s v="Manager who explains what is expected, sets a goal and helps achieve it"/>
    <x v="1"/>
  </r>
  <r>
    <d v="2023-04-07T10:41:23"/>
    <s v="India"/>
    <n v="400607"/>
    <x v="0"/>
    <x v="2"/>
    <s v="No, But if someone could bare the cost I will"/>
    <s v="Will work for 3 years or more"/>
    <s v="Yes"/>
    <s v="Will NOT work for them"/>
    <n v="9"/>
    <x v="5"/>
    <x v="0"/>
    <x v="15"/>
    <x v="349"/>
    <s v="Manager who sets goal and helps me achieve it"/>
    <x v="3"/>
  </r>
  <r>
    <d v="2023-04-07T10:48:57"/>
    <s v="India"/>
    <n v="382424"/>
    <x v="1"/>
    <x v="0"/>
    <s v="Yes, I will earn and do that"/>
    <s v="Will work for 3 years or more"/>
    <s v="No"/>
    <s v="Will NOT work for them"/>
    <n v="5"/>
    <x v="1"/>
    <x v="1"/>
    <x v="19"/>
    <x v="141"/>
    <s v="Manager who explains what is expected, sets a goal and helps achieve it"/>
    <x v="3"/>
  </r>
  <r>
    <d v="2023-04-07T11:10:41"/>
    <s v="India"/>
    <n v="400607"/>
    <x v="0"/>
    <x v="4"/>
    <s v="Yes, I will earn and do that"/>
    <s v="No way"/>
    <s v="Yes"/>
    <s v="Will NOT work for them"/>
    <n v="6"/>
    <x v="5"/>
    <x v="2"/>
    <x v="22"/>
    <x v="350"/>
    <s v="Manager who sets targets and expects me to achieve it"/>
    <x v="7"/>
  </r>
  <r>
    <d v="2023-04-07T11:22:17"/>
    <s v="India"/>
    <n v="400607"/>
    <x v="0"/>
    <x v="0"/>
    <s v="No I would not be pursuing Higher Education outside of India"/>
    <s v="This will be hard to do, but if it is the right company I would try"/>
    <s v="Yes"/>
    <s v="Will work for them"/>
    <n v="8"/>
    <x v="6"/>
    <x v="1"/>
    <x v="9"/>
    <x v="153"/>
    <s v="Manager who explains what is expected, sets a goal and helps achieve it"/>
    <x v="4"/>
  </r>
  <r>
    <d v="2023-04-07T12:01:54"/>
    <s v="India"/>
    <n v="533001"/>
    <x v="0"/>
    <x v="3"/>
    <s v="No I would not be pursuing Higher Education outside of India"/>
    <s v="This will be hard to do, but if it is the right company I would try"/>
    <s v="No"/>
    <s v="Will NOT work for them"/>
    <n v="10"/>
    <x v="1"/>
    <x v="1"/>
    <x v="9"/>
    <x v="306"/>
    <s v="Manager who explains what is expected, sets a goal and helps achieve it"/>
    <x v="7"/>
  </r>
  <r>
    <d v="2023-04-07T12:14:14"/>
    <s v="India"/>
    <n v="612001"/>
    <x v="0"/>
    <x v="3"/>
    <s v="Yes, I will earn and do that"/>
    <s v="Will work for 3 years or more"/>
    <s v="No"/>
    <s v="Will NOT work for them"/>
    <n v="8"/>
    <x v="1"/>
    <x v="2"/>
    <x v="8"/>
    <x v="351"/>
    <s v="Manager who explains what is expected, sets a goal and helps achieve it"/>
    <x v="7"/>
  </r>
  <r>
    <d v="2023-04-07T12:38:25"/>
    <s v="India"/>
    <n v="441002"/>
    <x v="0"/>
    <x v="4"/>
    <s v="No, But if someone could bare the cost I will"/>
    <s v="No way"/>
    <s v="No"/>
    <s v="Will NOT work for them"/>
    <n v="2"/>
    <x v="0"/>
    <x v="2"/>
    <x v="8"/>
    <x v="124"/>
    <s v="Manager who sets goal and helps me achieve it"/>
    <x v="7"/>
  </r>
  <r>
    <d v="2023-04-07T16:16:41"/>
    <s v="India"/>
    <n v="507001"/>
    <x v="0"/>
    <x v="4"/>
    <s v="No, But if someone could bare the cost I will"/>
    <s v="Will work for 3 years or more"/>
    <s v="No"/>
    <s v="Will NOT work for them"/>
    <n v="4"/>
    <x v="3"/>
    <x v="2"/>
    <x v="7"/>
    <x v="291"/>
    <s v="Manager who sets goal and helps me achieve it"/>
    <x v="1"/>
  </r>
  <r>
    <d v="2023-04-07T16:17:33"/>
    <s v="India"/>
    <n v="201310"/>
    <x v="1"/>
    <x v="4"/>
    <s v="Yes, I will earn and do that"/>
    <s v="This will be hard to do, but if it is the right company I would try"/>
    <s v="No"/>
    <s v="Will NOT work for them"/>
    <n v="5"/>
    <x v="6"/>
    <x v="1"/>
    <x v="17"/>
    <x v="109"/>
    <s v="Manager who explains what is expected, sets a goal and helps achieve it"/>
    <x v="1"/>
  </r>
  <r>
    <d v="2023-04-07T16:55:35"/>
    <s v="India"/>
    <n v="221103"/>
    <x v="0"/>
    <x v="4"/>
    <s v="Yes, I will earn and do that"/>
    <s v="This will be hard to do, but if it is the right company I would try"/>
    <s v="No"/>
    <s v="Will NOT work for them"/>
    <n v="1"/>
    <x v="6"/>
    <x v="1"/>
    <x v="8"/>
    <x v="352"/>
    <s v="Manager who explains what is expected, sets a goal and helps achieve it"/>
    <x v="7"/>
  </r>
  <r>
    <d v="2023-04-07T17:44:45"/>
    <s v="India"/>
    <n v="221010"/>
    <x v="1"/>
    <x v="0"/>
    <s v="No I would not be pursuing Higher Education outside of India"/>
    <s v="This will be hard to do, but if it is the right company I would try"/>
    <s v="No"/>
    <s v="Will NOT work for them"/>
    <n v="4"/>
    <x v="1"/>
    <x v="2"/>
    <x v="6"/>
    <x v="353"/>
    <s v="Manager who explains what is expected, sets a goal and helps achieve it"/>
    <x v="4"/>
  </r>
  <r>
    <d v="2023-04-07T17:50:28"/>
    <s v="India"/>
    <n v="251001"/>
    <x v="1"/>
    <x v="4"/>
    <s v="No I would not be pursuing Higher Education outside of India"/>
    <s v="This will be hard to do, but if it is the right company I would try"/>
    <s v="No"/>
    <s v="Will NOT work for them"/>
    <n v="4"/>
    <x v="1"/>
    <x v="2"/>
    <x v="11"/>
    <x v="95"/>
    <s v="Manager who explains what is expected, sets a goal and helps achieve it"/>
    <x v="3"/>
  </r>
  <r>
    <d v="2023-04-07T19:40:12"/>
    <s v="India"/>
    <n v="203001"/>
    <x v="1"/>
    <x v="4"/>
    <s v="No I would not be pursuing Higher Education outside of India"/>
    <s v="This will be hard to do, but if it is the right company I would try"/>
    <s v="No"/>
    <s v="Will NOT work for them"/>
    <n v="5"/>
    <x v="1"/>
    <x v="1"/>
    <x v="7"/>
    <x v="140"/>
    <s v="Manager who explains what is expected, sets a goal and helps achieve it"/>
    <x v="3"/>
  </r>
  <r>
    <d v="2023-04-07T19:45:28"/>
    <s v="India"/>
    <n v="522508"/>
    <x v="0"/>
    <x v="4"/>
    <s v="No I would not be pursuing Higher Education outside of India"/>
    <s v="Will work for 3 years or more"/>
    <s v="Yes"/>
    <s v="Will work for them"/>
    <n v="10"/>
    <x v="3"/>
    <x v="2"/>
    <x v="14"/>
    <x v="354"/>
    <s v="Manager who sets goal and helps me achieve it"/>
    <x v="7"/>
  </r>
  <r>
    <d v="2023-04-07T19:46:24"/>
    <s v="India"/>
    <n v="243006"/>
    <x v="0"/>
    <x v="0"/>
    <s v="No I would not be pursuing Higher Education outside of India"/>
    <s v="This will be hard to do, but if it is the right company I would try"/>
    <s v="No"/>
    <s v="Will NOT work for them"/>
    <n v="1"/>
    <x v="0"/>
    <x v="2"/>
    <x v="9"/>
    <x v="156"/>
    <s v="Manager who explains what is expected, sets a goal and helps achieve it"/>
    <x v="6"/>
  </r>
  <r>
    <d v="2023-04-07T19:47:51"/>
    <s v="India"/>
    <n v="110076"/>
    <x v="1"/>
    <x v="0"/>
    <s v="Yes, I will earn and do that"/>
    <s v="This will be hard to do, but if it is the right company I would try"/>
    <s v="No"/>
    <s v="Will NOT work for them"/>
    <n v="6"/>
    <x v="6"/>
    <x v="1"/>
    <x v="11"/>
    <x v="109"/>
    <s v="Manager who explains what is expected, sets a goal and helps achieve it"/>
    <x v="1"/>
  </r>
  <r>
    <d v="2023-04-07T19:57:24"/>
    <s v="India"/>
    <n v="227405"/>
    <x v="0"/>
    <x v="3"/>
    <s v="Yes, I will earn and do that"/>
    <s v="Will work for 3 years or more"/>
    <s v="No"/>
    <s v="Will work for them"/>
    <n v="7"/>
    <x v="6"/>
    <x v="1"/>
    <x v="6"/>
    <x v="174"/>
    <s v="Manager who explains what is expected, sets a goal and helps achieve it"/>
    <x v="0"/>
  </r>
  <r>
    <d v="2023-04-07T20:00:39"/>
    <s v="India"/>
    <n v="110084"/>
    <x v="1"/>
    <x v="4"/>
    <s v="No I would not be pursuing Higher Education outside of India"/>
    <s v="This will be hard to do, but if it is the right company I would try"/>
    <s v="No"/>
    <s v="Will NOT work for them"/>
    <n v="6"/>
    <x v="6"/>
    <x v="1"/>
    <x v="8"/>
    <x v="155"/>
    <s v="Manager who explains what is expected, sets a goal and helps achieve it"/>
    <x v="2"/>
  </r>
  <r>
    <d v="2023-04-07T20:05:04"/>
    <s v="India"/>
    <s v="0129"/>
    <x v="0"/>
    <x v="2"/>
    <s v="Yes, I will earn and do that"/>
    <s v="This will be hard to do, but if it is the right company I would try"/>
    <s v="Yes"/>
    <s v="Will NOT work for them"/>
    <n v="10"/>
    <x v="6"/>
    <x v="1"/>
    <x v="19"/>
    <x v="355"/>
    <s v="Manager who sets goal and helps me achieve it"/>
    <x v="0"/>
  </r>
  <r>
    <d v="2023-04-07T20:06:21"/>
    <s v="India"/>
    <n v="517501"/>
    <x v="1"/>
    <x v="4"/>
    <s v="No, But if someone could bare the cost I will"/>
    <s v="This will be hard to do, but if it is the right company I would try"/>
    <s v="No"/>
    <s v="Will NOT work for them"/>
    <n v="7"/>
    <x v="3"/>
    <x v="1"/>
    <x v="11"/>
    <x v="356"/>
    <s v="Manager who sets goal and helps me achieve it"/>
    <x v="1"/>
  </r>
  <r>
    <d v="2023-04-07T20:16:34"/>
    <s v="India"/>
    <n v="517503"/>
    <x v="1"/>
    <x v="3"/>
    <s v="Yes, I will earn and do that"/>
    <s v="This will be hard to do, but if it is the right company I would try"/>
    <s v="No"/>
    <s v="Will NOT work for them"/>
    <n v="4"/>
    <x v="3"/>
    <x v="2"/>
    <x v="13"/>
    <x v="170"/>
    <s v="Manager who explains what is expected, sets a goal and helps achieve it"/>
    <x v="1"/>
  </r>
  <r>
    <d v="2023-04-07T20:30:34"/>
    <s v="India"/>
    <n v="560087"/>
    <x v="0"/>
    <x v="2"/>
    <s v="Yes, I will earn and do that"/>
    <s v="Will work for 3 years or more"/>
    <s v="Yes"/>
    <s v="Will NOT work for them"/>
    <n v="6"/>
    <x v="6"/>
    <x v="1"/>
    <x v="11"/>
    <x v="125"/>
    <s v="Manager who explains what is expected, sets a goal and helps achieve it"/>
    <x v="15"/>
  </r>
  <r>
    <d v="2023-04-07T20:33:55"/>
    <s v="India"/>
    <n v="517510"/>
    <x v="1"/>
    <x v="1"/>
    <s v="Yes, I will earn and do that"/>
    <s v="Will work for 3 years or more"/>
    <s v="No"/>
    <s v="Will NOT work for them"/>
    <n v="10"/>
    <x v="0"/>
    <x v="4"/>
    <x v="23"/>
    <x v="264"/>
    <s v="Manager who sets unrealistic targets"/>
    <x v="7"/>
  </r>
  <r>
    <d v="2023-04-07T20:45:34"/>
    <s v="India"/>
    <n v="560087"/>
    <x v="1"/>
    <x v="0"/>
    <s v="No, But if someone could bare the cost I will"/>
    <s v="Will work for 3 years or more"/>
    <s v="Yes"/>
    <s v="Will NOT work for them"/>
    <n v="7"/>
    <x v="5"/>
    <x v="2"/>
    <x v="17"/>
    <x v="357"/>
    <s v="Manager who explains what is expected, sets a goal and helps achieve it"/>
    <x v="7"/>
  </r>
  <r>
    <d v="2023-04-07T21:00:32"/>
    <s v="United States of America"/>
    <n v="99010"/>
    <x v="0"/>
    <x v="4"/>
    <s v="No I would not be pursuing Higher Education outside of India"/>
    <s v="This will be hard to do, but if it is the right company I would try"/>
    <s v="No"/>
    <s v="Will NOT work for them"/>
    <n v="5"/>
    <x v="1"/>
    <x v="0"/>
    <x v="9"/>
    <x v="358"/>
    <s v="Manager who clearly describes what she/he needs"/>
    <x v="3"/>
  </r>
  <r>
    <d v="2023-04-07T21:06:54"/>
    <s v="India"/>
    <n v="110053"/>
    <x v="0"/>
    <x v="4"/>
    <s v="No I would not be pursuing Higher Education outside of India"/>
    <s v="This will be hard to do, but if it is the right company I would try"/>
    <s v="No"/>
    <s v="Will NOT work for them"/>
    <n v="3"/>
    <x v="6"/>
    <x v="1"/>
    <x v="6"/>
    <x v="359"/>
    <s v="Manager who clearly describes what she/he needs"/>
    <x v="1"/>
  </r>
  <r>
    <d v="2023-04-07T21:17:34"/>
    <s v="India"/>
    <n v="283204"/>
    <x v="1"/>
    <x v="3"/>
    <s v="No I would not be pursuing Higher Education outside of India"/>
    <s v="Will work for 3 years or more"/>
    <s v="No"/>
    <s v="Will NOT work for them"/>
    <n v="5"/>
    <x v="6"/>
    <x v="2"/>
    <x v="19"/>
    <x v="299"/>
    <s v="Manager who sets goal and helps me achieve it"/>
    <x v="1"/>
  </r>
  <r>
    <d v="2023-04-07T21:29:04"/>
    <s v="India"/>
    <n v="560094"/>
    <x v="1"/>
    <x v="3"/>
    <s v="No, But if someone could bare the cost I will"/>
    <s v="This will be hard to do, but if it is the right company I would try"/>
    <s v="No"/>
    <s v="Will NOT work for them"/>
    <n v="4"/>
    <x v="6"/>
    <x v="1"/>
    <x v="17"/>
    <x v="174"/>
    <s v="Manager who explains what is expected, sets a goal and helps achieve it"/>
    <x v="3"/>
  </r>
  <r>
    <d v="2023-04-07T21:42:32"/>
    <s v="India"/>
    <n v="110022"/>
    <x v="0"/>
    <x v="4"/>
    <s v="No I would not be pursuing Higher Education outside of India"/>
    <s v="This will be hard to do, but if it is the right company I would try"/>
    <s v="No"/>
    <s v="Will work for them"/>
    <n v="5"/>
    <x v="3"/>
    <x v="2"/>
    <x v="19"/>
    <x v="360"/>
    <s v="Manager who explains what is expected, sets a goal and helps achieve it"/>
    <x v="1"/>
  </r>
  <r>
    <d v="2023-04-07T21:46:27"/>
    <s v="India"/>
    <n v="560093"/>
    <x v="1"/>
    <x v="0"/>
    <s v="Yes, I will earn and do that"/>
    <s v="Will work for 3 years or more"/>
    <s v="Yes"/>
    <s v="Will NOT work for them"/>
    <n v="5"/>
    <x v="5"/>
    <x v="2"/>
    <x v="9"/>
    <x v="361"/>
    <s v="Manager who sets goal and helps me achieve it"/>
    <x v="1"/>
  </r>
  <r>
    <d v="2023-04-07T21:59:07"/>
    <s v="India"/>
    <n v="245304"/>
    <x v="1"/>
    <x v="0"/>
    <s v="Yes, I will earn and do that"/>
    <s v="This will be hard to do, but if it is the right company I would try"/>
    <s v="Yes"/>
    <s v="Will work for them"/>
    <n v="1"/>
    <x v="1"/>
    <x v="1"/>
    <x v="6"/>
    <x v="362"/>
    <s v="Manager who sets targets and expects me to achieve it"/>
    <x v="1"/>
  </r>
  <r>
    <d v="2023-04-07T22:10:26"/>
    <s v="India"/>
    <n v="226010"/>
    <x v="1"/>
    <x v="0"/>
    <s v="Yes, I will earn and do that"/>
    <s v="This will be hard to do, but if it is the right company I would try"/>
    <s v="No"/>
    <s v="Will NOT work for them"/>
    <n v="10"/>
    <x v="6"/>
    <x v="2"/>
    <x v="16"/>
    <x v="363"/>
    <s v="Manager who sets goal and helps me achieve it"/>
    <x v="3"/>
  </r>
  <r>
    <d v="2023-04-07T22:17:11"/>
    <s v="India"/>
    <n v="201310"/>
    <x v="0"/>
    <x v="3"/>
    <s v="No, But if someone could bare the cost I will"/>
    <s v="This will be hard to do, but if it is the right company I would try"/>
    <s v="Yes"/>
    <s v="Will work for them"/>
    <n v="9"/>
    <x v="1"/>
    <x v="1"/>
    <x v="6"/>
    <x v="108"/>
    <s v="Manager who sets unrealistic targets"/>
    <x v="0"/>
  </r>
  <r>
    <d v="2023-04-07T22:43:27"/>
    <s v="India"/>
    <n v="600130"/>
    <x v="1"/>
    <x v="4"/>
    <s v="No I would not be pursuing Higher Education outside of India"/>
    <s v="Will work for 3 years or more"/>
    <s v="No"/>
    <s v="Will NOT work for them"/>
    <n v="6"/>
    <x v="1"/>
    <x v="1"/>
    <x v="11"/>
    <x v="183"/>
    <s v="Manager who explains what is expected, sets a goal and helps achieve it"/>
    <x v="3"/>
  </r>
  <r>
    <d v="2023-04-07T23:10:56"/>
    <s v="India"/>
    <n v="560055"/>
    <x v="1"/>
    <x v="4"/>
    <s v="No I would not be pursuing Higher Education outside of India"/>
    <s v="Will work for 3 years or more"/>
    <s v="No"/>
    <s v="Will NOT work for them"/>
    <n v="1"/>
    <x v="5"/>
    <x v="2"/>
    <x v="7"/>
    <x v="364"/>
    <s v="Manager who explains what is expected, sets a goal and helps achieve it"/>
    <x v="1"/>
  </r>
  <r>
    <d v="2023-04-07T23:15:14"/>
    <s v="India"/>
    <n v="400084"/>
    <x v="0"/>
    <x v="4"/>
    <s v="No, But if someone could bare the cost I will"/>
    <s v="Will work for 3 years or more"/>
    <s v="No"/>
    <s v="Will NOT work for them"/>
    <n v="8"/>
    <x v="6"/>
    <x v="1"/>
    <x v="9"/>
    <x v="141"/>
    <s v="Manager who explains what is expected, sets a goal and helps achieve it"/>
    <x v="1"/>
  </r>
  <r>
    <d v="2023-04-07T23:17:36"/>
    <s v="India"/>
    <n v="452016"/>
    <x v="1"/>
    <x v="3"/>
    <s v="Yes, I will earn and do that"/>
    <s v="This will be hard to do, but if it is the right company I would try"/>
    <s v="Yes"/>
    <s v="Will work for them"/>
    <n v="4"/>
    <x v="1"/>
    <x v="1"/>
    <x v="11"/>
    <x v="111"/>
    <s v="Manager who clearly describes what she/he needs"/>
    <x v="1"/>
  </r>
  <r>
    <d v="2023-04-07T23:23:07"/>
    <s v="India"/>
    <n v="211001"/>
    <x v="0"/>
    <x v="4"/>
    <s v="No I would not be pursuing Higher Education outside of India"/>
    <s v="No way"/>
    <s v="No"/>
    <s v="Will NOT work for them"/>
    <n v="8"/>
    <x v="3"/>
    <x v="2"/>
    <x v="9"/>
    <x v="167"/>
    <s v="Manager who clearly describes what she/he needs"/>
    <x v="15"/>
  </r>
  <r>
    <d v="2023-04-07T23:25:16"/>
    <s v="India"/>
    <n v="400067"/>
    <x v="0"/>
    <x v="4"/>
    <s v="Yes, I will earn and do that"/>
    <s v="No way"/>
    <s v="Yes"/>
    <s v="Will NOT work for them"/>
    <n v="10"/>
    <x v="0"/>
    <x v="0"/>
    <x v="9"/>
    <x v="365"/>
    <s v="Manager who explains what is expected, sets a goal and helps achieve it"/>
    <x v="3"/>
  </r>
  <r>
    <d v="2023-04-07T23:56:21"/>
    <s v="India"/>
    <n v="500041"/>
    <x v="1"/>
    <x v="0"/>
    <s v="Yes, I will earn and do that"/>
    <s v="This will be hard to do, but if it is the right company I would try"/>
    <s v="No"/>
    <s v="Will work for them"/>
    <n v="7"/>
    <x v="1"/>
    <x v="2"/>
    <x v="9"/>
    <x v="214"/>
    <s v="Manager who clearly describes what she/he needs"/>
    <x v="0"/>
  </r>
  <r>
    <d v="2023-04-08T00:14:27"/>
    <s v="India"/>
    <n v="400086"/>
    <x v="0"/>
    <x v="4"/>
    <s v="No I would not be pursuing Higher Education outside of India"/>
    <s v="No way"/>
    <s v="No"/>
    <s v="Will NOT work for them"/>
    <n v="1"/>
    <x v="0"/>
    <x v="3"/>
    <x v="22"/>
    <x v="366"/>
    <s v="Manager who explains what is expected, sets a goal and helps achieve it"/>
    <x v="3"/>
  </r>
  <r>
    <d v="2023-04-08T00:32:27"/>
    <s v="India"/>
    <n v="411033"/>
    <x v="0"/>
    <x v="3"/>
    <s v="No I would not be pursuing Higher Education outside of India"/>
    <s v="This will be hard to do, but if it is the right company I would try"/>
    <s v="Yes"/>
    <s v="Will NOT work for them"/>
    <n v="9"/>
    <x v="1"/>
    <x v="1"/>
    <x v="8"/>
    <x v="367"/>
    <s v="Manager who sets unrealistic targets"/>
    <x v="2"/>
  </r>
  <r>
    <d v="2023-04-08T00:55:24"/>
    <s v="India"/>
    <n v="600031"/>
    <x v="0"/>
    <x v="0"/>
    <s v="No I would not be pursuing Higher Education outside of India"/>
    <s v="Will work for 3 years or more"/>
    <s v="No"/>
    <s v="Will NOT work for them"/>
    <n v="5"/>
    <x v="6"/>
    <x v="1"/>
    <x v="9"/>
    <x v="182"/>
    <s v="Manager who explains what is expected, sets a goal and helps achieve it"/>
    <x v="2"/>
  </r>
  <r>
    <d v="2023-04-08T00:55:54"/>
    <s v="India"/>
    <n v="440009"/>
    <x v="0"/>
    <x v="1"/>
    <s v="Yes, I will earn and do that"/>
    <s v="Will work for 3 years or more"/>
    <s v="No"/>
    <s v="Will NOT work for them"/>
    <n v="5"/>
    <x v="6"/>
    <x v="1"/>
    <x v="24"/>
    <x v="368"/>
    <s v="Manager who explains what is expected, sets a goal and helps achieve it"/>
    <x v="2"/>
  </r>
  <r>
    <d v="2023-04-08T00:59:30"/>
    <s v="India"/>
    <n v="60020"/>
    <x v="1"/>
    <x v="1"/>
    <s v="Yes, I will earn and do that"/>
    <s v="This will be hard to do, but if it is the right company I would try"/>
    <s v="Yes"/>
    <s v="Will work for them"/>
    <n v="10"/>
    <x v="6"/>
    <x v="0"/>
    <x v="11"/>
    <x v="111"/>
    <s v="Manager who clearly describes what she/he needs"/>
    <x v="2"/>
  </r>
  <r>
    <d v="2023-04-08T01:06:12"/>
    <s v="India"/>
    <n v="400701"/>
    <x v="1"/>
    <x v="0"/>
    <s v="No, But if someone could bare the cost I will"/>
    <s v="This will be hard to do, but if it is the right company I would try"/>
    <s v="No"/>
    <s v="Will work for them"/>
    <n v="7"/>
    <x v="0"/>
    <x v="3"/>
    <x v="6"/>
    <x v="369"/>
    <s v="Manager who sets goal and helps me achieve it"/>
    <x v="0"/>
  </r>
  <r>
    <d v="2023-04-08T01:06:58"/>
    <s v="India"/>
    <n v="400024"/>
    <x v="0"/>
    <x v="2"/>
    <s v="No, But if someone could bare the cost I will"/>
    <s v="Will work for 3 years or more"/>
    <s v="Yes"/>
    <s v="Will work for them"/>
    <n v="3"/>
    <x v="5"/>
    <x v="1"/>
    <x v="11"/>
    <x v="368"/>
    <s v="Manager who explains what is expected, sets a goal and helps achieve it"/>
    <x v="5"/>
  </r>
  <r>
    <d v="2023-04-08T01:11:27"/>
    <s v="India"/>
    <n v="201009"/>
    <x v="0"/>
    <x v="2"/>
    <s v="Yes, I will earn and do that"/>
    <s v="This will be hard to do, but if it is the right company I would try"/>
    <s v="No"/>
    <s v="Will NOT work for them"/>
    <n v="4"/>
    <x v="6"/>
    <x v="1"/>
    <x v="17"/>
    <x v="97"/>
    <s v="Manager who explains what is expected, sets a goal and helps achieve it"/>
    <x v="1"/>
  </r>
  <r>
    <d v="2023-04-08T01:14:20"/>
    <s v="India"/>
    <n v="201002"/>
    <x v="0"/>
    <x v="1"/>
    <s v="Yes, I will earn and do that"/>
    <s v="This will be hard to do, but if it is the right company I would try"/>
    <s v="No"/>
    <s v="Will work for them"/>
    <n v="5"/>
    <x v="1"/>
    <x v="1"/>
    <x v="14"/>
    <x v="140"/>
    <s v="Manager who explains what is expected, sets a goal and helps achieve it"/>
    <x v="23"/>
  </r>
  <r>
    <d v="2023-04-08T01:17:20"/>
    <s v="India"/>
    <n v="201309"/>
    <x v="0"/>
    <x v="1"/>
    <s v="No I would not be pursuing Higher Education outside of India"/>
    <s v="Will work for 3 years or more"/>
    <s v="No"/>
    <s v="Will NOT work for them"/>
    <n v="4"/>
    <x v="1"/>
    <x v="2"/>
    <x v="11"/>
    <x v="132"/>
    <s v="Manager who clearly describes what she/he needs"/>
    <x v="1"/>
  </r>
  <r>
    <d v="2023-04-08T01:29:09"/>
    <s v="India"/>
    <n v="482020"/>
    <x v="0"/>
    <x v="0"/>
    <s v="Yes, I will earn and do that"/>
    <s v="This will be hard to do, but if it is the right company I would try"/>
    <s v="No"/>
    <s v="Will NOT work for them"/>
    <n v="7"/>
    <x v="3"/>
    <x v="1"/>
    <x v="7"/>
    <x v="308"/>
    <s v="Manager who explains what is expected, sets a goal and helps achieve it"/>
    <x v="7"/>
  </r>
  <r>
    <d v="2023-04-08T01:43:29"/>
    <s v="India"/>
    <n v="500056"/>
    <x v="1"/>
    <x v="3"/>
    <s v="No I would not be pursuing Higher Education outside of India"/>
    <s v="Will work for 3 years or more"/>
    <s v="Yes"/>
    <s v="Will work for them"/>
    <n v="5"/>
    <x v="1"/>
    <x v="0"/>
    <x v="9"/>
    <x v="222"/>
    <s v="Manager who clearly describes what she/he needs"/>
    <x v="1"/>
  </r>
  <r>
    <d v="2023-04-08T02:03:19"/>
    <s v="United Arab Emirates"/>
    <s v="00000"/>
    <x v="0"/>
    <x v="4"/>
    <s v="No I would not be pursuing Higher Education outside of India"/>
    <s v="This will be hard to do, but if it is the right company I would try"/>
    <s v="No"/>
    <s v="Will NOT work for them"/>
    <n v="3"/>
    <x v="1"/>
    <x v="1"/>
    <x v="11"/>
    <x v="224"/>
    <s v="Manager who clearly describes what she/he needs"/>
    <x v="1"/>
  </r>
  <r>
    <d v="2023-04-08T03:29:12"/>
    <s v="India"/>
    <n v="560029"/>
    <x v="0"/>
    <x v="2"/>
    <s v="No I would not be pursuing Higher Education outside of India"/>
    <s v="Will work for 3 years or more"/>
    <s v="Yes"/>
    <s v="Will NOT work for them"/>
    <n v="5"/>
    <x v="1"/>
    <x v="0"/>
    <x v="17"/>
    <x v="155"/>
    <s v="Manager who explains what is expected, sets a goal and helps achieve it"/>
    <x v="2"/>
  </r>
  <r>
    <d v="2023-04-08T04:17:37"/>
    <s v="India"/>
    <n v="400601"/>
    <x v="0"/>
    <x v="0"/>
    <s v="No, But if someone could bare the cost I will"/>
    <s v="This will be hard to do, but if it is the right company I would try"/>
    <s v="No"/>
    <s v="Will NOT work for them"/>
    <n v="8"/>
    <x v="6"/>
    <x v="1"/>
    <x v="8"/>
    <x v="191"/>
    <s v="Manager who sets goal and helps me achieve it"/>
    <x v="1"/>
  </r>
  <r>
    <d v="2023-04-08T06:32:43"/>
    <s v="India"/>
    <n v="560004"/>
    <x v="1"/>
    <x v="4"/>
    <s v="Yes, I will earn and do that"/>
    <s v="No way"/>
    <s v="Yes"/>
    <s v="Will NOT work for them"/>
    <n v="3"/>
    <x v="6"/>
    <x v="1"/>
    <x v="8"/>
    <x v="370"/>
    <s v="Manager who sets goal and helps me achieve it"/>
    <x v="1"/>
  </r>
  <r>
    <d v="2023-04-08T06:38:07"/>
    <s v="India"/>
    <n v="781013"/>
    <x v="0"/>
    <x v="1"/>
    <s v="Yes, I will earn and do that"/>
    <s v="Will work for 3 years or more"/>
    <s v="Yes"/>
    <s v="Will work for them"/>
    <n v="3"/>
    <x v="5"/>
    <x v="2"/>
    <x v="11"/>
    <x v="161"/>
    <s v="Manager who sets targets and expects me to achieve it"/>
    <x v="3"/>
  </r>
  <r>
    <d v="2023-04-08T06:47:20"/>
    <s v="India"/>
    <n v="400029"/>
    <x v="1"/>
    <x v="0"/>
    <s v="Yes, I will earn and do that"/>
    <s v="Will work for 3 years or more"/>
    <s v="No"/>
    <s v="Will NOT work for them"/>
    <n v="5"/>
    <x v="1"/>
    <x v="0"/>
    <x v="13"/>
    <x v="181"/>
    <s v="Manager who explains what is expected, sets a goal and helps achieve it"/>
    <x v="1"/>
  </r>
  <r>
    <d v="2023-04-08T07:10:55"/>
    <s v="India"/>
    <n v="500073"/>
    <x v="0"/>
    <x v="0"/>
    <s v="Yes, I will earn and do that"/>
    <s v="This will be hard to do, but if it is the right company I would try"/>
    <s v="No"/>
    <s v="Will NOT work for them"/>
    <n v="1"/>
    <x v="1"/>
    <x v="1"/>
    <x v="9"/>
    <x v="233"/>
    <s v="Manager who clearly describes what she/he needs"/>
    <x v="7"/>
  </r>
  <r>
    <d v="2023-04-08T07:29:43"/>
    <s v="India"/>
    <n v="441601"/>
    <x v="0"/>
    <x v="4"/>
    <s v="Yes, I will earn and do that"/>
    <s v="Will work for 3 years or more"/>
    <s v="Yes"/>
    <s v="Will NOT work for them"/>
    <n v="9"/>
    <x v="6"/>
    <x v="2"/>
    <x v="19"/>
    <x v="111"/>
    <s v="Manager who explains what is expected, sets a goal and helps achieve it"/>
    <x v="1"/>
  </r>
  <r>
    <d v="2023-04-08T07:35:39"/>
    <s v="India"/>
    <n v="400066"/>
    <x v="1"/>
    <x v="4"/>
    <s v="Yes, I will earn and do that"/>
    <s v="Will work for 3 years or more"/>
    <s v="No"/>
    <s v="Will NOT work for them"/>
    <n v="10"/>
    <x v="1"/>
    <x v="2"/>
    <x v="9"/>
    <x v="371"/>
    <s v="Manager who clearly describes what she/he needs"/>
    <x v="3"/>
  </r>
  <r>
    <d v="2023-04-08T07:57:35"/>
    <s v="India"/>
    <n v="700102"/>
    <x v="0"/>
    <x v="2"/>
    <s v="Yes, I will earn and do that"/>
    <s v="This will be hard to do, but if it is the right company I would try"/>
    <s v="No"/>
    <s v="Will NOT work for them"/>
    <n v="7"/>
    <x v="6"/>
    <x v="2"/>
    <x v="14"/>
    <x v="111"/>
    <s v="Manager who clearly describes what she/he needs"/>
    <x v="9"/>
  </r>
  <r>
    <d v="2023-04-08T08:02:57"/>
    <s v="India"/>
    <n v="412308"/>
    <x v="0"/>
    <x v="4"/>
    <s v="No, But if someone could bare the cost I will"/>
    <s v="Will work for 3 years or more"/>
    <s v="No"/>
    <s v="Will NOT work for them"/>
    <n v="7"/>
    <x v="1"/>
    <x v="1"/>
    <x v="18"/>
    <x v="141"/>
    <s v="Manager who explains what is expected, sets a goal and helps achieve it"/>
    <x v="4"/>
  </r>
  <r>
    <d v="2023-04-08T08:06:05"/>
    <s v="India"/>
    <n v="313001"/>
    <x v="0"/>
    <x v="4"/>
    <s v="Yes, I will earn and do that"/>
    <s v="This will be hard to do, but if it is the right company I would try"/>
    <s v="No"/>
    <s v="Will NOT work for them"/>
    <n v="1"/>
    <x v="3"/>
    <x v="2"/>
    <x v="16"/>
    <x v="372"/>
    <s v="Manager who sets goal and helps me achieve it"/>
    <x v="1"/>
  </r>
  <r>
    <d v="2023-04-08T08:48:31"/>
    <s v="India"/>
    <n v="500039"/>
    <x v="1"/>
    <x v="3"/>
    <s v="Yes, I will earn and do that"/>
    <s v="Will work for 3 years or more"/>
    <s v="Yes"/>
    <s v="Will work for them"/>
    <n v="8"/>
    <x v="1"/>
    <x v="2"/>
    <x v="6"/>
    <x v="141"/>
    <s v="Manager who explains what is expected, sets a goal and helps achieve it"/>
    <x v="8"/>
  </r>
  <r>
    <d v="2023-04-08T09:02:11"/>
    <s v="India"/>
    <n v="580023"/>
    <x v="0"/>
    <x v="0"/>
    <s v="Yes, I will earn and do that"/>
    <s v="This will be hard to do, but if it is the right company I would try"/>
    <s v="No"/>
    <s v="Will NOT work for them"/>
    <n v="1"/>
    <x v="1"/>
    <x v="1"/>
    <x v="17"/>
    <x v="110"/>
    <s v="Manager who explains what is expected, sets a goal and helps achieve it"/>
    <x v="1"/>
  </r>
  <r>
    <d v="2023-04-08T09:07:13"/>
    <s v="India"/>
    <n v="515211"/>
    <x v="0"/>
    <x v="2"/>
    <s v="No I would not be pursuing Higher Education outside of India"/>
    <s v="Will work for 3 years or more"/>
    <s v="No"/>
    <s v="Will work for them"/>
    <n v="7"/>
    <x v="3"/>
    <x v="2"/>
    <x v="20"/>
    <x v="373"/>
    <s v="Manager who sets targets and expects me to achieve it"/>
    <x v="1"/>
  </r>
  <r>
    <d v="2023-04-08T09:44:44"/>
    <s v="Others"/>
    <n v="75400"/>
    <x v="1"/>
    <x v="3"/>
    <s v="Yes, I will earn and do that"/>
    <s v="Will work for 3 years or more"/>
    <s v="Yes"/>
    <s v="Will work for them"/>
    <n v="6"/>
    <x v="5"/>
    <x v="2"/>
    <x v="18"/>
    <x v="343"/>
    <s v="Manager who explains what is expected, sets a goal and helps achieve it"/>
    <x v="3"/>
  </r>
  <r>
    <d v="2023-04-08T10:00:01"/>
    <s v="India"/>
    <n v="134109"/>
    <x v="0"/>
    <x v="2"/>
    <s v="No, But if someone could bare the cost I will"/>
    <s v="This will be hard to do, but if it is the right company I would try"/>
    <s v="No"/>
    <s v="Will NOT work for them"/>
    <n v="7"/>
    <x v="6"/>
    <x v="1"/>
    <x v="6"/>
    <x v="110"/>
    <s v="Manager who explains what is expected, sets a goal and helps achieve it"/>
    <x v="1"/>
  </r>
  <r>
    <d v="2023-04-08T10:00:05"/>
    <s v="India"/>
    <n v="517501"/>
    <x v="1"/>
    <x v="3"/>
    <s v="Yes, I will earn and do that"/>
    <s v="This will be hard to do, but if it is the right company I would try"/>
    <s v="Yes"/>
    <s v="Will NOT work for them"/>
    <n v="3"/>
    <x v="6"/>
    <x v="1"/>
    <x v="6"/>
    <x v="142"/>
    <s v="Manager who explains what is expected, sets a goal and helps achieve it"/>
    <x v="5"/>
  </r>
  <r>
    <d v="2023-04-08T10:04:27"/>
    <s v="India"/>
    <n v="600036"/>
    <x v="0"/>
    <x v="2"/>
    <s v="No, But if someone could bare the cost I will"/>
    <s v="Will work for 3 years or more"/>
    <s v="No"/>
    <s v="Will NOT work for them"/>
    <n v="8"/>
    <x v="5"/>
    <x v="1"/>
    <x v="8"/>
    <x v="171"/>
    <s v="Manager who explains what is expected, sets a goal and helps achieve it"/>
    <x v="3"/>
  </r>
  <r>
    <d v="2023-04-08T10:19:10"/>
    <s v="India"/>
    <n v="751007"/>
    <x v="0"/>
    <x v="4"/>
    <s v="Yes, I will earn and do that"/>
    <s v="This will be hard to do, but if it is the right company I would try"/>
    <s v="No"/>
    <s v="Will NOT work for them"/>
    <n v="7"/>
    <x v="1"/>
    <x v="1"/>
    <x v="11"/>
    <x v="188"/>
    <s v="Manager who clearly describes what she/he needs"/>
    <x v="4"/>
  </r>
  <r>
    <d v="2023-04-08T10:32:54"/>
    <s v="India"/>
    <n v="700091"/>
    <x v="1"/>
    <x v="2"/>
    <s v="No I would not be pursuing Higher Education outside of India"/>
    <s v="Will work for 3 years or more"/>
    <s v="No"/>
    <s v="Will NOT work for them"/>
    <n v="7"/>
    <x v="6"/>
    <x v="1"/>
    <x v="11"/>
    <x v="368"/>
    <s v="Manager who explains what is expected, sets a goal and helps achieve it"/>
    <x v="2"/>
  </r>
  <r>
    <d v="2023-04-08T10:33:08"/>
    <s v="India"/>
    <n v="600015"/>
    <x v="0"/>
    <x v="2"/>
    <s v="Yes, I will earn and do that"/>
    <s v="This will be hard to do, but if it is the right company I would try"/>
    <s v="Yes"/>
    <s v="Will work for them"/>
    <n v="7"/>
    <x v="6"/>
    <x v="2"/>
    <x v="11"/>
    <x v="374"/>
    <s v="Manager who explains what is expected, sets a goal and helps achieve it"/>
    <x v="8"/>
  </r>
  <r>
    <d v="2023-04-08T10:54:05"/>
    <s v="India"/>
    <n v="530051"/>
    <x v="1"/>
    <x v="0"/>
    <s v="No I would not be pursuing Higher Education outside of India"/>
    <s v="This will be hard to do, but if it is the right company I would try"/>
    <s v="No"/>
    <s v="Will NOT work for them"/>
    <n v="9"/>
    <x v="1"/>
    <x v="1"/>
    <x v="13"/>
    <x v="375"/>
    <s v="Manager who clearly describes what she/he needs"/>
    <x v="20"/>
  </r>
  <r>
    <d v="2023-04-08T11:12:42"/>
    <s v="India"/>
    <n v="600095"/>
    <x v="0"/>
    <x v="0"/>
    <s v="No I would not be pursuing Higher Education outside of India"/>
    <s v="Will work for 3 years or more"/>
    <s v="No"/>
    <s v="Will NOT work for them"/>
    <n v="7"/>
    <x v="3"/>
    <x v="2"/>
    <x v="9"/>
    <x v="180"/>
    <s v="Manager who clearly describes what she/he needs"/>
    <x v="14"/>
  </r>
  <r>
    <d v="2023-04-08T11:15:25"/>
    <s v="India"/>
    <n v="442902"/>
    <x v="1"/>
    <x v="0"/>
    <s v="No, But if someone could bare the cost I will"/>
    <s v="This will be hard to do, but if it is the right company I would try"/>
    <s v="Yes"/>
    <s v="Will NOT work for them"/>
    <n v="10"/>
    <x v="3"/>
    <x v="2"/>
    <x v="9"/>
    <x v="376"/>
    <s v="Manager who sets goal and helps me achieve it"/>
    <x v="3"/>
  </r>
  <r>
    <d v="2023-04-08T11:37:32"/>
    <s v="India"/>
    <n v="500060"/>
    <x v="0"/>
    <x v="0"/>
    <s v="No, But if someone could bare the cost I will"/>
    <s v="This will be hard to do, but if it is the right company I would try"/>
    <s v="No"/>
    <s v="Will NOT work for them"/>
    <n v="4"/>
    <x v="6"/>
    <x v="1"/>
    <x v="15"/>
    <x v="110"/>
    <s v="Manager who explains what is expected, sets a goal and helps achieve it"/>
    <x v="1"/>
  </r>
  <r>
    <d v="2023-04-08T11:41:41"/>
    <s v="India"/>
    <n v="522202"/>
    <x v="0"/>
    <x v="4"/>
    <s v="Yes, I will earn and do that"/>
    <s v="This will be hard to do, but if it is the right company I would try"/>
    <s v="No"/>
    <s v="Will NOT work for them"/>
    <n v="5"/>
    <x v="6"/>
    <x v="1"/>
    <x v="17"/>
    <x v="132"/>
    <s v="Manager who sets goal and helps me achieve it"/>
    <x v="2"/>
  </r>
  <r>
    <d v="2023-04-08T11:50:10"/>
    <s v="India"/>
    <n v="110058"/>
    <x v="0"/>
    <x v="4"/>
    <s v="Yes, I will earn and do that"/>
    <s v="Will work for 3 years or more"/>
    <s v="No"/>
    <s v="Will NOT work for them"/>
    <n v="5"/>
    <x v="5"/>
    <x v="1"/>
    <x v="11"/>
    <x v="320"/>
    <s v="Manager who explains what is expected, sets a goal and helps achieve it"/>
    <x v="1"/>
  </r>
  <r>
    <d v="2023-04-08T12:01:35"/>
    <s v="India"/>
    <n v="110089"/>
    <x v="1"/>
    <x v="4"/>
    <s v="No I would not be pursuing Higher Education outside of India"/>
    <s v="Will work for 3 years or more"/>
    <s v="No"/>
    <s v="Will NOT work for them"/>
    <n v="9"/>
    <x v="3"/>
    <x v="1"/>
    <x v="8"/>
    <x v="164"/>
    <s v="Manager who explains what is expected, sets a goal and helps achieve it"/>
    <x v="11"/>
  </r>
  <r>
    <d v="2023-04-08T12:11:00"/>
    <s v="India"/>
    <n v="600117"/>
    <x v="0"/>
    <x v="3"/>
    <s v="Yes, I will earn and do that"/>
    <s v="This will be hard to do, but if it is the right company I would try"/>
    <s v="No"/>
    <s v="Will NOT work for them"/>
    <n v="3"/>
    <x v="5"/>
    <x v="0"/>
    <x v="11"/>
    <x v="161"/>
    <s v="Manager who sets goal and helps me achieve it"/>
    <x v="3"/>
  </r>
  <r>
    <d v="2023-04-08T12:15:29"/>
    <s v="India"/>
    <n v="600042"/>
    <x v="0"/>
    <x v="4"/>
    <s v="Yes, I will earn and do that"/>
    <s v="This will be hard to do, but if it is the right company I would try"/>
    <s v="No"/>
    <s v="Will NOT work for them"/>
    <n v="6"/>
    <x v="3"/>
    <x v="1"/>
    <x v="19"/>
    <x v="207"/>
    <s v="Manager who sets goal and helps me achieve it"/>
    <x v="3"/>
  </r>
  <r>
    <d v="2023-04-08T12:24:36"/>
    <s v="India"/>
    <n v="753010"/>
    <x v="0"/>
    <x v="3"/>
    <s v="No I would not be pursuing Higher Education outside of India"/>
    <s v="This will be hard to do, but if it is the right company I would try"/>
    <s v="No"/>
    <s v="Will NOT work for them"/>
    <n v="2"/>
    <x v="6"/>
    <x v="1"/>
    <x v="9"/>
    <x v="141"/>
    <s v="Manager who sets targets and expects me to achieve it"/>
    <x v="3"/>
  </r>
  <r>
    <d v="2023-04-08T12:35:02"/>
    <s v="India"/>
    <n v="600100"/>
    <x v="0"/>
    <x v="3"/>
    <s v="No, But if someone could bare the cost I will"/>
    <s v="This will be hard to do, but if it is the right company I would try"/>
    <s v="No"/>
    <s v="Will work for them"/>
    <n v="4"/>
    <x v="1"/>
    <x v="2"/>
    <x v="7"/>
    <x v="377"/>
    <s v="Manager who explains what is expected, sets a goal and helps achieve it"/>
    <x v="3"/>
  </r>
  <r>
    <d v="2023-04-08T12:43:17"/>
    <s v="India"/>
    <n v="560034"/>
    <x v="0"/>
    <x v="0"/>
    <s v="No, But if someone could bare the cost I will"/>
    <s v="This will be hard to do, but if it is the right company I would try"/>
    <s v="No"/>
    <s v="Will NOT work for them"/>
    <n v="7"/>
    <x v="6"/>
    <x v="1"/>
    <x v="21"/>
    <x v="266"/>
    <s v="Manager who explains what is expected, sets a goal and helps achieve it"/>
    <x v="3"/>
  </r>
  <r>
    <d v="2023-04-08T13:03:59"/>
    <s v="India"/>
    <n v="410203"/>
    <x v="0"/>
    <x v="1"/>
    <s v="Yes, I will earn and do that"/>
    <s v="Will work for 3 years or more"/>
    <s v="No"/>
    <s v="Will NOT work for them"/>
    <n v="5"/>
    <x v="1"/>
    <x v="1"/>
    <x v="11"/>
    <x v="111"/>
    <s v="Manager who explains what is expected, sets a goal and helps achieve it"/>
    <x v="1"/>
  </r>
  <r>
    <d v="2023-04-08T13:17:57"/>
    <s v="India"/>
    <n v="152025"/>
    <x v="1"/>
    <x v="2"/>
    <s v="Yes, I will earn and do that"/>
    <s v="This will be hard to do, but if it is the right company I would try"/>
    <s v="No"/>
    <s v="Will NOT work for them"/>
    <n v="3"/>
    <x v="1"/>
    <x v="1"/>
    <x v="9"/>
    <x v="200"/>
    <s v="Manager who explains what is expected, sets a goal and helps achieve it"/>
    <x v="4"/>
  </r>
  <r>
    <d v="2023-04-08T13:19:32"/>
    <s v="India"/>
    <n v="400018"/>
    <x v="0"/>
    <x v="2"/>
    <s v="No I would not be pursuing Higher Education outside of India"/>
    <s v="Will work for 3 years or more"/>
    <s v="Yes"/>
    <s v="Will NOT work for them"/>
    <n v="6"/>
    <x v="1"/>
    <x v="1"/>
    <x v="9"/>
    <x v="378"/>
    <s v="Manager who explains what is expected, sets a goal and helps achieve it"/>
    <x v="0"/>
  </r>
  <r>
    <d v="2023-04-08T13:50:40"/>
    <s v="India"/>
    <n v="560050"/>
    <x v="0"/>
    <x v="2"/>
    <s v="Yes, I will earn and do that"/>
    <s v="This will be hard to do, but if it is the right company I would try"/>
    <s v="No"/>
    <s v="Will NOT work for them"/>
    <n v="4"/>
    <x v="3"/>
    <x v="1"/>
    <x v="10"/>
    <x v="379"/>
    <s v="Manager who sets targets and expects me to achieve it"/>
    <x v="1"/>
  </r>
  <r>
    <d v="2023-04-08T14:27:20"/>
    <s v="India"/>
    <n v="583104"/>
    <x v="0"/>
    <x v="4"/>
    <s v="No, But if someone could bare the cost I will"/>
    <s v="Will work for 3 years or more"/>
    <s v="No"/>
    <s v="Will NOT work for them"/>
    <n v="8"/>
    <x v="1"/>
    <x v="1"/>
    <x v="14"/>
    <x v="263"/>
    <s v="Manager who explains what is expected, sets a goal and helps achieve it"/>
    <x v="1"/>
  </r>
  <r>
    <d v="2023-04-08T14:50:30"/>
    <s v="Others"/>
    <n v="92"/>
    <x v="0"/>
    <x v="0"/>
    <s v="Yes, I will earn and do that"/>
    <s v="No way"/>
    <s v="No"/>
    <s v="Will NOT work for them"/>
    <n v="2"/>
    <x v="1"/>
    <x v="0"/>
    <x v="13"/>
    <x v="380"/>
    <s v="Manager who sets targets and expects me to achieve it"/>
    <x v="3"/>
  </r>
  <r>
    <d v="2023-04-08T14:52:07"/>
    <s v="India"/>
    <n v="571201"/>
    <x v="0"/>
    <x v="0"/>
    <s v="Yes, I will earn and do that"/>
    <s v="Will work for 3 years or more"/>
    <s v="No"/>
    <s v="Will work for them"/>
    <n v="1"/>
    <x v="3"/>
    <x v="1"/>
    <x v="13"/>
    <x v="381"/>
    <s v="Manager who explains what is expected, sets a goal and helps achieve it"/>
    <x v="7"/>
  </r>
  <r>
    <d v="2023-04-08T15:06:56"/>
    <s v="India"/>
    <n v="641007"/>
    <x v="1"/>
    <x v="3"/>
    <s v="No, But if someone could bare the cost I will"/>
    <s v="This will be hard to do, but if it is the right company I would try"/>
    <s v="Yes"/>
    <s v="Will work for them"/>
    <n v="5"/>
    <x v="6"/>
    <x v="0"/>
    <x v="9"/>
    <x v="382"/>
    <s v="Manager who explains what is expected, sets a goal and helps achieve it"/>
    <x v="1"/>
  </r>
  <r>
    <d v="2023-04-08T15:54:53"/>
    <s v="India"/>
    <n v="121002"/>
    <x v="0"/>
    <x v="0"/>
    <s v="Yes, I will earn and do that"/>
    <s v="This will be hard to do, but if it is the right company I would try"/>
    <s v="Yes"/>
    <s v="Will work for them"/>
    <n v="8"/>
    <x v="5"/>
    <x v="1"/>
    <x v="17"/>
    <x v="113"/>
    <s v="Manager who explains what is expected, sets a goal and helps achieve it"/>
    <x v="16"/>
  </r>
  <r>
    <d v="2023-04-08T17:02:06"/>
    <s v="India"/>
    <n v="600100"/>
    <x v="0"/>
    <x v="3"/>
    <s v="No, But if someone could bare the cost I will"/>
    <s v="This will be hard to do, but if it is the right company I would try"/>
    <s v="Yes"/>
    <s v="Will NOT work for them"/>
    <n v="4"/>
    <x v="6"/>
    <x v="0"/>
    <x v="8"/>
    <x v="131"/>
    <s v="Manager who explains what is expected, sets a goal and helps achieve it"/>
    <x v="1"/>
  </r>
  <r>
    <d v="2023-04-08T17:28:34"/>
    <s v="India"/>
    <n v="600100"/>
    <x v="1"/>
    <x v="1"/>
    <s v="No I would not be pursuing Higher Education outside of India"/>
    <s v="This will be hard to do, but if it is the right company I would try"/>
    <s v="No"/>
    <s v="Will work for them"/>
    <n v="2"/>
    <x v="6"/>
    <x v="2"/>
    <x v="6"/>
    <x v="118"/>
    <s v="Manager who sets goal and helps me achieve it"/>
    <x v="1"/>
  </r>
  <r>
    <d v="2023-04-08T17:29:04"/>
    <s v="United Arab Emirates"/>
    <s v="00000"/>
    <x v="1"/>
    <x v="0"/>
    <s v="Yes, I will earn and do that"/>
    <s v="This will be hard to do, but if it is the right company I would try"/>
    <s v="No"/>
    <s v="Will NOT work for them"/>
    <n v="5"/>
    <x v="3"/>
    <x v="2"/>
    <x v="10"/>
    <x v="166"/>
    <s v="Manager who sets targets and expects me to achieve it"/>
    <x v="7"/>
  </r>
  <r>
    <d v="2023-04-08T17:54:54"/>
    <s v="India"/>
    <n v="623525"/>
    <x v="1"/>
    <x v="4"/>
    <s v="Yes, I will earn and do that"/>
    <s v="Will work for 3 years or more"/>
    <s v="No"/>
    <s v="Will NOT work for them"/>
    <n v="3"/>
    <x v="3"/>
    <x v="2"/>
    <x v="10"/>
    <x v="328"/>
    <s v="Manager who sets targets and expects me to achieve it"/>
    <x v="6"/>
  </r>
  <r>
    <d v="2023-04-08T17:56:15"/>
    <s v="India"/>
    <n v="623525"/>
    <x v="1"/>
    <x v="3"/>
    <s v="No, But if someone could bare the cost I will"/>
    <s v="This will be hard to do, but if it is the right company I would try"/>
    <s v="No"/>
    <s v="Will NOT work for them"/>
    <n v="6"/>
    <x v="3"/>
    <x v="0"/>
    <x v="11"/>
    <x v="284"/>
    <s v="Manager who sets goal and helps me achieve it"/>
    <x v="3"/>
  </r>
  <r>
    <d v="2023-04-08T18:09:30"/>
    <s v="India"/>
    <n v="231001"/>
    <x v="0"/>
    <x v="3"/>
    <s v="No I would not be pursuing Higher Education outside of India"/>
    <s v="This will be hard to do, but if it is the right company I would try"/>
    <s v="No"/>
    <s v="Will NOT work for them"/>
    <n v="7"/>
    <x v="0"/>
    <x v="2"/>
    <x v="16"/>
    <x v="114"/>
    <s v="Manager who sets goal and helps me achieve it"/>
    <x v="4"/>
  </r>
  <r>
    <d v="2023-04-08T18:15:43"/>
    <s v="India"/>
    <n v="313001"/>
    <x v="1"/>
    <x v="0"/>
    <s v="No I would not be pursuing Higher Education outside of India"/>
    <s v="Will work for 3 years or more"/>
    <s v="No"/>
    <s v="Will NOT work for them"/>
    <n v="1"/>
    <x v="3"/>
    <x v="1"/>
    <x v="15"/>
    <x v="383"/>
    <s v="Manager who explains what is expected, sets a goal and helps achieve it"/>
    <x v="18"/>
  </r>
  <r>
    <d v="2023-04-08T19:00:45"/>
    <s v="India"/>
    <n v="628901"/>
    <x v="1"/>
    <x v="4"/>
    <s v="Yes, I will earn and do that"/>
    <s v="This will be hard to do, but if it is the right company I would try"/>
    <s v="Yes"/>
    <s v="Will work for them"/>
    <n v="5"/>
    <x v="5"/>
    <x v="0"/>
    <x v="16"/>
    <x v="384"/>
    <s v="Manager who clearly describes what she/he needs"/>
    <x v="3"/>
  </r>
  <r>
    <d v="2023-04-08T20:13:31"/>
    <s v="India"/>
    <n v="600117"/>
    <x v="0"/>
    <x v="0"/>
    <s v="Yes, I will earn and do that"/>
    <s v="Will work for 3 years or more"/>
    <s v="No"/>
    <s v="Will NOT work for them"/>
    <n v="5"/>
    <x v="5"/>
    <x v="0"/>
    <x v="9"/>
    <x v="114"/>
    <s v="Manager who explains what is expected, sets a goal and helps achieve it"/>
    <x v="3"/>
  </r>
  <r>
    <d v="2023-04-08T20:46:47"/>
    <s v="India"/>
    <n v="623525"/>
    <x v="0"/>
    <x v="3"/>
    <s v="No, But if someone could bare the cost I will"/>
    <s v="No way"/>
    <s v="Yes"/>
    <s v="Will work for them"/>
    <n v="3"/>
    <x v="3"/>
    <x v="1"/>
    <x v="9"/>
    <x v="371"/>
    <s v="Manager who sets targets and expects me to achieve it"/>
    <x v="6"/>
  </r>
  <r>
    <d v="2023-04-08T21:01:49"/>
    <s v="India"/>
    <n v="382002"/>
    <x v="0"/>
    <x v="2"/>
    <s v="No, But if someone could bare the cost I will"/>
    <s v="Will work for 3 years or more"/>
    <s v="Yes"/>
    <s v="Will NOT work for them"/>
    <n v="7"/>
    <x v="6"/>
    <x v="1"/>
    <x v="17"/>
    <x v="179"/>
    <s v="Manager who sets goal and helps me achieve it"/>
    <x v="6"/>
  </r>
  <r>
    <d v="2023-04-08T21:04:34"/>
    <s v="Canada"/>
    <s v="K0AK4P"/>
    <x v="1"/>
    <x v="0"/>
    <s v="Yes, I will earn and do that"/>
    <s v="Will work for 3 years or more"/>
    <s v="Yes"/>
    <s v="Will NOT work for them"/>
    <n v="9"/>
    <x v="0"/>
    <x v="1"/>
    <x v="13"/>
    <x v="385"/>
    <s v="Manager who explains what is expected, sets a goal and helps achieve it"/>
    <x v="6"/>
  </r>
  <r>
    <d v="2023-04-08T23:05:16"/>
    <s v="India"/>
    <s v="-"/>
    <x v="1"/>
    <x v="3"/>
    <s v="No I would not be pursuing Higher Education outside of India"/>
    <s v="This will be hard to do, but if it is the right company I would try"/>
    <s v="No"/>
    <s v="Will NOT work for them"/>
    <n v="5"/>
    <x v="6"/>
    <x v="1"/>
    <x v="19"/>
    <x v="101"/>
    <s v="Manager who explains what is expected, sets a goal and helps achieve it"/>
    <x v="3"/>
  </r>
  <r>
    <d v="2023-04-09T02:41:26"/>
    <s v="India"/>
    <n v="431001"/>
    <x v="0"/>
    <x v="3"/>
    <s v="Yes, I will earn and do that"/>
    <s v="This will be hard to do, but if it is the right company I would try"/>
    <s v="Yes"/>
    <s v="Will NOT work for them"/>
    <n v="5"/>
    <x v="1"/>
    <x v="1"/>
    <x v="11"/>
    <x v="174"/>
    <s v="Manager who explains what is expected, sets a goal and helps achieve it"/>
    <x v="1"/>
  </r>
  <r>
    <d v="2023-04-09T07:34:30"/>
    <s v="India"/>
    <n v="505327"/>
    <x v="0"/>
    <x v="0"/>
    <s v="Yes, I will earn and do that"/>
    <s v="This will be hard to do, but if it is the right company I would try"/>
    <s v="No"/>
    <s v="Will NOT work for them"/>
    <n v="8"/>
    <x v="6"/>
    <x v="1"/>
    <x v="11"/>
    <x v="197"/>
    <s v="Manager who explains what is expected, sets a goal and helps achieve it"/>
    <x v="1"/>
  </r>
  <r>
    <d v="2023-04-09T09:43:17"/>
    <s v="India"/>
    <n v="410505"/>
    <x v="0"/>
    <x v="3"/>
    <s v="No I would not be pursuing Higher Education outside of India"/>
    <s v="Will work for 3 years or more"/>
    <s v="Yes"/>
    <s v="Will NOT work for them"/>
    <n v="6"/>
    <x v="5"/>
    <x v="1"/>
    <x v="8"/>
    <x v="217"/>
    <s v="Manager who explains what is expected, sets a goal and helps achieve it"/>
    <x v="1"/>
  </r>
  <r>
    <d v="2023-04-09T11:19:27"/>
    <s v="India"/>
    <n v="575013"/>
    <x v="1"/>
    <x v="1"/>
    <s v="Yes, I will earn and do that"/>
    <s v="This will be hard to do, but if it is the right company I would try"/>
    <s v="No"/>
    <s v="Will NOT work for them"/>
    <n v="2"/>
    <x v="1"/>
    <x v="1"/>
    <x v="11"/>
    <x v="188"/>
    <s v="Manager who explains what is expected, sets a goal and helps achieve it"/>
    <x v="2"/>
  </r>
  <r>
    <d v="2023-04-09T14:10:29"/>
    <s v="India"/>
    <n v="442902"/>
    <x v="0"/>
    <x v="4"/>
    <s v="Yes, I will earn and do that"/>
    <s v="No way"/>
    <s v="No"/>
    <s v="Will NOT work for them"/>
    <n v="1"/>
    <x v="1"/>
    <x v="2"/>
    <x v="6"/>
    <x v="223"/>
    <s v="Manager who sets unrealistic targets"/>
    <x v="2"/>
  </r>
  <r>
    <d v="2023-04-09T14:15:56"/>
    <s v="India"/>
    <n v="442902"/>
    <x v="1"/>
    <x v="3"/>
    <s v="No, But if someone could bare the cost I will"/>
    <s v="This will be hard to do, but if it is the right company I would try"/>
    <s v="Yes"/>
    <s v="Will work for them"/>
    <n v="8"/>
    <x v="1"/>
    <x v="3"/>
    <x v="24"/>
    <x v="386"/>
    <s v="Manager who explains what is expected, sets a goal and helps achieve it"/>
    <x v="1"/>
  </r>
  <r>
    <d v="2023-04-09T15:15:11"/>
    <s v="India"/>
    <n v="411902"/>
    <x v="0"/>
    <x v="3"/>
    <s v="No I would not be pursuing Higher Education outside of India"/>
    <s v="No way"/>
    <s v="Yes"/>
    <s v="Will work for them"/>
    <n v="5"/>
    <x v="6"/>
    <x v="1"/>
    <x v="11"/>
    <x v="191"/>
    <s v="Manager who sets goal and helps me achieve it"/>
    <x v="1"/>
  </r>
  <r>
    <d v="2023-04-09T16:35:40"/>
    <s v="India"/>
    <n v="224001"/>
    <x v="0"/>
    <x v="4"/>
    <s v="Yes, I will earn and do that"/>
    <s v="Will work for 3 years or more"/>
    <s v="Yes"/>
    <s v="Will work for them"/>
    <n v="5"/>
    <x v="1"/>
    <x v="1"/>
    <x v="9"/>
    <x v="387"/>
    <s v="Manager who sets goal and helps me achieve it"/>
    <x v="3"/>
  </r>
  <r>
    <d v="2023-04-09T16:37:45"/>
    <s v="India"/>
    <n v="201009"/>
    <x v="1"/>
    <x v="4"/>
    <s v="Yes, I will earn and do that"/>
    <s v="Will work for 3 years or more"/>
    <s v="No"/>
    <s v="Will work for them"/>
    <n v="10"/>
    <x v="3"/>
    <x v="2"/>
    <x v="9"/>
    <x v="174"/>
    <s v="Manager who clearly describes what she/he needs"/>
    <x v="7"/>
  </r>
  <r>
    <d v="2023-04-09T16:38:11"/>
    <s v="India"/>
    <n v="224001"/>
    <x v="1"/>
    <x v="2"/>
    <s v="Yes, I will earn and do that"/>
    <s v="Will work for 3 years or more"/>
    <s v="No"/>
    <s v="Will work for them"/>
    <n v="3"/>
    <x v="3"/>
    <x v="2"/>
    <x v="21"/>
    <x v="200"/>
    <s v="Manager who sets targets and expects me to achieve it"/>
    <x v="2"/>
  </r>
  <r>
    <d v="2023-04-09T16:40:09"/>
    <s v="India"/>
    <n v="122002"/>
    <x v="0"/>
    <x v="4"/>
    <s v="Yes, I will earn and do that"/>
    <s v="This will be hard to do, but if it is the right company I would try"/>
    <s v="No"/>
    <s v="Will NOT work for them"/>
    <n v="3"/>
    <x v="5"/>
    <x v="1"/>
    <x v="9"/>
    <x v="201"/>
    <s v="Manager who explains what is expected, sets a goal and helps achieve it"/>
    <x v="4"/>
  </r>
  <r>
    <d v="2023-04-09T16:42:39"/>
    <s v="India"/>
    <n v="201310"/>
    <x v="0"/>
    <x v="0"/>
    <s v="No, But if someone could bare the cost I will"/>
    <s v="Will work for 3 years or more"/>
    <s v="No"/>
    <s v="Will NOT work for them"/>
    <n v="5"/>
    <x v="1"/>
    <x v="0"/>
    <x v="18"/>
    <x v="388"/>
    <s v="Manager who explains what is expected, sets a goal and helps achieve it"/>
    <x v="4"/>
  </r>
  <r>
    <d v="2023-04-09T17:09:52"/>
    <s v="India"/>
    <n v="110096"/>
    <x v="0"/>
    <x v="2"/>
    <s v="No I would not be pursuing Higher Education outside of India"/>
    <s v="Will work for 3 years or more"/>
    <s v="No"/>
    <s v="Will NOT work for them"/>
    <n v="5"/>
    <x v="6"/>
    <x v="1"/>
    <x v="6"/>
    <x v="316"/>
    <s v="Manager who explains what is expected, sets a goal and helps achieve it"/>
    <x v="2"/>
  </r>
  <r>
    <d v="2023-04-09T17:18:36"/>
    <s v="India"/>
    <n v="421306"/>
    <x v="1"/>
    <x v="4"/>
    <s v="Yes, I will earn and do that"/>
    <s v="This will be hard to do, but if it is the right company I would try"/>
    <s v="No"/>
    <s v="Will NOT work for them"/>
    <n v="8"/>
    <x v="1"/>
    <x v="2"/>
    <x v="9"/>
    <x v="389"/>
    <s v="Manager who explains what is expected, sets a goal and helps achieve it"/>
    <x v="7"/>
  </r>
  <r>
    <d v="2023-04-09T17:27:28"/>
    <s v="India"/>
    <n v="247667"/>
    <x v="0"/>
    <x v="2"/>
    <s v="No I would not be pursuing Higher Education outside of India"/>
    <s v="Will work for 3 years or more"/>
    <s v="No"/>
    <s v="Will work for them"/>
    <n v="1"/>
    <x v="3"/>
    <x v="0"/>
    <x v="6"/>
    <x v="174"/>
    <s v="Manager who sets targets and expects me to achieve it"/>
    <x v="6"/>
  </r>
  <r>
    <d v="2023-04-09T17:52:50"/>
    <s v="India"/>
    <n v="250002"/>
    <x v="0"/>
    <x v="0"/>
    <s v="No, But if someone could bare the cost I will"/>
    <s v="This will be hard to do, but if it is the right company I would try"/>
    <s v="No"/>
    <s v="Will NOT work for them"/>
    <n v="9"/>
    <x v="6"/>
    <x v="1"/>
    <x v="9"/>
    <x v="316"/>
    <s v="Manager who explains what is expected, sets a goal and helps achieve it"/>
    <x v="14"/>
  </r>
  <r>
    <d v="2023-04-09T18:24:30"/>
    <s v="India"/>
    <n v="500032"/>
    <x v="0"/>
    <x v="2"/>
    <s v="Yes, I will earn and do that"/>
    <s v="This will be hard to do, but if it is the right company I would try"/>
    <s v="No"/>
    <s v="Will NOT work for them"/>
    <n v="1"/>
    <x v="5"/>
    <x v="1"/>
    <x v="18"/>
    <x v="390"/>
    <s v="Manager who explains what is expected, sets a goal and helps achieve it"/>
    <x v="3"/>
  </r>
  <r>
    <d v="2023-04-09T19:22:11"/>
    <s v="India"/>
    <n v="600042"/>
    <x v="0"/>
    <x v="0"/>
    <s v="Yes, I will earn and do that"/>
    <s v="This will be hard to do, but if it is the right company I would try"/>
    <s v="Yes"/>
    <s v="Will NOT work for them"/>
    <n v="4"/>
    <x v="6"/>
    <x v="1"/>
    <x v="25"/>
    <x v="391"/>
    <s v="Manager who explains what is expected, sets a goal and helps achieve it"/>
    <x v="2"/>
  </r>
  <r>
    <d v="2023-04-09T19:33:31"/>
    <s v="India"/>
    <n v="250001"/>
    <x v="1"/>
    <x v="4"/>
    <s v="No, But if someone could bare the cost I will"/>
    <s v="Will work for 3 years or more"/>
    <s v="No"/>
    <s v="Will NOT work for them"/>
    <n v="1"/>
    <x v="1"/>
    <x v="2"/>
    <x v="6"/>
    <x v="179"/>
    <s v="Manager who explains what is expected, sets a goal and helps achieve it"/>
    <x v="19"/>
  </r>
  <r>
    <d v="2023-04-09T20:42:30"/>
    <s v="India"/>
    <n v="110059"/>
    <x v="1"/>
    <x v="0"/>
    <s v="No I would not be pursuing Higher Education outside of India"/>
    <s v="This will be hard to do, but if it is the right company I would try"/>
    <s v="No"/>
    <s v="Will NOT work for them"/>
    <n v="3"/>
    <x v="6"/>
    <x v="2"/>
    <x v="17"/>
    <x v="333"/>
    <s v="Manager who explains what is expected, sets a goal and helps achieve it"/>
    <x v="3"/>
  </r>
  <r>
    <d v="2023-04-09T20:45:06"/>
    <s v="India"/>
    <n v="110059"/>
    <x v="1"/>
    <x v="2"/>
    <s v="No, But if someone could bare the cost I will"/>
    <s v="Will work for 3 years or more"/>
    <s v="No"/>
    <s v="Will NOT work for them"/>
    <n v="4"/>
    <x v="1"/>
    <x v="2"/>
    <x v="8"/>
    <x v="392"/>
    <s v="Manager who explains what is expected, sets a goal and helps achieve it"/>
    <x v="3"/>
  </r>
  <r>
    <d v="2023-04-09T22:27:21"/>
    <s v="India"/>
    <n v="122022"/>
    <x v="1"/>
    <x v="3"/>
    <s v="No, But if someone could bare the cost I will"/>
    <s v="This will be hard to do, but if it is the right company I would try"/>
    <s v="No"/>
    <s v="Will NOT work for them"/>
    <n v="3"/>
    <x v="6"/>
    <x v="1"/>
    <x v="6"/>
    <x v="308"/>
    <s v="Manager who explains what is expected, sets a goal and helps achieve it"/>
    <x v="1"/>
  </r>
  <r>
    <d v="2023-04-10T09:49:56"/>
    <s v="India"/>
    <n v="462021"/>
    <x v="1"/>
    <x v="3"/>
    <s v="No, But if someone could bare the cost I will"/>
    <s v="This will be hard to do, but if it is the right company I would try"/>
    <s v="Yes"/>
    <s v="Will work for them"/>
    <n v="5"/>
    <x v="5"/>
    <x v="1"/>
    <x v="18"/>
    <x v="393"/>
    <s v="Manager who explains what is expected, sets a goal and helps achieve it"/>
    <x v="1"/>
  </r>
  <r>
    <d v="2023-04-10T11:23:55"/>
    <s v="India"/>
    <n v="40095"/>
    <x v="0"/>
    <x v="4"/>
    <s v="Yes, I will earn and do that"/>
    <s v="Will work for 3 years or more"/>
    <s v="Yes"/>
    <s v="Will work for them"/>
    <n v="2"/>
    <x v="3"/>
    <x v="4"/>
    <x v="21"/>
    <x v="394"/>
    <s v="Manager who sets unrealistic targets"/>
    <x v="7"/>
  </r>
  <r>
    <d v="2023-04-10T11:42:49"/>
    <s v="India"/>
    <n v="110043"/>
    <x v="0"/>
    <x v="4"/>
    <s v="No, But if someone could bare the cost I will"/>
    <s v="This will be hard to do, but if it is the right company I would try"/>
    <s v="No"/>
    <s v="Will NOT work for them"/>
    <n v="2"/>
    <x v="6"/>
    <x v="1"/>
    <x v="24"/>
    <x v="224"/>
    <s v="Manager who explains what is expected, sets a goal and helps achieve it"/>
    <x v="1"/>
  </r>
  <r>
    <d v="2023-04-10T11:47:20"/>
    <s v="India"/>
    <n v="132001"/>
    <x v="0"/>
    <x v="0"/>
    <s v="Yes, I will earn and do that"/>
    <s v="This will be hard to do, but if it is the right company I would try"/>
    <s v="No"/>
    <s v="Will NOT work for them"/>
    <n v="5"/>
    <x v="1"/>
    <x v="1"/>
    <x v="9"/>
    <x v="188"/>
    <s v="Manager who clearly describes what she/he needs"/>
    <x v="1"/>
  </r>
  <r>
    <d v="2023-04-10T12:03:42"/>
    <s v="India"/>
    <n v="250002"/>
    <x v="0"/>
    <x v="0"/>
    <s v="No I would not be pursuing Higher Education outside of India"/>
    <s v="This will be hard to do, but if it is the right company I would try"/>
    <s v="No"/>
    <s v="Will NOT work for them"/>
    <n v="7"/>
    <x v="3"/>
    <x v="2"/>
    <x v="11"/>
    <x v="261"/>
    <s v="Manager who clearly describes what she/he needs"/>
    <x v="1"/>
  </r>
  <r>
    <d v="2023-04-11T13:19:26"/>
    <s v="India"/>
    <n v="560061"/>
    <x v="1"/>
    <x v="0"/>
    <s v="Yes, I will earn and do that"/>
    <s v="This will be hard to do, but if it is the right company I would try"/>
    <s v="Yes"/>
    <s v="Will NOT work for them"/>
    <n v="5"/>
    <x v="6"/>
    <x v="1"/>
    <x v="18"/>
    <x v="225"/>
    <s v="Manager who explains what is expected, sets a goal and helps achieve it"/>
    <x v="3"/>
  </r>
  <r>
    <d v="2023-04-11T13:31:17"/>
    <s v="Germany"/>
    <n v="10317"/>
    <x v="0"/>
    <x v="1"/>
    <s v="Yes, I will earn and do that"/>
    <s v="Will work for 3 years or more"/>
    <s v="No"/>
    <s v="Will NOT work for them"/>
    <n v="1"/>
    <x v="6"/>
    <x v="1"/>
    <x v="7"/>
    <x v="395"/>
    <s v="Manager who sets goal and helps me achieve it"/>
    <x v="1"/>
  </r>
  <r>
    <d v="2023-04-11T13:36:41"/>
    <s v="India"/>
    <n v="110089"/>
    <x v="1"/>
    <x v="4"/>
    <s v="No I would not be pursuing Higher Education outside of India"/>
    <s v="Will work for 3 years or more"/>
    <s v="No"/>
    <s v="Will NOT work for them"/>
    <n v="7"/>
    <x v="5"/>
    <x v="1"/>
    <x v="8"/>
    <x v="396"/>
    <s v="Manager who explains what is expected, sets a goal and helps achieve it"/>
    <x v="2"/>
  </r>
  <r>
    <d v="2023-04-11T22:42:29"/>
    <s v="India"/>
    <n v="603209"/>
    <x v="0"/>
    <x v="1"/>
    <s v="No I would not be pursuing Higher Education outside of India"/>
    <s v="Will work for 3 years or more"/>
    <s v="Yes"/>
    <s v="Will work for them"/>
    <n v="8"/>
    <x v="0"/>
    <x v="0"/>
    <x v="18"/>
    <x v="197"/>
    <s v="Manager who clearly describes what she/he needs"/>
    <x v="1"/>
  </r>
  <r>
    <d v="2023-04-12T09:23:39"/>
    <s v="India"/>
    <n v="110026"/>
    <x v="0"/>
    <x v="2"/>
    <s v="No, But if someone could bare the cost I will"/>
    <s v="Will work for 3 years or more"/>
    <s v="No"/>
    <s v="Will NOT work for them"/>
    <n v="7"/>
    <x v="3"/>
    <x v="2"/>
    <x v="15"/>
    <x v="140"/>
    <s v="Manager who explains what is expected, sets a goal and helps achieve it"/>
    <x v="3"/>
  </r>
  <r>
    <d v="2023-04-13T15:22:43"/>
    <s v="India"/>
    <n v="507002"/>
    <x v="0"/>
    <x v="4"/>
    <s v="No I would not be pursuing Higher Education outside of India"/>
    <s v="This will be hard to do, but if it is the right company I would try"/>
    <s v="No"/>
    <s v="Will NOT work for them"/>
    <n v="7"/>
    <x v="1"/>
    <x v="0"/>
    <x v="14"/>
    <x v="240"/>
    <s v="Manager who sets goal and helps me achieve it"/>
    <x v="1"/>
  </r>
  <r>
    <d v="2023-04-14T10:21:47"/>
    <s v="Others"/>
    <n v="6054"/>
    <x v="0"/>
    <x v="0"/>
    <s v="Yes, I will earn and do that"/>
    <s v="Will work for 3 years or more"/>
    <s v="No"/>
    <s v="Will NOT work for them"/>
    <n v="1"/>
    <x v="3"/>
    <x v="1"/>
    <x v="7"/>
    <x v="147"/>
    <s v="Manager who explains what is expected, sets a goal and helps achieve it"/>
    <x v="0"/>
  </r>
  <r>
    <d v="2023-04-17T16:05:51"/>
    <s v="India"/>
    <n v="110089"/>
    <x v="0"/>
    <x v="0"/>
    <s v="No, But if someone could bare the cost I will"/>
    <s v="Will work for 3 years or more"/>
    <s v="No"/>
    <s v="Will NOT work for them"/>
    <n v="1"/>
    <x v="1"/>
    <x v="1"/>
    <x v="17"/>
    <x v="397"/>
    <s v="Manager who explains what is expected, sets a goal and helps achieve it"/>
    <x v="7"/>
  </r>
  <r>
    <d v="2023-04-17T17:49:34"/>
    <s v="India"/>
    <n v="440008"/>
    <x v="0"/>
    <x v="0"/>
    <s v="Yes, I will earn and do that"/>
    <s v="This will be hard to do, but if it is the right company I would try"/>
    <s v="No"/>
    <s v="Will NOT work for them"/>
    <n v="5"/>
    <x v="6"/>
    <x v="1"/>
    <x v="6"/>
    <x v="125"/>
    <s v="Manager who sets goal and helps me achieve it"/>
    <x v="1"/>
  </r>
  <r>
    <d v="2023-04-17T17:54:17"/>
    <s v="India"/>
    <n v="441207"/>
    <x v="1"/>
    <x v="4"/>
    <s v="Yes, I will earn and do that"/>
    <s v="This will be hard to do, but if it is the right company I would try"/>
    <s v="No"/>
    <s v="Will NOT work for them"/>
    <n v="6"/>
    <x v="5"/>
    <x v="2"/>
    <x v="9"/>
    <x v="306"/>
    <s v="Manager who clearly describes what she/he needs"/>
    <x v="3"/>
  </r>
  <r>
    <d v="2023-04-23T12:23:22"/>
    <s v="India"/>
    <n v="301001"/>
    <x v="0"/>
    <x v="4"/>
    <s v="Yes, I will earn and do that"/>
    <s v="This will be hard to do, but if it is the right company I would try"/>
    <s v="No"/>
    <s v="Will NOT work for them"/>
    <n v="7"/>
    <x v="6"/>
    <x v="1"/>
    <x v="17"/>
    <x v="224"/>
    <s v="Manager who explains what is expected, sets a goal and helps achieve it"/>
    <x v="1"/>
  </r>
  <r>
    <d v="2023-04-27T20:55:47"/>
    <s v="India"/>
    <n v="431203"/>
    <x v="0"/>
    <x v="2"/>
    <s v="Yes, I will earn and do that"/>
    <s v="This will be hard to do, but if it is the right company I would try"/>
    <s v="No"/>
    <s v="Will NOT work for them"/>
    <n v="7"/>
    <x v="6"/>
    <x v="1"/>
    <x v="17"/>
    <x v="398"/>
    <s v="Manager who explains what is expected, sets a goal and helps achieve it"/>
    <x v="7"/>
  </r>
  <r>
    <d v="2023-04-27T21:03:12"/>
    <s v="India"/>
    <n v="411047"/>
    <x v="0"/>
    <x v="2"/>
    <s v="No, But if someone could bare the cost I will"/>
    <s v="This will be hard to do, but if it is the right company I would try"/>
    <s v="No"/>
    <s v="Will NOT work for them"/>
    <n v="4"/>
    <x v="1"/>
    <x v="1"/>
    <x v="8"/>
    <x v="399"/>
    <s v="Manager who explains what is expected, sets a goal and helps achieve it"/>
    <x v="11"/>
  </r>
  <r>
    <d v="2023-04-27T21:04:00"/>
    <s v="India"/>
    <n v="641035"/>
    <x v="0"/>
    <x v="4"/>
    <s v="Yes, I will earn and do that"/>
    <s v="Will work for 3 years or more"/>
    <s v="Yes"/>
    <s v="Will work for them"/>
    <n v="6"/>
    <x v="5"/>
    <x v="2"/>
    <x v="17"/>
    <x v="302"/>
    <s v="Manager who sets goal and helps me achieve it"/>
    <x v="1"/>
  </r>
  <r>
    <d v="2023-04-27T21:05:08"/>
    <s v="India"/>
    <n v="431133"/>
    <x v="0"/>
    <x v="2"/>
    <s v="No, But if someone could bare the cost I will"/>
    <s v="This will be hard to do, but if it is the right company I would try"/>
    <s v="No"/>
    <s v="Will NOT work for them"/>
    <n v="5"/>
    <x v="6"/>
    <x v="0"/>
    <x v="6"/>
    <x v="125"/>
    <s v="Manager who sets goal and helps me achieve it"/>
    <x v="3"/>
  </r>
  <r>
    <d v="2023-04-27T21:05:43"/>
    <s v="India"/>
    <n v="425001"/>
    <x v="0"/>
    <x v="1"/>
    <s v="Yes, I will earn and do that"/>
    <s v="This will be hard to do, but if it is the right company I would try"/>
    <s v="No"/>
    <s v="Will work for them"/>
    <n v="8"/>
    <x v="6"/>
    <x v="1"/>
    <x v="19"/>
    <x v="400"/>
    <s v="Manager who sets goal and helps me achieve it"/>
    <x v="12"/>
  </r>
  <r>
    <d v="2023-04-27T21:06:16"/>
    <s v="India"/>
    <n v="560075"/>
    <x v="1"/>
    <x v="0"/>
    <s v="No I would not be pursuing Higher Education outside of India"/>
    <s v="This will be hard to do, but if it is the right company I would try"/>
    <s v="No"/>
    <s v="Will NOT work for them"/>
    <n v="8"/>
    <x v="6"/>
    <x v="1"/>
    <x v="17"/>
    <x v="111"/>
    <s v="Manager who explains what is expected, sets a goal and helps achieve it"/>
    <x v="4"/>
  </r>
  <r>
    <d v="2023-04-27T21:06:39"/>
    <s v="India"/>
    <n v="226201"/>
    <x v="0"/>
    <x v="0"/>
    <s v="Yes, I will earn and do that"/>
    <s v="This will be hard to do, but if it is the right company I would try"/>
    <s v="No"/>
    <s v="Will NOT work for them"/>
    <n v="6"/>
    <x v="6"/>
    <x v="1"/>
    <x v="12"/>
    <x v="401"/>
    <s v="Manager who explains what is expected, sets a goal and helps achieve it"/>
    <x v="1"/>
  </r>
  <r>
    <d v="2023-04-27T21:07:05"/>
    <s v="India"/>
    <n v="570003"/>
    <x v="0"/>
    <x v="0"/>
    <s v="No I would not be pursuing Higher Education outside of India"/>
    <s v="This will be hard to do, but if it is the right company I would try"/>
    <s v="No"/>
    <s v="Will NOT work for them"/>
    <n v="5"/>
    <x v="6"/>
    <x v="0"/>
    <x v="15"/>
    <x v="124"/>
    <s v="Manager who explains what is expected, sets a goal and helps achieve it"/>
    <x v="2"/>
  </r>
  <r>
    <d v="2023-04-27T21:07:39"/>
    <s v="India"/>
    <n v="201002"/>
    <x v="0"/>
    <x v="1"/>
    <s v="Yes, I will earn and do that"/>
    <s v="This will be hard to do, but if it is the right company I would try"/>
    <s v="No"/>
    <s v="Will NOT work for them"/>
    <n v="8"/>
    <x v="0"/>
    <x v="1"/>
    <x v="7"/>
    <x v="323"/>
    <s v="Manager who explains what is expected, sets a goal and helps achieve it"/>
    <x v="1"/>
  </r>
  <r>
    <d v="2023-04-27T21:08:59"/>
    <s v="India"/>
    <n v="411041"/>
    <x v="0"/>
    <x v="2"/>
    <s v="Yes, I will earn and do that"/>
    <s v="Will work for 3 years or more"/>
    <s v="No"/>
    <s v="Will NOT work for them"/>
    <n v="7"/>
    <x v="5"/>
    <x v="0"/>
    <x v="7"/>
    <x v="348"/>
    <s v="Manager who explains what is expected, sets a goal and helps achieve it"/>
    <x v="7"/>
  </r>
  <r>
    <d v="2023-04-27T21:09:34"/>
    <s v="India"/>
    <n v="211002"/>
    <x v="1"/>
    <x v="3"/>
    <s v="No I would not be pursuing Higher Education outside of India"/>
    <s v="Will work for 3 years or more"/>
    <s v="No"/>
    <s v="Will NOT work for them"/>
    <n v="4"/>
    <x v="6"/>
    <x v="1"/>
    <x v="6"/>
    <x v="174"/>
    <s v="Manager who explains what is expected, sets a goal and helps achieve it"/>
    <x v="12"/>
  </r>
  <r>
    <d v="2023-04-27T21:10:20"/>
    <s v="India"/>
    <n v="201204"/>
    <x v="1"/>
    <x v="4"/>
    <s v="Yes, I will earn and do that"/>
    <s v="This will be hard to do, but if it is the right company I would try"/>
    <s v="Yes"/>
    <s v="Will NOT work for them"/>
    <n v="8"/>
    <x v="6"/>
    <x v="1"/>
    <x v="8"/>
    <x v="348"/>
    <s v="Manager who explains what is expected, sets a goal and helps achieve it"/>
    <x v="2"/>
  </r>
  <r>
    <d v="2023-04-27T21:12:07"/>
    <s v="India"/>
    <n v="503001"/>
    <x v="0"/>
    <x v="3"/>
    <s v="No I would not be pursuing Higher Education outside of India"/>
    <s v="This will be hard to do, but if it is the right company I would try"/>
    <s v="Yes"/>
    <s v="Will work for them"/>
    <n v="4"/>
    <x v="6"/>
    <x v="1"/>
    <x v="6"/>
    <x v="125"/>
    <s v="Manager who explains what is expected, sets a goal and helps achieve it"/>
    <x v="3"/>
  </r>
  <r>
    <d v="2023-04-27T21:12:16"/>
    <s v="India"/>
    <n v="453441"/>
    <x v="1"/>
    <x v="0"/>
    <s v="Yes, I will earn and do that"/>
    <s v="Will work for 3 years or more"/>
    <s v="No"/>
    <s v="Will NOT work for them"/>
    <n v="2"/>
    <x v="1"/>
    <x v="0"/>
    <x v="8"/>
    <x v="239"/>
    <s v="Manager who explains what is expected, sets a goal and helps achieve it"/>
    <x v="2"/>
  </r>
  <r>
    <d v="2023-04-27T21:12:27"/>
    <s v="India"/>
    <n v="761001"/>
    <x v="0"/>
    <x v="2"/>
    <s v="No I would not be pursuing Higher Education outside of India"/>
    <s v="Will work for 3 years or more"/>
    <s v="No"/>
    <s v="Will NOT work for them"/>
    <n v="7"/>
    <x v="6"/>
    <x v="1"/>
    <x v="17"/>
    <x v="201"/>
    <s v="Manager who explains what is expected, sets a goal and helps achieve it"/>
    <x v="3"/>
  </r>
  <r>
    <d v="2023-04-27T21:12:38"/>
    <s v="India"/>
    <n v="440030"/>
    <x v="0"/>
    <x v="3"/>
    <s v="Yes, I will earn and do that"/>
    <s v="This will be hard to do, but if it is the right company I would try"/>
    <s v="No"/>
    <s v="Will NOT work for them"/>
    <n v="5"/>
    <x v="6"/>
    <x v="1"/>
    <x v="6"/>
    <x v="402"/>
    <s v="Manager who explains what is expected, sets a goal and helps achieve it"/>
    <x v="1"/>
  </r>
  <r>
    <d v="2023-04-27T21:13:10"/>
    <s v="India"/>
    <n v="500068"/>
    <x v="0"/>
    <x v="3"/>
    <s v="Yes, I will earn and do that"/>
    <s v="Will work for 3 years or more"/>
    <s v="No"/>
    <s v="Will NOT work for them"/>
    <n v="2"/>
    <x v="6"/>
    <x v="1"/>
    <x v="6"/>
    <x v="403"/>
    <s v="Manager who explains what is expected, sets a goal and helps achieve it"/>
    <x v="3"/>
  </r>
  <r>
    <d v="2023-04-27T21:13:33"/>
    <s v="India"/>
    <n v="500072"/>
    <x v="1"/>
    <x v="0"/>
    <s v="No, But if someone could bare the cost I will"/>
    <s v="Will work for 3 years or more"/>
    <s v="Yes"/>
    <s v="Will work for them"/>
    <n v="10"/>
    <x v="1"/>
    <x v="1"/>
    <x v="7"/>
    <x v="95"/>
    <s v="Manager who explains what is expected, sets a goal and helps achieve it"/>
    <x v="11"/>
  </r>
  <r>
    <d v="2023-04-27T21:13:59"/>
    <s v="India"/>
    <n v="509216"/>
    <x v="0"/>
    <x v="3"/>
    <s v="Yes, I will earn and do that"/>
    <s v="Will work for 3 years or more"/>
    <s v="No"/>
    <s v="Will NOT work for them"/>
    <n v="5"/>
    <x v="6"/>
    <x v="1"/>
    <x v="9"/>
    <x v="400"/>
    <s v="Manager who sets goal and helps me achieve it"/>
    <x v="1"/>
  </r>
  <r>
    <d v="2023-04-27T21:17:22"/>
    <s v="India"/>
    <n v="781012"/>
    <x v="1"/>
    <x v="3"/>
    <s v="Yes, I will earn and do that"/>
    <s v="This will be hard to do, but if it is the right company I would try"/>
    <s v="No"/>
    <s v="Will NOT work for them"/>
    <n v="3"/>
    <x v="1"/>
    <x v="1"/>
    <x v="7"/>
    <x v="174"/>
    <s v="Manager who explains what is expected, sets a goal and helps achieve it"/>
    <x v="3"/>
  </r>
  <r>
    <d v="2023-04-27T21:18:01"/>
    <s v="India"/>
    <n v="560036"/>
    <x v="1"/>
    <x v="3"/>
    <s v="No I would not be pursuing Higher Education outside of India"/>
    <s v="Will work for 3 years or more"/>
    <s v="No"/>
    <s v="Will NOT work for them"/>
    <n v="2"/>
    <x v="5"/>
    <x v="1"/>
    <x v="18"/>
    <x v="238"/>
    <s v="Manager who explains what is expected, sets a goal and helps achieve it"/>
    <x v="5"/>
  </r>
  <r>
    <d v="2023-04-27T21:18:31"/>
    <s v="India"/>
    <n v="500077"/>
    <x v="1"/>
    <x v="2"/>
    <s v="Yes, I will earn and do that"/>
    <s v="Will work for 3 years or more"/>
    <s v="No"/>
    <s v="Will NOT work for them"/>
    <n v="7"/>
    <x v="5"/>
    <x v="1"/>
    <x v="8"/>
    <x v="109"/>
    <s v="Manager who explains what is expected, sets a goal and helps achieve it"/>
    <x v="1"/>
  </r>
  <r>
    <d v="2023-04-27T21:20:55"/>
    <s v="India"/>
    <n v="364710"/>
    <x v="1"/>
    <x v="4"/>
    <s v="No I would not be pursuing Higher Education outside of India"/>
    <s v="This will be hard to do, but if it is the right company I would try"/>
    <s v="No"/>
    <s v="Will NOT work for them"/>
    <n v="4"/>
    <x v="6"/>
    <x v="2"/>
    <x v="9"/>
    <x v="239"/>
    <s v="Manager who explains what is expected, sets a goal and helps achieve it"/>
    <x v="3"/>
  </r>
  <r>
    <d v="2023-04-27T21:21:20"/>
    <s v="India"/>
    <n v="201306"/>
    <x v="1"/>
    <x v="2"/>
    <s v="No I would not be pursuing Higher Education outside of India"/>
    <s v="Will work for 3 years or more"/>
    <s v="No"/>
    <s v="Will NOT work for them"/>
    <n v="8"/>
    <x v="3"/>
    <x v="2"/>
    <x v="9"/>
    <x v="111"/>
    <s v="Manager who explains what is expected, sets a goal and helps achieve it"/>
    <x v="3"/>
  </r>
  <r>
    <d v="2023-04-27T21:21:38"/>
    <s v="India"/>
    <n v="500005"/>
    <x v="1"/>
    <x v="2"/>
    <s v="No, But if someone could bare the cost I will"/>
    <s v="This will be hard to do, but if it is the right company I would try"/>
    <s v="Yes"/>
    <s v="Will NOT work for them"/>
    <n v="7"/>
    <x v="3"/>
    <x v="1"/>
    <x v="19"/>
    <x v="286"/>
    <s v="Manager who sets goal and helps me achieve it"/>
    <x v="5"/>
  </r>
  <r>
    <d v="2023-04-27T21:23:38"/>
    <s v="India"/>
    <n v="250002"/>
    <x v="0"/>
    <x v="0"/>
    <s v="Yes, I will earn and do that"/>
    <s v="This will be hard to do, but if it is the right company I would try"/>
    <s v="No"/>
    <s v="Will NOT work for them"/>
    <n v="2"/>
    <x v="1"/>
    <x v="1"/>
    <x v="6"/>
    <x v="174"/>
    <s v="Manager who explains what is expected, sets a goal and helps achieve it"/>
    <x v="1"/>
  </r>
  <r>
    <d v="2023-04-27T21:24:10"/>
    <s v="India"/>
    <n v="400709"/>
    <x v="0"/>
    <x v="3"/>
    <s v="Yes, I will earn and do that"/>
    <s v="No way"/>
    <s v="No"/>
    <s v="Will NOT work for them"/>
    <n v="2"/>
    <x v="3"/>
    <x v="1"/>
    <x v="6"/>
    <x v="404"/>
    <s v="Manager who explains what is expected, sets a goal and helps achieve it"/>
    <x v="19"/>
  </r>
  <r>
    <d v="2023-04-27T21:24:55"/>
    <s v="India"/>
    <n v="492001"/>
    <x v="0"/>
    <x v="0"/>
    <s v="No I would not be pursuing Higher Education outside of India"/>
    <s v="This will be hard to do, but if it is the right company I would try"/>
    <s v="No"/>
    <s v="Will NOT work for them"/>
    <n v="7"/>
    <x v="1"/>
    <x v="1"/>
    <x v="19"/>
    <x v="110"/>
    <s v="Manager who explains what is expected, sets a goal and helps achieve it"/>
    <x v="0"/>
  </r>
  <r>
    <d v="2023-04-27T21:25:04"/>
    <s v="India"/>
    <n v="382028"/>
    <x v="1"/>
    <x v="3"/>
    <s v="Yes, I will earn and do that"/>
    <s v="This will be hard to do, but if it is the right company I would try"/>
    <s v="No"/>
    <s v="Will NOT work for them"/>
    <n v="7"/>
    <x v="6"/>
    <x v="1"/>
    <x v="17"/>
    <x v="111"/>
    <s v="Manager who explains what is expected, sets a goal and helps achieve it"/>
    <x v="5"/>
  </r>
  <r>
    <d v="2023-04-27T21:25:37"/>
    <s v="India"/>
    <n v="560037"/>
    <x v="1"/>
    <x v="0"/>
    <s v="Yes, I will earn and do that"/>
    <s v="This will be hard to do, but if it is the right company I would try"/>
    <s v="No"/>
    <s v="Will NOT work for them"/>
    <n v="5"/>
    <x v="5"/>
    <x v="2"/>
    <x v="9"/>
    <x v="253"/>
    <s v="Manager who explains what is expected, sets a goal and helps achieve it"/>
    <x v="15"/>
  </r>
  <r>
    <d v="2023-04-27T21:25:50"/>
    <s v="India"/>
    <n v="401107"/>
    <x v="0"/>
    <x v="4"/>
    <s v="No I would not be pursuing Higher Education outside of India"/>
    <s v="This will be hard to do, but if it is the right company I would try"/>
    <s v="Yes"/>
    <s v="Will NOT work for them"/>
    <n v="6"/>
    <x v="6"/>
    <x v="2"/>
    <x v="25"/>
    <x v="292"/>
    <s v="Manager who explains what is expected, sets a goal and helps achieve it"/>
    <x v="3"/>
  </r>
  <r>
    <d v="2023-04-27T21:26:21"/>
    <s v="India"/>
    <n v="534134"/>
    <x v="1"/>
    <x v="3"/>
    <s v="Yes, I will earn and do that"/>
    <s v="Will work for 3 years or more"/>
    <s v="No"/>
    <s v="Will work for them"/>
    <n v="6"/>
    <x v="1"/>
    <x v="2"/>
    <x v="17"/>
    <x v="405"/>
    <s v="Manager who explains what is expected, sets a goal and helps achieve it"/>
    <x v="3"/>
  </r>
  <r>
    <d v="2023-04-27T21:26:38"/>
    <s v="India"/>
    <n v="247776"/>
    <x v="1"/>
    <x v="4"/>
    <s v="No I would not be pursuing Higher Education outside of India"/>
    <s v="This will be hard to do, but if it is the right company I would try"/>
    <s v="No"/>
    <s v="Will NOT work for them"/>
    <n v="8"/>
    <x v="1"/>
    <x v="1"/>
    <x v="8"/>
    <x v="245"/>
    <s v="Manager who explains what is expected, sets a goal and helps achieve it"/>
    <x v="1"/>
  </r>
  <r>
    <d v="2023-04-27T21:27:54"/>
    <s v="India"/>
    <n v="508223"/>
    <x v="0"/>
    <x v="1"/>
    <s v="Yes, I will earn and do that"/>
    <s v="Will work for 3 years or more"/>
    <s v="No"/>
    <s v="Will NOT work for them"/>
    <n v="4"/>
    <x v="3"/>
    <x v="2"/>
    <x v="14"/>
    <x v="138"/>
    <s v="Manager who clearly describes what she/he needs"/>
    <x v="6"/>
  </r>
  <r>
    <d v="2023-04-27T21:27:59"/>
    <s v="India"/>
    <n v="484551"/>
    <x v="0"/>
    <x v="3"/>
    <s v="No, But if someone could bare the cost I will"/>
    <s v="This will be hard to do, but if it is the right company I would try"/>
    <s v="Yes"/>
    <s v="Will work for them"/>
    <n v="5"/>
    <x v="6"/>
    <x v="1"/>
    <x v="9"/>
    <x v="406"/>
    <s v="Manager who explains what is expected, sets a goal and helps achieve it"/>
    <x v="1"/>
  </r>
  <r>
    <d v="2023-04-27T21:31:49"/>
    <s v="India"/>
    <n v="560038"/>
    <x v="0"/>
    <x v="1"/>
    <s v="No I would not be pursuing Higher Education outside of India"/>
    <s v="This will be hard to do, but if it is the right company I would try"/>
    <s v="Yes"/>
    <s v="Will NOT work for them"/>
    <n v="8"/>
    <x v="1"/>
    <x v="0"/>
    <x v="16"/>
    <x v="407"/>
    <s v="Manager who clearly describes what she/he needs"/>
    <x v="4"/>
  </r>
  <r>
    <d v="2023-04-27T21:32:05"/>
    <s v="India"/>
    <n v="781012"/>
    <x v="0"/>
    <x v="4"/>
    <s v="No, But if someone could bare the cost I will"/>
    <s v="This will be hard to do, but if it is the right company I would try"/>
    <s v="No"/>
    <s v="Will NOT work for them"/>
    <n v="1"/>
    <x v="6"/>
    <x v="1"/>
    <x v="19"/>
    <x v="200"/>
    <s v="Manager who explains what is expected, sets a goal and helps achieve it"/>
    <x v="3"/>
  </r>
  <r>
    <d v="2023-04-27T21:33:00"/>
    <s v="India"/>
    <n v="508284"/>
    <x v="0"/>
    <x v="3"/>
    <s v="Yes, I will earn and do that"/>
    <s v="Will work for 3 years or more"/>
    <s v="No"/>
    <s v="Will NOT work for them"/>
    <n v="4"/>
    <x v="3"/>
    <x v="2"/>
    <x v="9"/>
    <x v="111"/>
    <s v="Manager who explains what is expected, sets a goal and helps achieve it"/>
    <x v="1"/>
  </r>
  <r>
    <d v="2023-04-27T21:33:24"/>
    <s v="Others"/>
    <n v="805125"/>
    <x v="0"/>
    <x v="2"/>
    <s v="Yes, I will earn and do that"/>
    <s v="This will be hard to do, but if it is the right company I would try"/>
    <s v="Yes"/>
    <s v="Will work for them"/>
    <n v="7"/>
    <x v="6"/>
    <x v="1"/>
    <x v="15"/>
    <x v="298"/>
    <s v="Manager who sets unrealistic targets"/>
    <x v="7"/>
  </r>
  <r>
    <d v="2023-04-27T21:34:21"/>
    <s v="India"/>
    <n v="247554"/>
    <x v="0"/>
    <x v="4"/>
    <s v="Yes, I will earn and do that"/>
    <s v="This will be hard to do, but if it is the right company I would try"/>
    <s v="No"/>
    <s v="Will work for them"/>
    <n v="7"/>
    <x v="1"/>
    <x v="0"/>
    <x v="22"/>
    <x v="120"/>
    <s v="Manager who explains what is expected, sets a goal and helps achieve it"/>
    <x v="11"/>
  </r>
  <r>
    <d v="2023-04-27T21:34:43"/>
    <s v="Others"/>
    <n v="80078"/>
    <x v="0"/>
    <x v="4"/>
    <s v="Yes, I will earn and do that"/>
    <s v="This will be hard to do, but if it is the right company I would try"/>
    <s v="Yes"/>
    <s v="Will work for them"/>
    <n v="10"/>
    <x v="6"/>
    <x v="1"/>
    <x v="13"/>
    <x v="408"/>
    <s v="Manager who clearly describes what she/he needs"/>
    <x v="9"/>
  </r>
  <r>
    <d v="2023-04-27T21:37:31"/>
    <s v="India"/>
    <n v="505001"/>
    <x v="1"/>
    <x v="0"/>
    <s v="Yes, I will earn and do that"/>
    <s v="Will work for 3 years or more"/>
    <s v="No"/>
    <s v="Will NOT work for them"/>
    <n v="8"/>
    <x v="5"/>
    <x v="2"/>
    <x v="25"/>
    <x v="111"/>
    <s v="Manager who explains what is expected, sets a goal and helps achieve it"/>
    <x v="2"/>
  </r>
  <r>
    <d v="2023-04-27T21:40:10"/>
    <s v="India"/>
    <n v="509216"/>
    <x v="0"/>
    <x v="0"/>
    <s v="No, But if someone could bare the cost I will"/>
    <s v="Will work for 3 years or more"/>
    <s v="No"/>
    <s v="Will NOT work for them"/>
    <n v="6"/>
    <x v="0"/>
    <x v="2"/>
    <x v="12"/>
    <x v="409"/>
    <s v="Manager who explains what is expected, sets a goal and helps achieve it"/>
    <x v="3"/>
  </r>
  <r>
    <d v="2023-04-27T21:40:34"/>
    <s v="India"/>
    <n v="500035"/>
    <x v="0"/>
    <x v="1"/>
    <s v="No I would not be pursuing Higher Education outside of India"/>
    <s v="This will be hard to do, but if it is the right company I would try"/>
    <s v="Yes"/>
    <s v="Will work for them"/>
    <n v="8"/>
    <x v="6"/>
    <x v="0"/>
    <x v="14"/>
    <x v="410"/>
    <s v="Manager who sets goal and helps me achieve it"/>
    <x v="1"/>
  </r>
  <r>
    <d v="2023-04-27T21:41:15"/>
    <s v="India"/>
    <n v="250002"/>
    <x v="1"/>
    <x v="0"/>
    <s v="No I would not be pursuing Higher Education outside of India"/>
    <s v="This will be hard to do, but if it is the right company I would try"/>
    <s v="No"/>
    <s v="Will NOT work for them"/>
    <n v="5"/>
    <x v="5"/>
    <x v="1"/>
    <x v="11"/>
    <x v="411"/>
    <s v="Manager who explains what is expected, sets a goal and helps achieve it"/>
    <x v="4"/>
  </r>
  <r>
    <d v="2023-04-27T21:46:06"/>
    <s v="India"/>
    <n v="509216"/>
    <x v="0"/>
    <x v="3"/>
    <s v="Yes, I will earn and do that"/>
    <s v="This will be hard to do, but if it is the right company I would try"/>
    <s v="No"/>
    <s v="Will NOT work for them"/>
    <n v="5"/>
    <x v="6"/>
    <x v="1"/>
    <x v="7"/>
    <x v="141"/>
    <s v="Manager who explains what is expected, sets a goal and helps achieve it"/>
    <x v="4"/>
  </r>
  <r>
    <d v="2023-04-27T21:47:09"/>
    <s v="India"/>
    <n v="500008"/>
    <x v="1"/>
    <x v="3"/>
    <s v="No I would not be pursuing Higher Education outside of India"/>
    <s v="Will work for 3 years or more"/>
    <s v="No"/>
    <s v="Will work for them"/>
    <n v="8"/>
    <x v="3"/>
    <x v="1"/>
    <x v="11"/>
    <x v="179"/>
    <s v="Manager who explains what is expected, sets a goal and helps achieve it"/>
    <x v="12"/>
  </r>
  <r>
    <d v="2023-04-27T21:50:58"/>
    <s v="India"/>
    <n v="500092"/>
    <x v="0"/>
    <x v="2"/>
    <s v="Yes, I will earn and do that"/>
    <s v="This will be hard to do, but if it is the right company I would try"/>
    <s v="No"/>
    <s v="Will NOT work for them"/>
    <n v="5"/>
    <x v="1"/>
    <x v="1"/>
    <x v="6"/>
    <x v="412"/>
    <s v="Manager who explains what is expected, sets a goal and helps achieve it"/>
    <x v="2"/>
  </r>
  <r>
    <d v="2023-04-27T21:55:45"/>
    <s v="India"/>
    <n v="500016"/>
    <x v="1"/>
    <x v="0"/>
    <s v="No I would not be pursuing Higher Education outside of India"/>
    <s v="Will work for 3 years or more"/>
    <s v="Yes"/>
    <s v="Will NOT work for them"/>
    <n v="4"/>
    <x v="3"/>
    <x v="1"/>
    <x v="19"/>
    <x v="371"/>
    <s v="Manager who explains what is expected, sets a goal and helps achieve it"/>
    <x v="3"/>
  </r>
  <r>
    <d v="2023-04-27T21:57:11"/>
    <s v="India"/>
    <n v="509385"/>
    <x v="1"/>
    <x v="0"/>
    <s v="Yes, I will earn and do that"/>
    <s v="Will work for 3 years or more"/>
    <s v="No"/>
    <s v="Will NOT work for them"/>
    <n v="8"/>
    <x v="3"/>
    <x v="2"/>
    <x v="10"/>
    <x v="143"/>
    <s v="Manager who explains what is expected, sets a goal and helps achieve it"/>
    <x v="7"/>
  </r>
  <r>
    <d v="2023-04-27T21:58:42"/>
    <s v="India"/>
    <n v="110085"/>
    <x v="1"/>
    <x v="0"/>
    <s v="Yes, I will earn and do that"/>
    <s v="This will be hard to do, but if it is the right company I would try"/>
    <s v="No"/>
    <s v="Will NOT work for them"/>
    <n v="4"/>
    <x v="6"/>
    <x v="1"/>
    <x v="15"/>
    <x v="167"/>
    <s v="Manager who sets goal and helps me achieve it"/>
    <x v="1"/>
  </r>
  <r>
    <d v="2023-04-27T21:59:43"/>
    <s v="India"/>
    <n v="501504"/>
    <x v="0"/>
    <x v="4"/>
    <s v="No, But if someone could bare the cost I will"/>
    <s v="This will be hard to do, but if it is the right company I would try"/>
    <s v="Yes"/>
    <s v="Will NOT work for them"/>
    <n v="5"/>
    <x v="5"/>
    <x v="1"/>
    <x v="10"/>
    <x v="413"/>
    <s v="Manager who clearly describes what she/he needs"/>
    <x v="3"/>
  </r>
  <r>
    <d v="2023-04-27T22:00:02"/>
    <s v="India"/>
    <n v="500037"/>
    <x v="1"/>
    <x v="4"/>
    <s v="Yes, I will earn and do that"/>
    <s v="This will be hard to do, but if it is the right company I would try"/>
    <s v="No"/>
    <s v="Will NOT work for them"/>
    <n v="4"/>
    <x v="1"/>
    <x v="1"/>
    <x v="17"/>
    <x v="371"/>
    <s v="Manager who explains what is expected, sets a goal and helps achieve it"/>
    <x v="1"/>
  </r>
  <r>
    <d v="2023-04-27T22:02:16"/>
    <s v="India"/>
    <n v="506002"/>
    <x v="0"/>
    <x v="3"/>
    <s v="Yes, I will earn and do that"/>
    <s v="No way"/>
    <s v="No"/>
    <s v="Will NOT work for them"/>
    <n v="2"/>
    <x v="1"/>
    <x v="1"/>
    <x v="17"/>
    <x v="299"/>
    <s v="Manager who sets goal and helps me achieve it"/>
    <x v="3"/>
  </r>
  <r>
    <d v="2023-04-27T22:08:02"/>
    <s v="India"/>
    <n v="564114"/>
    <x v="1"/>
    <x v="3"/>
    <s v="No I would not be pursuing Higher Education outside of India"/>
    <s v="This will be hard to do, but if it is the right company I would try"/>
    <s v="Yes"/>
    <s v="Will NOT work for them"/>
    <n v="7"/>
    <x v="6"/>
    <x v="2"/>
    <x v="11"/>
    <x v="399"/>
    <s v="Manager who explains what is expected, sets a goal and helps achieve it"/>
    <x v="3"/>
  </r>
  <r>
    <d v="2023-04-27T22:08:34"/>
    <s v="India"/>
    <n v="501504"/>
    <x v="1"/>
    <x v="4"/>
    <s v="Yes, I will earn and do that"/>
    <s v="This will be hard to do, but if it is the right company I would try"/>
    <s v="No"/>
    <s v="Will NOT work for them"/>
    <n v="5"/>
    <x v="6"/>
    <x v="2"/>
    <x v="7"/>
    <x v="191"/>
    <s v="Manager who explains what is expected, sets a goal and helps achieve it"/>
    <x v="1"/>
  </r>
  <r>
    <d v="2023-04-27T22:08:51"/>
    <s v="India"/>
    <n v="741121"/>
    <x v="1"/>
    <x v="3"/>
    <s v="No I would not be pursuing Higher Education outside of India"/>
    <s v="This will be hard to do, but if it is the right company I would try"/>
    <s v="No"/>
    <s v="Will NOT work for them"/>
    <n v="8"/>
    <x v="1"/>
    <x v="1"/>
    <x v="6"/>
    <x v="414"/>
    <s v="Manager who sets goal and helps me achieve it"/>
    <x v="3"/>
  </r>
  <r>
    <d v="2023-04-27T22:10:51"/>
    <s v="India"/>
    <n v="755051"/>
    <x v="1"/>
    <x v="1"/>
    <s v="No I would not be pursuing Higher Education outside of India"/>
    <s v="This will be hard to do, but if it is the right company I would try"/>
    <s v="No"/>
    <s v="Will NOT work for them"/>
    <n v="5"/>
    <x v="6"/>
    <x v="1"/>
    <x v="6"/>
    <x v="129"/>
    <s v="Manager who explains what is expected, sets a goal and helps achieve it"/>
    <x v="7"/>
  </r>
  <r>
    <d v="2023-04-27T22:11:27"/>
    <s v="India"/>
    <n v="506315"/>
    <x v="0"/>
    <x v="0"/>
    <s v="No, But if someone could bare the cost I will"/>
    <s v="This will be hard to do, but if it is the right company I would try"/>
    <s v="No"/>
    <s v="Will NOT work for them"/>
    <n v="5"/>
    <x v="0"/>
    <x v="1"/>
    <x v="6"/>
    <x v="327"/>
    <s v="Manager who sets goal and helps me achieve it"/>
    <x v="8"/>
  </r>
  <r>
    <d v="2023-04-27T22:14:25"/>
    <s v="India"/>
    <n v="600056"/>
    <x v="1"/>
    <x v="3"/>
    <s v="No I would not be pursuing Higher Education outside of India"/>
    <s v="This will be hard to do, but if it is the right company I would try"/>
    <s v="No"/>
    <s v="Will NOT work for them"/>
    <n v="5"/>
    <x v="1"/>
    <x v="2"/>
    <x v="9"/>
    <x v="306"/>
    <s v="Manager who clearly describes what she/he needs"/>
    <x v="11"/>
  </r>
  <r>
    <d v="2023-04-27T22:14:45"/>
    <s v="India"/>
    <n v="500053"/>
    <x v="0"/>
    <x v="1"/>
    <s v="Yes, I will earn and do that"/>
    <s v="Will work for 3 years or more"/>
    <s v="No"/>
    <s v="Will NOT work for them"/>
    <n v="6"/>
    <x v="6"/>
    <x v="1"/>
    <x v="16"/>
    <x v="170"/>
    <s v="Manager who explains what is expected, sets a goal and helps achieve it"/>
    <x v="1"/>
  </r>
  <r>
    <d v="2023-04-27T22:15:05"/>
    <s v="India"/>
    <n v="402030"/>
    <x v="1"/>
    <x v="2"/>
    <s v="No I would not be pursuing Higher Education outside of India"/>
    <s v="This will be hard to do, but if it is the right company I would try"/>
    <s v="Yes"/>
    <s v="Will NOT work for them"/>
    <n v="6"/>
    <x v="3"/>
    <x v="1"/>
    <x v="15"/>
    <x v="121"/>
    <s v="Manager who explains what is expected, sets a goal and helps achieve it"/>
    <x v="5"/>
  </r>
  <r>
    <d v="2023-04-27T22:15:34"/>
    <s v="India"/>
    <n v="503201"/>
    <x v="0"/>
    <x v="0"/>
    <s v="No, But if someone could bare the cost I will"/>
    <s v="This will be hard to do, but if it is the right company I would try"/>
    <s v="Yes"/>
    <s v="Will NOT work for them"/>
    <n v="8"/>
    <x v="1"/>
    <x v="1"/>
    <x v="11"/>
    <x v="144"/>
    <s v="Manager who explains what is expected, sets a goal and helps achieve it"/>
    <x v="7"/>
  </r>
  <r>
    <d v="2023-04-27T22:15:55"/>
    <s v="India"/>
    <n v="500074"/>
    <x v="1"/>
    <x v="4"/>
    <s v="Yes, I will earn and do that"/>
    <s v="Will work for 3 years or more"/>
    <s v="No"/>
    <s v="Will work for them"/>
    <n v="1"/>
    <x v="1"/>
    <x v="1"/>
    <x v="17"/>
    <x v="132"/>
    <s v="Manager who clearly describes what she/he needs"/>
    <x v="20"/>
  </r>
  <r>
    <d v="2023-04-27T22:16:10"/>
    <s v="India"/>
    <n v="600044"/>
    <x v="0"/>
    <x v="1"/>
    <s v="No, But if someone could bare the cost I will"/>
    <s v="This will be hard to do, but if it is the right company I would try"/>
    <s v="Yes"/>
    <s v="Will NOT work for them"/>
    <n v="8"/>
    <x v="5"/>
    <x v="2"/>
    <x v="19"/>
    <x v="95"/>
    <s v="Manager who explains what is expected, sets a goal and helps achieve it"/>
    <x v="1"/>
  </r>
  <r>
    <d v="2023-04-27T22:16:21"/>
    <s v="India"/>
    <n v="759107"/>
    <x v="1"/>
    <x v="2"/>
    <s v="No I would not be pursuing Higher Education outside of India"/>
    <s v="No way"/>
    <s v="No"/>
    <s v="Will NOT work for them"/>
    <n v="2"/>
    <x v="1"/>
    <x v="2"/>
    <x v="11"/>
    <x v="410"/>
    <s v="Manager who explains what is expected, sets a goal and helps achieve it"/>
    <x v="3"/>
  </r>
  <r>
    <d v="2023-04-27T22:16:37"/>
    <s v="India"/>
    <n v="201002"/>
    <x v="1"/>
    <x v="1"/>
    <s v="No I would not be pursuing Higher Education outside of India"/>
    <s v="Will work for 3 years or more"/>
    <s v="No"/>
    <s v="Will NOT work for them"/>
    <n v="7"/>
    <x v="6"/>
    <x v="1"/>
    <x v="13"/>
    <x v="365"/>
    <s v="Manager who explains what is expected, sets a goal and helps achieve it"/>
    <x v="4"/>
  </r>
  <r>
    <d v="2023-04-27T22:20:11"/>
    <s v="India"/>
    <n v="560091"/>
    <x v="0"/>
    <x v="2"/>
    <s v="Yes, I will earn and do that"/>
    <s v="This will be hard to do, but if it is the right company I would try"/>
    <s v="No"/>
    <s v="Will work for them"/>
    <n v="10"/>
    <x v="5"/>
    <x v="1"/>
    <x v="6"/>
    <x v="113"/>
    <s v="Manager who clearly describes what she/he needs"/>
    <x v="3"/>
  </r>
  <r>
    <d v="2023-04-27T22:20:55"/>
    <s v="India"/>
    <n v="425310"/>
    <x v="1"/>
    <x v="3"/>
    <s v="Yes, I will earn and do that"/>
    <s v="This will be hard to do, but if it is the right company I would try"/>
    <s v="No"/>
    <s v="Will NOT work for them"/>
    <n v="5"/>
    <x v="6"/>
    <x v="2"/>
    <x v="9"/>
    <x v="415"/>
    <s v="Manager who explains what is expected, sets a goal and helps achieve it"/>
    <x v="6"/>
  </r>
  <r>
    <d v="2023-04-27T22:20:56"/>
    <s v="India"/>
    <n v="251201"/>
    <x v="1"/>
    <x v="0"/>
    <s v="No I would not be pursuing Higher Education outside of India"/>
    <s v="This will be hard to do, but if it is the right company I would try"/>
    <s v="No"/>
    <s v="Will NOT work for them"/>
    <n v="1"/>
    <x v="1"/>
    <x v="1"/>
    <x v="19"/>
    <x v="331"/>
    <s v="Manager who explains what is expected, sets a goal and helps achieve it"/>
    <x v="1"/>
  </r>
  <r>
    <d v="2023-04-27T22:22:21"/>
    <s v="India"/>
    <n v="600025"/>
    <x v="0"/>
    <x v="4"/>
    <s v="Yes, I will earn and do that"/>
    <s v="This will be hard to do, but if it is the right company I would try"/>
    <s v="Yes"/>
    <s v="Will work for them"/>
    <n v="5"/>
    <x v="3"/>
    <x v="1"/>
    <x v="17"/>
    <x v="200"/>
    <s v="Manager who clearly describes what she/he needs"/>
    <x v="6"/>
  </r>
  <r>
    <d v="2023-04-27T22:22:58"/>
    <s v="India"/>
    <n v="500076"/>
    <x v="1"/>
    <x v="0"/>
    <s v="Yes, I will earn and do that"/>
    <s v="Will work for 3 years or more"/>
    <s v="No"/>
    <s v="Will NOT work for them"/>
    <n v="5"/>
    <x v="1"/>
    <x v="1"/>
    <x v="11"/>
    <x v="416"/>
    <s v="Manager who explains what is expected, sets a goal and helps achieve it"/>
    <x v="4"/>
  </r>
  <r>
    <d v="2023-04-27T22:23:03"/>
    <s v="India"/>
    <n v="263139"/>
    <x v="0"/>
    <x v="1"/>
    <s v="No I would not be pursuing Higher Education outside of India"/>
    <s v="This will be hard to do, but if it is the right company I would try"/>
    <s v="No"/>
    <s v="Will NOT work for them"/>
    <n v="8"/>
    <x v="1"/>
    <x v="1"/>
    <x v="17"/>
    <x v="197"/>
    <s v="Manager who explains what is expected, sets a goal and helps achieve it"/>
    <x v="1"/>
  </r>
  <r>
    <d v="2023-04-27T22:24:42"/>
    <s v="India"/>
    <n v="600107"/>
    <x v="1"/>
    <x v="4"/>
    <s v="Yes, I will earn and do that"/>
    <s v="Will work for 3 years or more"/>
    <s v="No"/>
    <s v="Will NOT work for them"/>
    <n v="10"/>
    <x v="3"/>
    <x v="2"/>
    <x v="14"/>
    <x v="140"/>
    <s v="Manager who clearly describes what she/he needs"/>
    <x v="3"/>
  </r>
  <r>
    <d v="2023-04-27T22:25:50"/>
    <s v="India"/>
    <n v="600056"/>
    <x v="1"/>
    <x v="0"/>
    <s v="No, But if someone could bare the cost I will"/>
    <s v="This will be hard to do, but if it is the right company I would try"/>
    <s v="No"/>
    <s v="Will NOT work for them"/>
    <n v="2"/>
    <x v="1"/>
    <x v="1"/>
    <x v="6"/>
    <x v="153"/>
    <s v="Manager who clearly describes what she/he needs"/>
    <x v="1"/>
  </r>
  <r>
    <d v="2023-04-27T22:30:12"/>
    <s v="India"/>
    <n v="831013"/>
    <x v="1"/>
    <x v="4"/>
    <s v="Yes, I will earn and do that"/>
    <s v="This will be hard to do, but if it is the right company I would try"/>
    <s v="No"/>
    <s v="Will NOT work for them"/>
    <n v="4"/>
    <x v="1"/>
    <x v="0"/>
    <x v="7"/>
    <x v="266"/>
    <s v="Manager who sets goal and helps me achieve it"/>
    <x v="8"/>
  </r>
  <r>
    <d v="2023-04-27T22:32:09"/>
    <s v="India"/>
    <n v="462030"/>
    <x v="1"/>
    <x v="0"/>
    <s v="No, But if someone could bare the cost I will"/>
    <s v="Will work for 3 years or more"/>
    <s v="No"/>
    <s v="Will NOT work for them"/>
    <n v="6"/>
    <x v="5"/>
    <x v="1"/>
    <x v="6"/>
    <x v="348"/>
    <s v="Manager who explains what is expected, sets a goal and helps achieve it"/>
    <x v="2"/>
  </r>
  <r>
    <d v="2023-04-27T22:32:17"/>
    <s v="India"/>
    <n v="492008"/>
    <x v="0"/>
    <x v="3"/>
    <s v="Yes, I will earn and do that"/>
    <s v="This will be hard to do, but if it is the right company I would try"/>
    <s v="Yes"/>
    <s v="Will work for them"/>
    <n v="6"/>
    <x v="3"/>
    <x v="1"/>
    <x v="11"/>
    <x v="284"/>
    <s v="Manager who sets goal and helps me achieve it"/>
    <x v="7"/>
  </r>
  <r>
    <d v="2023-04-27T22:37:25"/>
    <s v="India"/>
    <n v="530051"/>
    <x v="1"/>
    <x v="4"/>
    <s v="Yes, I will earn and do that"/>
    <s v="Will work for 3 years or more"/>
    <s v="No"/>
    <s v="Will NOT work for them"/>
    <n v="5"/>
    <x v="1"/>
    <x v="1"/>
    <x v="11"/>
    <x v="415"/>
    <s v="Manager who explains what is expected, sets a goal and helps achieve it"/>
    <x v="5"/>
  </r>
  <r>
    <d v="2023-04-27T22:37:57"/>
    <s v="India"/>
    <n v="500097"/>
    <x v="1"/>
    <x v="4"/>
    <s v="Yes, I will earn and do that"/>
    <s v="This will be hard to do, but if it is the right company I would try"/>
    <s v="No"/>
    <s v="Will NOT work for them"/>
    <n v="7"/>
    <x v="3"/>
    <x v="2"/>
    <x v="10"/>
    <x v="286"/>
    <s v="Manager who explains what is expected, sets a goal and helps achieve it"/>
    <x v="1"/>
  </r>
  <r>
    <d v="2023-04-27T22:39:16"/>
    <s v="India"/>
    <n v="411027"/>
    <x v="0"/>
    <x v="1"/>
    <s v="Yes, I will earn and do that"/>
    <s v="Will work for 3 years or more"/>
    <s v="No"/>
    <s v="Will NOT work for them"/>
    <n v="10"/>
    <x v="3"/>
    <x v="1"/>
    <x v="19"/>
    <x v="192"/>
    <s v="Manager who explains what is expected, sets a goal and helps achieve it"/>
    <x v="15"/>
  </r>
  <r>
    <d v="2023-04-27T22:39:28"/>
    <s v="India"/>
    <n v="492001"/>
    <x v="1"/>
    <x v="4"/>
    <s v="No, But if someone could bare the cost I will"/>
    <s v="This will be hard to do, but if it is the right company I would try"/>
    <s v="No"/>
    <s v="Will work for them"/>
    <n v="7"/>
    <x v="1"/>
    <x v="1"/>
    <x v="10"/>
    <x v="257"/>
    <s v="Manager who clearly describes what she/he needs"/>
    <x v="11"/>
  </r>
  <r>
    <d v="2023-04-27T22:39:33"/>
    <s v="India"/>
    <n v="411027"/>
    <x v="0"/>
    <x v="0"/>
    <s v="No I would not be pursuing Higher Education outside of India"/>
    <s v="This will be hard to do, but if it is the right company I would try"/>
    <s v="Yes"/>
    <s v="Will NOT work for them"/>
    <n v="8"/>
    <x v="1"/>
    <x v="1"/>
    <x v="11"/>
    <x v="417"/>
    <s v="Manager who explains what is expected, sets a goal and helps achieve it"/>
    <x v="1"/>
  </r>
  <r>
    <d v="2023-04-27T22:42:02"/>
    <s v="India"/>
    <n v="191103"/>
    <x v="0"/>
    <x v="4"/>
    <s v="No I would not be pursuing Higher Education outside of India"/>
    <s v="This will be hard to do, but if it is the right company I would try"/>
    <s v="No"/>
    <s v="Will NOT work for them"/>
    <n v="7"/>
    <x v="1"/>
    <x v="1"/>
    <x v="17"/>
    <x v="418"/>
    <s v="Manager who explains what is expected, sets a goal and helps achieve it"/>
    <x v="6"/>
  </r>
  <r>
    <d v="2023-04-27T22:42:23"/>
    <s v="India"/>
    <n v="201002"/>
    <x v="0"/>
    <x v="0"/>
    <s v="Yes, I will earn and do that"/>
    <s v="This will be hard to do, but if it is the right company I would try"/>
    <s v="No"/>
    <s v="Will NOT work for them"/>
    <n v="1"/>
    <x v="1"/>
    <x v="2"/>
    <x v="17"/>
    <x v="128"/>
    <s v="Manager who explains what is expected, sets a goal and helps achieve it"/>
    <x v="4"/>
  </r>
  <r>
    <d v="2023-04-27T22:49:21"/>
    <s v="India"/>
    <n v="530028"/>
    <x v="0"/>
    <x v="3"/>
    <s v="No I would not be pursuing Higher Education outside of India"/>
    <s v="Will work for 3 years or more"/>
    <s v="No"/>
    <s v="Will NOT work for them"/>
    <n v="5"/>
    <x v="1"/>
    <x v="2"/>
    <x v="9"/>
    <x v="101"/>
    <s v="Manager who clearly describes what she/he needs"/>
    <x v="1"/>
  </r>
  <r>
    <d v="2023-04-27T22:50:00"/>
    <s v="India"/>
    <n v="533201"/>
    <x v="0"/>
    <x v="2"/>
    <s v="No I would not be pursuing Higher Education outside of India"/>
    <s v="Will work for 3 years or more"/>
    <s v="No"/>
    <s v="Will NOT work for them"/>
    <n v="7"/>
    <x v="1"/>
    <x v="1"/>
    <x v="6"/>
    <x v="325"/>
    <s v="Manager who explains what is expected, sets a goal and helps achieve it"/>
    <x v="3"/>
  </r>
  <r>
    <d v="2023-04-27T22:50:28"/>
    <s v="India"/>
    <n v="500060"/>
    <x v="0"/>
    <x v="0"/>
    <s v="Yes, I will earn and do that"/>
    <s v="This will be hard to do, but if it is the right company I would try"/>
    <s v="No"/>
    <s v="Will NOT work for them"/>
    <n v="6"/>
    <x v="3"/>
    <x v="2"/>
    <x v="9"/>
    <x v="200"/>
    <s v="Manager who clearly describes what she/he needs"/>
    <x v="3"/>
  </r>
  <r>
    <d v="2023-04-27T22:51:09"/>
    <s v="India"/>
    <n v="500053"/>
    <x v="0"/>
    <x v="3"/>
    <s v="Yes, I will earn and do that"/>
    <s v="Will work for 3 years or more"/>
    <s v="No"/>
    <s v="Will work for them"/>
    <n v="8"/>
    <x v="5"/>
    <x v="2"/>
    <x v="11"/>
    <x v="141"/>
    <s v="Manager who sets goal and helps me achieve it"/>
    <x v="1"/>
  </r>
  <r>
    <d v="2023-04-27T22:53:06"/>
    <s v="India"/>
    <n v="500081"/>
    <x v="0"/>
    <x v="4"/>
    <s v="No I would not be pursuing Higher Education outside of India"/>
    <s v="This will be hard to do, but if it is the right company I would try"/>
    <s v="Yes"/>
    <s v="Will NOT work for them"/>
    <n v="3"/>
    <x v="3"/>
    <x v="2"/>
    <x v="21"/>
    <x v="264"/>
    <s v="Manager who sets targets and expects me to achieve it"/>
    <x v="0"/>
  </r>
  <r>
    <d v="2023-04-27T22:53:08"/>
    <s v="India"/>
    <n v="500034"/>
    <x v="0"/>
    <x v="3"/>
    <s v="No, But if someone could bare the cost I will"/>
    <s v="This will be hard to do, but if it is the right company I would try"/>
    <s v="Yes"/>
    <s v="Will work for them"/>
    <n v="9"/>
    <x v="1"/>
    <x v="2"/>
    <x v="6"/>
    <x v="403"/>
    <s v="Manager who explains what is expected, sets a goal and helps achieve it"/>
    <x v="1"/>
  </r>
  <r>
    <d v="2023-04-27T22:53:22"/>
    <s v="India"/>
    <n v="600107"/>
    <x v="1"/>
    <x v="4"/>
    <s v="Yes, I will earn and do that"/>
    <s v="This will be hard to do, but if it is the right company I would try"/>
    <s v="No"/>
    <s v="Will NOT work for them"/>
    <n v="9"/>
    <x v="6"/>
    <x v="2"/>
    <x v="17"/>
    <x v="197"/>
    <s v="Manager who explains what is expected, sets a goal and helps achieve it"/>
    <x v="3"/>
  </r>
  <r>
    <d v="2023-04-27T22:54:40"/>
    <s v="India"/>
    <n v="440026"/>
    <x v="1"/>
    <x v="4"/>
    <s v="No, But if someone could bare the cost I will"/>
    <s v="This will be hard to do, but if it is the right company I would try"/>
    <s v="No"/>
    <s v="Will NOT work for them"/>
    <n v="1"/>
    <x v="1"/>
    <x v="2"/>
    <x v="16"/>
    <x v="249"/>
    <s v="Manager who clearly describes what she/he needs"/>
    <x v="3"/>
  </r>
  <r>
    <d v="2023-04-27T23:03:07"/>
    <s v="India"/>
    <n v="412207"/>
    <x v="0"/>
    <x v="1"/>
    <s v="No I would not be pursuing Higher Education outside of India"/>
    <s v="Will work for 3 years or more"/>
    <s v="No"/>
    <s v="Will NOT work for them"/>
    <n v="5"/>
    <x v="6"/>
    <x v="2"/>
    <x v="18"/>
    <x v="419"/>
    <s v="Manager who explains what is expected, sets a goal and helps achieve it"/>
    <x v="1"/>
  </r>
  <r>
    <d v="2023-04-27T23:04:38"/>
    <s v="India"/>
    <n v="500085"/>
    <x v="0"/>
    <x v="2"/>
    <s v="No I would not be pursuing Higher Education outside of India"/>
    <s v="This will be hard to do, but if it is the right company I would try"/>
    <s v="No"/>
    <s v="Will NOT work for them"/>
    <n v="4"/>
    <x v="1"/>
    <x v="2"/>
    <x v="9"/>
    <x v="325"/>
    <s v="Manager who explains what is expected, sets a goal and helps achieve it"/>
    <x v="8"/>
  </r>
  <r>
    <d v="2023-04-27T23:11:27"/>
    <s v="India"/>
    <n v="466001"/>
    <x v="1"/>
    <x v="4"/>
    <s v="No, But if someone could bare the cost I will"/>
    <s v="Will work for 3 years or more"/>
    <s v="Yes"/>
    <s v="Will work for them"/>
    <n v="10"/>
    <x v="1"/>
    <x v="2"/>
    <x v="9"/>
    <x v="299"/>
    <s v="Manager who sets goal and helps me achieve it"/>
    <x v="1"/>
  </r>
  <r>
    <d v="2023-04-27T23:11:50"/>
    <s v="India"/>
    <n v="533210"/>
    <x v="0"/>
    <x v="2"/>
    <s v="No I would not be pursuing Higher Education outside of India"/>
    <s v="Will work for 3 years or more"/>
    <s v="Yes"/>
    <s v="Will work for them"/>
    <n v="7"/>
    <x v="1"/>
    <x v="1"/>
    <x v="11"/>
    <x v="179"/>
    <s v="Manager who explains what is expected, sets a goal and helps achieve it"/>
    <x v="4"/>
  </r>
  <r>
    <d v="2023-04-27T23:13:16"/>
    <s v="India"/>
    <n v="496661"/>
    <x v="0"/>
    <x v="0"/>
    <s v="Yes, I will earn and do that"/>
    <s v="This will be hard to do, but if it is the right company I would try"/>
    <s v="Yes"/>
    <s v="Will NOT work for them"/>
    <n v="5"/>
    <x v="1"/>
    <x v="1"/>
    <x v="17"/>
    <x v="420"/>
    <s v="Manager who explains what is expected, sets a goal and helps achieve it"/>
    <x v="16"/>
  </r>
  <r>
    <d v="2023-04-27T23:13:57"/>
    <s v="India"/>
    <n v="500085"/>
    <x v="0"/>
    <x v="2"/>
    <s v="No I would not be pursuing Higher Education outside of India"/>
    <s v="This will be hard to do, but if it is the right company I would try"/>
    <s v="No"/>
    <s v="Will NOT work for them"/>
    <n v="8"/>
    <x v="1"/>
    <x v="1"/>
    <x v="6"/>
    <x v="146"/>
    <s v="Manager who explains what is expected, sets a goal and helps achieve it"/>
    <x v="1"/>
  </r>
  <r>
    <d v="2023-04-27T23:14:46"/>
    <s v="India"/>
    <n v="492001"/>
    <x v="1"/>
    <x v="2"/>
    <s v="Yes, I will earn and do that"/>
    <s v="This will be hard to do, but if it is the right company I would try"/>
    <s v="Yes"/>
    <s v="Will NOT work for them"/>
    <n v="7"/>
    <x v="1"/>
    <x v="0"/>
    <x v="19"/>
    <x v="421"/>
    <s v="Manager who explains what is expected, sets a goal and helps achieve it"/>
    <x v="1"/>
  </r>
  <r>
    <d v="2023-04-27T23:15:15"/>
    <s v="India"/>
    <n v="493221"/>
    <x v="0"/>
    <x v="0"/>
    <s v="No, But if someone could bare the cost I will"/>
    <s v="This will be hard to do, but if it is the right company I would try"/>
    <s v="No"/>
    <s v="Will NOT work for them"/>
    <n v="3"/>
    <x v="1"/>
    <x v="1"/>
    <x v="6"/>
    <x v="140"/>
    <s v="Manager who clearly describes what she/he needs"/>
    <x v="2"/>
  </r>
  <r>
    <d v="2023-04-27T23:16:29"/>
    <s v="India"/>
    <n v="520003"/>
    <x v="0"/>
    <x v="3"/>
    <s v="No, But if someone could bare the cost I will"/>
    <s v="This will be hard to do, but if it is the right company I would try"/>
    <s v="No"/>
    <s v="Will NOT work for them"/>
    <n v="8"/>
    <x v="6"/>
    <x v="2"/>
    <x v="22"/>
    <x v="415"/>
    <s v="Manager who sets goal and helps me achieve it"/>
    <x v="0"/>
  </r>
  <r>
    <d v="2023-04-27T23:16:49"/>
    <s v="India"/>
    <n v="560103"/>
    <x v="0"/>
    <x v="0"/>
    <s v="No, But if someone could bare the cost I will"/>
    <s v="Will work for 3 years or more"/>
    <s v="No"/>
    <s v="Will NOT work for them"/>
    <n v="1"/>
    <x v="1"/>
    <x v="1"/>
    <x v="8"/>
    <x v="200"/>
    <s v="Manager who explains what is expected, sets a goal and helps achieve it"/>
    <x v="15"/>
  </r>
  <r>
    <d v="2023-04-27T23:16:57"/>
    <s v="India"/>
    <n v="176215"/>
    <x v="1"/>
    <x v="4"/>
    <s v="Yes, I will earn and do that"/>
    <s v="This will be hard to do, but if it is the right company I would try"/>
    <s v="No"/>
    <s v="Will work for them"/>
    <n v="5"/>
    <x v="6"/>
    <x v="2"/>
    <x v="16"/>
    <x v="196"/>
    <s v="Manager who clearly describes what she/he needs"/>
    <x v="3"/>
  </r>
  <r>
    <d v="2023-04-27T23:18:06"/>
    <s v="India"/>
    <n v="611001"/>
    <x v="0"/>
    <x v="4"/>
    <s v="Yes, I will earn and do that"/>
    <s v="Will work for 3 years or more"/>
    <s v="No"/>
    <s v="Will NOT work for them"/>
    <n v="1"/>
    <x v="3"/>
    <x v="0"/>
    <x v="21"/>
    <x v="113"/>
    <s v="Manager who explains what is expected, sets a goal and helps achieve it"/>
    <x v="7"/>
  </r>
  <r>
    <d v="2023-04-27T23:19:21"/>
    <s v="India"/>
    <n v="603103"/>
    <x v="1"/>
    <x v="0"/>
    <s v="Yes, I will earn and do that"/>
    <s v="Will work for 3 years or more"/>
    <s v="No"/>
    <s v="Will NOT work for them"/>
    <n v="5"/>
    <x v="1"/>
    <x v="1"/>
    <x v="11"/>
    <x v="422"/>
    <s v="Manager who sets goal and helps me achieve it"/>
    <x v="1"/>
  </r>
  <r>
    <d v="2023-04-27T23:20:15"/>
    <s v="India"/>
    <n v="492008"/>
    <x v="1"/>
    <x v="3"/>
    <s v="No I would not be pursuing Higher Education outside of India"/>
    <s v="This will be hard to do, but if it is the right company I would try"/>
    <s v="No"/>
    <s v="Will NOT work for them"/>
    <n v="7"/>
    <x v="5"/>
    <x v="1"/>
    <x v="9"/>
    <x v="309"/>
    <s v="Manager who clearly describes what she/he needs"/>
    <x v="6"/>
  </r>
  <r>
    <d v="2023-04-27T23:30:34"/>
    <s v="India"/>
    <n v="535145"/>
    <x v="0"/>
    <x v="4"/>
    <s v="No I would not be pursuing Higher Education outside of India"/>
    <s v="Will work for 3 years or more"/>
    <s v="No"/>
    <s v="Will NOT work for them"/>
    <n v="7"/>
    <x v="6"/>
    <x v="2"/>
    <x v="9"/>
    <x v="423"/>
    <s v="Manager who sets targets and expects me to achieve it"/>
    <x v="3"/>
  </r>
  <r>
    <d v="2023-04-27T23:31:04"/>
    <s v="India"/>
    <n v="535003"/>
    <x v="1"/>
    <x v="0"/>
    <s v="No I would not be pursuing Higher Education outside of India"/>
    <s v="This will be hard to do, but if it is the right company I would try"/>
    <s v="Yes"/>
    <s v="Will work for them"/>
    <n v="5"/>
    <x v="1"/>
    <x v="1"/>
    <x v="8"/>
    <x v="325"/>
    <s v="Manager who explains what is expected, sets a goal and helps achieve it"/>
    <x v="15"/>
  </r>
  <r>
    <d v="2023-04-27T23:32:21"/>
    <s v="India"/>
    <n v="502279"/>
    <x v="1"/>
    <x v="0"/>
    <s v="Yes, I will earn and do that"/>
    <s v="Will work for 3 years or more"/>
    <s v="No"/>
    <s v="Will NOT work for them"/>
    <n v="7"/>
    <x v="6"/>
    <x v="1"/>
    <x v="21"/>
    <x v="232"/>
    <s v="Manager who sets goal and helps me achieve it"/>
    <x v="4"/>
  </r>
  <r>
    <d v="2023-04-27T23:32:23"/>
    <s v="India"/>
    <n v="500075"/>
    <x v="1"/>
    <x v="3"/>
    <s v="No I would not be pursuing Higher Education outside of India"/>
    <s v="This will be hard to do, but if it is the right company I would try"/>
    <s v="Yes"/>
    <s v="Will work for them"/>
    <n v="3"/>
    <x v="5"/>
    <x v="2"/>
    <x v="8"/>
    <x v="197"/>
    <s v="Manager who sets targets and expects me to achieve it"/>
    <x v="15"/>
  </r>
  <r>
    <d v="2023-04-27T23:32:44"/>
    <s v="India"/>
    <n v="679102"/>
    <x v="1"/>
    <x v="0"/>
    <s v="No I would not be pursuing Higher Education outside of India"/>
    <s v="This will be hard to do, but if it is the right company I would try"/>
    <s v="No"/>
    <s v="Will NOT work for them"/>
    <n v="1"/>
    <x v="5"/>
    <x v="1"/>
    <x v="11"/>
    <x v="402"/>
    <s v="Manager who explains what is expected, sets a goal and helps achieve it"/>
    <x v="3"/>
  </r>
  <r>
    <d v="2023-04-27T23:32:44"/>
    <s v="India"/>
    <n v="533222"/>
    <x v="1"/>
    <x v="4"/>
    <s v="No, But if someone could bare the cost I will"/>
    <s v="Will work for 3 years or more"/>
    <s v="Yes"/>
    <s v="Will NOT work for them"/>
    <n v="8"/>
    <x v="1"/>
    <x v="0"/>
    <x v="19"/>
    <x v="424"/>
    <s v="Manager who explains what is expected, sets a goal and helps achieve it"/>
    <x v="16"/>
  </r>
  <r>
    <d v="2023-04-27T23:33:20"/>
    <s v="India"/>
    <n v="768017"/>
    <x v="0"/>
    <x v="2"/>
    <s v="Yes, I will earn and do that"/>
    <s v="Will work for 3 years or more"/>
    <s v="No"/>
    <s v="Will NOT work for them"/>
    <n v="5"/>
    <x v="1"/>
    <x v="0"/>
    <x v="9"/>
    <x v="294"/>
    <s v="Manager who explains what is expected, sets a goal and helps achieve it"/>
    <x v="3"/>
  </r>
  <r>
    <d v="2023-04-27T23:36:58"/>
    <s v="India"/>
    <n v="500006"/>
    <x v="1"/>
    <x v="4"/>
    <s v="No I would not be pursuing Higher Education outside of India"/>
    <s v="Will work for 3 years or more"/>
    <s v="Yes"/>
    <s v="Will NOT work for them"/>
    <n v="6"/>
    <x v="1"/>
    <x v="1"/>
    <x v="6"/>
    <x v="127"/>
    <s v="Manager who explains what is expected, sets a goal and helps achieve it"/>
    <x v="3"/>
  </r>
  <r>
    <d v="2023-04-27T23:44:01"/>
    <s v="India"/>
    <n v="440035"/>
    <x v="1"/>
    <x v="1"/>
    <s v="No, But if someone could bare the cost I will"/>
    <s v="This will be hard to do, but if it is the right company I would try"/>
    <s v="No"/>
    <s v="Will NOT work for them"/>
    <n v="8"/>
    <x v="5"/>
    <x v="1"/>
    <x v="9"/>
    <x v="243"/>
    <s v="Manager who explains what is expected, sets a goal and helps achieve it"/>
    <x v="1"/>
  </r>
  <r>
    <d v="2023-04-27T23:45:06"/>
    <s v="India"/>
    <n v="390023"/>
    <x v="0"/>
    <x v="3"/>
    <s v="No I would not be pursuing Higher Education outside of India"/>
    <s v="This will be hard to do, but if it is the right company I would try"/>
    <s v="Yes"/>
    <s v="Will work for them"/>
    <n v="8"/>
    <x v="6"/>
    <x v="1"/>
    <x v="18"/>
    <x v="105"/>
    <s v="Manager who explains what is expected, sets a goal and helps achieve it"/>
    <x v="5"/>
  </r>
  <r>
    <d v="2023-04-27T23:48:42"/>
    <s v="India"/>
    <n v="440024"/>
    <x v="0"/>
    <x v="1"/>
    <s v="No I would not be pursuing Higher Education outside of India"/>
    <s v="Will work for 3 years or more"/>
    <s v="No"/>
    <s v="Will NOT work for them"/>
    <n v="5"/>
    <x v="1"/>
    <x v="0"/>
    <x v="21"/>
    <x v="321"/>
    <s v="Manager who explains what is expected, sets a goal and helps achieve it"/>
    <x v="2"/>
  </r>
  <r>
    <d v="2023-04-27T23:50:22"/>
    <s v="India"/>
    <n v="509110"/>
    <x v="1"/>
    <x v="4"/>
    <s v="Yes, I will earn and do that"/>
    <s v="Will work for 3 years or more"/>
    <s v="Yes"/>
    <s v="Will work for them"/>
    <n v="10"/>
    <x v="0"/>
    <x v="2"/>
    <x v="7"/>
    <x v="425"/>
    <s v="Manager who clearly describes what she/he needs"/>
    <x v="6"/>
  </r>
  <r>
    <d v="2023-04-27T23:50:30"/>
    <s v="India"/>
    <n v="679101"/>
    <x v="0"/>
    <x v="2"/>
    <s v="No, But if someone could bare the cost I will"/>
    <s v="This will be hard to do, but if it is the right company I would try"/>
    <s v="No"/>
    <s v="Will NOT work for them"/>
    <n v="5"/>
    <x v="6"/>
    <x v="0"/>
    <x v="9"/>
    <x v="426"/>
    <s v="Manager who explains what is expected, sets a goal and helps achieve it"/>
    <x v="3"/>
  </r>
  <r>
    <d v="2023-04-27T23:50:38"/>
    <s v="India"/>
    <n v="535145"/>
    <x v="0"/>
    <x v="4"/>
    <s v="No I would not be pursuing Higher Education outside of India"/>
    <s v="Will work for 3 years or more"/>
    <s v="No"/>
    <s v="Will NOT work for them"/>
    <n v="8"/>
    <x v="5"/>
    <x v="1"/>
    <x v="9"/>
    <x v="180"/>
    <s v="Manager who clearly describes what she/he needs"/>
    <x v="1"/>
  </r>
  <r>
    <d v="2023-04-27T23:57:33"/>
    <s v="India"/>
    <n v="440008"/>
    <x v="1"/>
    <x v="0"/>
    <s v="No I would not be pursuing Higher Education outside of India"/>
    <s v="This will be hard to do, but if it is the right company I would try"/>
    <s v="No"/>
    <s v="Will NOT work for them"/>
    <n v="1"/>
    <x v="1"/>
    <x v="1"/>
    <x v="7"/>
    <x v="427"/>
    <s v="Manager who explains what is expected, sets a goal and helps achieve it"/>
    <x v="3"/>
  </r>
  <r>
    <d v="2023-04-27T23:57:49"/>
    <s v="India"/>
    <n v="500062"/>
    <x v="0"/>
    <x v="4"/>
    <s v="No I would not be pursuing Higher Education outside of India"/>
    <s v="Will work for 3 years or more"/>
    <s v="No"/>
    <s v="Will NOT work for them"/>
    <n v="1"/>
    <x v="6"/>
    <x v="1"/>
    <x v="11"/>
    <x v="267"/>
    <s v="Manager who explains what is expected, sets a goal and helps achieve it"/>
    <x v="7"/>
  </r>
  <r>
    <d v="2023-04-28T00:02:07"/>
    <s v="India"/>
    <n v="679103"/>
    <x v="1"/>
    <x v="3"/>
    <s v="Yes, I will earn and do that"/>
    <s v="This will be hard to do, but if it is the right company I would try"/>
    <s v="No"/>
    <s v="Will NOT work for them"/>
    <n v="1"/>
    <x v="3"/>
    <x v="2"/>
    <x v="14"/>
    <x v="291"/>
    <s v="Manager who clearly describes what she/he needs"/>
    <x v="4"/>
  </r>
  <r>
    <d v="2023-04-28T00:03:05"/>
    <s v="India"/>
    <n v="500007"/>
    <x v="0"/>
    <x v="3"/>
    <s v="Yes, I will earn and do that"/>
    <s v="Will work for 3 years or more"/>
    <s v="No"/>
    <s v="Will NOT work for them"/>
    <n v="8"/>
    <x v="3"/>
    <x v="3"/>
    <x v="11"/>
    <x v="161"/>
    <s v="Manager who sets goal and helps me achieve it"/>
    <x v="6"/>
  </r>
  <r>
    <d v="2023-04-28T00:09:12"/>
    <s v="India"/>
    <n v="440008"/>
    <x v="1"/>
    <x v="1"/>
    <s v="Yes, I will earn and do that"/>
    <s v="Will work for 3 years or more"/>
    <s v="No"/>
    <s v="Will NOT work for them"/>
    <n v="5"/>
    <x v="1"/>
    <x v="4"/>
    <x v="18"/>
    <x v="428"/>
    <s v="Manager who explains what is expected, sets a goal and helps achieve it"/>
    <x v="3"/>
  </r>
  <r>
    <d v="2023-04-28T00:11:13"/>
    <s v="India"/>
    <n v="803110"/>
    <x v="0"/>
    <x v="0"/>
    <s v="No, But if someone could bare the cost I will"/>
    <s v="No way"/>
    <s v="Yes"/>
    <s v="Will work for them"/>
    <n v="7"/>
    <x v="6"/>
    <x v="1"/>
    <x v="22"/>
    <x v="429"/>
    <s v="Manager who sets targets and expects me to achieve it"/>
    <x v="1"/>
  </r>
  <r>
    <d v="2023-04-28T00:14:41"/>
    <s v="India"/>
    <n v="401303"/>
    <x v="0"/>
    <x v="3"/>
    <s v="No I would not be pursuing Higher Education outside of India"/>
    <s v="Will work for 3 years or more"/>
    <s v="Yes"/>
    <s v="Will NOT work for them"/>
    <n v="7"/>
    <x v="3"/>
    <x v="1"/>
    <x v="15"/>
    <x v="108"/>
    <s v="Manager who explains what is expected, sets a goal and helps achieve it"/>
    <x v="5"/>
  </r>
  <r>
    <d v="2023-04-28T00:15:03"/>
    <s v="United States of America"/>
    <n v="90001"/>
    <x v="0"/>
    <x v="3"/>
    <s v="No I would not be pursuing Higher Education outside of India"/>
    <s v="This will be hard to do, but if it is the right company I would try"/>
    <s v="No"/>
    <s v="Will NOT work for them"/>
    <n v="9"/>
    <x v="3"/>
    <x v="2"/>
    <x v="7"/>
    <x v="340"/>
    <s v="Manager who explains what is expected, sets a goal and helps achieve it"/>
    <x v="4"/>
  </r>
  <r>
    <d v="2023-04-28T00:15:29"/>
    <s v="India"/>
    <n v="281001"/>
    <x v="0"/>
    <x v="2"/>
    <s v="No I would not be pursuing Higher Education outside of India"/>
    <s v="This will be hard to do, but if it is the right company I would try"/>
    <s v="No"/>
    <s v="Will NOT work for them"/>
    <n v="8"/>
    <x v="1"/>
    <x v="2"/>
    <x v="18"/>
    <x v="373"/>
    <s v="Manager who explains what is expected, sets a goal and helps achieve it"/>
    <x v="3"/>
  </r>
  <r>
    <d v="2023-04-28T00:16:52"/>
    <s v="India"/>
    <n v="440018"/>
    <x v="0"/>
    <x v="3"/>
    <s v="Yes, I will earn and do that"/>
    <s v="This will be hard to do, but if it is the right company I would try"/>
    <s v="Yes"/>
    <s v="Will NOT work for them"/>
    <n v="2"/>
    <x v="6"/>
    <x v="1"/>
    <x v="17"/>
    <x v="371"/>
    <s v="Manager who explains what is expected, sets a goal and helps achieve it"/>
    <x v="7"/>
  </r>
  <r>
    <d v="2023-04-28T00:23:34"/>
    <s v="India"/>
    <n v="760004"/>
    <x v="0"/>
    <x v="4"/>
    <s v="No, But if someone could bare the cost I will"/>
    <s v="This will be hard to do, but if it is the right company I would try"/>
    <s v="No"/>
    <s v="Will NOT work for them"/>
    <n v="1"/>
    <x v="6"/>
    <x v="1"/>
    <x v="17"/>
    <x v="171"/>
    <s v="Manager who explains what is expected, sets a goal and helps achieve it"/>
    <x v="6"/>
  </r>
  <r>
    <d v="2023-04-28T00:28:58"/>
    <s v="India"/>
    <n v="440008"/>
    <x v="1"/>
    <x v="4"/>
    <s v="No, But if someone could bare the cost I will"/>
    <s v="This will be hard to do, but if it is the right company I would try"/>
    <s v="Yes"/>
    <s v="Will NOT work for them"/>
    <n v="7"/>
    <x v="1"/>
    <x v="1"/>
    <x v="13"/>
    <x v="430"/>
    <s v="Manager who sets goal and helps me achieve it"/>
    <x v="3"/>
  </r>
  <r>
    <d v="2023-04-28T00:45:50"/>
    <s v="India"/>
    <n v="560100"/>
    <x v="1"/>
    <x v="3"/>
    <s v="Yes, I will earn and do that"/>
    <s v="Will work for 3 years or more"/>
    <s v="Yes"/>
    <s v="Will work for them"/>
    <n v="5"/>
    <x v="5"/>
    <x v="2"/>
    <x v="9"/>
    <x v="111"/>
    <s v="Manager who explains what is expected, sets a goal and helps achieve it"/>
    <x v="1"/>
  </r>
  <r>
    <d v="2023-04-28T00:46:03"/>
    <s v="India"/>
    <n v="440024"/>
    <x v="1"/>
    <x v="3"/>
    <s v="Yes, I will earn and do that"/>
    <s v="This will be hard to do, but if it is the right company I would try"/>
    <s v="No"/>
    <s v="Will NOT work for them"/>
    <n v="6"/>
    <x v="6"/>
    <x v="0"/>
    <x v="6"/>
    <x v="247"/>
    <s v="Manager who explains what is expected, sets a goal and helps achieve it"/>
    <x v="1"/>
  </r>
  <r>
    <d v="2023-04-28T01:03:21"/>
    <s v="India"/>
    <n v="121009"/>
    <x v="1"/>
    <x v="4"/>
    <s v="Yes, I will earn and do that"/>
    <s v="This will be hard to do, but if it is the right company I would try"/>
    <s v="No"/>
    <s v="Will NOT work for them"/>
    <n v="2"/>
    <x v="3"/>
    <x v="2"/>
    <x v="8"/>
    <x v="431"/>
    <s v="Manager who explains what is expected, sets a goal and helps achieve it"/>
    <x v="3"/>
  </r>
  <r>
    <d v="2023-04-28T01:10:18"/>
    <s v="India"/>
    <n v="490023"/>
    <x v="0"/>
    <x v="0"/>
    <s v="No I would not be pursuing Higher Education outside of India"/>
    <s v="Will work for 3 years or more"/>
    <s v="No"/>
    <s v="Will work for them"/>
    <n v="8"/>
    <x v="6"/>
    <x v="1"/>
    <x v="19"/>
    <x v="143"/>
    <s v="Manager who explains what is expected, sets a goal and helps achieve it"/>
    <x v="2"/>
  </r>
  <r>
    <d v="2023-04-28T01:11:52"/>
    <s v="India"/>
    <n v="500062"/>
    <x v="1"/>
    <x v="4"/>
    <s v="Yes, I will earn and do that"/>
    <s v="This will be hard to do, but if it is the right company I would try"/>
    <s v="No"/>
    <s v="Will NOT work for them"/>
    <n v="5"/>
    <x v="5"/>
    <x v="2"/>
    <x v="9"/>
    <x v="140"/>
    <s v="Manager who clearly describes what she/he needs"/>
    <x v="8"/>
  </r>
  <r>
    <d v="2023-04-28T01:17:18"/>
    <s v="India"/>
    <n v="524001"/>
    <x v="1"/>
    <x v="3"/>
    <s v="No I would not be pursuing Higher Education outside of India"/>
    <s v="This will be hard to do, but if it is the right company I would try"/>
    <s v="No"/>
    <s v="Will work for them"/>
    <n v="6"/>
    <x v="1"/>
    <x v="0"/>
    <x v="8"/>
    <x v="432"/>
    <s v="Manager who explains what is expected, sets a goal and helps achieve it"/>
    <x v="3"/>
  </r>
  <r>
    <d v="2023-04-28T01:24:43"/>
    <s v="India"/>
    <n v="500097"/>
    <x v="1"/>
    <x v="3"/>
    <s v="No, But if someone could bare the cost I will"/>
    <s v="Will work for 3 years or more"/>
    <s v="No"/>
    <s v="Will NOT work for them"/>
    <n v="1"/>
    <x v="5"/>
    <x v="0"/>
    <x v="9"/>
    <x v="301"/>
    <s v="Manager who sets goal and helps me achieve it"/>
    <x v="1"/>
  </r>
  <r>
    <d v="2023-04-28T02:28:12"/>
    <s v="India"/>
    <n v="600122"/>
    <x v="1"/>
    <x v="2"/>
    <s v="Yes, I will earn and do that"/>
    <s v="This will be hard to do, but if it is the right company I would try"/>
    <s v="No"/>
    <s v="Will NOT work for them"/>
    <n v="1"/>
    <x v="3"/>
    <x v="2"/>
    <x v="9"/>
    <x v="134"/>
    <s v="Manager who explains what is expected, sets a goal and helps achieve it"/>
    <x v="4"/>
  </r>
  <r>
    <d v="2023-04-28T03:47:19"/>
    <s v="India"/>
    <n v="600049"/>
    <x v="1"/>
    <x v="2"/>
    <s v="No, But if someone could bare the cost I will"/>
    <s v="Will work for 3 years or more"/>
    <s v="No"/>
    <s v="Will work for them"/>
    <n v="8"/>
    <x v="6"/>
    <x v="1"/>
    <x v="11"/>
    <x v="278"/>
    <s v="Manager who explains what is expected, sets a goal and helps achieve it"/>
    <x v="9"/>
  </r>
  <r>
    <d v="2023-04-28T04:46:34"/>
    <s v="India"/>
    <n v="500047"/>
    <x v="0"/>
    <x v="0"/>
    <s v="No I would not be pursuing Higher Education outside of India"/>
    <s v="Will work for 3 years or more"/>
    <s v="No"/>
    <s v="Will NOT work for them"/>
    <n v="6"/>
    <x v="0"/>
    <x v="2"/>
    <x v="11"/>
    <x v="114"/>
    <s v="Manager who explains what is expected, sets a goal and helps achieve it"/>
    <x v="1"/>
  </r>
  <r>
    <d v="2023-04-28T04:54:01"/>
    <s v="Others"/>
    <s v="GL50"/>
    <x v="1"/>
    <x v="0"/>
    <s v="Yes, I will earn and do that"/>
    <s v="Will work for 3 years or more"/>
    <s v="No"/>
    <s v="Will NOT work for them"/>
    <n v="8"/>
    <x v="1"/>
    <x v="1"/>
    <x v="11"/>
    <x v="433"/>
    <s v="Manager who explains what is expected, sets a goal and helps achieve it"/>
    <x v="4"/>
  </r>
  <r>
    <d v="2023-04-28T05:11:22"/>
    <s v="India"/>
    <n v="500037"/>
    <x v="0"/>
    <x v="0"/>
    <s v="No, But if someone could bare the cost I will"/>
    <s v="Will work for 3 years or more"/>
    <s v="Yes"/>
    <s v="Will work for them"/>
    <n v="5"/>
    <x v="3"/>
    <x v="0"/>
    <x v="9"/>
    <x v="318"/>
    <s v="Manager who explains what is expected, sets a goal and helps achieve it"/>
    <x v="3"/>
  </r>
  <r>
    <d v="2023-04-28T05:18:40"/>
    <s v="India"/>
    <n v="501218"/>
    <x v="1"/>
    <x v="4"/>
    <s v="No, But if someone could bare the cost I will"/>
    <s v="This will be hard to do, but if it is the right company I would try"/>
    <s v="Yes"/>
    <s v="Will NOT work for them"/>
    <n v="8"/>
    <x v="5"/>
    <x v="1"/>
    <x v="7"/>
    <x v="419"/>
    <s v="Manager who explains what is expected, sets a goal and helps achieve it"/>
    <x v="3"/>
  </r>
  <r>
    <d v="2023-04-28T05:23:51"/>
    <s v="India"/>
    <n v="530046"/>
    <x v="1"/>
    <x v="4"/>
    <s v="No I would not be pursuing Higher Education outside of India"/>
    <s v="This will be hard to do, but if it is the right company I would try"/>
    <s v="No"/>
    <s v="Will NOT work for them"/>
    <n v="3"/>
    <x v="3"/>
    <x v="1"/>
    <x v="9"/>
    <x v="257"/>
    <s v="Manager who explains what is expected, sets a goal and helps achieve it"/>
    <x v="1"/>
  </r>
  <r>
    <d v="2023-04-28T06:03:44"/>
    <s v="India"/>
    <n v="530051"/>
    <x v="0"/>
    <x v="3"/>
    <s v="No I would not be pursuing Higher Education outside of India"/>
    <s v="This will be hard to do, but if it is the right company I would try"/>
    <s v="No"/>
    <s v="Will NOT work for them"/>
    <n v="5"/>
    <x v="1"/>
    <x v="1"/>
    <x v="7"/>
    <x v="245"/>
    <s v="Manager who explains what is expected, sets a goal and helps achieve it"/>
    <x v="3"/>
  </r>
  <r>
    <d v="2023-04-28T06:16:29"/>
    <s v="India"/>
    <n v="501510"/>
    <x v="1"/>
    <x v="4"/>
    <s v="Yes, I will earn and do that"/>
    <s v="Will work for 3 years or more"/>
    <s v="No"/>
    <s v="Will NOT work for them"/>
    <n v="5"/>
    <x v="1"/>
    <x v="1"/>
    <x v="15"/>
    <x v="434"/>
    <s v="Manager who sets goal and helps me achieve it"/>
    <x v="1"/>
  </r>
  <r>
    <d v="2023-04-28T06:19:31"/>
    <s v="India"/>
    <n v="530051"/>
    <x v="1"/>
    <x v="4"/>
    <s v="Yes, I will earn and do that"/>
    <s v="No way"/>
    <s v="No"/>
    <s v="Will NOT work for them"/>
    <n v="1"/>
    <x v="1"/>
    <x v="1"/>
    <x v="9"/>
    <x v="315"/>
    <s v="Manager who explains what is expected, sets a goal and helps achieve it"/>
    <x v="3"/>
  </r>
  <r>
    <d v="2023-04-28T06:22:29"/>
    <s v="India"/>
    <n v="530029"/>
    <x v="0"/>
    <x v="2"/>
    <s v="No, But if someone could bare the cost I will"/>
    <s v="This will be hard to do, but if it is the right company I would try"/>
    <s v="No"/>
    <s v="Will NOT work for them"/>
    <n v="1"/>
    <x v="1"/>
    <x v="2"/>
    <x v="11"/>
    <x v="403"/>
    <s v="Manager who explains what is expected, sets a goal and helps achieve it"/>
    <x v="1"/>
  </r>
  <r>
    <d v="2023-04-28T06:23:52"/>
    <s v="India"/>
    <n v="530007"/>
    <x v="1"/>
    <x v="2"/>
    <s v="No I would not be pursuing Higher Education outside of India"/>
    <s v="This will be hard to do, but if it is the right company I would try"/>
    <s v="No"/>
    <s v="Will NOT work for them"/>
    <n v="4"/>
    <x v="1"/>
    <x v="1"/>
    <x v="9"/>
    <x v="435"/>
    <s v="Manager who explains what is expected, sets a goal and helps achieve it"/>
    <x v="6"/>
  </r>
  <r>
    <d v="2023-04-28T06:28:47"/>
    <s v="India"/>
    <s v="Lahari"/>
    <x v="1"/>
    <x v="4"/>
    <s v="No, But if someone could bare the cost I will"/>
    <s v="Will work for 3 years or more"/>
    <s v="No"/>
    <s v="Will NOT work for them"/>
    <n v="4"/>
    <x v="6"/>
    <x v="2"/>
    <x v="7"/>
    <x v="132"/>
    <s v="Manager who sets targets and expects me to achieve it"/>
    <x v="1"/>
  </r>
  <r>
    <d v="2023-04-28T06:37:17"/>
    <s v="India"/>
    <n v="221304"/>
    <x v="0"/>
    <x v="0"/>
    <s v="No I would not be pursuing Higher Education outside of India"/>
    <s v="This will be hard to do, but if it is the right company I would try"/>
    <s v="No"/>
    <s v="Will NOT work for them"/>
    <n v="8"/>
    <x v="6"/>
    <x v="1"/>
    <x v="9"/>
    <x v="141"/>
    <s v="Manager who clearly describes what she/he needs"/>
    <x v="0"/>
  </r>
  <r>
    <d v="2023-04-28T06:47:00"/>
    <s v="India"/>
    <n v="110025"/>
    <x v="0"/>
    <x v="1"/>
    <s v="No I would not be pursuing Higher Education outside of India"/>
    <s v="This will be hard to do, but if it is the right company I would try"/>
    <s v="Yes"/>
    <s v="Will NOT work for them"/>
    <n v="4"/>
    <x v="1"/>
    <x v="1"/>
    <x v="8"/>
    <x v="109"/>
    <s v="Manager who explains what is expected, sets a goal and helps achieve it"/>
    <x v="1"/>
  </r>
  <r>
    <d v="2023-04-28T06:54:26"/>
    <s v="India"/>
    <n v="530029"/>
    <x v="1"/>
    <x v="0"/>
    <s v="Yes, I will earn and do that"/>
    <s v="Will work for 3 years or more"/>
    <s v="No"/>
    <s v="Will NOT work for them"/>
    <n v="5"/>
    <x v="3"/>
    <x v="1"/>
    <x v="7"/>
    <x v="164"/>
    <s v="Manager who explains what is expected, sets a goal and helps achieve it"/>
    <x v="7"/>
  </r>
  <r>
    <d v="2023-04-28T06:58:04"/>
    <s v="India"/>
    <n v="243001"/>
    <x v="1"/>
    <x v="4"/>
    <s v="Yes, I will earn and do that"/>
    <s v="This will be hard to do, but if it is the right company I would try"/>
    <s v="No"/>
    <s v="Will NOT work for them"/>
    <n v="10"/>
    <x v="1"/>
    <x v="1"/>
    <x v="7"/>
    <x v="436"/>
    <s v="Manager who sets goal and helps me achieve it"/>
    <x v="3"/>
  </r>
  <r>
    <d v="2023-04-28T07:10:28"/>
    <s v="India"/>
    <n v="530051"/>
    <x v="1"/>
    <x v="3"/>
    <s v="No I would not be pursuing Higher Education outside of India"/>
    <s v="This will be hard to do, but if it is the right company I would try"/>
    <s v="No"/>
    <s v="Will NOT work for them"/>
    <n v="5"/>
    <x v="6"/>
    <x v="1"/>
    <x v="9"/>
    <x v="437"/>
    <s v="Manager who clearly describes what she/he needs"/>
    <x v="3"/>
  </r>
  <r>
    <d v="2023-04-28T07:38:29"/>
    <s v="India"/>
    <n v="500098"/>
    <x v="0"/>
    <x v="0"/>
    <s v="Yes, I will earn and do that"/>
    <s v="This will be hard to do, but if it is the right company I would try"/>
    <s v="No"/>
    <s v="Will NOT work for them"/>
    <n v="9"/>
    <x v="1"/>
    <x v="1"/>
    <x v="16"/>
    <x v="373"/>
    <s v="Manager who clearly describes what she/he needs"/>
    <x v="6"/>
  </r>
  <r>
    <d v="2023-04-28T07:40:45"/>
    <s v="India"/>
    <n v="534197"/>
    <x v="0"/>
    <x v="3"/>
    <s v="No I would not be pursuing Higher Education outside of India"/>
    <s v="Will work for 3 years or more"/>
    <s v="No"/>
    <s v="Will NOT work for them"/>
    <n v="2"/>
    <x v="3"/>
    <x v="2"/>
    <x v="18"/>
    <x v="132"/>
    <s v="Manager who explains what is expected, sets a goal and helps achieve it"/>
    <x v="1"/>
  </r>
  <r>
    <d v="2023-04-28T07:51:55"/>
    <s v="India"/>
    <n v="535003"/>
    <x v="1"/>
    <x v="3"/>
    <s v="No, But if someone could bare the cost I will"/>
    <s v="This will be hard to do, but if it is the right company I would try"/>
    <s v="No"/>
    <s v="Will NOT work for them"/>
    <n v="1"/>
    <x v="6"/>
    <x v="1"/>
    <x v="9"/>
    <x v="438"/>
    <s v="Manager who explains what is expected, sets a goal and helps achieve it"/>
    <x v="2"/>
  </r>
  <r>
    <d v="2023-04-28T07:59:03"/>
    <s v="India"/>
    <n v="500082"/>
    <x v="1"/>
    <x v="0"/>
    <s v="No I would not be pursuing Higher Education outside of India"/>
    <s v="Will work for 3 years or more"/>
    <s v="No"/>
    <s v="Will NOT work for them"/>
    <n v="3"/>
    <x v="3"/>
    <x v="2"/>
    <x v="9"/>
    <x v="439"/>
    <s v="Manager who explains what is expected, sets a goal and helps achieve it"/>
    <x v="7"/>
  </r>
  <r>
    <d v="2023-04-28T08:02:37"/>
    <s v="India"/>
    <n v="395006"/>
    <x v="0"/>
    <x v="2"/>
    <s v="Yes, I will earn and do that"/>
    <s v="Will work for 3 years or more"/>
    <s v="No"/>
    <s v="Will NOT work for them"/>
    <n v="6"/>
    <x v="6"/>
    <x v="2"/>
    <x v="7"/>
    <x v="440"/>
    <s v="Manager who explains what is expected, sets a goal and helps achieve it"/>
    <x v="9"/>
  </r>
  <r>
    <d v="2023-04-28T08:05:51"/>
    <s v="India"/>
    <n v="500054"/>
    <x v="1"/>
    <x v="2"/>
    <s v="No I would not be pursuing Higher Education outside of India"/>
    <s v="This will be hard to do, but if it is the right company I would try"/>
    <s v="Yes"/>
    <s v="Will NOT work for them"/>
    <n v="5"/>
    <x v="6"/>
    <x v="1"/>
    <x v="18"/>
    <x v="168"/>
    <s v="Manager who explains what is expected, sets a goal and helps achieve it"/>
    <x v="1"/>
  </r>
  <r>
    <d v="2023-04-28T08:06:22"/>
    <s v="Others"/>
    <n v="4701"/>
    <x v="1"/>
    <x v="4"/>
    <s v="Yes, I will earn and do that"/>
    <s v="This will be hard to do, but if it is the right company I would try"/>
    <s v="No"/>
    <s v="Will NOT work for them"/>
    <n v="5"/>
    <x v="6"/>
    <x v="1"/>
    <x v="11"/>
    <x v="338"/>
    <s v="Manager who explains what is expected, sets a goal and helps achieve it"/>
    <x v="3"/>
  </r>
  <r>
    <d v="2023-04-28T08:11:06"/>
    <s v="India"/>
    <n v="600056"/>
    <x v="1"/>
    <x v="0"/>
    <s v="No I would not be pursuing Higher Education outside of India"/>
    <s v="This will be hard to do, but if it is the right company I would try"/>
    <s v="No"/>
    <s v="Will NOT work for them"/>
    <n v="2"/>
    <x v="6"/>
    <x v="1"/>
    <x v="17"/>
    <x v="197"/>
    <s v="Manager who explains what is expected, sets a goal and helps achieve it"/>
    <x v="1"/>
  </r>
  <r>
    <d v="2023-04-28T08:13:06"/>
    <s v="India"/>
    <n v="531031"/>
    <x v="0"/>
    <x v="0"/>
    <s v="No, But if someone could bare the cost I will"/>
    <s v="This will be hard to do, but if it is the right company I would try"/>
    <s v="No"/>
    <s v="Will NOT work for them"/>
    <n v="8"/>
    <x v="3"/>
    <x v="1"/>
    <x v="9"/>
    <x v="439"/>
    <s v="Manager who sets goal and helps me achieve it"/>
    <x v="4"/>
  </r>
  <r>
    <d v="2023-04-28T08:17:17"/>
    <s v="India"/>
    <n v="533435"/>
    <x v="0"/>
    <x v="4"/>
    <s v="Yes, I will earn and do that"/>
    <s v="Will work for 3 years or more"/>
    <s v="No"/>
    <s v="Will NOT work for them"/>
    <n v="6"/>
    <x v="6"/>
    <x v="1"/>
    <x v="22"/>
    <x v="200"/>
    <s v="Manager who explains what is expected, sets a goal and helps achieve it"/>
    <x v="15"/>
  </r>
  <r>
    <d v="2023-04-28T08:20:54"/>
    <s v="India"/>
    <n v="403801"/>
    <x v="1"/>
    <x v="0"/>
    <s v="Yes, I will earn and do that"/>
    <s v="Will work for 3 years or more"/>
    <s v="Yes"/>
    <s v="Will work for them"/>
    <n v="10"/>
    <x v="3"/>
    <x v="2"/>
    <x v="14"/>
    <x v="420"/>
    <s v="Manager who clearly describes what she/he needs"/>
    <x v="1"/>
  </r>
  <r>
    <d v="2023-04-28T08:25:09"/>
    <s v="India"/>
    <n v="424307"/>
    <x v="0"/>
    <x v="1"/>
    <s v="Yes, I will earn and do that"/>
    <s v="Will work for 3 years or more"/>
    <s v="No"/>
    <s v="Will NOT work for them"/>
    <n v="8"/>
    <x v="5"/>
    <x v="2"/>
    <x v="14"/>
    <x v="266"/>
    <s v="Manager who clearly describes what she/he needs"/>
    <x v="1"/>
  </r>
  <r>
    <d v="2023-04-28T08:25:13"/>
    <s v="India"/>
    <n v="201303"/>
    <x v="0"/>
    <x v="3"/>
    <s v="Yes, I will earn and do that"/>
    <s v="This will be hard to do, but if it is the right company I would try"/>
    <s v="No"/>
    <s v="Will work for them"/>
    <n v="6"/>
    <x v="1"/>
    <x v="1"/>
    <x v="17"/>
    <x v="118"/>
    <s v="Manager who explains what is expected, sets a goal and helps achieve it"/>
    <x v="1"/>
  </r>
  <r>
    <d v="2023-04-28T08:35:14"/>
    <s v="India"/>
    <n v="515122"/>
    <x v="1"/>
    <x v="3"/>
    <s v="Yes, I will earn and do that"/>
    <s v="This will be hard to do, but if it is the right company I would try"/>
    <s v="No"/>
    <s v="Will NOT work for them"/>
    <n v="5"/>
    <x v="0"/>
    <x v="2"/>
    <x v="6"/>
    <x v="243"/>
    <s v="Manager who explains what is expected, sets a goal and helps achieve it"/>
    <x v="7"/>
  </r>
  <r>
    <d v="2023-04-28T08:47:13"/>
    <s v="India"/>
    <n v="530026"/>
    <x v="1"/>
    <x v="0"/>
    <s v="Yes, I will earn and do that"/>
    <s v="This will be hard to do, but if it is the right company I would try"/>
    <s v="No"/>
    <s v="Will NOT work for them"/>
    <n v="8"/>
    <x v="5"/>
    <x v="2"/>
    <x v="9"/>
    <x v="140"/>
    <s v="Manager who sets unrealistic targets"/>
    <x v="1"/>
  </r>
  <r>
    <d v="2023-04-28T08:55:35"/>
    <s v="India"/>
    <n v="143602"/>
    <x v="0"/>
    <x v="0"/>
    <s v="No, But if someone could bare the cost I will"/>
    <s v="This will be hard to do, but if it is the right company I would try"/>
    <s v="Yes"/>
    <s v="Will work for them"/>
    <n v="9"/>
    <x v="6"/>
    <x v="3"/>
    <x v="19"/>
    <x v="441"/>
    <s v="Manager who explains what is expected, sets a goal and helps achieve it"/>
    <x v="1"/>
  </r>
  <r>
    <d v="2023-04-28T09:11:18"/>
    <s v="India"/>
    <n v="562106"/>
    <x v="0"/>
    <x v="0"/>
    <s v="Yes, I will earn and do that"/>
    <s v="This will be hard to do, but if it is the right company I would try"/>
    <s v="No"/>
    <s v="Will NOT work for them"/>
    <n v="5"/>
    <x v="1"/>
    <x v="1"/>
    <x v="6"/>
    <x v="442"/>
    <s v="Manager who explains what is expected, sets a goal and helps achieve it"/>
    <x v="1"/>
  </r>
  <r>
    <d v="2023-04-28T09:13:40"/>
    <s v="India"/>
    <n v="581336"/>
    <x v="0"/>
    <x v="4"/>
    <s v="No, But if someone could bare the cost I will"/>
    <s v="This will be hard to do, but if it is the right company I would try"/>
    <s v="No"/>
    <s v="Will NOT work for them"/>
    <n v="3"/>
    <x v="5"/>
    <x v="2"/>
    <x v="11"/>
    <x v="395"/>
    <s v="Manager who clearly describes what she/he needs"/>
    <x v="2"/>
  </r>
  <r>
    <d v="2023-04-28T09:14:28"/>
    <s v="India"/>
    <n v="440035"/>
    <x v="1"/>
    <x v="4"/>
    <s v="Yes, I will earn and do that"/>
    <s v="Will work for 3 years or more"/>
    <s v="No"/>
    <s v="Will NOT work for them"/>
    <n v="1"/>
    <x v="1"/>
    <x v="1"/>
    <x v="7"/>
    <x v="285"/>
    <s v="Manager who explains what is expected, sets a goal and helps achieve it"/>
    <x v="3"/>
  </r>
  <r>
    <d v="2023-04-28T09:18:56"/>
    <s v="India"/>
    <n v="423203"/>
    <x v="0"/>
    <x v="3"/>
    <s v="No I would not be pursuing Higher Education outside of India"/>
    <s v="This will be hard to do, but if it is the right company I would try"/>
    <s v="No"/>
    <s v="Will NOT work for them"/>
    <n v="3"/>
    <x v="1"/>
    <x v="4"/>
    <x v="8"/>
    <x v="109"/>
    <s v="Manager who explains what is expected, sets a goal and helps achieve it"/>
    <x v="3"/>
  </r>
  <r>
    <d v="2023-04-28T09:24:10"/>
    <s v="India"/>
    <n v="201204"/>
    <x v="1"/>
    <x v="4"/>
    <s v="Yes, I will earn and do that"/>
    <s v="Will work for 3 years or more"/>
    <s v="No"/>
    <s v="Will NOT work for them"/>
    <n v="5"/>
    <x v="3"/>
    <x v="2"/>
    <x v="9"/>
    <x v="443"/>
    <s v="Manager who sets goal and helps me achieve it"/>
    <x v="6"/>
  </r>
  <r>
    <d v="2023-04-28T09:37:43"/>
    <s v="India"/>
    <n v="534002"/>
    <x v="1"/>
    <x v="4"/>
    <s v="No I would not be pursuing Higher Education outside of India"/>
    <s v="Will work for 3 years or more"/>
    <s v="No"/>
    <s v="Will NOT work for them"/>
    <n v="3"/>
    <x v="6"/>
    <x v="0"/>
    <x v="7"/>
    <x v="132"/>
    <s v="Manager who clearly describes what she/he needs"/>
    <x v="0"/>
  </r>
  <r>
    <d v="2023-04-28T09:48:46"/>
    <s v="India"/>
    <n v="560068"/>
    <x v="1"/>
    <x v="4"/>
    <s v="Yes, I will earn and do that"/>
    <s v="This will be hard to do, but if it is the right company I would try"/>
    <s v="No"/>
    <s v="Will NOT work for them"/>
    <n v="5"/>
    <x v="1"/>
    <x v="1"/>
    <x v="6"/>
    <x v="362"/>
    <s v="Manager who explains what is expected, sets a goal and helps achieve it"/>
    <x v="1"/>
  </r>
  <r>
    <d v="2023-04-28T09:52:50"/>
    <s v="India"/>
    <n v="530002"/>
    <x v="1"/>
    <x v="0"/>
    <s v="Yes, I will earn and do that"/>
    <s v="This will be hard to do, but if it is the right company I would try"/>
    <s v="No"/>
    <s v="Will NOT work for them"/>
    <n v="3"/>
    <x v="1"/>
    <x v="1"/>
    <x v="11"/>
    <x v="331"/>
    <s v="Manager who explains what is expected, sets a goal and helps achieve it"/>
    <x v="1"/>
  </r>
  <r>
    <d v="2023-04-28T09:57:53"/>
    <s v="India"/>
    <n v="560079"/>
    <x v="0"/>
    <x v="4"/>
    <s v="Yes, I will earn and do that"/>
    <s v="Will work for 3 years or more"/>
    <s v="Yes"/>
    <s v="Will work for them"/>
    <n v="5"/>
    <x v="3"/>
    <x v="1"/>
    <x v="15"/>
    <x v="444"/>
    <s v="Manager who clearly describes what she/he needs"/>
    <x v="4"/>
  </r>
  <r>
    <d v="2023-04-28T10:03:25"/>
    <s v="India"/>
    <n v="530002"/>
    <x v="1"/>
    <x v="0"/>
    <s v="No, But if someone could bare the cost I will"/>
    <s v="This will be hard to do, but if it is the right company I would try"/>
    <s v="No"/>
    <s v="Will NOT work for them"/>
    <n v="6"/>
    <x v="6"/>
    <x v="1"/>
    <x v="6"/>
    <x v="114"/>
    <s v="Manager who explains what is expected, sets a goal and helps achieve it"/>
    <x v="3"/>
  </r>
  <r>
    <d v="2023-04-28T10:04:59"/>
    <s v="India"/>
    <n v="110091"/>
    <x v="0"/>
    <x v="2"/>
    <s v="No, But if someone could bare the cost I will"/>
    <s v="Will work for 3 years or more"/>
    <s v="No"/>
    <s v="Will NOT work for them"/>
    <n v="10"/>
    <x v="3"/>
    <x v="1"/>
    <x v="6"/>
    <x v="124"/>
    <s v="Manager who explains what is expected, sets a goal and helps achieve it"/>
    <x v="1"/>
  </r>
  <r>
    <d v="2023-04-28T10:06:49"/>
    <s v="India"/>
    <n v="560100"/>
    <x v="0"/>
    <x v="4"/>
    <s v="Yes, I will earn and do that"/>
    <s v="Will work for 3 years or more"/>
    <s v="No"/>
    <s v="Will work for them"/>
    <n v="4"/>
    <x v="1"/>
    <x v="0"/>
    <x v="14"/>
    <x v="445"/>
    <s v="Manager who clearly describes what she/he needs"/>
    <x v="6"/>
  </r>
  <r>
    <d v="2023-04-28T10:07:03"/>
    <s v="India"/>
    <n v="530024"/>
    <x v="0"/>
    <x v="2"/>
    <s v="Yes, I will earn and do that"/>
    <s v="This will be hard to do, but if it is the right company I would try"/>
    <s v="No"/>
    <s v="Will NOT work for them"/>
    <n v="8"/>
    <x v="6"/>
    <x v="2"/>
    <x v="19"/>
    <x v="301"/>
    <s v="Manager who clearly describes what she/he needs"/>
    <x v="1"/>
  </r>
  <r>
    <d v="2023-04-28T10:09:44"/>
    <s v="India"/>
    <n v="533005"/>
    <x v="1"/>
    <x v="0"/>
    <s v="Yes, I will earn and do that"/>
    <s v="This will be hard to do, but if it is the right company I would try"/>
    <s v="No"/>
    <s v="Will NOT work for them"/>
    <n v="7"/>
    <x v="6"/>
    <x v="2"/>
    <x v="8"/>
    <x v="101"/>
    <s v="Manager who explains what is expected, sets a goal and helps achieve it"/>
    <x v="3"/>
  </r>
  <r>
    <d v="2023-04-28T10:10:36"/>
    <s v="India"/>
    <n v="501301"/>
    <x v="0"/>
    <x v="2"/>
    <s v="Yes, I will earn and do that"/>
    <s v="This will be hard to do, but if it is the right company I would try"/>
    <s v="No"/>
    <s v="Will NOT work for them"/>
    <n v="6"/>
    <x v="6"/>
    <x v="1"/>
    <x v="7"/>
    <x v="194"/>
    <s v="Manager who explains what is expected, sets a goal and helps achieve it"/>
    <x v="11"/>
  </r>
  <r>
    <d v="2023-04-28T10:11:44"/>
    <s v="India"/>
    <n v="562112"/>
    <x v="0"/>
    <x v="0"/>
    <s v="No, But if someone could bare the cost I will"/>
    <s v="This will be hard to do, but if it is the right company I would try"/>
    <s v="Yes"/>
    <s v="Will NOT work for them"/>
    <n v="2"/>
    <x v="5"/>
    <x v="1"/>
    <x v="24"/>
    <x v="446"/>
    <s v="Manager who clearly describes what she/he needs"/>
    <x v="9"/>
  </r>
  <r>
    <d v="2023-04-28T10:13:08"/>
    <s v="India"/>
    <n v="500085"/>
    <x v="0"/>
    <x v="4"/>
    <s v="Yes, I will earn and do that"/>
    <s v="This will be hard to do, but if it is the right company I would try"/>
    <s v="No"/>
    <s v="Will NOT work for them"/>
    <n v="6"/>
    <x v="3"/>
    <x v="2"/>
    <x v="20"/>
    <x v="251"/>
    <s v="Manager who clearly describes what she/he needs"/>
    <x v="4"/>
  </r>
  <r>
    <d v="2023-04-28T10:22:51"/>
    <s v="India"/>
    <n v="110091"/>
    <x v="0"/>
    <x v="3"/>
    <s v="Yes, I will earn and do that"/>
    <s v="Will work for 3 years or more"/>
    <s v="No"/>
    <s v="Will NOT work for them"/>
    <n v="7"/>
    <x v="6"/>
    <x v="0"/>
    <x v="11"/>
    <x v="194"/>
    <s v="Manager who sets goal and helps me achieve it"/>
    <x v="15"/>
  </r>
  <r>
    <d v="2023-04-28T10:23:42"/>
    <s v="India"/>
    <n v="560067"/>
    <x v="0"/>
    <x v="4"/>
    <s v="No I would not be pursuing Higher Education outside of India"/>
    <s v="Will work for 3 years or more"/>
    <s v="Yes"/>
    <s v="Will work for them"/>
    <n v="7"/>
    <x v="5"/>
    <x v="1"/>
    <x v="9"/>
    <x v="160"/>
    <s v="Manager who explains what is expected, sets a goal and helps achieve it"/>
    <x v="7"/>
  </r>
  <r>
    <d v="2023-04-28T10:25:18"/>
    <s v="India"/>
    <n v="462001"/>
    <x v="1"/>
    <x v="3"/>
    <s v="Yes, I will earn and do that"/>
    <s v="This will be hard to do, but if it is the right company I would try"/>
    <s v="No"/>
    <s v="Will NOT work for them"/>
    <n v="6"/>
    <x v="6"/>
    <x v="1"/>
    <x v="15"/>
    <x v="109"/>
    <s v="Manager who explains what is expected, sets a goal and helps achieve it"/>
    <x v="1"/>
  </r>
  <r>
    <d v="2023-04-28T10:25:32"/>
    <s v="India"/>
    <n v="799006"/>
    <x v="0"/>
    <x v="4"/>
    <s v="Yes, I will earn and do that"/>
    <s v="No way"/>
    <s v="Yes"/>
    <s v="Will work for them"/>
    <n v="8"/>
    <x v="1"/>
    <x v="1"/>
    <x v="9"/>
    <x v="447"/>
    <s v="Manager who sets goal and helps me achieve it"/>
    <x v="2"/>
  </r>
  <r>
    <d v="2023-04-28T10:35:40"/>
    <s v="India"/>
    <n v="800024"/>
    <x v="0"/>
    <x v="4"/>
    <s v="No I would not be pursuing Higher Education outside of India"/>
    <s v="Will work for 3 years or more"/>
    <s v="No"/>
    <s v="Will NOT work for them"/>
    <n v="6"/>
    <x v="5"/>
    <x v="2"/>
    <x v="8"/>
    <x v="349"/>
    <s v="Manager who clearly describes what she/he needs"/>
    <x v="15"/>
  </r>
  <r>
    <d v="2023-04-28T10:36:34"/>
    <s v="United Arab Emirates"/>
    <n v="111111"/>
    <x v="0"/>
    <x v="3"/>
    <s v="No, But if someone could bare the cost I will"/>
    <s v="Will work for 3 years or more"/>
    <s v="No"/>
    <s v="Will NOT work for them"/>
    <n v="2"/>
    <x v="5"/>
    <x v="2"/>
    <x v="22"/>
    <x v="448"/>
    <s v="Manager who sets targets and expects me to achieve it"/>
    <x v="6"/>
  </r>
  <r>
    <d v="2023-04-28T10:39:28"/>
    <s v="India"/>
    <n v="700157"/>
    <x v="0"/>
    <x v="4"/>
    <s v="No I would not be pursuing Higher Education outside of India"/>
    <s v="This will be hard to do, but if it is the right company I would try"/>
    <s v="No"/>
    <s v="Will NOT work for them"/>
    <n v="5"/>
    <x v="3"/>
    <x v="0"/>
    <x v="7"/>
    <x v="403"/>
    <s v="Manager who sets goal and helps me achieve it"/>
    <x v="3"/>
  </r>
  <r>
    <d v="2023-04-28T10:42:20"/>
    <s v="India"/>
    <n v="533201"/>
    <x v="1"/>
    <x v="4"/>
    <s v="No I would not be pursuing Higher Education outside of India"/>
    <s v="Will work for 3 years or more"/>
    <s v="No"/>
    <s v="Will NOT work for them"/>
    <n v="6"/>
    <x v="5"/>
    <x v="1"/>
    <x v="7"/>
    <x v="449"/>
    <s v="Manager who explains what is expected, sets a goal and helps achieve it"/>
    <x v="11"/>
  </r>
  <r>
    <d v="2023-04-28T10:42:25"/>
    <s v="India"/>
    <n v="700056"/>
    <x v="0"/>
    <x v="4"/>
    <s v="No I would not be pursuing Higher Education outside of India"/>
    <s v="Will work for 3 years or more"/>
    <s v="No"/>
    <s v="Will NOT work for them"/>
    <n v="4"/>
    <x v="1"/>
    <x v="0"/>
    <x v="11"/>
    <x v="217"/>
    <s v="Manager who clearly describes what she/he needs"/>
    <x v="11"/>
  </r>
  <r>
    <d v="2023-04-28T10:42:28"/>
    <s v="India"/>
    <n v="641402"/>
    <x v="0"/>
    <x v="2"/>
    <s v="No I would not be pursuing Higher Education outside of India"/>
    <s v="Will work for 3 years or more"/>
    <s v="No"/>
    <s v="Will NOT work for them"/>
    <n v="5"/>
    <x v="1"/>
    <x v="1"/>
    <x v="11"/>
    <x v="197"/>
    <s v="Manager who clearly describes what she/he needs"/>
    <x v="3"/>
  </r>
  <r>
    <d v="2023-04-28T10:42:52"/>
    <s v="India"/>
    <n v="700036"/>
    <x v="0"/>
    <x v="2"/>
    <s v="No, But if someone could bare the cost I will"/>
    <s v="Will work for 3 years or more"/>
    <s v="No"/>
    <s v="Will NOT work for them"/>
    <n v="3"/>
    <x v="1"/>
    <x v="1"/>
    <x v="11"/>
    <x v="450"/>
    <s v="Manager who explains what is expected, sets a goal and helps achieve it"/>
    <x v="5"/>
  </r>
  <r>
    <d v="2023-04-28T10:44:07"/>
    <s v="India"/>
    <n v="560047"/>
    <x v="0"/>
    <x v="3"/>
    <s v="No, But if someone could bare the cost I will"/>
    <s v="This will be hard to do, but if it is the right company I would try"/>
    <s v="Yes"/>
    <s v="Will work for them"/>
    <n v="3"/>
    <x v="0"/>
    <x v="2"/>
    <x v="14"/>
    <x v="451"/>
    <s v="Manager who clearly describes what she/he needs"/>
    <x v="3"/>
  </r>
  <r>
    <d v="2023-04-28T10:44:46"/>
    <s v="India"/>
    <n v="400049"/>
    <x v="0"/>
    <x v="2"/>
    <s v="Yes, I will earn and do that"/>
    <s v="This will be hard to do, but if it is the right company I would try"/>
    <s v="No"/>
    <s v="Will NOT work for them"/>
    <n v="10"/>
    <x v="3"/>
    <x v="1"/>
    <x v="6"/>
    <x v="452"/>
    <s v="Manager who explains what is expected, sets a goal and helps achieve it"/>
    <x v="1"/>
  </r>
  <r>
    <d v="2023-04-28T10:45:06"/>
    <s v="India"/>
    <n v="741101"/>
    <x v="1"/>
    <x v="4"/>
    <s v="Yes, I will earn and do that"/>
    <s v="This will be hard to do, but if it is the right company I would try"/>
    <s v="No"/>
    <s v="Will NOT work for them"/>
    <n v="5"/>
    <x v="1"/>
    <x v="1"/>
    <x v="19"/>
    <x v="338"/>
    <s v="Manager who explains what is expected, sets a goal and helps achieve it"/>
    <x v="4"/>
  </r>
  <r>
    <d v="2023-04-28T10:45:47"/>
    <s v="India"/>
    <n v="700028"/>
    <x v="0"/>
    <x v="1"/>
    <s v="No I would not be pursuing Higher Education outside of India"/>
    <s v="Will work for 3 years or more"/>
    <s v="Yes"/>
    <s v="Will work for them"/>
    <n v="10"/>
    <x v="1"/>
    <x v="0"/>
    <x v="10"/>
    <x v="453"/>
    <s v="Manager who clearly describes what she/he needs"/>
    <x v="3"/>
  </r>
  <r>
    <d v="2023-04-28T10:46:11"/>
    <s v="India"/>
    <n v="700060"/>
    <x v="0"/>
    <x v="1"/>
    <s v="No, But if someone could bare the cost I will"/>
    <s v="This will be hard to do, but if it is the right company I would try"/>
    <s v="No"/>
    <s v="Will NOT work for them"/>
    <n v="5"/>
    <x v="0"/>
    <x v="1"/>
    <x v="8"/>
    <x v="454"/>
    <s v="Manager who explains what is expected, sets a goal and helps achieve it"/>
    <x v="3"/>
  </r>
  <r>
    <d v="2023-04-28T10:46:41"/>
    <s v="India"/>
    <n v="530040"/>
    <x v="1"/>
    <x v="0"/>
    <s v="No I would not be pursuing Higher Education outside of India"/>
    <s v="Will work for 3 years or more"/>
    <s v="No"/>
    <s v="Will NOT work for them"/>
    <n v="3"/>
    <x v="6"/>
    <x v="2"/>
    <x v="9"/>
    <x v="455"/>
    <s v="Manager who clearly describes what she/he needs"/>
    <x v="7"/>
  </r>
  <r>
    <d v="2023-04-28T10:46:42"/>
    <s v="India"/>
    <n v="563132"/>
    <x v="0"/>
    <x v="2"/>
    <s v="No I would not be pursuing Higher Education outside of India"/>
    <s v="This will be hard to do, but if it is the right company I would try"/>
    <s v="No"/>
    <s v="Will NOT work for them"/>
    <n v="1"/>
    <x v="5"/>
    <x v="2"/>
    <x v="18"/>
    <x v="243"/>
    <s v="Manager who explains what is expected, sets a goal and helps achieve it"/>
    <x v="1"/>
  </r>
  <r>
    <d v="2023-04-28T10:47:22"/>
    <s v="India"/>
    <n v="757001"/>
    <x v="0"/>
    <x v="4"/>
    <s v="Yes, I will earn and do that"/>
    <s v="Will work for 3 years or more"/>
    <s v="No"/>
    <s v="Will work for them"/>
    <n v="8"/>
    <x v="6"/>
    <x v="0"/>
    <x v="18"/>
    <x v="141"/>
    <s v="Manager who sets goal and helps me achieve it"/>
    <x v="1"/>
  </r>
  <r>
    <d v="2023-04-28T10:48:38"/>
    <s v="India"/>
    <n v="562106"/>
    <x v="0"/>
    <x v="3"/>
    <s v="Yes, I will earn and do that"/>
    <s v="This will be hard to do, but if it is the right company I would try"/>
    <s v="No"/>
    <s v="Will NOT work for them"/>
    <n v="1"/>
    <x v="5"/>
    <x v="1"/>
    <x v="8"/>
    <x v="456"/>
    <s v="Manager who sets goal and helps me achieve it"/>
    <x v="3"/>
  </r>
  <r>
    <d v="2023-04-28T10:50:46"/>
    <s v="India"/>
    <n v="700060"/>
    <x v="0"/>
    <x v="2"/>
    <s v="Yes, I will earn and do that"/>
    <s v="Will work for 3 years or more"/>
    <s v="Yes"/>
    <s v="Will work for them"/>
    <n v="10"/>
    <x v="3"/>
    <x v="1"/>
    <x v="11"/>
    <x v="281"/>
    <s v="Manager who explains what is expected, sets a goal and helps achieve it"/>
    <x v="15"/>
  </r>
  <r>
    <d v="2023-04-28T10:51:05"/>
    <s v="India"/>
    <n v="440008"/>
    <x v="0"/>
    <x v="1"/>
    <s v="Yes, I will earn and do that"/>
    <s v="Will work for 3 years or more"/>
    <s v="No"/>
    <s v="Will NOT work for them"/>
    <n v="5"/>
    <x v="1"/>
    <x v="2"/>
    <x v="11"/>
    <x v="101"/>
    <s v="Manager who explains what is expected, sets a goal and helps achieve it"/>
    <x v="1"/>
  </r>
  <r>
    <d v="2023-04-28T10:51:58"/>
    <s v="India"/>
    <n v="700040"/>
    <x v="0"/>
    <x v="0"/>
    <s v="No I would not be pursuing Higher Education outside of India"/>
    <s v="Will work for 3 years or more"/>
    <s v="No"/>
    <s v="Will NOT work for them"/>
    <n v="1"/>
    <x v="1"/>
    <x v="1"/>
    <x v="6"/>
    <x v="284"/>
    <s v="Manager who clearly describes what she/he needs"/>
    <x v="1"/>
  </r>
  <r>
    <d v="2023-04-28T10:52:00"/>
    <s v="India"/>
    <n v="700039"/>
    <x v="0"/>
    <x v="0"/>
    <s v="Yes, I will earn and do that"/>
    <s v="Will work for 3 years or more"/>
    <s v="No"/>
    <s v="Will NOT work for them"/>
    <n v="2"/>
    <x v="3"/>
    <x v="1"/>
    <x v="15"/>
    <x v="276"/>
    <s v="Manager who explains what is expected, sets a goal and helps achieve it"/>
    <x v="7"/>
  </r>
  <r>
    <d v="2023-04-28T10:52:07"/>
    <s v="India"/>
    <n v="563106"/>
    <x v="0"/>
    <x v="3"/>
    <s v="Yes, I will earn and do that"/>
    <s v="This will be hard to do, but if it is the right company I would try"/>
    <s v="No"/>
    <s v="Will NOT work for them"/>
    <n v="1"/>
    <x v="5"/>
    <x v="0"/>
    <x v="9"/>
    <x v="308"/>
    <s v="Manager who clearly describes what she/he needs"/>
    <x v="3"/>
  </r>
  <r>
    <d v="2023-04-28T10:54:33"/>
    <s v="India"/>
    <n v="760001"/>
    <x v="0"/>
    <x v="0"/>
    <s v="Yes, I will earn and do that"/>
    <s v="This will be hard to do, but if it is the right company I would try"/>
    <s v="No"/>
    <s v="Will NOT work for them"/>
    <n v="8"/>
    <x v="6"/>
    <x v="1"/>
    <x v="19"/>
    <x v="118"/>
    <s v="Manager who sets goal and helps me achieve it"/>
    <x v="15"/>
  </r>
  <r>
    <d v="2023-04-28T10:58:25"/>
    <s v="India"/>
    <n v="247001"/>
    <x v="0"/>
    <x v="4"/>
    <s v="No I would not be pursuing Higher Education outside of India"/>
    <s v="This will be hard to do, but if it is the right company I would try"/>
    <s v="No"/>
    <s v="Will NOT work for them"/>
    <n v="1"/>
    <x v="1"/>
    <x v="1"/>
    <x v="7"/>
    <x v="233"/>
    <s v="Manager who explains what is expected, sets a goal and helps achieve it"/>
    <x v="3"/>
  </r>
  <r>
    <d v="2023-04-28T10:58:58"/>
    <s v="India"/>
    <n v="208001"/>
    <x v="1"/>
    <x v="3"/>
    <s v="No I would not be pursuing Higher Education outside of India"/>
    <s v="Will work for 3 years or more"/>
    <s v="No"/>
    <s v="Will NOT work for them"/>
    <n v="3"/>
    <x v="6"/>
    <x v="1"/>
    <x v="22"/>
    <x v="111"/>
    <s v="Manager who explains what is expected, sets a goal and helps achieve it"/>
    <x v="16"/>
  </r>
  <r>
    <d v="2023-04-28T11:00:30"/>
    <s v="India"/>
    <n v="534002"/>
    <x v="1"/>
    <x v="4"/>
    <s v="Yes, I will earn and do that"/>
    <s v="This will be hard to do, but if it is the right company I would try"/>
    <s v="Yes"/>
    <s v="Will NOT work for them"/>
    <n v="3"/>
    <x v="6"/>
    <x v="2"/>
    <x v="17"/>
    <x v="161"/>
    <s v="Manager who sets goal and helps me achieve it"/>
    <x v="3"/>
  </r>
  <r>
    <d v="2023-04-28T11:00:35"/>
    <s v="India"/>
    <n v="500018"/>
    <x v="0"/>
    <x v="4"/>
    <s v="No, But if someone could bare the cost I will"/>
    <s v="This will be hard to do, but if it is the right company I would try"/>
    <s v="No"/>
    <s v="Will NOT work for them"/>
    <n v="7"/>
    <x v="5"/>
    <x v="2"/>
    <x v="18"/>
    <x v="430"/>
    <s v="Manager who explains what is expected, sets a goal and helps achieve it"/>
    <x v="1"/>
  </r>
  <r>
    <d v="2023-04-28T11:03:45"/>
    <s v="India"/>
    <n v="530001"/>
    <x v="1"/>
    <x v="2"/>
    <s v="No I would not be pursuing Higher Education outside of India"/>
    <s v="Will work for 3 years or more"/>
    <s v="No"/>
    <s v="Will NOT work for them"/>
    <n v="7"/>
    <x v="6"/>
    <x v="1"/>
    <x v="8"/>
    <x v="211"/>
    <s v="Manager who explains what is expected, sets a goal and helps achieve it"/>
    <x v="7"/>
  </r>
  <r>
    <d v="2023-04-28T11:07:28"/>
    <s v="India"/>
    <n v="533201"/>
    <x v="0"/>
    <x v="4"/>
    <s v="No I would not be pursuing Higher Education outside of India"/>
    <s v="Will work for 3 years or more"/>
    <s v="No"/>
    <s v="Will NOT work for them"/>
    <n v="6"/>
    <x v="6"/>
    <x v="2"/>
    <x v="7"/>
    <x v="198"/>
    <s v="Manager who sets goal and helps me achieve it"/>
    <x v="1"/>
  </r>
  <r>
    <d v="2023-04-28T11:07:35"/>
    <s v="India"/>
    <n v="826001"/>
    <x v="1"/>
    <x v="3"/>
    <s v="No I would not be pursuing Higher Education outside of India"/>
    <s v="This will be hard to do, but if it is the right company I would try"/>
    <s v="Yes"/>
    <s v="Will NOT work for them"/>
    <n v="9"/>
    <x v="6"/>
    <x v="2"/>
    <x v="8"/>
    <x v="110"/>
    <s v="Manager who clearly describes what she/he needs"/>
    <x v="11"/>
  </r>
  <r>
    <d v="2023-04-28T11:12:26"/>
    <s v="India"/>
    <n v="533211"/>
    <x v="0"/>
    <x v="4"/>
    <s v="No I would not be pursuing Higher Education outside of India"/>
    <s v="Will work for 3 years or more"/>
    <s v="Yes"/>
    <s v="Will work for them"/>
    <n v="10"/>
    <x v="3"/>
    <x v="0"/>
    <x v="12"/>
    <x v="457"/>
    <s v="Manager who sets targets and expects me to achieve it"/>
    <x v="7"/>
  </r>
  <r>
    <d v="2023-04-28T11:13:28"/>
    <s v="India"/>
    <n v="560047"/>
    <x v="1"/>
    <x v="4"/>
    <s v="Yes, I will earn and do that"/>
    <s v="This will be hard to do, but if it is the right company I would try"/>
    <s v="Yes"/>
    <s v="Will work for them"/>
    <n v="10"/>
    <x v="5"/>
    <x v="0"/>
    <x v="10"/>
    <x v="458"/>
    <s v="Manager who clearly describes what she/he needs"/>
    <x v="3"/>
  </r>
  <r>
    <d v="2023-04-28T11:14:49"/>
    <s v="India"/>
    <n v="421302"/>
    <x v="0"/>
    <x v="4"/>
    <s v="No, But if someone could bare the cost I will"/>
    <s v="This will be hard to do, but if it is the right company I would try"/>
    <s v="No"/>
    <s v="Will work for them"/>
    <n v="10"/>
    <x v="5"/>
    <x v="0"/>
    <x v="8"/>
    <x v="459"/>
    <s v="Manager who explains what is expected, sets a goal and helps achieve it"/>
    <x v="1"/>
  </r>
  <r>
    <d v="2023-04-28T11:16:27"/>
    <s v="India"/>
    <n v="395009"/>
    <x v="1"/>
    <x v="4"/>
    <s v="No I would not be pursuing Higher Education outside of India"/>
    <s v="Will work for 3 years or more"/>
    <s v="No"/>
    <s v="Will NOT work for them"/>
    <n v="4"/>
    <x v="5"/>
    <x v="1"/>
    <x v="15"/>
    <x v="124"/>
    <s v="Manager who explains what is expected, sets a goal and helps achieve it"/>
    <x v="0"/>
  </r>
  <r>
    <d v="2023-04-28T11:25:03"/>
    <s v="India"/>
    <n v="500018"/>
    <x v="1"/>
    <x v="4"/>
    <s v="Yes, I will earn and do that"/>
    <s v="This will be hard to do, but if it is the right company I would try"/>
    <s v="Yes"/>
    <s v="Will NOT work for them"/>
    <n v="2"/>
    <x v="6"/>
    <x v="1"/>
    <x v="16"/>
    <x v="174"/>
    <s v="Manager who sets goal and helps me achieve it"/>
    <x v="4"/>
  </r>
  <r>
    <d v="2023-04-28T11:25:41"/>
    <s v="India"/>
    <n v="793006"/>
    <x v="1"/>
    <x v="3"/>
    <s v="Yes, I will earn and do that"/>
    <s v="This will be hard to do, but if it is the right company I would try"/>
    <s v="No"/>
    <s v="Will NOT work for them"/>
    <n v="6"/>
    <x v="5"/>
    <x v="1"/>
    <x v="11"/>
    <x v="460"/>
    <s v="Manager who explains what is expected, sets a goal and helps achieve it"/>
    <x v="3"/>
  </r>
  <r>
    <d v="2023-04-28T11:25:42"/>
    <s v="India"/>
    <n v="560100"/>
    <x v="1"/>
    <x v="0"/>
    <s v="Yes, I will earn and do that"/>
    <s v="Will work for 3 years or more"/>
    <s v="No"/>
    <s v="Will NOT work for them"/>
    <n v="4"/>
    <x v="5"/>
    <x v="0"/>
    <x v="11"/>
    <x v="156"/>
    <s v="Manager who explains what is expected, sets a goal and helps achieve it"/>
    <x v="4"/>
  </r>
  <r>
    <d v="2023-04-28T11:30:57"/>
    <s v="India"/>
    <n v="110024"/>
    <x v="0"/>
    <x v="3"/>
    <s v="Yes, I will earn and do that"/>
    <s v="Will work for 3 years or more"/>
    <s v="No"/>
    <s v="Will NOT work for them"/>
    <n v="6"/>
    <x v="6"/>
    <x v="1"/>
    <x v="17"/>
    <x v="201"/>
    <s v="Manager who explains what is expected, sets a goal and helps achieve it"/>
    <x v="9"/>
  </r>
  <r>
    <d v="2023-04-28T11:31:12"/>
    <s v="India"/>
    <n v="761001"/>
    <x v="0"/>
    <x v="1"/>
    <s v="No I would not be pursuing Higher Education outside of India"/>
    <s v="This will be hard to do, but if it is the right company I would try"/>
    <s v="No"/>
    <s v="Will NOT work for them"/>
    <n v="4"/>
    <x v="5"/>
    <x v="2"/>
    <x v="18"/>
    <x v="179"/>
    <s v="Manager who explains what is expected, sets a goal and helps achieve it"/>
    <x v="2"/>
  </r>
  <r>
    <d v="2023-04-28T11:32:24"/>
    <s v="India"/>
    <n v="250001"/>
    <x v="1"/>
    <x v="2"/>
    <s v="No I would not be pursuing Higher Education outside of India"/>
    <s v="This will be hard to do, but if it is the right company I would try"/>
    <s v="No"/>
    <s v="Will NOT work for them"/>
    <n v="4"/>
    <x v="3"/>
    <x v="1"/>
    <x v="18"/>
    <x v="111"/>
    <s v="Manager who explains what is expected, sets a goal and helps achieve it"/>
    <x v="1"/>
  </r>
  <r>
    <d v="2023-04-28T11:38:51"/>
    <s v="India"/>
    <n v="500085"/>
    <x v="1"/>
    <x v="4"/>
    <s v="No I would not be pursuing Higher Education outside of India"/>
    <s v="Will work for 3 years or more"/>
    <s v="No"/>
    <s v="Will work for them"/>
    <n v="6"/>
    <x v="0"/>
    <x v="1"/>
    <x v="17"/>
    <x v="418"/>
    <s v="Manager who explains what is expected, sets a goal and helps achieve it"/>
    <x v="3"/>
  </r>
  <r>
    <d v="2023-04-28T11:40:24"/>
    <s v="India"/>
    <n v="700086"/>
    <x v="0"/>
    <x v="0"/>
    <s v="Yes, I will earn and do that"/>
    <s v="Will work for 3 years or more"/>
    <s v="No"/>
    <s v="Will NOT work for them"/>
    <n v="1"/>
    <x v="1"/>
    <x v="2"/>
    <x v="9"/>
    <x v="195"/>
    <s v="Manager who explains what is expected, sets a goal and helps achieve it"/>
    <x v="0"/>
  </r>
  <r>
    <d v="2023-04-28T11:43:03"/>
    <s v="India"/>
    <n v="500097"/>
    <x v="1"/>
    <x v="4"/>
    <s v="Yes, I will earn and do that"/>
    <s v="This will be hard to do, but if it is the right company I would try"/>
    <s v="Yes"/>
    <s v="Will NOT work for them"/>
    <n v="8"/>
    <x v="5"/>
    <x v="1"/>
    <x v="15"/>
    <x v="160"/>
    <s v="Manager who explains what is expected, sets a goal and helps achieve it"/>
    <x v="15"/>
  </r>
  <r>
    <d v="2023-04-28T11:46:53"/>
    <s v="India"/>
    <n v="826004"/>
    <x v="0"/>
    <x v="3"/>
    <s v="Yes, I will earn and do that"/>
    <s v="This will be hard to do, but if it is the right company I would try"/>
    <s v="No"/>
    <s v="Will NOT work for them"/>
    <n v="6"/>
    <x v="5"/>
    <x v="1"/>
    <x v="6"/>
    <x v="380"/>
    <s v="Manager who clearly describes what she/he needs"/>
    <x v="5"/>
  </r>
  <r>
    <d v="2023-04-28T11:50:06"/>
    <s v="India"/>
    <n v="414003"/>
    <x v="0"/>
    <x v="2"/>
    <s v="Yes, I will earn and do that"/>
    <s v="This will be hard to do, but if it is the right company I would try"/>
    <s v="No"/>
    <s v="Will NOT work for them"/>
    <n v="10"/>
    <x v="1"/>
    <x v="1"/>
    <x v="21"/>
    <x v="99"/>
    <s v="Manager who explains what is expected, sets a goal and helps achieve it"/>
    <x v="2"/>
  </r>
  <r>
    <d v="2023-04-28T11:54:39"/>
    <s v="India"/>
    <n v="500084"/>
    <x v="1"/>
    <x v="4"/>
    <s v="No I would not be pursuing Higher Education outside of India"/>
    <s v="This will be hard to do, but if it is the right company I would try"/>
    <s v="No"/>
    <s v="Will NOT work for them"/>
    <n v="1"/>
    <x v="6"/>
    <x v="1"/>
    <x v="9"/>
    <x v="461"/>
    <s v="Manager who explains what is expected, sets a goal and helps achieve it"/>
    <x v="4"/>
  </r>
  <r>
    <d v="2023-04-28T11:55:29"/>
    <s v="India"/>
    <n v="560091"/>
    <x v="1"/>
    <x v="3"/>
    <s v="No I would not be pursuing Higher Education outside of India"/>
    <s v="Will work for 3 years or more"/>
    <s v="No"/>
    <s v="Will NOT work for them"/>
    <n v="5"/>
    <x v="6"/>
    <x v="2"/>
    <x v="9"/>
    <x v="147"/>
    <s v="Manager who clearly describes what she/he needs"/>
    <x v="1"/>
  </r>
  <r>
    <d v="2023-04-28T11:57:58"/>
    <s v="India"/>
    <n v="560062"/>
    <x v="0"/>
    <x v="3"/>
    <s v="No I would not be pursuing Higher Education outside of India"/>
    <s v="Will work for 3 years or more"/>
    <s v="No"/>
    <s v="Will NOT work for them"/>
    <n v="5"/>
    <x v="6"/>
    <x v="1"/>
    <x v="10"/>
    <x v="462"/>
    <s v="Manager who explains what is expected, sets a goal and helps achieve it"/>
    <x v="1"/>
  </r>
  <r>
    <d v="2023-04-28T12:02:11"/>
    <s v="India"/>
    <n v="700053"/>
    <x v="0"/>
    <x v="0"/>
    <s v="No, But if someone could bare the cost I will"/>
    <s v="This will be hard to do, but if it is the right company I would try"/>
    <s v="No"/>
    <s v="Will NOT work for them"/>
    <n v="4"/>
    <x v="6"/>
    <x v="0"/>
    <x v="6"/>
    <x v="463"/>
    <s v="Manager who explains what is expected, sets a goal and helps achieve it"/>
    <x v="1"/>
  </r>
  <r>
    <d v="2023-04-28T12:14:55"/>
    <s v="India"/>
    <n v="570031"/>
    <x v="1"/>
    <x v="3"/>
    <s v="No I would not be pursuing Higher Education outside of India"/>
    <s v="Will work for 3 years or more"/>
    <s v="Yes"/>
    <s v="Will work for them"/>
    <n v="5"/>
    <x v="6"/>
    <x v="0"/>
    <x v="8"/>
    <x v="132"/>
    <s v="Manager who clearly describes what she/he needs"/>
    <x v="2"/>
  </r>
  <r>
    <d v="2023-04-28T12:18:50"/>
    <s v="India"/>
    <n v="700039"/>
    <x v="0"/>
    <x v="0"/>
    <s v="No, But if someone could bare the cost I will"/>
    <s v="Will work for 3 years or more"/>
    <s v="No"/>
    <s v="Will work for them"/>
    <n v="8"/>
    <x v="5"/>
    <x v="0"/>
    <x v="9"/>
    <x v="464"/>
    <s v="Manager who explains what is expected, sets a goal and helps achieve it"/>
    <x v="1"/>
  </r>
  <r>
    <d v="2023-04-28T12:23:50"/>
    <s v="India"/>
    <n v="825301"/>
    <x v="0"/>
    <x v="0"/>
    <s v="Yes, I will earn and do that"/>
    <s v="This will be hard to do, but if it is the right company I would try"/>
    <s v="Yes"/>
    <s v="Will NOT work for them"/>
    <n v="2"/>
    <x v="1"/>
    <x v="1"/>
    <x v="17"/>
    <x v="97"/>
    <s v="Manager who sets goal and helps me achieve it"/>
    <x v="7"/>
  </r>
  <r>
    <d v="2023-04-28T12:25:17"/>
    <s v="India"/>
    <n v="682316"/>
    <x v="1"/>
    <x v="3"/>
    <s v="Yes, I will earn and do that"/>
    <s v="This will be hard to do, but if it is the right company I would try"/>
    <s v="No"/>
    <s v="Will NOT work for them"/>
    <n v="8"/>
    <x v="3"/>
    <x v="2"/>
    <x v="9"/>
    <x v="279"/>
    <s v="Manager who explains what is expected, sets a goal and helps achieve it"/>
    <x v="3"/>
  </r>
  <r>
    <d v="2023-04-28T12:27:12"/>
    <s v="India"/>
    <n v="440034"/>
    <x v="0"/>
    <x v="3"/>
    <s v="Yes, I will earn and do that"/>
    <s v="This will be hard to do, but if it is the right company I would try"/>
    <s v="No"/>
    <s v="Will NOT work for them"/>
    <n v="8"/>
    <x v="6"/>
    <x v="2"/>
    <x v="19"/>
    <x v="224"/>
    <s v="Manager who explains what is expected, sets a goal and helps achieve it"/>
    <x v="3"/>
  </r>
  <r>
    <d v="2023-04-28T12:27:57"/>
    <s v="India"/>
    <n v="390022"/>
    <x v="1"/>
    <x v="1"/>
    <s v="No I would not be pursuing Higher Education outside of India"/>
    <s v="This will be hard to do, but if it is the right company I would try"/>
    <s v="No"/>
    <s v="Will NOT work for them"/>
    <n v="5"/>
    <x v="1"/>
    <x v="0"/>
    <x v="21"/>
    <x v="214"/>
    <s v="Manager who explains what is expected, sets a goal and helps achieve it"/>
    <x v="7"/>
  </r>
  <r>
    <d v="2023-04-28T12:28:07"/>
    <s v="India"/>
    <n v="560020"/>
    <x v="1"/>
    <x v="1"/>
    <s v="No, But if someone could bare the cost I will"/>
    <s v="Will work for 3 years or more"/>
    <s v="No"/>
    <s v="Will NOT work for them"/>
    <n v="5"/>
    <x v="1"/>
    <x v="0"/>
    <x v="11"/>
    <x v="308"/>
    <s v="Manager who explains what is expected, sets a goal and helps achieve it"/>
    <x v="1"/>
  </r>
  <r>
    <d v="2023-04-28T12:30:06"/>
    <s v="India"/>
    <n v="124001"/>
    <x v="0"/>
    <x v="4"/>
    <s v="No I would not be pursuing Higher Education outside of India"/>
    <s v="Will work for 3 years or more"/>
    <s v="No"/>
    <s v="Will NOT work for them"/>
    <n v="7"/>
    <x v="6"/>
    <x v="2"/>
    <x v="7"/>
    <x v="111"/>
    <s v="Manager who sets goal and helps me achieve it"/>
    <x v="3"/>
  </r>
  <r>
    <d v="2023-04-28T12:30:27"/>
    <s v="India"/>
    <n v="560100"/>
    <x v="1"/>
    <x v="0"/>
    <s v="No I would not be pursuing Higher Education outside of India"/>
    <s v="Will work for 3 years or more"/>
    <s v="No"/>
    <s v="Will NOT work for them"/>
    <n v="4"/>
    <x v="1"/>
    <x v="2"/>
    <x v="18"/>
    <x v="109"/>
    <s v="Manager who explains what is expected, sets a goal and helps achieve it"/>
    <x v="7"/>
  </r>
  <r>
    <d v="2023-04-28T12:30:28"/>
    <s v="India"/>
    <n v="390019"/>
    <x v="1"/>
    <x v="4"/>
    <s v="Yes, I will earn and do that"/>
    <s v="Will work for 3 years or more"/>
    <s v="No"/>
    <s v="Will NOT work for them"/>
    <n v="5"/>
    <x v="1"/>
    <x v="2"/>
    <x v="24"/>
    <x v="465"/>
    <s v="Manager who sets goal and helps me achieve it"/>
    <x v="1"/>
  </r>
  <r>
    <d v="2023-04-28T12:31:03"/>
    <s v="India"/>
    <n v="110093"/>
    <x v="0"/>
    <x v="0"/>
    <s v="Yes, I will earn and do that"/>
    <s v="Will work for 3 years or more"/>
    <s v="No"/>
    <s v="Will NOT work for them"/>
    <n v="5"/>
    <x v="3"/>
    <x v="1"/>
    <x v="9"/>
    <x v="420"/>
    <s v="Manager who sets goal and helps me achieve it"/>
    <x v="1"/>
  </r>
  <r>
    <d v="2023-04-28T12:36:27"/>
    <s v="India"/>
    <n v="411048"/>
    <x v="0"/>
    <x v="4"/>
    <s v="No I would not be pursuing Higher Education outside of India"/>
    <s v="Will work for 3 years or more"/>
    <s v="Yes"/>
    <s v="Will work for them"/>
    <n v="8"/>
    <x v="6"/>
    <x v="1"/>
    <x v="13"/>
    <x v="466"/>
    <s v="Manager who explains what is expected, sets a goal and helps achieve it"/>
    <x v="9"/>
  </r>
  <r>
    <d v="2023-04-28T12:38:38"/>
    <s v="India"/>
    <n v="828105"/>
    <x v="1"/>
    <x v="4"/>
    <s v="Yes, I will earn and do that"/>
    <s v="Will work for 3 years or more"/>
    <s v="Yes"/>
    <s v="Will NOT work for them"/>
    <n v="5"/>
    <x v="3"/>
    <x v="2"/>
    <x v="8"/>
    <x v="198"/>
    <s v="Manager who sets goal and helps me achieve it"/>
    <x v="3"/>
  </r>
  <r>
    <d v="2023-04-28T12:39:52"/>
    <s v="India"/>
    <n v="244412"/>
    <x v="0"/>
    <x v="0"/>
    <s v="Yes, I will earn and do that"/>
    <s v="This will be hard to do, but if it is the right company I would try"/>
    <s v="No"/>
    <s v="Will NOT work for them"/>
    <n v="2"/>
    <x v="1"/>
    <x v="1"/>
    <x v="19"/>
    <x v="119"/>
    <s v="Manager who explains what is expected, sets a goal and helps achieve it"/>
    <x v="8"/>
  </r>
  <r>
    <d v="2023-04-28T12:42:01"/>
    <s v="India"/>
    <n v="560047"/>
    <x v="1"/>
    <x v="3"/>
    <s v="Yes, I will earn and do that"/>
    <s v="This will be hard to do, but if it is the right company I would try"/>
    <s v="No"/>
    <s v="Will NOT work for them"/>
    <n v="5"/>
    <x v="1"/>
    <x v="2"/>
    <x v="7"/>
    <x v="158"/>
    <s v="Manager who sets goal and helps me achieve it"/>
    <x v="6"/>
  </r>
  <r>
    <d v="2023-04-28T12:43:34"/>
    <s v="Others"/>
    <n v="700032"/>
    <x v="1"/>
    <x v="0"/>
    <s v="No, But if someone could bare the cost I will"/>
    <s v="No way"/>
    <s v="Yes"/>
    <s v="Will work for them"/>
    <n v="5"/>
    <x v="0"/>
    <x v="4"/>
    <x v="9"/>
    <x v="467"/>
    <s v="Manager who sets goal and helps me achieve it"/>
    <x v="7"/>
  </r>
  <r>
    <d v="2023-04-28T12:45:59"/>
    <s v="India"/>
    <n v="508210"/>
    <x v="0"/>
    <x v="3"/>
    <s v="No I would not be pursuing Higher Education outside of India"/>
    <s v="This will be hard to do, but if it is the right company I would try"/>
    <s v="No"/>
    <s v="Will NOT work for them"/>
    <n v="8"/>
    <x v="1"/>
    <x v="1"/>
    <x v="17"/>
    <x v="113"/>
    <s v="Manager who explains what is expected, sets a goal and helps achieve it"/>
    <x v="1"/>
  </r>
  <r>
    <d v="2023-04-28T12:47:07"/>
    <s v="India"/>
    <n v="700006"/>
    <x v="1"/>
    <x v="3"/>
    <s v="No, But if someone could bare the cost I will"/>
    <s v="This will be hard to do, but if it is the right company I would try"/>
    <s v="Yes"/>
    <s v="Will NOT work for them"/>
    <n v="9"/>
    <x v="1"/>
    <x v="2"/>
    <x v="20"/>
    <x v="468"/>
    <s v="Manager who clearly describes what she/he needs"/>
    <x v="1"/>
  </r>
  <r>
    <d v="2023-04-28T12:50:23"/>
    <s v="India"/>
    <n v="637404"/>
    <x v="1"/>
    <x v="3"/>
    <s v="Yes, I will earn and do that"/>
    <s v="This will be hard to do, but if it is the right company I would try"/>
    <s v="No"/>
    <s v="Will NOT work for them"/>
    <n v="7"/>
    <x v="5"/>
    <x v="2"/>
    <x v="9"/>
    <x v="299"/>
    <s v="Manager who explains what is expected, sets a goal and helps achieve it"/>
    <x v="7"/>
  </r>
  <r>
    <d v="2023-04-28T12:50:52"/>
    <s v="India"/>
    <n v="854305"/>
    <x v="0"/>
    <x v="2"/>
    <s v="Yes, I will earn and do that"/>
    <s v="This will be hard to do, but if it is the right company I would try"/>
    <s v="No"/>
    <s v="Will work for them"/>
    <n v="7"/>
    <x v="6"/>
    <x v="1"/>
    <x v="9"/>
    <x v="469"/>
    <s v="Manager who clearly describes what she/he needs"/>
    <x v="1"/>
  </r>
  <r>
    <d v="2023-04-28T12:51:40"/>
    <s v="India"/>
    <n v="221011"/>
    <x v="0"/>
    <x v="4"/>
    <s v="Yes, I will earn and do that"/>
    <s v="Will work for 3 years or more"/>
    <s v="Yes"/>
    <s v="Will work for them"/>
    <n v="8"/>
    <x v="3"/>
    <x v="0"/>
    <x v="12"/>
    <x v="470"/>
    <s v="Manager who explains what is expected, sets a goal and helps achieve it"/>
    <x v="1"/>
  </r>
  <r>
    <d v="2023-04-28T12:53:05"/>
    <s v="India"/>
    <n v="91"/>
    <x v="1"/>
    <x v="1"/>
    <s v="Yes, I will earn and do that"/>
    <s v="This will be hard to do, but if it is the right company I would try"/>
    <s v="No"/>
    <s v="Will NOT work for them"/>
    <n v="5"/>
    <x v="1"/>
    <x v="2"/>
    <x v="17"/>
    <x v="126"/>
    <s v="Manager who sets goal and helps me achieve it"/>
    <x v="1"/>
  </r>
  <r>
    <d v="2023-04-28T12:55:03"/>
    <s v="India"/>
    <n v="396436"/>
    <x v="0"/>
    <x v="0"/>
    <s v="Yes, I will earn and do that"/>
    <s v="This will be hard to do, but if it is the right company I would try"/>
    <s v="No"/>
    <s v="Will NOT work for them"/>
    <n v="5"/>
    <x v="1"/>
    <x v="1"/>
    <x v="17"/>
    <x v="335"/>
    <s v="Manager who explains what is expected, sets a goal and helps achieve it"/>
    <x v="3"/>
  </r>
  <r>
    <d v="2023-04-28T12:58:30"/>
    <s v="India"/>
    <n v="533005"/>
    <x v="1"/>
    <x v="3"/>
    <s v="No I would not be pursuing Higher Education outside of India"/>
    <s v="This will be hard to do, but if it is the right company I would try"/>
    <s v="No"/>
    <s v="Will work for them"/>
    <n v="8"/>
    <x v="5"/>
    <x v="2"/>
    <x v="8"/>
    <x v="179"/>
    <s v="Manager who sets goal and helps me achieve it"/>
    <x v="3"/>
  </r>
  <r>
    <d v="2023-04-28T12:59:51"/>
    <s v="India"/>
    <n v="533005"/>
    <x v="0"/>
    <x v="2"/>
    <s v="No I would not be pursuing Higher Education outside of India"/>
    <s v="This will be hard to do, but if it is the right company I would try"/>
    <s v="No"/>
    <s v="Will NOT work for them"/>
    <n v="7"/>
    <x v="6"/>
    <x v="0"/>
    <x v="17"/>
    <x v="471"/>
    <s v="Manager who explains what is expected, sets a goal and helps achieve it"/>
    <x v="3"/>
  </r>
  <r>
    <d v="2023-04-28T12:59:56"/>
    <s v="India"/>
    <n v="506167"/>
    <x v="0"/>
    <x v="2"/>
    <s v="No, But if someone could bare the cost I will"/>
    <s v="This will be hard to do, but if it is the right company I would try"/>
    <s v="No"/>
    <s v="Will NOT work for them"/>
    <n v="4"/>
    <x v="6"/>
    <x v="1"/>
    <x v="6"/>
    <x v="261"/>
    <s v="Manager who explains what is expected, sets a goal and helps achieve it"/>
    <x v="1"/>
  </r>
  <r>
    <d v="2023-04-28T13:00:06"/>
    <s v="India"/>
    <n v="611001"/>
    <x v="1"/>
    <x v="1"/>
    <s v="Yes, I will earn and do that"/>
    <s v="This will be hard to do, but if it is the right company I would try"/>
    <s v="Yes"/>
    <s v="Will NOT work for them"/>
    <n v="3"/>
    <x v="6"/>
    <x v="3"/>
    <x v="6"/>
    <x v="121"/>
    <s v="Manager who sets targets and expects me to achieve it"/>
    <x v="8"/>
  </r>
  <r>
    <d v="2023-04-28T13:04:22"/>
    <s v="India"/>
    <n v="324005"/>
    <x v="0"/>
    <x v="2"/>
    <s v="No, But if someone could bare the cost I will"/>
    <s v="This will be hard to do, but if it is the right company I would try"/>
    <s v="No"/>
    <s v="Will NOT work for them"/>
    <n v="7"/>
    <x v="6"/>
    <x v="1"/>
    <x v="11"/>
    <x v="470"/>
    <s v="Manager who explains what is expected, sets a goal and helps achieve it"/>
    <x v="3"/>
  </r>
  <r>
    <d v="2023-04-28T13:09:24"/>
    <s v="India"/>
    <n v="411057"/>
    <x v="0"/>
    <x v="0"/>
    <s v="No I would not be pursuing Higher Education outside of India"/>
    <s v="This will be hard to do, but if it is the right company I would try"/>
    <s v="No"/>
    <s v="Will NOT work for them"/>
    <n v="7"/>
    <x v="1"/>
    <x v="0"/>
    <x v="9"/>
    <x v="141"/>
    <s v="Manager who clearly describes what she/he needs"/>
    <x v="1"/>
  </r>
  <r>
    <d v="2023-04-28T13:10:04"/>
    <s v="India"/>
    <n v="534245"/>
    <x v="1"/>
    <x v="2"/>
    <s v="Yes, I will earn and do that"/>
    <s v="This will be hard to do, but if it is the right company I would try"/>
    <s v="No"/>
    <s v="Will NOT work for them"/>
    <n v="10"/>
    <x v="6"/>
    <x v="2"/>
    <x v="11"/>
    <x v="155"/>
    <s v="Manager who sets goal and helps me achieve it"/>
    <x v="7"/>
  </r>
  <r>
    <d v="2023-04-28T13:14:41"/>
    <s v="India"/>
    <n v="110085"/>
    <x v="0"/>
    <x v="2"/>
    <s v="No I would not be pursuing Higher Education outside of India"/>
    <s v="Will work for 3 years or more"/>
    <s v="No"/>
    <s v="Will NOT work for them"/>
    <n v="10"/>
    <x v="6"/>
    <x v="0"/>
    <x v="15"/>
    <x v="94"/>
    <s v="Manager who explains what is expected, sets a goal and helps achieve it"/>
    <x v="15"/>
  </r>
  <r>
    <d v="2023-04-28T13:18:48"/>
    <s v="India"/>
    <n v="506167"/>
    <x v="0"/>
    <x v="1"/>
    <s v="No I would not be pursuing Higher Education outside of India"/>
    <s v="Will work for 3 years or more"/>
    <s v="Yes"/>
    <s v="Will work for them"/>
    <n v="8"/>
    <x v="1"/>
    <x v="2"/>
    <x v="9"/>
    <x v="239"/>
    <s v="Manager who clearly describes what she/he needs"/>
    <x v="7"/>
  </r>
  <r>
    <d v="2023-04-28T13:19:16"/>
    <s v="India"/>
    <n v="500056"/>
    <x v="0"/>
    <x v="4"/>
    <s v="Yes, I will earn and do that"/>
    <s v="Will work for 3 years or more"/>
    <s v="Yes"/>
    <s v="Will NOT work for them"/>
    <n v="10"/>
    <x v="5"/>
    <x v="2"/>
    <x v="16"/>
    <x v="301"/>
    <s v="Manager who clearly describes what she/he needs"/>
    <x v="18"/>
  </r>
  <r>
    <d v="2023-04-28T13:20:49"/>
    <s v="India"/>
    <n v="502279"/>
    <x v="1"/>
    <x v="4"/>
    <s v="No I would not be pursuing Higher Education outside of India"/>
    <s v="This will be hard to do, but if it is the right company I would try"/>
    <s v="No"/>
    <s v="Will NOT work for them"/>
    <n v="5"/>
    <x v="6"/>
    <x v="2"/>
    <x v="9"/>
    <x v="402"/>
    <s v="Manager who explains what is expected, sets a goal and helps achieve it"/>
    <x v="1"/>
  </r>
  <r>
    <d v="2023-04-28T13:21:41"/>
    <s v="India"/>
    <n v="533448"/>
    <x v="1"/>
    <x v="4"/>
    <s v="No, But if someone could bare the cost I will"/>
    <s v="This will be hard to do, but if it is the right company I would try"/>
    <s v="No"/>
    <s v="Will NOT work for them"/>
    <n v="5"/>
    <x v="1"/>
    <x v="1"/>
    <x v="17"/>
    <x v="224"/>
    <s v="Manager who explains what is expected, sets a goal and helps achieve it"/>
    <x v="0"/>
  </r>
  <r>
    <d v="2023-04-28T13:25:21"/>
    <s v="India"/>
    <n v="533201"/>
    <x v="0"/>
    <x v="2"/>
    <s v="No, But if someone could bare the cost I will"/>
    <s v="Will work for 3 years or more"/>
    <s v="Yes"/>
    <s v="Will NOT work for them"/>
    <n v="8"/>
    <x v="6"/>
    <x v="1"/>
    <x v="9"/>
    <x v="139"/>
    <s v="Manager who explains what is expected, sets a goal and helps achieve it"/>
    <x v="2"/>
  </r>
  <r>
    <d v="2023-04-28T13:31:44"/>
    <s v="India"/>
    <n v="560076"/>
    <x v="1"/>
    <x v="0"/>
    <s v="No, But if someone could bare the cost I will"/>
    <s v="This will be hard to do, but if it is the right company I would try"/>
    <s v="No"/>
    <s v="Will NOT work for them"/>
    <n v="1"/>
    <x v="1"/>
    <x v="1"/>
    <x v="11"/>
    <x v="358"/>
    <s v="Manager who explains what is expected, sets a goal and helps achieve it"/>
    <x v="7"/>
  </r>
  <r>
    <d v="2023-04-28T13:37:41"/>
    <s v="India"/>
    <n v="440024"/>
    <x v="0"/>
    <x v="0"/>
    <s v="No I would not be pursuing Higher Education outside of India"/>
    <s v="Will work for 3 years or more"/>
    <s v="No"/>
    <s v="Will NOT work for them"/>
    <n v="6"/>
    <x v="3"/>
    <x v="1"/>
    <x v="19"/>
    <x v="282"/>
    <s v="Manager who explains what is expected, sets a goal and helps achieve it"/>
    <x v="0"/>
  </r>
  <r>
    <d v="2023-04-28T13:43:06"/>
    <s v="India"/>
    <n v="533201"/>
    <x v="0"/>
    <x v="4"/>
    <s v="No I would not be pursuing Higher Education outside of India"/>
    <s v="This will be hard to do, but if it is the right company I would try"/>
    <s v="No"/>
    <s v="Will NOT work for them"/>
    <n v="7"/>
    <x v="1"/>
    <x v="1"/>
    <x v="9"/>
    <x v="123"/>
    <s v="Manager who sets goal and helps me achieve it"/>
    <x v="4"/>
  </r>
  <r>
    <d v="2023-04-28T13:48:41"/>
    <s v="India"/>
    <n v="413001"/>
    <x v="0"/>
    <x v="0"/>
    <s v="Yes, I will earn and do that"/>
    <s v="This will be hard to do, but if it is the right company I would try"/>
    <s v="No"/>
    <s v="Will NOT work for them"/>
    <n v="5"/>
    <x v="1"/>
    <x v="0"/>
    <x v="7"/>
    <x v="111"/>
    <s v="Manager who explains what is expected, sets a goal and helps achieve it"/>
    <x v="2"/>
  </r>
  <r>
    <d v="2023-04-28T13:50:55"/>
    <s v="India"/>
    <n v="518512"/>
    <x v="0"/>
    <x v="4"/>
    <s v="No I would not be pursuing Higher Education outside of India"/>
    <s v="Will work for 3 years or more"/>
    <s v="No"/>
    <s v="Will NOT work for them"/>
    <n v="5"/>
    <x v="6"/>
    <x v="2"/>
    <x v="16"/>
    <x v="111"/>
    <s v="Manager who explains what is expected, sets a goal and helps achieve it"/>
    <x v="7"/>
  </r>
  <r>
    <d v="2023-04-28T13:51:44"/>
    <s v="India"/>
    <n v="506314"/>
    <x v="0"/>
    <x v="0"/>
    <s v="No I would not be pursuing Higher Education outside of India"/>
    <s v="This will be hard to do, but if it is the right company I would try"/>
    <s v="No"/>
    <s v="Will work for them"/>
    <n v="8"/>
    <x v="0"/>
    <x v="2"/>
    <x v="8"/>
    <x v="379"/>
    <s v="Manager who clearly describes what she/he needs"/>
    <x v="8"/>
  </r>
  <r>
    <d v="2023-04-28T13:51:46"/>
    <s v="India"/>
    <n v="500018"/>
    <x v="0"/>
    <x v="0"/>
    <s v="No, But if someone could bare the cost I will"/>
    <s v="Will work for 3 years or more"/>
    <s v="No"/>
    <s v="Will NOT work for them"/>
    <n v="1"/>
    <x v="3"/>
    <x v="1"/>
    <x v="9"/>
    <x v="472"/>
    <s v="Manager who explains what is expected, sets a goal and helps achieve it"/>
    <x v="3"/>
  </r>
  <r>
    <d v="2023-04-28T13:52:55"/>
    <s v="India"/>
    <n v="421503"/>
    <x v="0"/>
    <x v="0"/>
    <s v="No, But if someone could bare the cost I will"/>
    <s v="This will be hard to do, but if it is the right company I would try"/>
    <s v="No"/>
    <s v="Will NOT work for them"/>
    <n v="8"/>
    <x v="5"/>
    <x v="1"/>
    <x v="19"/>
    <x v="109"/>
    <s v="Manager who clearly describes what she/he needs"/>
    <x v="1"/>
  </r>
  <r>
    <d v="2023-04-28T13:53:35"/>
    <s v="India"/>
    <n v="411057"/>
    <x v="0"/>
    <x v="0"/>
    <s v="No, But if someone could bare the cost I will"/>
    <s v="This will be hard to do, but if it is the right company I would try"/>
    <s v="Yes"/>
    <s v="Will work for them"/>
    <n v="8"/>
    <x v="1"/>
    <x v="2"/>
    <x v="17"/>
    <x v="433"/>
    <s v="Manager who clearly describes what she/he needs"/>
    <x v="5"/>
  </r>
  <r>
    <d v="2023-04-28T13:57:40"/>
    <s v="India"/>
    <n v="700029"/>
    <x v="0"/>
    <x v="1"/>
    <s v="Yes, I will earn and do that"/>
    <s v="Will work for 3 years or more"/>
    <s v="No"/>
    <s v="Will NOT work for them"/>
    <n v="4"/>
    <x v="6"/>
    <x v="1"/>
    <x v="24"/>
    <x v="114"/>
    <s v="Manager who explains what is expected, sets a goal and helps achieve it"/>
    <x v="1"/>
  </r>
  <r>
    <d v="2023-04-28T14:03:43"/>
    <s v="India"/>
    <n v="400009"/>
    <x v="1"/>
    <x v="4"/>
    <s v="No, But if someone could bare the cost I will"/>
    <s v="Will work for 3 years or more"/>
    <s v="No"/>
    <s v="Will NOT work for them"/>
    <n v="3"/>
    <x v="6"/>
    <x v="1"/>
    <x v="6"/>
    <x v="128"/>
    <s v="Manager who explains what is expected, sets a goal and helps achieve it"/>
    <x v="8"/>
  </r>
  <r>
    <d v="2023-04-28T14:07:20"/>
    <s v="India"/>
    <n v="411044"/>
    <x v="0"/>
    <x v="0"/>
    <s v="Yes, I will earn and do that"/>
    <s v="This will be hard to do, but if it is the right company I would try"/>
    <s v="No"/>
    <s v="Will NOT work for them"/>
    <n v="4"/>
    <x v="5"/>
    <x v="1"/>
    <x v="21"/>
    <x v="346"/>
    <s v="Manager who explains what is expected, sets a goal and helps achieve it"/>
    <x v="1"/>
  </r>
  <r>
    <d v="2023-04-28T14:07:45"/>
    <s v="India"/>
    <n v="560036"/>
    <x v="0"/>
    <x v="1"/>
    <s v="No I would not be pursuing Higher Education outside of India"/>
    <s v="This will be hard to do, but if it is the right company I would try"/>
    <s v="Yes"/>
    <s v="Will work for them"/>
    <n v="9"/>
    <x v="6"/>
    <x v="0"/>
    <x v="9"/>
    <x v="109"/>
    <s v="Manager who explains what is expected, sets a goal and helps achieve it"/>
    <x v="7"/>
  </r>
  <r>
    <d v="2023-04-28T14:09:02"/>
    <s v="India"/>
    <n v="500053"/>
    <x v="0"/>
    <x v="0"/>
    <s v="No I would not be pursuing Higher Education outside of India"/>
    <s v="Will work for 3 years or more"/>
    <s v="No"/>
    <s v="Will NOT work for them"/>
    <n v="1"/>
    <x v="1"/>
    <x v="1"/>
    <x v="17"/>
    <x v="286"/>
    <s v="Manager who clearly describes what she/he needs"/>
    <x v="6"/>
  </r>
  <r>
    <d v="2023-04-28T14:09:55"/>
    <s v="India"/>
    <n v="440013"/>
    <x v="0"/>
    <x v="3"/>
    <s v="No, But if someone could bare the cost I will"/>
    <s v="This will be hard to do, but if it is the right company I would try"/>
    <s v="Yes"/>
    <s v="Will NOT work for them"/>
    <n v="7"/>
    <x v="0"/>
    <x v="0"/>
    <x v="12"/>
    <x v="332"/>
    <s v="Manager who explains what is expected, sets a goal and helps achieve it"/>
    <x v="7"/>
  </r>
  <r>
    <d v="2023-04-28T14:11:02"/>
    <s v="India"/>
    <n v="221405"/>
    <x v="1"/>
    <x v="4"/>
    <s v="No, But if someone could bare the cost I will"/>
    <s v="Will work for 3 years or more"/>
    <s v="No"/>
    <s v="Will NOT work for them"/>
    <n v="6"/>
    <x v="3"/>
    <x v="2"/>
    <x v="9"/>
    <x v="340"/>
    <s v="Manager who sets goal and helps me achieve it"/>
    <x v="1"/>
  </r>
  <r>
    <d v="2023-04-28T14:16:06"/>
    <s v="India"/>
    <n v="411058"/>
    <x v="0"/>
    <x v="2"/>
    <s v="No, But if someone could bare the cost I will"/>
    <s v="This will be hard to do, but if it is the right company I would try"/>
    <s v="Yes"/>
    <s v="Will NOT work for them"/>
    <n v="8"/>
    <x v="1"/>
    <x v="0"/>
    <x v="11"/>
    <x v="473"/>
    <s v="Manager who clearly describes what she/he needs"/>
    <x v="3"/>
  </r>
  <r>
    <d v="2023-04-28T14:19:38"/>
    <s v="India"/>
    <n v="520012"/>
    <x v="1"/>
    <x v="2"/>
    <s v="No I would not be pursuing Higher Education outside of India"/>
    <s v="This will be hard to do, but if it is the right company I would try"/>
    <s v="No"/>
    <s v="Will NOT work for them"/>
    <n v="5"/>
    <x v="3"/>
    <x v="2"/>
    <x v="19"/>
    <x v="331"/>
    <s v="Manager who clearly describes what she/he needs"/>
    <x v="3"/>
  </r>
  <r>
    <d v="2023-04-28T14:19:51"/>
    <s v="India"/>
    <n v="535002"/>
    <x v="1"/>
    <x v="1"/>
    <s v="No, But if someone could bare the cost I will"/>
    <s v="This will be hard to do, but if it is the right company I would try"/>
    <s v="No"/>
    <s v="Will NOT work for them"/>
    <n v="10"/>
    <x v="1"/>
    <x v="1"/>
    <x v="11"/>
    <x v="474"/>
    <s v="Manager who explains what is expected, sets a goal and helps achieve it"/>
    <x v="14"/>
  </r>
  <r>
    <d v="2023-04-28T14:20:10"/>
    <s v="India"/>
    <n v="638401"/>
    <x v="1"/>
    <x v="3"/>
    <s v="Yes, I will earn and do that"/>
    <s v="Will work for 3 years or more"/>
    <s v="Yes"/>
    <s v="Will work for them"/>
    <n v="3"/>
    <x v="6"/>
    <x v="2"/>
    <x v="25"/>
    <x v="475"/>
    <s v="Manager who explains what is expected, sets a goal and helps achieve it"/>
    <x v="16"/>
  </r>
  <r>
    <d v="2023-04-28T14:20:16"/>
    <s v="India"/>
    <n v="500040"/>
    <x v="1"/>
    <x v="2"/>
    <s v="Yes, I will earn and do that"/>
    <s v="Will work for 3 years or more"/>
    <s v="No"/>
    <s v="Will NOT work for them"/>
    <n v="6"/>
    <x v="1"/>
    <x v="1"/>
    <x v="6"/>
    <x v="301"/>
    <s v="Manager who explains what is expected, sets a goal and helps achieve it"/>
    <x v="2"/>
  </r>
  <r>
    <d v="2023-04-28T14:23:36"/>
    <s v="India"/>
    <n v="641006"/>
    <x v="1"/>
    <x v="4"/>
    <s v="No I would not be pursuing Higher Education outside of India"/>
    <s v="This will be hard to do, but if it is the right company I would try"/>
    <s v="No"/>
    <s v="Will NOT work for them"/>
    <n v="1"/>
    <x v="1"/>
    <x v="1"/>
    <x v="14"/>
    <x v="476"/>
    <s v="Manager who explains what is expected, sets a goal and helps achieve it"/>
    <x v="4"/>
  </r>
  <r>
    <d v="2023-04-28T14:23:46"/>
    <s v="India"/>
    <n v="600097"/>
    <x v="1"/>
    <x v="1"/>
    <s v="No I would not be pursuing Higher Education outside of India"/>
    <s v="Will work for 3 years or more"/>
    <s v="Yes"/>
    <s v="Will work for them"/>
    <n v="7"/>
    <x v="3"/>
    <x v="2"/>
    <x v="7"/>
    <x v="179"/>
    <s v="Manager who sets goal and helps me achieve it"/>
    <x v="1"/>
  </r>
  <r>
    <d v="2023-04-28T14:26:52"/>
    <s v="India"/>
    <n v="620002"/>
    <x v="0"/>
    <x v="2"/>
    <s v="No I would not be pursuing Higher Education outside of India"/>
    <s v="This will be hard to do, but if it is the right company I would try"/>
    <s v="Yes"/>
    <s v="Will work for them"/>
    <n v="8"/>
    <x v="1"/>
    <x v="1"/>
    <x v="9"/>
    <x v="433"/>
    <s v="Manager who explains what is expected, sets a goal and helps achieve it"/>
    <x v="1"/>
  </r>
  <r>
    <d v="2023-04-28T14:33:00"/>
    <s v="India"/>
    <n v="642114"/>
    <x v="0"/>
    <x v="2"/>
    <s v="No I would not be pursuing Higher Education outside of India"/>
    <s v="No way"/>
    <s v="No"/>
    <s v="Will NOT work for them"/>
    <n v="1"/>
    <x v="6"/>
    <x v="4"/>
    <x v="10"/>
    <x v="243"/>
    <s v="Manager who clearly describes what she/he needs"/>
    <x v="8"/>
  </r>
  <r>
    <d v="2023-04-28T14:36:25"/>
    <s v="India"/>
    <n v="122016"/>
    <x v="0"/>
    <x v="0"/>
    <s v="No, But if someone could bare the cost I will"/>
    <s v="Will work for 3 years or more"/>
    <s v="Yes"/>
    <s v="Will NOT work for them"/>
    <n v="8"/>
    <x v="6"/>
    <x v="1"/>
    <x v="9"/>
    <x v="425"/>
    <s v="Manager who explains what is expected, sets a goal and helps achieve it"/>
    <x v="0"/>
  </r>
  <r>
    <d v="2023-04-28T14:38:01"/>
    <s v="India"/>
    <n v="631151"/>
    <x v="0"/>
    <x v="4"/>
    <s v="Yes, I will earn and do that"/>
    <s v="Will work for 3 years or more"/>
    <s v="No"/>
    <s v="Will NOT work for them"/>
    <n v="5"/>
    <x v="3"/>
    <x v="1"/>
    <x v="9"/>
    <x v="111"/>
    <s v="Manager who clearly describes what she/he needs"/>
    <x v="1"/>
  </r>
  <r>
    <d v="2023-04-28T14:38:04"/>
    <s v="India"/>
    <n v="411044"/>
    <x v="0"/>
    <x v="0"/>
    <s v="No I would not be pursuing Higher Education outside of India"/>
    <s v="This will be hard to do, but if it is the right company I would try"/>
    <s v="No"/>
    <s v="Will NOT work for them"/>
    <n v="5"/>
    <x v="6"/>
    <x v="1"/>
    <x v="17"/>
    <x v="477"/>
    <s v="Manager who explains what is expected, sets a goal and helps achieve it"/>
    <x v="0"/>
  </r>
  <r>
    <d v="2023-04-28T14:39:36"/>
    <s v="India"/>
    <n v="440013"/>
    <x v="0"/>
    <x v="3"/>
    <s v="No, But if someone could bare the cost I will"/>
    <s v="This will be hard to do, but if it is the right company I would try"/>
    <s v="No"/>
    <s v="Will NOT work for them"/>
    <n v="10"/>
    <x v="3"/>
    <x v="2"/>
    <x v="7"/>
    <x v="310"/>
    <s v="Manager who sets goal and helps me achieve it"/>
    <x v="1"/>
  </r>
  <r>
    <d v="2023-04-28T14:40:43"/>
    <s v="India"/>
    <n v="110006"/>
    <x v="0"/>
    <x v="0"/>
    <s v="Yes, I will earn and do that"/>
    <s v="Will work for 3 years or more"/>
    <s v="Yes"/>
    <s v="Will NOT work for them"/>
    <n v="5"/>
    <x v="1"/>
    <x v="1"/>
    <x v="19"/>
    <x v="478"/>
    <s v="Manager who explains what is expected, sets a goal and helps achieve it"/>
    <x v="3"/>
  </r>
  <r>
    <d v="2023-04-28T14:40:43"/>
    <s v="India"/>
    <n v="410210"/>
    <x v="0"/>
    <x v="0"/>
    <s v="No I would not be pursuing Higher Education outside of India"/>
    <s v="Will work for 3 years or more"/>
    <s v="Yes"/>
    <s v="Will work for them"/>
    <n v="7"/>
    <x v="6"/>
    <x v="1"/>
    <x v="17"/>
    <x v="141"/>
    <s v="Manager who sets goal and helps me achieve it"/>
    <x v="0"/>
  </r>
  <r>
    <d v="2023-04-28T14:40:51"/>
    <s v="India"/>
    <n v="603102"/>
    <x v="0"/>
    <x v="0"/>
    <s v="Yes, I will earn and do that"/>
    <s v="This will be hard to do, but if it is the right company I would try"/>
    <s v="No"/>
    <s v="Will NOT work for them"/>
    <n v="2"/>
    <x v="6"/>
    <x v="2"/>
    <x v="18"/>
    <x v="178"/>
    <s v="Manager who explains what is expected, sets a goal and helps achieve it"/>
    <x v="4"/>
  </r>
  <r>
    <d v="2023-04-28T14:42:50"/>
    <s v="India"/>
    <n v="828307"/>
    <x v="1"/>
    <x v="0"/>
    <s v="No I would not be pursuing Higher Education outside of India"/>
    <s v="This will be hard to do, but if it is the right company I would try"/>
    <s v="Yes"/>
    <s v="Will NOT work for them"/>
    <n v="5"/>
    <x v="1"/>
    <x v="2"/>
    <x v="9"/>
    <x v="96"/>
    <s v="Manager who clearly describes what she/he needs"/>
    <x v="3"/>
  </r>
  <r>
    <d v="2023-04-28T14:44:51"/>
    <s v="India"/>
    <n v="600049"/>
    <x v="1"/>
    <x v="4"/>
    <s v="No, But if someone could bare the cost I will"/>
    <s v="Will work for 3 years or more"/>
    <s v="No"/>
    <s v="Will NOT work for them"/>
    <n v="10"/>
    <x v="6"/>
    <x v="2"/>
    <x v="19"/>
    <x v="479"/>
    <s v="Manager who sets goal and helps me achieve it"/>
    <x v="7"/>
  </r>
  <r>
    <d v="2023-04-28T14:52:21"/>
    <s v="India"/>
    <n v="600032"/>
    <x v="0"/>
    <x v="2"/>
    <s v="No I would not be pursuing Higher Education outside of India"/>
    <s v="This will be hard to do, but if it is the right company I would try"/>
    <s v="No"/>
    <s v="Will NOT work for them"/>
    <n v="8"/>
    <x v="5"/>
    <x v="2"/>
    <x v="7"/>
    <x v="480"/>
    <s v="Manager who sets goal and helps me achieve it"/>
    <x v="4"/>
  </r>
  <r>
    <d v="2023-04-28T14:53:29"/>
    <s v="India"/>
    <n v="89"/>
    <x v="0"/>
    <x v="2"/>
    <s v="Yes, I will earn and do that"/>
    <s v="This will be hard to do, but if it is the right company I would try"/>
    <s v="Yes"/>
    <s v="Will NOT work for them"/>
    <n v="5"/>
    <x v="0"/>
    <x v="0"/>
    <x v="18"/>
    <x v="115"/>
    <s v="Manager who sets goal and helps me achieve it"/>
    <x v="3"/>
  </r>
  <r>
    <d v="2023-04-28T14:58:23"/>
    <s v="India"/>
    <n v="600083"/>
    <x v="1"/>
    <x v="0"/>
    <s v="Yes, I will earn and do that"/>
    <s v="Will work for 3 years or more"/>
    <s v="No"/>
    <s v="Will NOT work for them"/>
    <n v="3"/>
    <x v="1"/>
    <x v="3"/>
    <x v="15"/>
    <x v="481"/>
    <s v="Manager who sets goal and helps me achieve it"/>
    <x v="7"/>
  </r>
  <r>
    <d v="2023-04-28T15:01:35"/>
    <s v="India"/>
    <n v="562106"/>
    <x v="1"/>
    <x v="1"/>
    <s v="Yes, I will earn and do that"/>
    <s v="This will be hard to do, but if it is the right company I would try"/>
    <s v="No"/>
    <s v="Will NOT work for them"/>
    <n v="10"/>
    <x v="6"/>
    <x v="1"/>
    <x v="11"/>
    <x v="141"/>
    <s v="Manager who explains what is expected, sets a goal and helps achieve it"/>
    <x v="1"/>
  </r>
  <r>
    <d v="2023-04-28T15:01:42"/>
    <s v="India"/>
    <n v="201003"/>
    <x v="1"/>
    <x v="4"/>
    <s v="Yes, I will earn and do that"/>
    <s v="Will work for 3 years or more"/>
    <s v="No"/>
    <s v="Will NOT work for them"/>
    <n v="5"/>
    <x v="3"/>
    <x v="2"/>
    <x v="19"/>
    <x v="140"/>
    <s v="Manager who explains what is expected, sets a goal and helps achieve it"/>
    <x v="1"/>
  </r>
  <r>
    <d v="2023-04-28T15:06:22"/>
    <s v="India"/>
    <n v="500072"/>
    <x v="0"/>
    <x v="3"/>
    <s v="Yes, I will earn and do that"/>
    <s v="This will be hard to do, but if it is the right company I would try"/>
    <s v="No"/>
    <s v="Will NOT work for them"/>
    <n v="5"/>
    <x v="5"/>
    <x v="2"/>
    <x v="10"/>
    <x v="482"/>
    <s v="Manager who explains what is expected, sets a goal and helps achieve it"/>
    <x v="1"/>
  </r>
  <r>
    <d v="2023-04-28T15:07:32"/>
    <s v="India"/>
    <n v="520007"/>
    <x v="0"/>
    <x v="4"/>
    <s v="Yes, I will earn and do that"/>
    <s v="Will work for 3 years or more"/>
    <s v="No"/>
    <s v="Will NOT work for them"/>
    <n v="3"/>
    <x v="6"/>
    <x v="1"/>
    <x v="11"/>
    <x v="141"/>
    <s v="Manager who clearly describes what she/he needs"/>
    <x v="23"/>
  </r>
  <r>
    <d v="2023-04-28T15:15:26"/>
    <s v="India"/>
    <n v="600095"/>
    <x v="0"/>
    <x v="2"/>
    <s v="No I would not be pursuing Higher Education outside of India"/>
    <s v="This will be hard to do, but if it is the right company I would try"/>
    <s v="No"/>
    <s v="Will NOT work for them"/>
    <n v="6"/>
    <x v="6"/>
    <x v="2"/>
    <x v="19"/>
    <x v="227"/>
    <s v="Manager who explains what is expected, sets a goal and helps achieve it"/>
    <x v="1"/>
  </r>
  <r>
    <d v="2023-04-28T15:19:25"/>
    <s v="India"/>
    <n v="400601"/>
    <x v="0"/>
    <x v="0"/>
    <s v="Yes, I will earn and do that"/>
    <s v="Will work for 3 years or more"/>
    <s v="No"/>
    <s v="Will NOT work for them"/>
    <n v="3"/>
    <x v="3"/>
    <x v="2"/>
    <x v="9"/>
    <x v="132"/>
    <s v="Manager who sets targets and expects me to achieve it"/>
    <x v="24"/>
  </r>
  <r>
    <d v="2023-04-28T15:25:13"/>
    <s v="India"/>
    <n v="410206"/>
    <x v="0"/>
    <x v="2"/>
    <s v="No I would not be pursuing Higher Education outside of India"/>
    <s v="This will be hard to do, but if it is the right company I would try"/>
    <s v="No"/>
    <s v="Will NOT work for them"/>
    <n v="3"/>
    <x v="6"/>
    <x v="1"/>
    <x v="17"/>
    <x v="159"/>
    <s v="Manager who explains what is expected, sets a goal and helps achieve it"/>
    <x v="4"/>
  </r>
  <r>
    <d v="2023-04-28T15:47:53"/>
    <s v="India"/>
    <n v="122101"/>
    <x v="0"/>
    <x v="0"/>
    <s v="No, But if someone could bare the cost I will"/>
    <s v="This will be hard to do, but if it is the right company I would try"/>
    <s v="Yes"/>
    <s v="Will NOT work for them"/>
    <n v="10"/>
    <x v="1"/>
    <x v="1"/>
    <x v="7"/>
    <x v="243"/>
    <s v="Manager who explains what is expected, sets a goal and helps achieve it"/>
    <x v="3"/>
  </r>
  <r>
    <d v="2023-04-28T15:57:41"/>
    <s v="United States of America"/>
    <n v="21228"/>
    <x v="1"/>
    <x v="0"/>
    <s v="Yes, I will earn and do that"/>
    <s v="This will be hard to do, but if it is the right company I would try"/>
    <s v="No"/>
    <s v="Will NOT work for them"/>
    <n v="3"/>
    <x v="6"/>
    <x v="2"/>
    <x v="19"/>
    <x v="483"/>
    <s v="Manager who explains what is expected, sets a goal and helps achieve it"/>
    <x v="11"/>
  </r>
  <r>
    <d v="2023-04-28T16:00:09"/>
    <s v="India"/>
    <n v="600083"/>
    <x v="0"/>
    <x v="3"/>
    <s v="No I would not be pursuing Higher Education outside of India"/>
    <s v="This will be hard to do, but if it is the right company I would try"/>
    <s v="No"/>
    <s v="Will NOT work for them"/>
    <n v="6"/>
    <x v="6"/>
    <x v="3"/>
    <x v="11"/>
    <x v="153"/>
    <s v="Manager who explains what is expected, sets a goal and helps achieve it"/>
    <x v="4"/>
  </r>
  <r>
    <d v="2023-04-28T16:04:04"/>
    <s v="India"/>
    <n v="110045"/>
    <x v="0"/>
    <x v="4"/>
    <s v="Yes, I will earn and do that"/>
    <s v="Will work for 3 years or more"/>
    <s v="No"/>
    <s v="Will work for them"/>
    <n v="3"/>
    <x v="6"/>
    <x v="2"/>
    <x v="17"/>
    <x v="110"/>
    <s v="Manager who clearly describes what she/he needs"/>
    <x v="4"/>
  </r>
  <r>
    <d v="2023-04-28T16:04:34"/>
    <s v="India"/>
    <n v="522007"/>
    <x v="0"/>
    <x v="4"/>
    <s v="No, But if someone could bare the cost I will"/>
    <s v="Will work for 3 years or more"/>
    <s v="No"/>
    <s v="Will NOT work for them"/>
    <n v="5"/>
    <x v="3"/>
    <x v="1"/>
    <x v="17"/>
    <x v="416"/>
    <s v="Manager who explains what is expected, sets a goal and helps achieve it"/>
    <x v="7"/>
  </r>
  <r>
    <d v="2023-04-28T16:05:00"/>
    <s v="India"/>
    <n v="636302"/>
    <x v="0"/>
    <x v="0"/>
    <s v="Yes, I will earn and do that"/>
    <s v="This will be hard to do, but if it is the right company I would try"/>
    <s v="Yes"/>
    <s v="Will NOT work for them"/>
    <n v="3"/>
    <x v="5"/>
    <x v="2"/>
    <x v="15"/>
    <x v="216"/>
    <s v="Manager who explains what is expected, sets a goal and helps achieve it"/>
    <x v="1"/>
  </r>
  <r>
    <d v="2023-04-28T16:08:23"/>
    <s v="India"/>
    <n v="492008"/>
    <x v="1"/>
    <x v="3"/>
    <s v="Yes, I will earn and do that"/>
    <s v="Will work for 3 years or more"/>
    <s v="No"/>
    <s v="Will NOT work for them"/>
    <n v="7"/>
    <x v="1"/>
    <x v="0"/>
    <x v="17"/>
    <x v="484"/>
    <s v="Manager who explains what is expected, sets a goal and helps achieve it"/>
    <x v="3"/>
  </r>
  <r>
    <d v="2023-04-28T16:09:18"/>
    <s v="India"/>
    <n v="500074"/>
    <x v="0"/>
    <x v="4"/>
    <s v="Yes, I will earn and do that"/>
    <s v="Will work for 3 years or more"/>
    <s v="Yes"/>
    <s v="Will work for them"/>
    <n v="10"/>
    <x v="3"/>
    <x v="2"/>
    <x v="10"/>
    <x v="197"/>
    <s v="Manager who explains what is expected, sets a goal and helps achieve it"/>
    <x v="18"/>
  </r>
  <r>
    <d v="2023-04-28T16:10:11"/>
    <s v="India"/>
    <n v="482003"/>
    <x v="1"/>
    <x v="3"/>
    <s v="No I would not be pursuing Higher Education outside of India"/>
    <s v="Will work for 3 years or more"/>
    <s v="No"/>
    <s v="Will NOT work for them"/>
    <n v="6"/>
    <x v="3"/>
    <x v="2"/>
    <x v="9"/>
    <x v="224"/>
    <s v="Manager who sets goal and helps me achieve it"/>
    <x v="1"/>
  </r>
  <r>
    <d v="2023-04-28T16:11:44"/>
    <s v="India"/>
    <n v="760002"/>
    <x v="0"/>
    <x v="4"/>
    <s v="No I would not be pursuing Higher Education outside of India"/>
    <s v="Will work for 3 years or more"/>
    <s v="No"/>
    <s v="Will NOT work for them"/>
    <n v="3"/>
    <x v="3"/>
    <x v="1"/>
    <x v="17"/>
    <x v="197"/>
    <s v="Manager who explains what is expected, sets a goal and helps achieve it"/>
    <x v="0"/>
  </r>
  <r>
    <d v="2023-04-28T16:11:52"/>
    <s v="India"/>
    <n v="600033"/>
    <x v="1"/>
    <x v="1"/>
    <s v="Yes, I will earn and do that"/>
    <s v="Will work for 3 years or more"/>
    <s v="No"/>
    <s v="Will NOT work for them"/>
    <n v="5"/>
    <x v="3"/>
    <x v="1"/>
    <x v="6"/>
    <x v="197"/>
    <s v="Manager who explains what is expected, sets a goal and helps achieve it"/>
    <x v="3"/>
  </r>
  <r>
    <d v="2023-04-28T16:13:23"/>
    <s v="India"/>
    <n v="411041"/>
    <x v="1"/>
    <x v="2"/>
    <s v="No I would not be pursuing Higher Education outside of India"/>
    <s v="Will work for 3 years or more"/>
    <s v="No"/>
    <s v="Will NOT work for them"/>
    <n v="4"/>
    <x v="6"/>
    <x v="1"/>
    <x v="17"/>
    <x v="485"/>
    <s v="Manager who explains what is expected, sets a goal and helps achieve it"/>
    <x v="3"/>
  </r>
  <r>
    <d v="2023-04-28T16:14:01"/>
    <s v="India"/>
    <n v="560100"/>
    <x v="1"/>
    <x v="4"/>
    <s v="No I would not be pursuing Higher Education outside of India"/>
    <s v="This will be hard to do, but if it is the right company I would try"/>
    <s v="No"/>
    <s v="Will NOT work for them"/>
    <n v="1"/>
    <x v="6"/>
    <x v="1"/>
    <x v="6"/>
    <x v="486"/>
    <s v="Manager who clearly describes what she/he needs"/>
    <x v="1"/>
  </r>
  <r>
    <d v="2023-04-28T16:26:17"/>
    <s v="India"/>
    <n v="505208"/>
    <x v="1"/>
    <x v="2"/>
    <s v="Yes, I will earn and do that"/>
    <s v="This will be hard to do, but if it is the right company I would try"/>
    <s v="No"/>
    <s v="Will NOT work for them"/>
    <n v="4"/>
    <x v="1"/>
    <x v="1"/>
    <x v="11"/>
    <x v="101"/>
    <s v="Manager who clearly describes what she/he needs"/>
    <x v="1"/>
  </r>
  <r>
    <d v="2023-04-28T16:29:43"/>
    <s v="India"/>
    <n v="637107"/>
    <x v="1"/>
    <x v="0"/>
    <s v="Yes, I will earn and do that"/>
    <s v="This will be hard to do, but if it is the right company I would try"/>
    <s v="No"/>
    <s v="Will NOT work for them"/>
    <n v="5"/>
    <x v="3"/>
    <x v="0"/>
    <x v="9"/>
    <x v="132"/>
    <s v="Manager who sets goal and helps me achieve it"/>
    <x v="3"/>
  </r>
  <r>
    <d v="2023-04-28T16:32:48"/>
    <s v="India"/>
    <n v="678706"/>
    <x v="0"/>
    <x v="2"/>
    <s v="No, But if someone could bare the cost I will"/>
    <s v="This will be hard to do, but if it is the right company I would try"/>
    <s v="No"/>
    <s v="Will NOT work for them"/>
    <n v="10"/>
    <x v="6"/>
    <x v="1"/>
    <x v="6"/>
    <x v="487"/>
    <s v="Manager who sets goal and helps me achieve it"/>
    <x v="2"/>
  </r>
  <r>
    <d v="2023-04-28T16:37:10"/>
    <s v="India"/>
    <n v="506366"/>
    <x v="0"/>
    <x v="4"/>
    <s v="No I would not be pursuing Higher Education outside of India"/>
    <s v="Will work for 3 years or more"/>
    <s v="No"/>
    <s v="Will work for them"/>
    <n v="5"/>
    <x v="1"/>
    <x v="2"/>
    <x v="9"/>
    <x v="346"/>
    <s v="Manager who explains what is expected, sets a goal and helps achieve it"/>
    <x v="4"/>
  </r>
  <r>
    <d v="2023-04-28T16:37:11"/>
    <s v="India"/>
    <n v="600056"/>
    <x v="0"/>
    <x v="3"/>
    <s v="No I would not be pursuing Higher Education outside of India"/>
    <s v="Will work for 3 years or more"/>
    <s v="No"/>
    <s v="Will NOT work for them"/>
    <n v="3"/>
    <x v="5"/>
    <x v="3"/>
    <x v="9"/>
    <x v="436"/>
    <s v="Manager who explains what is expected, sets a goal and helps achieve it"/>
    <x v="12"/>
  </r>
  <r>
    <d v="2023-04-28T16:39:01"/>
    <s v="India"/>
    <n v="627117"/>
    <x v="1"/>
    <x v="4"/>
    <s v="No, But if someone could bare the cost I will"/>
    <s v="Will work for 3 years or more"/>
    <s v="No"/>
    <s v="Will NOT work for them"/>
    <n v="5"/>
    <x v="0"/>
    <x v="2"/>
    <x v="17"/>
    <x v="449"/>
    <s v="Manager who explains what is expected, sets a goal and helps achieve it"/>
    <x v="1"/>
  </r>
  <r>
    <d v="2023-04-28T16:39:52"/>
    <s v="India"/>
    <n v="226017"/>
    <x v="1"/>
    <x v="3"/>
    <s v="Yes, I will earn and do that"/>
    <s v="This will be hard to do, but if it is the right company I would try"/>
    <s v="No"/>
    <s v="Will NOT work for them"/>
    <n v="1"/>
    <x v="1"/>
    <x v="2"/>
    <x v="6"/>
    <x v="488"/>
    <s v="Manager who explains what is expected, sets a goal and helps achieve it"/>
    <x v="1"/>
  </r>
  <r>
    <d v="2023-04-28T16:41:17"/>
    <s v="India"/>
    <n v="201013"/>
    <x v="1"/>
    <x v="4"/>
    <s v="No, But if someone could bare the cost I will"/>
    <s v="Will work for 3 years or more"/>
    <s v="Yes"/>
    <s v="Will work for them"/>
    <n v="8"/>
    <x v="5"/>
    <x v="1"/>
    <x v="7"/>
    <x v="432"/>
    <s v="Manager who explains what is expected, sets a goal and helps achieve it"/>
    <x v="1"/>
  </r>
  <r>
    <d v="2023-04-28T16:42:53"/>
    <s v="India"/>
    <n v="505001"/>
    <x v="0"/>
    <x v="3"/>
    <s v="Yes, I will earn and do that"/>
    <s v="This will be hard to do, but if it is the right company I would try"/>
    <s v="Yes"/>
    <s v="Will work for them"/>
    <n v="9"/>
    <x v="6"/>
    <x v="1"/>
    <x v="24"/>
    <x v="122"/>
    <s v="Manager who explains what is expected, sets a goal and helps achieve it"/>
    <x v="4"/>
  </r>
  <r>
    <d v="2023-04-28T16:42:56"/>
    <s v="India"/>
    <n v="638401"/>
    <x v="1"/>
    <x v="2"/>
    <s v="Yes, I will earn and do that"/>
    <s v="Will work for 3 years or more"/>
    <s v="No"/>
    <s v="Will NOT work for them"/>
    <n v="4"/>
    <x v="5"/>
    <x v="0"/>
    <x v="17"/>
    <x v="489"/>
    <s v="Manager who sets targets and expects me to achieve it"/>
    <x v="7"/>
  </r>
  <r>
    <d v="2023-04-28T16:45:52"/>
    <s v="India"/>
    <n v="505209"/>
    <x v="1"/>
    <x v="1"/>
    <s v="Yes, I will earn and do that"/>
    <s v="This will be hard to do, but if it is the right company I would try"/>
    <s v="No"/>
    <s v="Will NOT work for them"/>
    <n v="8"/>
    <x v="1"/>
    <x v="2"/>
    <x v="8"/>
    <x v="490"/>
    <s v="Manager who explains what is expected, sets a goal and helps achieve it"/>
    <x v="1"/>
  </r>
  <r>
    <d v="2023-04-28T16:48:10"/>
    <s v="India"/>
    <n v="508111"/>
    <x v="1"/>
    <x v="4"/>
    <s v="No, But if someone could bare the cost I will"/>
    <s v="This will be hard to do, but if it is the right company I would try"/>
    <s v="No"/>
    <s v="Will NOT work for them"/>
    <n v="5"/>
    <x v="6"/>
    <x v="3"/>
    <x v="9"/>
    <x v="274"/>
    <s v="Manager who explains what is expected, sets a goal and helps achieve it"/>
    <x v="12"/>
  </r>
  <r>
    <d v="2023-04-28T16:51:43"/>
    <s v="India"/>
    <n v="505209"/>
    <x v="1"/>
    <x v="4"/>
    <s v="Yes, I will earn and do that"/>
    <s v="This will be hard to do, but if it is the right company I would try"/>
    <s v="No"/>
    <s v="Will work for them"/>
    <n v="10"/>
    <x v="6"/>
    <x v="2"/>
    <x v="9"/>
    <x v="164"/>
    <s v="Manager who explains what is expected, sets a goal and helps achieve it"/>
    <x v="2"/>
  </r>
  <r>
    <d v="2023-04-28T16:54:10"/>
    <s v="India"/>
    <n v="635801"/>
    <x v="0"/>
    <x v="3"/>
    <s v="No, But if someone could bare the cost I will"/>
    <s v="This will be hard to do, but if it is the right company I would try"/>
    <s v="No"/>
    <s v="Will work for them"/>
    <n v="10"/>
    <x v="1"/>
    <x v="2"/>
    <x v="14"/>
    <x v="124"/>
    <s v="Manager who explains what is expected, sets a goal and helps achieve it"/>
    <x v="7"/>
  </r>
  <r>
    <d v="2023-04-28T16:56:56"/>
    <s v="India"/>
    <n v="505209"/>
    <x v="1"/>
    <x v="0"/>
    <s v="Yes, I will earn and do that"/>
    <s v="This will be hard to do, but if it is the right company I would try"/>
    <s v="Yes"/>
    <s v="Will NOT work for them"/>
    <n v="8"/>
    <x v="1"/>
    <x v="1"/>
    <x v="15"/>
    <x v="110"/>
    <s v="Manager who explains what is expected, sets a goal and helps achieve it"/>
    <x v="3"/>
  </r>
  <r>
    <d v="2023-04-28T17:13:17"/>
    <s v="India"/>
    <n v="508234"/>
    <x v="0"/>
    <x v="3"/>
    <s v="No I would not be pursuing Higher Education outside of India"/>
    <s v="This will be hard to do, but if it is the right company I would try"/>
    <s v="No"/>
    <s v="Will work for them"/>
    <n v="10"/>
    <x v="1"/>
    <x v="0"/>
    <x v="18"/>
    <x v="491"/>
    <s v="Manager who sets goal and helps me achieve it"/>
    <x v="14"/>
  </r>
  <r>
    <d v="2023-04-28T17:20:54"/>
    <s v="India"/>
    <n v="826004"/>
    <x v="0"/>
    <x v="0"/>
    <s v="No I would not be pursuing Higher Education outside of India"/>
    <s v="This will be hard to do, but if it is the right company I would try"/>
    <s v="Yes"/>
    <s v="Will work for them"/>
    <n v="8"/>
    <x v="1"/>
    <x v="0"/>
    <x v="24"/>
    <x v="188"/>
    <s v="Manager who explains what is expected, sets a goal and helps achieve it"/>
    <x v="2"/>
  </r>
  <r>
    <d v="2023-04-28T17:25:02"/>
    <s v="India"/>
    <n v="201002"/>
    <x v="1"/>
    <x v="4"/>
    <s v="Yes, I will earn and do that"/>
    <s v="This will be hard to do, but if it is the right company I would try"/>
    <s v="No"/>
    <s v="Will NOT work for them"/>
    <n v="1"/>
    <x v="3"/>
    <x v="1"/>
    <x v="19"/>
    <x v="416"/>
    <s v="Manager who explains what is expected, sets a goal and helps achieve it"/>
    <x v="15"/>
  </r>
  <r>
    <d v="2023-04-28T17:26:22"/>
    <s v="India"/>
    <n v="600049"/>
    <x v="1"/>
    <x v="3"/>
    <s v="No, But if someone could bare the cost I will"/>
    <s v="This will be hard to do, but if it is the right company I would try"/>
    <s v="No"/>
    <s v="Will NOT work for them"/>
    <n v="1"/>
    <x v="5"/>
    <x v="1"/>
    <x v="17"/>
    <x v="351"/>
    <s v="Manager who explains what is expected, sets a goal and helps achieve it"/>
    <x v="3"/>
  </r>
  <r>
    <d v="2023-04-28T17:29:56"/>
    <s v="India"/>
    <n v="826001"/>
    <x v="0"/>
    <x v="0"/>
    <s v="Yes, I will earn and do that"/>
    <s v="This will be hard to do, but if it is the right company I would try"/>
    <s v="No"/>
    <s v="Will NOT work for them"/>
    <n v="3"/>
    <x v="5"/>
    <x v="1"/>
    <x v="9"/>
    <x v="113"/>
    <s v="Manager who sets goal and helps me achieve it"/>
    <x v="0"/>
  </r>
  <r>
    <d v="2023-04-28T17:31:42"/>
    <s v="India"/>
    <n v="492001"/>
    <x v="0"/>
    <x v="0"/>
    <s v="Yes, I will earn and do that"/>
    <s v="This will be hard to do, but if it is the right company I would try"/>
    <s v="No"/>
    <s v="Will NOT work for them"/>
    <n v="8"/>
    <x v="1"/>
    <x v="1"/>
    <x v="11"/>
    <x v="358"/>
    <s v="Manager who sets goal and helps me achieve it"/>
    <x v="1"/>
  </r>
  <r>
    <d v="2023-04-28T17:37:10"/>
    <s v="India"/>
    <n v="560073"/>
    <x v="0"/>
    <x v="1"/>
    <s v="No I would not be pursuing Higher Education outside of India"/>
    <s v="Will work for 3 years or more"/>
    <s v="Yes"/>
    <s v="Will work for them"/>
    <n v="6"/>
    <x v="5"/>
    <x v="0"/>
    <x v="25"/>
    <x v="170"/>
    <s v="Manager who explains what is expected, sets a goal and helps achieve it"/>
    <x v="7"/>
  </r>
  <r>
    <d v="2023-04-28T17:39:45"/>
    <s v="India"/>
    <n v="759001"/>
    <x v="0"/>
    <x v="0"/>
    <s v="No I would not be pursuing Higher Education outside of India"/>
    <s v="Will work for 3 years or more"/>
    <s v="No"/>
    <s v="Will NOT work for them"/>
    <n v="8"/>
    <x v="1"/>
    <x v="0"/>
    <x v="9"/>
    <x v="111"/>
    <s v="Manager who clearly describes what she/he needs"/>
    <x v="6"/>
  </r>
  <r>
    <d v="2023-04-28T17:40:28"/>
    <s v="India"/>
    <n v="505209"/>
    <x v="0"/>
    <x v="4"/>
    <s v="Yes, I will earn and do that"/>
    <s v="This will be hard to do, but if it is the right company I would try"/>
    <s v="No"/>
    <s v="Will NOT work for them"/>
    <n v="5"/>
    <x v="1"/>
    <x v="3"/>
    <x v="14"/>
    <x v="454"/>
    <s v="Manager who sets goal and helps me achieve it"/>
    <x v="1"/>
  </r>
  <r>
    <d v="2023-04-28T17:43:33"/>
    <s v="India"/>
    <n v="600005"/>
    <x v="0"/>
    <x v="4"/>
    <s v="No I would not be pursuing Higher Education outside of India"/>
    <s v="Will work for 3 years or more"/>
    <s v="No"/>
    <s v="Will NOT work for them"/>
    <n v="1"/>
    <x v="3"/>
    <x v="2"/>
    <x v="18"/>
    <x v="356"/>
    <s v="Manager who clearly describes what she/he needs"/>
    <x v="7"/>
  </r>
  <r>
    <d v="2023-04-28T17:45:12"/>
    <s v="India"/>
    <n v="607001"/>
    <x v="0"/>
    <x v="0"/>
    <s v="Yes, I will earn and do that"/>
    <s v="This will be hard to do, but if it is the right company I would try"/>
    <s v="No"/>
    <s v="Will NOT work for them"/>
    <n v="5"/>
    <x v="1"/>
    <x v="1"/>
    <x v="9"/>
    <x v="356"/>
    <s v="Manager who explains what is expected, sets a goal and helps achieve it"/>
    <x v="7"/>
  </r>
  <r>
    <d v="2023-04-28T17:47:55"/>
    <s v="India"/>
    <n v="560096"/>
    <x v="0"/>
    <x v="3"/>
    <s v="No, But if someone could bare the cost I will"/>
    <s v="No way"/>
    <s v="Yes"/>
    <s v="Will work for them"/>
    <n v="7"/>
    <x v="5"/>
    <x v="1"/>
    <x v="23"/>
    <x v="492"/>
    <s v="Manager who sets goal and helps me achieve it"/>
    <x v="8"/>
  </r>
  <r>
    <d v="2023-04-28T17:49:49"/>
    <s v="India"/>
    <n v="500013"/>
    <x v="1"/>
    <x v="3"/>
    <s v="No I would not be pursuing Higher Education outside of India"/>
    <s v="This will be hard to do, but if it is the right company I would try"/>
    <s v="No"/>
    <s v="Will NOT work for them"/>
    <n v="8"/>
    <x v="0"/>
    <x v="2"/>
    <x v="9"/>
    <x v="183"/>
    <s v="Manager who sets goal and helps me achieve it"/>
    <x v="23"/>
  </r>
  <r>
    <d v="2023-04-28T17:50:13"/>
    <s v="India"/>
    <n v="765002"/>
    <x v="0"/>
    <x v="0"/>
    <s v="No I would not be pursuing Higher Education outside of India"/>
    <s v="This will be hard to do, but if it is the right company I would try"/>
    <s v="No"/>
    <s v="Will NOT work for them"/>
    <n v="4"/>
    <x v="6"/>
    <x v="1"/>
    <x v="9"/>
    <x v="416"/>
    <s v="Manager who explains what is expected, sets a goal and helps achieve it"/>
    <x v="1"/>
  </r>
  <r>
    <d v="2023-04-28T17:52:19"/>
    <s v="India"/>
    <n v="505209"/>
    <x v="1"/>
    <x v="0"/>
    <s v="Yes, I will earn and do that"/>
    <s v="This will be hard to do, but if it is the right company I would try"/>
    <s v="No"/>
    <s v="Will work for them"/>
    <n v="5"/>
    <x v="1"/>
    <x v="1"/>
    <x v="11"/>
    <x v="264"/>
    <s v="Manager who explains what is expected, sets a goal and helps achieve it"/>
    <x v="1"/>
  </r>
  <r>
    <d v="2023-04-28T17:53:54"/>
    <s v="India"/>
    <n v="560107"/>
    <x v="0"/>
    <x v="2"/>
    <s v="Yes, I will earn and do that"/>
    <s v="This will be hard to do, but if it is the right company I would try"/>
    <s v="No"/>
    <s v="Will NOT work for them"/>
    <n v="2"/>
    <x v="6"/>
    <x v="1"/>
    <x v="17"/>
    <x v="125"/>
    <s v="Manager who explains what is expected, sets a goal and helps achieve it"/>
    <x v="1"/>
  </r>
  <r>
    <d v="2023-04-28T17:53:57"/>
    <s v="India"/>
    <n v="505122"/>
    <x v="0"/>
    <x v="0"/>
    <s v="No I would not be pursuing Higher Education outside of India"/>
    <s v="Will work for 3 years or more"/>
    <s v="No"/>
    <s v="Will NOT work for them"/>
    <n v="5"/>
    <x v="1"/>
    <x v="1"/>
    <x v="18"/>
    <x v="218"/>
    <s v="Manager who explains what is expected, sets a goal and helps achieve it"/>
    <x v="3"/>
  </r>
  <r>
    <d v="2023-04-28T17:57:19"/>
    <s v="India"/>
    <n v="763002"/>
    <x v="1"/>
    <x v="4"/>
    <s v="Yes, I will earn and do that"/>
    <s v="Will work for 3 years or more"/>
    <s v="No"/>
    <s v="Will NOT work for them"/>
    <n v="7"/>
    <x v="0"/>
    <x v="2"/>
    <x v="7"/>
    <x v="150"/>
    <s v="Manager who sets targets and expects me to achieve it"/>
    <x v="1"/>
  </r>
  <r>
    <d v="2023-04-28T17:59:14"/>
    <s v="India"/>
    <n v="500072"/>
    <x v="1"/>
    <x v="4"/>
    <s v="No I would not be pursuing Higher Education outside of India"/>
    <s v="Will work for 3 years or more"/>
    <s v="No"/>
    <s v="Will NOT work for them"/>
    <n v="1"/>
    <x v="0"/>
    <x v="2"/>
    <x v="19"/>
    <x v="359"/>
    <s v="Manager who clearly describes what she/he needs"/>
    <x v="1"/>
  </r>
  <r>
    <d v="2023-04-28T17:59:18"/>
    <s v="India"/>
    <n v="505208"/>
    <x v="1"/>
    <x v="4"/>
    <s v="Yes, I will earn and do that"/>
    <s v="This will be hard to do, but if it is the right company I would try"/>
    <s v="No"/>
    <s v="Will NOT work for them"/>
    <n v="1"/>
    <x v="1"/>
    <x v="2"/>
    <x v="9"/>
    <x v="416"/>
    <s v="Manager who sets targets and expects me to achieve it"/>
    <x v="3"/>
  </r>
  <r>
    <d v="2023-04-28T17:59:35"/>
    <s v="India"/>
    <n v="560068"/>
    <x v="1"/>
    <x v="2"/>
    <s v="Yes, I will earn and do that"/>
    <s v="Will work for 3 years or more"/>
    <s v="No"/>
    <s v="Will NOT work for them"/>
    <n v="8"/>
    <x v="6"/>
    <x v="1"/>
    <x v="11"/>
    <x v="109"/>
    <s v="Manager who explains what is expected, sets a goal and helps achieve it"/>
    <x v="1"/>
  </r>
  <r>
    <d v="2023-04-28T17:59:35"/>
    <s v="India"/>
    <n v="600054"/>
    <x v="1"/>
    <x v="3"/>
    <s v="No, But if someone could bare the cost I will"/>
    <s v="This will be hard to do, but if it is the right company I would try"/>
    <s v="No"/>
    <s v="Will work for them"/>
    <n v="6"/>
    <x v="6"/>
    <x v="1"/>
    <x v="11"/>
    <x v="493"/>
    <s v="Manager who explains what is expected, sets a goal and helps achieve it"/>
    <x v="2"/>
  </r>
  <r>
    <d v="2023-04-28T18:00:53"/>
    <s v="India"/>
    <n v="560107"/>
    <x v="0"/>
    <x v="2"/>
    <s v="No, But if someone could bare the cost I will"/>
    <s v="This will be hard to do, but if it is the right company I would try"/>
    <s v="No"/>
    <s v="Will NOT work for them"/>
    <n v="5"/>
    <x v="6"/>
    <x v="1"/>
    <x v="16"/>
    <x v="494"/>
    <s v="Manager who sets goal and helps me achieve it"/>
    <x v="1"/>
  </r>
  <r>
    <d v="2023-04-28T18:01:52"/>
    <s v="India"/>
    <n v="600119"/>
    <x v="0"/>
    <x v="0"/>
    <s v="Yes, I will earn and do that"/>
    <s v="Will work for 3 years or more"/>
    <s v="No"/>
    <s v="Will NOT work for them"/>
    <n v="10"/>
    <x v="3"/>
    <x v="2"/>
    <x v="9"/>
    <x v="132"/>
    <s v="Manager who explains what is expected, sets a goal and helps achieve it"/>
    <x v="14"/>
  </r>
  <r>
    <d v="2023-04-28T18:09:45"/>
    <s v="India"/>
    <n v="700082"/>
    <x v="0"/>
    <x v="2"/>
    <s v="No, But if someone could bare the cost I will"/>
    <s v="Will work for 3 years or more"/>
    <s v="No"/>
    <s v="Will NOT work for them"/>
    <n v="6"/>
    <x v="6"/>
    <x v="1"/>
    <x v="17"/>
    <x v="181"/>
    <s v="Manager who sets goal and helps me achieve it"/>
    <x v="1"/>
  </r>
  <r>
    <d v="2023-04-28T18:32:23"/>
    <s v="India"/>
    <n v="530004"/>
    <x v="1"/>
    <x v="4"/>
    <s v="No, But if someone could bare the cost I will"/>
    <s v="This will be hard to do, but if it is the right company I would try"/>
    <s v="Yes"/>
    <s v="Will work for them"/>
    <n v="1"/>
    <x v="5"/>
    <x v="1"/>
    <x v="9"/>
    <x v="436"/>
    <s v="Manager who sets goal and helps me achieve it"/>
    <x v="6"/>
  </r>
  <r>
    <d v="2023-04-28T18:33:39"/>
    <s v="India"/>
    <n v="190015"/>
    <x v="1"/>
    <x v="4"/>
    <s v="Yes, I will earn and do that"/>
    <s v="No way"/>
    <s v="No"/>
    <s v="Will NOT work for them"/>
    <n v="6"/>
    <x v="5"/>
    <x v="0"/>
    <x v="11"/>
    <x v="338"/>
    <s v="Manager who sets goal and helps me achieve it"/>
    <x v="7"/>
  </r>
  <r>
    <d v="2023-04-28T18:43:49"/>
    <s v="India"/>
    <n v="110062"/>
    <x v="0"/>
    <x v="0"/>
    <s v="Yes, I will earn and do that"/>
    <s v="This will be hard to do, but if it is the right company I would try"/>
    <s v="Yes"/>
    <s v="Will work for them"/>
    <n v="10"/>
    <x v="6"/>
    <x v="1"/>
    <x v="17"/>
    <x v="495"/>
    <s v="Manager who clearly describes what she/he needs"/>
    <x v="8"/>
  </r>
  <r>
    <d v="2023-04-28T18:53:20"/>
    <s v="India"/>
    <n v="804453"/>
    <x v="0"/>
    <x v="0"/>
    <s v="Yes, I will earn and do that"/>
    <s v="Will work for 3 years or more"/>
    <s v="Yes"/>
    <s v="Will work for them"/>
    <n v="6"/>
    <x v="1"/>
    <x v="2"/>
    <x v="6"/>
    <x v="496"/>
    <s v="Manager who clearly describes what she/he needs"/>
    <x v="3"/>
  </r>
  <r>
    <d v="2023-04-28T18:53:38"/>
    <s v="India"/>
    <n v="560107"/>
    <x v="0"/>
    <x v="4"/>
    <s v="Yes, I will earn and do that"/>
    <s v="Will work for 3 years or more"/>
    <s v="Yes"/>
    <s v="Will work for them"/>
    <n v="1"/>
    <x v="3"/>
    <x v="2"/>
    <x v="17"/>
    <x v="497"/>
    <s v="Manager who clearly describes what she/he needs"/>
    <x v="13"/>
  </r>
  <r>
    <d v="2023-04-28T18:54:02"/>
    <s v="India"/>
    <n v="560022"/>
    <x v="0"/>
    <x v="0"/>
    <s v="Yes, I will earn and do that"/>
    <s v="This will be hard to do, but if it is the right company I would try"/>
    <s v="No"/>
    <s v="Will work for them"/>
    <n v="3"/>
    <x v="5"/>
    <x v="1"/>
    <x v="9"/>
    <x v="109"/>
    <s v="Manager who explains what is expected, sets a goal and helps achieve it"/>
    <x v="10"/>
  </r>
  <r>
    <d v="2023-04-28T18:56:47"/>
    <s v="India"/>
    <n v="500020"/>
    <x v="0"/>
    <x v="0"/>
    <s v="Yes, I will earn and do that"/>
    <s v="This will be hard to do, but if it is the right company I would try"/>
    <s v="Yes"/>
    <s v="Will NOT work for them"/>
    <n v="8"/>
    <x v="1"/>
    <x v="1"/>
    <x v="17"/>
    <x v="96"/>
    <s v="Manager who sets goal and helps me achieve it"/>
    <x v="6"/>
  </r>
  <r>
    <d v="2023-04-28T19:00:45"/>
    <s v="India"/>
    <n v="192202"/>
    <x v="1"/>
    <x v="0"/>
    <s v="No I would not be pursuing Higher Education outside of India"/>
    <s v="This will be hard to do, but if it is the right company I would try"/>
    <s v="No"/>
    <s v="Will NOT work for them"/>
    <n v="3"/>
    <x v="6"/>
    <x v="2"/>
    <x v="9"/>
    <x v="498"/>
    <s v="Manager who sets goal and helps me achieve it"/>
    <x v="3"/>
  </r>
  <r>
    <d v="2023-04-28T19:07:46"/>
    <s v="India"/>
    <n v="759001"/>
    <x v="1"/>
    <x v="0"/>
    <s v="No I would not be pursuing Higher Education outside of India"/>
    <s v="This will be hard to do, but if it is the right company I would try"/>
    <s v="No"/>
    <s v="Will NOT work for them"/>
    <n v="5"/>
    <x v="6"/>
    <x v="1"/>
    <x v="17"/>
    <x v="211"/>
    <s v="Manager who explains what is expected, sets a goal and helps achieve it"/>
    <x v="1"/>
  </r>
  <r>
    <d v="2023-04-28T19:10:47"/>
    <s v="India"/>
    <n v="847211"/>
    <x v="0"/>
    <x v="4"/>
    <s v="No I would not be pursuing Higher Education outside of India"/>
    <s v="This will be hard to do, but if it is the right company I would try"/>
    <s v="No"/>
    <s v="Will work for them"/>
    <n v="3"/>
    <x v="1"/>
    <x v="2"/>
    <x v="11"/>
    <x v="100"/>
    <s v="Manager who clearly describes what she/he needs"/>
    <x v="1"/>
  </r>
  <r>
    <d v="2023-04-28T19:11:54"/>
    <s v="India"/>
    <n v="440024"/>
    <x v="0"/>
    <x v="0"/>
    <s v="No I would not be pursuing Higher Education outside of India"/>
    <s v="This will be hard to do, but if it is the right company I would try"/>
    <s v="No"/>
    <s v="Will NOT work for them"/>
    <n v="7"/>
    <x v="6"/>
    <x v="1"/>
    <x v="9"/>
    <x v="191"/>
    <s v="Manager who explains what is expected, sets a goal and helps achieve it"/>
    <x v="1"/>
  </r>
  <r>
    <d v="2023-04-28T19:14:11"/>
    <s v="India"/>
    <n v="581336"/>
    <x v="1"/>
    <x v="4"/>
    <s v="No I would not be pursuing Higher Education outside of India"/>
    <s v="Will work for 3 years or more"/>
    <s v="No"/>
    <s v="Will NOT work for them"/>
    <n v="10"/>
    <x v="0"/>
    <x v="0"/>
    <x v="9"/>
    <x v="397"/>
    <s v="Manager who clearly describes what she/he needs"/>
    <x v="2"/>
  </r>
  <r>
    <d v="2023-04-28T19:18:53"/>
    <s v="India"/>
    <n v="500089"/>
    <x v="1"/>
    <x v="4"/>
    <s v="No I would not be pursuing Higher Education outside of India"/>
    <s v="This will be hard to do, but if it is the right company I would try"/>
    <s v="No"/>
    <s v="Will NOT work for them"/>
    <n v="1"/>
    <x v="1"/>
    <x v="1"/>
    <x v="7"/>
    <x v="181"/>
    <s v="Manager who sets goal and helps me achieve it"/>
    <x v="1"/>
  </r>
  <r>
    <d v="2023-04-28T19:33:05"/>
    <s v="India"/>
    <n v="560107"/>
    <x v="0"/>
    <x v="2"/>
    <s v="No I would not be pursuing Higher Education outside of India"/>
    <s v="This will be hard to do, but if it is the right company I would try"/>
    <s v="No"/>
    <s v="Will NOT work for them"/>
    <n v="3"/>
    <x v="6"/>
    <x v="1"/>
    <x v="19"/>
    <x v="382"/>
    <s v="Manager who explains what is expected, sets a goal and helps achieve it"/>
    <x v="16"/>
  </r>
  <r>
    <d v="2023-04-28T19:34:20"/>
    <s v="India"/>
    <n v="144021"/>
    <x v="0"/>
    <x v="4"/>
    <s v="Yes, I will earn and do that"/>
    <s v="This will be hard to do, but if it is the right company I would try"/>
    <s v="Yes"/>
    <s v="Will work for them"/>
    <n v="6"/>
    <x v="6"/>
    <x v="1"/>
    <x v="15"/>
    <x v="499"/>
    <s v="Manager who explains what is expected, sets a goal and helps achieve it"/>
    <x v="4"/>
  </r>
  <r>
    <d v="2023-04-28T19:34:42"/>
    <s v="India"/>
    <n v="690514"/>
    <x v="0"/>
    <x v="0"/>
    <s v="Yes, I will earn and do that"/>
    <s v="This will be hard to do, but if it is the right company I would try"/>
    <s v="No"/>
    <s v="Will NOT work for them"/>
    <n v="1"/>
    <x v="3"/>
    <x v="2"/>
    <x v="19"/>
    <x v="431"/>
    <s v="Manager who sets goal and helps me achieve it"/>
    <x v="7"/>
  </r>
  <r>
    <d v="2023-04-28T19:36:08"/>
    <s v="India"/>
    <n v="110009"/>
    <x v="0"/>
    <x v="4"/>
    <s v="No I would not be pursuing Higher Education outside of India"/>
    <s v="This will be hard to do, but if it is the right company I would try"/>
    <s v="No"/>
    <s v="Will NOT work for them"/>
    <n v="7"/>
    <x v="6"/>
    <x v="1"/>
    <x v="10"/>
    <x v="500"/>
    <s v="Manager who sets goal and helps me achieve it"/>
    <x v="6"/>
  </r>
  <r>
    <d v="2023-04-28T19:37:57"/>
    <s v="India"/>
    <n v="603001"/>
    <x v="0"/>
    <x v="3"/>
    <s v="No, But if someone could bare the cost I will"/>
    <s v="Will work for 3 years or more"/>
    <s v="No"/>
    <s v="Will NOT work for them"/>
    <n v="2"/>
    <x v="1"/>
    <x v="2"/>
    <x v="17"/>
    <x v="501"/>
    <s v="Manager who clearly describes what she/he needs"/>
    <x v="4"/>
  </r>
  <r>
    <d v="2023-04-28T19:42:00"/>
    <s v="India"/>
    <n v="530016"/>
    <x v="1"/>
    <x v="4"/>
    <s v="Yes, I will earn and do that"/>
    <s v="Will work for 3 years or more"/>
    <s v="No"/>
    <s v="Will NOT work for them"/>
    <n v="6"/>
    <x v="3"/>
    <x v="2"/>
    <x v="18"/>
    <x v="301"/>
    <s v="Manager who explains what is expected, sets a goal and helps achieve it"/>
    <x v="7"/>
  </r>
  <r>
    <d v="2023-04-28T19:44:29"/>
    <s v="India"/>
    <n v="603001"/>
    <x v="1"/>
    <x v="2"/>
    <s v="No I would not be pursuing Higher Education outside of India"/>
    <s v="This will be hard to do, but if it is the right company I would try"/>
    <s v="No"/>
    <s v="Will NOT work for them"/>
    <n v="4"/>
    <x v="6"/>
    <x v="1"/>
    <x v="11"/>
    <x v="141"/>
    <s v="Manager who explains what is expected, sets a goal and helps achieve it"/>
    <x v="1"/>
  </r>
  <r>
    <d v="2023-04-28T19:46:23"/>
    <s v="India"/>
    <n v="753001"/>
    <x v="1"/>
    <x v="4"/>
    <s v="No, But if someone could bare the cost I will"/>
    <s v="Will work for 3 years or more"/>
    <s v="Yes"/>
    <s v="Will work for them"/>
    <n v="3"/>
    <x v="3"/>
    <x v="1"/>
    <x v="6"/>
    <x v="502"/>
    <s v="Manager who explains what is expected, sets a goal and helps achieve it"/>
    <x v="1"/>
  </r>
  <r>
    <d v="2023-04-28T19:50:32"/>
    <s v="India"/>
    <n v="600073"/>
    <x v="1"/>
    <x v="3"/>
    <s v="No, But if someone could bare the cost I will"/>
    <s v="This will be hard to do, but if it is the right company I would try"/>
    <s v="No"/>
    <s v="Will NOT work for them"/>
    <n v="5"/>
    <x v="5"/>
    <x v="1"/>
    <x v="8"/>
    <x v="308"/>
    <s v="Manager who explains what is expected, sets a goal and helps achieve it"/>
    <x v="7"/>
  </r>
  <r>
    <d v="2023-04-28T19:51:00"/>
    <s v="India"/>
    <n v="500010"/>
    <x v="0"/>
    <x v="4"/>
    <s v="Yes, I will earn and do that"/>
    <s v="This will be hard to do, but if it is the right company I would try"/>
    <s v="No"/>
    <s v="Will NOT work for them"/>
    <n v="5"/>
    <x v="5"/>
    <x v="1"/>
    <x v="11"/>
    <x v="179"/>
    <s v="Manager who explains what is expected, sets a goal and helps achieve it"/>
    <x v="1"/>
  </r>
  <r>
    <d v="2023-04-28T19:56:45"/>
    <s v="India"/>
    <n v="530072"/>
    <x v="1"/>
    <x v="2"/>
    <s v="No I would not be pursuing Higher Education outside of India"/>
    <s v="This will be hard to do, but if it is the right company I would try"/>
    <s v="No"/>
    <s v="Will work for them"/>
    <n v="6"/>
    <x v="5"/>
    <x v="0"/>
    <x v="17"/>
    <x v="255"/>
    <s v="Manager who explains what is expected, sets a goal and helps achieve it"/>
    <x v="3"/>
  </r>
  <r>
    <d v="2023-04-28T20:00:29"/>
    <s v="India"/>
    <n v="530001"/>
    <x v="1"/>
    <x v="4"/>
    <s v="No I would not be pursuing Higher Education outside of India"/>
    <s v="Will work for 3 years or more"/>
    <s v="No"/>
    <s v="Will NOT work for them"/>
    <n v="5"/>
    <x v="1"/>
    <x v="2"/>
    <x v="9"/>
    <x v="155"/>
    <s v="Manager who explains what is expected, sets a goal and helps achieve it"/>
    <x v="7"/>
  </r>
  <r>
    <d v="2023-04-28T20:01:02"/>
    <s v="India"/>
    <n v="502032"/>
    <x v="1"/>
    <x v="0"/>
    <s v="No, But if someone could bare the cost I will"/>
    <s v="Will work for 3 years or more"/>
    <s v="No"/>
    <s v="Will NOT work for them"/>
    <n v="3"/>
    <x v="3"/>
    <x v="2"/>
    <x v="9"/>
    <x v="485"/>
    <s v="Manager who clearly describes what she/he needs"/>
    <x v="1"/>
  </r>
  <r>
    <d v="2023-04-28T20:01:46"/>
    <s v="India"/>
    <n v="533201"/>
    <x v="0"/>
    <x v="4"/>
    <s v="No, But if someone could bare the cost I will"/>
    <s v="This will be hard to do, but if it is the right company I would try"/>
    <s v="No"/>
    <s v="Will NOT work for them"/>
    <n v="5"/>
    <x v="1"/>
    <x v="2"/>
    <x v="11"/>
    <x v="227"/>
    <s v="Manager who explains what is expected, sets a goal and helps achieve it"/>
    <x v="11"/>
  </r>
  <r>
    <d v="2023-04-28T20:05:15"/>
    <s v="India"/>
    <n v="607803"/>
    <x v="1"/>
    <x v="0"/>
    <s v="Yes, I will earn and do that"/>
    <s v="This will be hard to do, but if it is the right company I would try"/>
    <s v="No"/>
    <s v="Will NOT work for them"/>
    <n v="5"/>
    <x v="6"/>
    <x v="2"/>
    <x v="7"/>
    <x v="285"/>
    <s v="Manager who sets goal and helps me achieve it"/>
    <x v="4"/>
  </r>
  <r>
    <d v="2023-04-28T20:16:14"/>
    <s v="India"/>
    <n v="560094"/>
    <x v="1"/>
    <x v="0"/>
    <s v="Yes, I will earn and do that"/>
    <s v="This will be hard to do, but if it is the right company I would try"/>
    <s v="No"/>
    <s v="Will NOT work for them"/>
    <n v="2"/>
    <x v="1"/>
    <x v="2"/>
    <x v="17"/>
    <x v="141"/>
    <s v="Manager who clearly describes what she/he needs"/>
    <x v="1"/>
  </r>
  <r>
    <d v="2023-04-28T20:18:02"/>
    <s v="India"/>
    <n v="509334"/>
    <x v="1"/>
    <x v="0"/>
    <s v="Yes, I will earn and do that"/>
    <s v="This will be hard to do, but if it is the right company I would try"/>
    <s v="No"/>
    <s v="Will NOT work for them"/>
    <n v="1"/>
    <x v="1"/>
    <x v="1"/>
    <x v="6"/>
    <x v="200"/>
    <s v="Manager who explains what is expected, sets a goal and helps achieve it"/>
    <x v="1"/>
  </r>
  <r>
    <d v="2023-04-28T20:21:09"/>
    <s v="India"/>
    <n v="531034"/>
    <x v="0"/>
    <x v="2"/>
    <s v="No I would not be pursuing Higher Education outside of India"/>
    <s v="This will be hard to do, but if it is the right company I would try"/>
    <s v="No"/>
    <s v="Will NOT work for them"/>
    <n v="3"/>
    <x v="1"/>
    <x v="1"/>
    <x v="11"/>
    <x v="229"/>
    <s v="Manager who explains what is expected, sets a goal and helps achieve it"/>
    <x v="5"/>
  </r>
  <r>
    <d v="2023-04-28T20:21:38"/>
    <s v="India"/>
    <n v="500085"/>
    <x v="1"/>
    <x v="4"/>
    <s v="No I would not be pursuing Higher Education outside of India"/>
    <s v="This will be hard to do, but if it is the right company I would try"/>
    <s v="No"/>
    <s v="Will NOT work for them"/>
    <n v="5"/>
    <x v="1"/>
    <x v="1"/>
    <x v="6"/>
    <x v="503"/>
    <s v="Manager who explains what is expected, sets a goal and helps achieve it"/>
    <x v="3"/>
  </r>
  <r>
    <d v="2023-04-28T20:25:40"/>
    <s v="India"/>
    <n v="760001"/>
    <x v="1"/>
    <x v="4"/>
    <s v="No I would not be pursuing Higher Education outside of India"/>
    <s v="This will be hard to do, but if it is the right company I would try"/>
    <s v="No"/>
    <s v="Will NOT work for them"/>
    <n v="1"/>
    <x v="3"/>
    <x v="2"/>
    <x v="9"/>
    <x v="504"/>
    <s v="Manager who explains what is expected, sets a goal and helps achieve it"/>
    <x v="1"/>
  </r>
  <r>
    <d v="2023-04-28T20:30:01"/>
    <s v="India"/>
    <n v="410210"/>
    <x v="0"/>
    <x v="0"/>
    <s v="No, But if someone could bare the cost I will"/>
    <s v="This will be hard to do, but if it is the right company I would try"/>
    <s v="No"/>
    <s v="Will NOT work for them"/>
    <n v="5"/>
    <x v="6"/>
    <x v="1"/>
    <x v="9"/>
    <x v="121"/>
    <s v="Manager who explains what is expected, sets a goal and helps achieve it"/>
    <x v="2"/>
  </r>
  <r>
    <d v="2023-04-28T20:33:40"/>
    <s v="India"/>
    <n v="641035"/>
    <x v="0"/>
    <x v="2"/>
    <s v="Yes, I will earn and do that"/>
    <s v="Will work for 3 years or more"/>
    <s v="No"/>
    <s v="Will NOT work for them"/>
    <n v="8"/>
    <x v="6"/>
    <x v="2"/>
    <x v="11"/>
    <x v="505"/>
    <s v="Manager who explains what is expected, sets a goal and helps achieve it"/>
    <x v="1"/>
  </r>
  <r>
    <d v="2023-04-28T20:42:52"/>
    <s v="India"/>
    <n v="560073"/>
    <x v="0"/>
    <x v="0"/>
    <s v="No, But if someone could bare the cost I will"/>
    <s v="This will be hard to do, but if it is the right company I would try"/>
    <s v="Yes"/>
    <s v="Will work for them"/>
    <n v="4"/>
    <x v="1"/>
    <x v="1"/>
    <x v="24"/>
    <x v="486"/>
    <s v="Manager who explains what is expected, sets a goal and helps achieve it"/>
    <x v="3"/>
  </r>
  <r>
    <d v="2023-04-28T20:47:30"/>
    <s v="India"/>
    <n v="503110"/>
    <x v="1"/>
    <x v="2"/>
    <s v="No I would not be pursuing Higher Education outside of India"/>
    <s v="This will be hard to do, but if it is the right company I would try"/>
    <s v="No"/>
    <s v="Will NOT work for them"/>
    <n v="9"/>
    <x v="1"/>
    <x v="1"/>
    <x v="17"/>
    <x v="122"/>
    <s v="Manager who explains what is expected, sets a goal and helps achieve it"/>
    <x v="3"/>
  </r>
  <r>
    <d v="2023-04-28T20:47:48"/>
    <s v="India"/>
    <n v="400601"/>
    <x v="1"/>
    <x v="1"/>
    <s v="Yes, I will earn and do that"/>
    <s v="Will work for 3 years or more"/>
    <s v="Yes"/>
    <s v="Will work for them"/>
    <n v="7"/>
    <x v="3"/>
    <x v="1"/>
    <x v="16"/>
    <x v="284"/>
    <s v="Manager who explains what is expected, sets a goal and helps achieve it"/>
    <x v="4"/>
  </r>
  <r>
    <d v="2023-04-28T20:51:24"/>
    <s v="India"/>
    <n v="192301"/>
    <x v="1"/>
    <x v="2"/>
    <s v="Yes, I will earn and do that"/>
    <s v="Will work for 3 years or more"/>
    <s v="No"/>
    <s v="Will NOT work for them"/>
    <n v="2"/>
    <x v="3"/>
    <x v="2"/>
    <x v="9"/>
    <x v="506"/>
    <s v="Manager who clearly describes what she/he needs"/>
    <x v="7"/>
  </r>
  <r>
    <d v="2023-04-28T20:54:40"/>
    <s v="India"/>
    <n v="560003"/>
    <x v="1"/>
    <x v="4"/>
    <s v="No, But if someone could bare the cost I will"/>
    <s v="No way"/>
    <s v="No"/>
    <s v="Will NOT work for them"/>
    <n v="1"/>
    <x v="6"/>
    <x v="1"/>
    <x v="7"/>
    <x v="109"/>
    <s v="Manager who explains what is expected, sets a goal and helps achieve it"/>
    <x v="3"/>
  </r>
  <r>
    <d v="2023-04-28T20:55:42"/>
    <s v="India"/>
    <n v="500028"/>
    <x v="0"/>
    <x v="1"/>
    <s v="No, But if someone could bare the cost I will"/>
    <s v="This will be hard to do, but if it is the right company I would try"/>
    <s v="No"/>
    <s v="Will NOT work for them"/>
    <n v="6"/>
    <x v="0"/>
    <x v="1"/>
    <x v="7"/>
    <x v="156"/>
    <s v="Manager who explains what is expected, sets a goal and helps achieve it"/>
    <x v="4"/>
  </r>
  <r>
    <d v="2023-04-28T20:55:52"/>
    <s v="India"/>
    <n v="424001"/>
    <x v="0"/>
    <x v="3"/>
    <s v="Yes, I will earn and do that"/>
    <s v="Will work for 3 years or more"/>
    <s v="No"/>
    <s v="Will NOT work for them"/>
    <n v="8"/>
    <x v="5"/>
    <x v="1"/>
    <x v="9"/>
    <x v="111"/>
    <s v="Manager who explains what is expected, sets a goal and helps achieve it"/>
    <x v="1"/>
  </r>
  <r>
    <d v="2023-04-28T20:59:06"/>
    <s v="India"/>
    <n v="500077"/>
    <x v="0"/>
    <x v="4"/>
    <s v="Yes, I will earn and do that"/>
    <s v="Will work for 3 years or more"/>
    <s v="No"/>
    <s v="Will NOT work for them"/>
    <n v="4"/>
    <x v="6"/>
    <x v="1"/>
    <x v="6"/>
    <x v="507"/>
    <s v="Manager who sets targets and expects me to achieve it"/>
    <x v="4"/>
  </r>
  <r>
    <d v="2023-04-28T20:59:41"/>
    <s v="India"/>
    <n v="600041"/>
    <x v="1"/>
    <x v="0"/>
    <s v="No I would not be pursuing Higher Education outside of India"/>
    <s v="Will work for 3 years or more"/>
    <s v="No"/>
    <s v="Will NOT work for them"/>
    <n v="1"/>
    <x v="6"/>
    <x v="2"/>
    <x v="9"/>
    <x v="139"/>
    <s v="Manager who explains what is expected, sets a goal and helps achieve it"/>
    <x v="14"/>
  </r>
  <r>
    <d v="2023-04-28T21:00:32"/>
    <s v="India"/>
    <n v="560090"/>
    <x v="0"/>
    <x v="0"/>
    <s v="Yes, I will earn and do that"/>
    <s v="This will be hard to do, but if it is the right company I would try"/>
    <s v="No"/>
    <s v="Will NOT work for them"/>
    <n v="1"/>
    <x v="3"/>
    <x v="1"/>
    <x v="7"/>
    <x v="100"/>
    <s v="Manager who sets targets and expects me to achieve it"/>
    <x v="7"/>
  </r>
  <r>
    <d v="2023-04-28T21:03:29"/>
    <s v="India"/>
    <n v="500028"/>
    <x v="0"/>
    <x v="0"/>
    <s v="No, But if someone could bare the cost I will"/>
    <s v="This will be hard to do, but if it is the right company I would try"/>
    <s v="No"/>
    <s v="Will NOT work for them"/>
    <n v="5"/>
    <x v="0"/>
    <x v="1"/>
    <x v="7"/>
    <x v="161"/>
    <s v="Manager who explains what is expected, sets a goal and helps achieve it"/>
    <x v="4"/>
  </r>
  <r>
    <d v="2023-04-28T21:07:34"/>
    <s v="India"/>
    <n v="492001"/>
    <x v="0"/>
    <x v="2"/>
    <s v="No I would not be pursuing Higher Education outside of India"/>
    <s v="Will work for 3 years or more"/>
    <s v="No"/>
    <s v="Will work for them"/>
    <n v="5"/>
    <x v="6"/>
    <x v="2"/>
    <x v="18"/>
    <x v="508"/>
    <s v="Manager who clearly describes what she/he needs"/>
    <x v="3"/>
  </r>
  <r>
    <d v="2023-04-28T21:10:54"/>
    <s v="India"/>
    <n v="191101"/>
    <x v="1"/>
    <x v="4"/>
    <s v="No, But if someone could bare the cost I will"/>
    <s v="This will be hard to do, but if it is the right company I would try"/>
    <s v="Yes"/>
    <s v="Will NOT work for them"/>
    <n v="10"/>
    <x v="1"/>
    <x v="1"/>
    <x v="6"/>
    <x v="307"/>
    <s v="Manager who sets goal and helps me achieve it"/>
    <x v="7"/>
  </r>
  <r>
    <d v="2023-04-28T21:17:32"/>
    <s v="India"/>
    <n v="500028"/>
    <x v="0"/>
    <x v="0"/>
    <s v="Yes, I will earn and do that"/>
    <s v="This will be hard to do, but if it is the right company I would try"/>
    <s v="No"/>
    <s v="Will work for them"/>
    <n v="10"/>
    <x v="1"/>
    <x v="1"/>
    <x v="17"/>
    <x v="371"/>
    <s v="Manager who sets goal and helps me achieve it"/>
    <x v="7"/>
  </r>
  <r>
    <d v="2023-04-28T21:19:48"/>
    <s v="India"/>
    <n v="563125"/>
    <x v="1"/>
    <x v="4"/>
    <s v="Yes, I will earn and do that"/>
    <s v="Will work for 3 years or more"/>
    <s v="Yes"/>
    <s v="Will work for them"/>
    <n v="5"/>
    <x v="0"/>
    <x v="2"/>
    <x v="9"/>
    <x v="167"/>
    <s v="Manager who sets goal and helps me achieve it"/>
    <x v="4"/>
  </r>
  <r>
    <d v="2023-04-28T21:20:41"/>
    <s v="India"/>
    <n v="110044"/>
    <x v="0"/>
    <x v="4"/>
    <s v="Yes, I will earn and do that"/>
    <s v="Will work for 3 years or more"/>
    <s v="Yes"/>
    <s v="Will work for them"/>
    <n v="1"/>
    <x v="3"/>
    <x v="2"/>
    <x v="15"/>
    <x v="509"/>
    <s v="Manager who clearly describes what she/he needs"/>
    <x v="5"/>
  </r>
  <r>
    <d v="2023-04-28T21:23:05"/>
    <s v="India"/>
    <n v="505209"/>
    <x v="0"/>
    <x v="3"/>
    <s v="No I would not be pursuing Higher Education outside of India"/>
    <s v="No way"/>
    <s v="No"/>
    <s v="Will NOT work for them"/>
    <n v="1"/>
    <x v="1"/>
    <x v="2"/>
    <x v="19"/>
    <x v="198"/>
    <s v="Manager who explains what is expected, sets a goal and helps achieve it"/>
    <x v="1"/>
  </r>
  <r>
    <d v="2023-04-28T21:24:52"/>
    <s v="India"/>
    <n v="505211"/>
    <x v="0"/>
    <x v="0"/>
    <s v="Yes, I will earn and do that"/>
    <s v="This will be hard to do, but if it is the right company I would try"/>
    <s v="Yes"/>
    <s v="Will work for them"/>
    <n v="1"/>
    <x v="3"/>
    <x v="2"/>
    <x v="20"/>
    <x v="510"/>
    <s v="Manager who explains what is expected, sets a goal and helps achieve it"/>
    <x v="12"/>
  </r>
  <r>
    <d v="2023-04-28T21:28:05"/>
    <s v="India"/>
    <n v="713103"/>
    <x v="1"/>
    <x v="1"/>
    <s v="Yes, I will earn and do that"/>
    <s v="This will be hard to do, but if it is the right company I would try"/>
    <s v="Yes"/>
    <s v="Will work for them"/>
    <n v="6"/>
    <x v="5"/>
    <x v="1"/>
    <x v="7"/>
    <x v="114"/>
    <s v="Manager who sets goal and helps me achieve it"/>
    <x v="3"/>
  </r>
  <r>
    <d v="2023-04-28T21:37:39"/>
    <s v="India"/>
    <n v="411014"/>
    <x v="0"/>
    <x v="0"/>
    <s v="Yes, I will earn and do that"/>
    <s v="This will be hard to do, but if it is the right company I would try"/>
    <s v="No"/>
    <s v="Will NOT work for them"/>
    <n v="1"/>
    <x v="6"/>
    <x v="1"/>
    <x v="9"/>
    <x v="224"/>
    <s v="Manager who explains what is expected, sets a goal and helps achieve it"/>
    <x v="7"/>
  </r>
  <r>
    <d v="2023-04-28T21:40:53"/>
    <s v="India"/>
    <n v="68"/>
    <x v="0"/>
    <x v="2"/>
    <s v="No I would not be pursuing Higher Education outside of India"/>
    <s v="This will be hard to do, but if it is the right company I would try"/>
    <s v="Yes"/>
    <s v="Will NOT work for them"/>
    <n v="6"/>
    <x v="1"/>
    <x v="1"/>
    <x v="6"/>
    <x v="114"/>
    <s v="Manager who explains what is expected, sets a goal and helps achieve it"/>
    <x v="1"/>
  </r>
  <r>
    <d v="2023-04-28T21:43:10"/>
    <s v="India"/>
    <n v="411032"/>
    <x v="0"/>
    <x v="3"/>
    <s v="Yes, I will earn and do that"/>
    <s v="This will be hard to do, but if it is the right company I would try"/>
    <s v="Yes"/>
    <s v="Will work for them"/>
    <n v="7"/>
    <x v="6"/>
    <x v="1"/>
    <x v="24"/>
    <x v="442"/>
    <s v="Manager who explains what is expected, sets a goal and helps achieve it"/>
    <x v="7"/>
  </r>
  <r>
    <d v="2023-04-28T21:47:37"/>
    <s v="India"/>
    <n v="603209"/>
    <x v="0"/>
    <x v="2"/>
    <s v="Yes, I will earn and do that"/>
    <s v="Will work for 3 years or more"/>
    <s v="No"/>
    <s v="Will NOT work for them"/>
    <n v="2"/>
    <x v="6"/>
    <x v="1"/>
    <x v="17"/>
    <x v="109"/>
    <s v="Manager who explains what is expected, sets a goal and helps achieve it"/>
    <x v="9"/>
  </r>
  <r>
    <d v="2023-04-28T21:50:26"/>
    <s v="India"/>
    <n v="841221"/>
    <x v="1"/>
    <x v="0"/>
    <s v="Yes, I will earn and do that"/>
    <s v="Will work for 3 years or more"/>
    <s v="Yes"/>
    <s v="Will work for them"/>
    <n v="3"/>
    <x v="3"/>
    <x v="0"/>
    <x v="9"/>
    <x v="511"/>
    <s v="Manager who sets targets and expects me to achieve it"/>
    <x v="1"/>
  </r>
  <r>
    <d v="2023-04-28T21:52:14"/>
    <s v="India"/>
    <n v="803302"/>
    <x v="1"/>
    <x v="4"/>
    <s v="No, But if someone could bare the cost I will"/>
    <s v="This will be hard to do, but if it is the right company I would try"/>
    <s v="No"/>
    <s v="Will work for them"/>
    <n v="4"/>
    <x v="3"/>
    <x v="2"/>
    <x v="22"/>
    <x v="512"/>
    <s v="Manager who sets targets and expects me to achieve it"/>
    <x v="3"/>
  </r>
  <r>
    <d v="2023-04-28T21:55:52"/>
    <s v="India"/>
    <n v="201310"/>
    <x v="1"/>
    <x v="2"/>
    <s v="No I would not be pursuing Higher Education outside of India"/>
    <s v="This will be hard to do, but if it is the right company I would try"/>
    <s v="Yes"/>
    <s v="Will NOT work for them"/>
    <n v="4"/>
    <x v="3"/>
    <x v="0"/>
    <x v="8"/>
    <x v="350"/>
    <s v="Manager who explains what is expected, sets a goal and helps achieve it"/>
    <x v="2"/>
  </r>
  <r>
    <d v="2023-04-28T21:56:36"/>
    <s v="India"/>
    <n v="201308"/>
    <x v="1"/>
    <x v="2"/>
    <s v="No, But if someone could bare the cost I will"/>
    <s v="Will work for 3 years or more"/>
    <s v="No"/>
    <s v="Will NOT work for them"/>
    <n v="4"/>
    <x v="0"/>
    <x v="2"/>
    <x v="17"/>
    <x v="277"/>
    <s v="Manager who explains what is expected, sets a goal and helps achieve it"/>
    <x v="11"/>
  </r>
  <r>
    <d v="2023-04-28T21:58:09"/>
    <s v="India"/>
    <n v="803302"/>
    <x v="1"/>
    <x v="4"/>
    <s v="No, But if someone could bare the cost I will"/>
    <s v="This will be hard to do, but if it is the right company I would try"/>
    <s v="No"/>
    <s v="Will NOT work for them"/>
    <n v="5"/>
    <x v="0"/>
    <x v="1"/>
    <x v="19"/>
    <x v="513"/>
    <s v="Manager who explains what is expected, sets a goal and helps achieve it"/>
    <x v="3"/>
  </r>
  <r>
    <d v="2023-04-28T21:58:33"/>
    <s v="India"/>
    <n v="600073"/>
    <x v="1"/>
    <x v="3"/>
    <s v="No, But if someone could bare the cost I will"/>
    <s v="No way"/>
    <s v="No"/>
    <s v="Will NOT work for them"/>
    <n v="9"/>
    <x v="6"/>
    <x v="0"/>
    <x v="12"/>
    <x v="514"/>
    <s v="Manager who clearly describes what she/he needs"/>
    <x v="6"/>
  </r>
  <r>
    <d v="2023-04-28T21:59:52"/>
    <s v="India"/>
    <n v="803303"/>
    <x v="0"/>
    <x v="4"/>
    <s v="No, But if someone could bare the cost I will"/>
    <s v="Will work for 3 years or more"/>
    <s v="No"/>
    <s v="Will NOT work for them"/>
    <n v="1"/>
    <x v="1"/>
    <x v="1"/>
    <x v="16"/>
    <x v="515"/>
    <s v="Manager who explains what is expected, sets a goal and helps achieve it"/>
    <x v="4"/>
  </r>
  <r>
    <d v="2023-04-28T22:05:45"/>
    <s v="India"/>
    <n v="247667"/>
    <x v="1"/>
    <x v="0"/>
    <s v="No I would not be pursuing Higher Education outside of India"/>
    <s v="Will work for 3 years or more"/>
    <s v="No"/>
    <s v="Will work for them"/>
    <n v="5"/>
    <x v="6"/>
    <x v="1"/>
    <x v="10"/>
    <x v="248"/>
    <s v="Manager who clearly describes what she/he needs"/>
    <x v="7"/>
  </r>
  <r>
    <d v="2023-04-28T22:06:40"/>
    <s v="India"/>
    <n v="201310"/>
    <x v="1"/>
    <x v="1"/>
    <s v="No, But if someone could bare the cost I will"/>
    <s v="This will be hard to do, but if it is the right company I would try"/>
    <s v="Yes"/>
    <s v="Will work for them"/>
    <n v="8"/>
    <x v="6"/>
    <x v="2"/>
    <x v="9"/>
    <x v="516"/>
    <s v="Manager who sets unrealistic targets"/>
    <x v="6"/>
  </r>
  <r>
    <d v="2023-04-28T22:10:35"/>
    <s v="India"/>
    <n v="201310"/>
    <x v="1"/>
    <x v="0"/>
    <s v="Yes, I will earn and do that"/>
    <s v="This will be hard to do, but if it is the right company I would try"/>
    <s v="No"/>
    <s v="Will NOT work for them"/>
    <n v="4"/>
    <x v="5"/>
    <x v="1"/>
    <x v="19"/>
    <x v="198"/>
    <s v="Manager who explains what is expected, sets a goal and helps achieve it"/>
    <x v="5"/>
  </r>
  <r>
    <d v="2023-04-28T22:11:48"/>
    <s v="India"/>
    <n v="440013"/>
    <x v="0"/>
    <x v="4"/>
    <s v="No I would not be pursuing Higher Education outside of India"/>
    <s v="Will work for 3 years or more"/>
    <s v="No"/>
    <s v="Will NOT work for them"/>
    <n v="10"/>
    <x v="3"/>
    <x v="1"/>
    <x v="9"/>
    <x v="117"/>
    <s v="Manager who explains what is expected, sets a goal and helps achieve it"/>
    <x v="11"/>
  </r>
  <r>
    <d v="2023-04-28T22:30:49"/>
    <s v="India"/>
    <n v="246174"/>
    <x v="0"/>
    <x v="1"/>
    <s v="Yes, I will earn and do that"/>
    <s v="Will work for 3 years or more"/>
    <s v="No"/>
    <s v="Will NOT work for them"/>
    <n v="5"/>
    <x v="1"/>
    <x v="2"/>
    <x v="16"/>
    <x v="262"/>
    <s v="Manager who sets goal and helps me achieve it"/>
    <x v="1"/>
  </r>
  <r>
    <d v="2023-04-28T22:34:30"/>
    <s v="India"/>
    <n v="452010"/>
    <x v="0"/>
    <x v="3"/>
    <s v="Yes, I will earn and do that"/>
    <s v="Will work for 3 years or more"/>
    <s v="No"/>
    <s v="Will work for them"/>
    <n v="5"/>
    <x v="3"/>
    <x v="1"/>
    <x v="17"/>
    <x v="111"/>
    <s v="Manager who sets goal and helps me achieve it"/>
    <x v="25"/>
  </r>
  <r>
    <d v="2023-04-28T22:34:54"/>
    <s v="India"/>
    <n v="411007"/>
    <x v="0"/>
    <x v="4"/>
    <s v="Yes, I will earn and do that"/>
    <s v="Will work for 3 years or more"/>
    <s v="No"/>
    <s v="Will NOT work for them"/>
    <n v="5"/>
    <x v="6"/>
    <x v="1"/>
    <x v="8"/>
    <x v="301"/>
    <s v="Manager who sets goal and helps me achieve it"/>
    <x v="7"/>
  </r>
  <r>
    <d v="2023-04-28T22:36:57"/>
    <s v="India"/>
    <n v="606603"/>
    <x v="1"/>
    <x v="0"/>
    <s v="No I would not be pursuing Higher Education outside of India"/>
    <s v="This will be hard to do, but if it is the right company I would try"/>
    <s v="No"/>
    <s v="Will NOT work for them"/>
    <n v="6"/>
    <x v="3"/>
    <x v="1"/>
    <x v="15"/>
    <x v="517"/>
    <s v="Manager who explains what is expected, sets a goal and helps achieve it"/>
    <x v="7"/>
  </r>
  <r>
    <d v="2023-04-28T22:39:00"/>
    <s v="India"/>
    <n v="500072"/>
    <x v="1"/>
    <x v="3"/>
    <s v="No I would not be pursuing Higher Education outside of India"/>
    <s v="Will work for 3 years or more"/>
    <s v="No"/>
    <s v="Will NOT work for them"/>
    <n v="1"/>
    <x v="1"/>
    <x v="2"/>
    <x v="7"/>
    <x v="179"/>
    <s v="Manager who explains what is expected, sets a goal and helps achieve it"/>
    <x v="7"/>
  </r>
  <r>
    <d v="2023-04-28T22:40:42"/>
    <s v="India"/>
    <n v="411044"/>
    <x v="1"/>
    <x v="4"/>
    <s v="No, But if someone could bare the cost I will"/>
    <s v="Will work for 3 years or more"/>
    <s v="No"/>
    <s v="Will NOT work for them"/>
    <n v="2"/>
    <x v="1"/>
    <x v="2"/>
    <x v="11"/>
    <x v="150"/>
    <s v="Manager who explains what is expected, sets a goal and helps achieve it"/>
    <x v="3"/>
  </r>
  <r>
    <d v="2023-04-28T22:42:57"/>
    <s v="India"/>
    <n v="560075"/>
    <x v="0"/>
    <x v="0"/>
    <s v="No I would not be pursuing Higher Education outside of India"/>
    <s v="Will work for 3 years or more"/>
    <s v="No"/>
    <s v="Will NOT work for them"/>
    <n v="7"/>
    <x v="6"/>
    <x v="2"/>
    <x v="6"/>
    <x v="141"/>
    <s v="Manager who sets goal and helps me achieve it"/>
    <x v="1"/>
  </r>
  <r>
    <d v="2023-04-28T22:44:11"/>
    <s v="India"/>
    <n v="411014"/>
    <x v="1"/>
    <x v="4"/>
    <s v="No I would not be pursuing Higher Education outside of India"/>
    <s v="This will be hard to do, but if it is the right company I would try"/>
    <s v="No"/>
    <s v="Will NOT work for them"/>
    <n v="8"/>
    <x v="3"/>
    <x v="2"/>
    <x v="11"/>
    <x v="183"/>
    <s v="Manager who clearly describes what she/he needs"/>
    <x v="9"/>
  </r>
  <r>
    <d v="2023-04-28T22:51:08"/>
    <s v="India"/>
    <n v="92"/>
    <x v="1"/>
    <x v="3"/>
    <s v="Yes, I will earn and do that"/>
    <s v="This will be hard to do, but if it is the right company I would try"/>
    <s v="No"/>
    <s v="Will NOT work for them"/>
    <n v="8"/>
    <x v="6"/>
    <x v="1"/>
    <x v="7"/>
    <x v="385"/>
    <s v="Manager who explains what is expected, sets a goal and helps achieve it"/>
    <x v="1"/>
  </r>
  <r>
    <d v="2023-04-28T23:03:35"/>
    <s v="India"/>
    <n v="765022"/>
    <x v="1"/>
    <x v="4"/>
    <s v="Yes, I will earn and do that"/>
    <s v="Will work for 3 years or more"/>
    <s v="No"/>
    <s v="Will NOT work for them"/>
    <n v="1"/>
    <x v="6"/>
    <x v="2"/>
    <x v="18"/>
    <x v="164"/>
    <s v="Manager who explains what is expected, sets a goal and helps achieve it"/>
    <x v="7"/>
  </r>
  <r>
    <d v="2023-04-28T23:08:50"/>
    <s v="India"/>
    <n v="530051"/>
    <x v="1"/>
    <x v="0"/>
    <s v="Yes, I will earn and do that"/>
    <s v="Will work for 3 years or more"/>
    <s v="No"/>
    <s v="Will NOT work for them"/>
    <n v="5"/>
    <x v="6"/>
    <x v="1"/>
    <x v="25"/>
    <x v="518"/>
    <s v="Manager who sets goal and helps me achieve it"/>
    <x v="1"/>
  </r>
  <r>
    <d v="2023-04-28T23:09:38"/>
    <s v="India"/>
    <n v="560067"/>
    <x v="0"/>
    <x v="2"/>
    <s v="No, But if someone could bare the cost I will"/>
    <s v="Will work for 3 years or more"/>
    <s v="No"/>
    <s v="Will NOT work for them"/>
    <n v="1"/>
    <x v="1"/>
    <x v="1"/>
    <x v="10"/>
    <x v="141"/>
    <s v="Manager who explains what is expected, sets a goal and helps achieve it"/>
    <x v="7"/>
  </r>
  <r>
    <d v="2023-04-28T23:14:34"/>
    <s v="India"/>
    <n v="600015"/>
    <x v="1"/>
    <x v="0"/>
    <s v="Yes, I will earn and do that"/>
    <s v="This will be hard to do, but if it is the right company I would try"/>
    <s v="No"/>
    <s v="Will NOT work for them"/>
    <n v="9"/>
    <x v="5"/>
    <x v="2"/>
    <x v="11"/>
    <x v="132"/>
    <s v="Manager who sets goal and helps me achieve it"/>
    <x v="15"/>
  </r>
  <r>
    <d v="2023-04-28T23:26:06"/>
    <s v="India"/>
    <n v="560090"/>
    <x v="0"/>
    <x v="4"/>
    <s v="No, But if someone could bare the cost I will"/>
    <s v="No way"/>
    <s v="No"/>
    <s v="Will NOT work for them"/>
    <n v="6"/>
    <x v="6"/>
    <x v="1"/>
    <x v="9"/>
    <x v="291"/>
    <s v="Manager who sets targets and expects me to achieve it"/>
    <x v="1"/>
  </r>
  <r>
    <d v="2023-04-28T23:37:46"/>
    <s v="India"/>
    <n v="410206"/>
    <x v="1"/>
    <x v="1"/>
    <s v="Yes, I will earn and do that"/>
    <s v="This will be hard to do, but if it is the right company I would try"/>
    <s v="No"/>
    <s v="Will NOT work for them"/>
    <n v="7"/>
    <x v="6"/>
    <x v="2"/>
    <x v="6"/>
    <x v="194"/>
    <s v="Manager who explains what is expected, sets a goal and helps achieve it"/>
    <x v="1"/>
  </r>
  <r>
    <d v="2023-04-28T23:49:56"/>
    <s v="India"/>
    <n v="562107"/>
    <x v="1"/>
    <x v="0"/>
    <s v="Yes, I will earn and do that"/>
    <s v="This will be hard to do, but if it is the right company I would try"/>
    <s v="No"/>
    <s v="Will NOT work for them"/>
    <n v="3"/>
    <x v="6"/>
    <x v="1"/>
    <x v="11"/>
    <x v="211"/>
    <s v="Manager who explains what is expected, sets a goal and helps achieve it"/>
    <x v="1"/>
  </r>
  <r>
    <d v="2023-04-28T23:50:09"/>
    <s v="India"/>
    <n v="638004"/>
    <x v="0"/>
    <x v="4"/>
    <s v="Yes, I will earn and do that"/>
    <s v="Will work for 3 years or more"/>
    <s v="No"/>
    <s v="Will NOT work for them"/>
    <n v="8"/>
    <x v="3"/>
    <x v="0"/>
    <x v="14"/>
    <x v="140"/>
    <s v="Manager who clearly describes what she/he needs"/>
    <x v="3"/>
  </r>
  <r>
    <d v="2023-04-29T00:09:10"/>
    <s v="India"/>
    <n v="500001"/>
    <x v="0"/>
    <x v="2"/>
    <s v="Yes, I will earn and do that"/>
    <s v="Will work for 3 years or more"/>
    <s v="Yes"/>
    <s v="Will work for them"/>
    <n v="2"/>
    <x v="1"/>
    <x v="1"/>
    <x v="10"/>
    <x v="157"/>
    <s v="Manager who explains what is expected, sets a goal and helps achieve it"/>
    <x v="8"/>
  </r>
  <r>
    <d v="2023-04-29T00:17:35"/>
    <s v="India"/>
    <n v="400074"/>
    <x v="0"/>
    <x v="2"/>
    <s v="No, But if someone could bare the cost I will"/>
    <s v="Will work for 3 years or more"/>
    <s v="Yes"/>
    <s v="Will NOT work for them"/>
    <n v="5"/>
    <x v="6"/>
    <x v="0"/>
    <x v="14"/>
    <x v="120"/>
    <s v="Manager who explains what is expected, sets a goal and helps achieve it"/>
    <x v="21"/>
  </r>
  <r>
    <d v="2023-04-29T00:24:08"/>
    <s v="India"/>
    <n v="500001"/>
    <x v="1"/>
    <x v="4"/>
    <s v="Yes, I will earn and do that"/>
    <s v="This will be hard to do, but if it is the right company I would try"/>
    <s v="No"/>
    <s v="Will NOT work for them"/>
    <n v="4"/>
    <x v="1"/>
    <x v="0"/>
    <x v="11"/>
    <x v="135"/>
    <s v="Manager who explains what is expected, sets a goal and helps achieve it"/>
    <x v="11"/>
  </r>
  <r>
    <d v="2023-04-29T00:34:49"/>
    <s v="India"/>
    <n v="247667"/>
    <x v="0"/>
    <x v="0"/>
    <s v="Yes, I will earn and do that"/>
    <s v="Will work for 3 years or more"/>
    <s v="No"/>
    <s v="Will NOT work for them"/>
    <n v="7"/>
    <x v="5"/>
    <x v="1"/>
    <x v="7"/>
    <x v="440"/>
    <s v="Manager who clearly describes what she/he needs"/>
    <x v="7"/>
  </r>
  <r>
    <d v="2023-04-29T00:59:02"/>
    <s v="India"/>
    <n v="500016"/>
    <x v="0"/>
    <x v="4"/>
    <s v="No, But if someone could bare the cost I will"/>
    <s v="This will be hard to do, but if it is the right company I would try"/>
    <s v="No"/>
    <s v="Will NOT work for them"/>
    <n v="1"/>
    <x v="6"/>
    <x v="2"/>
    <x v="17"/>
    <x v="155"/>
    <s v="Manager who explains what is expected, sets a goal and helps achieve it"/>
    <x v="3"/>
  </r>
  <r>
    <d v="2023-04-29T01:10:31"/>
    <s v="India"/>
    <n v="560064"/>
    <x v="0"/>
    <x v="2"/>
    <s v="No I would not be pursuing Higher Education outside of India"/>
    <s v="Will work for 3 years or more"/>
    <s v="Yes"/>
    <s v="Will NOT work for them"/>
    <n v="6"/>
    <x v="6"/>
    <x v="1"/>
    <x v="6"/>
    <x v="125"/>
    <s v="Manager who explains what is expected, sets a goal and helps achieve it"/>
    <x v="8"/>
  </r>
  <r>
    <d v="2023-04-29T01:43:42"/>
    <s v="India"/>
    <n v="695033"/>
    <x v="0"/>
    <x v="3"/>
    <s v="No, But if someone could bare the cost I will"/>
    <s v="This will be hard to do, but if it is the right company I would try"/>
    <s v="Yes"/>
    <s v="Will NOT work for them"/>
    <n v="5"/>
    <x v="5"/>
    <x v="2"/>
    <x v="19"/>
    <x v="519"/>
    <s v="Manager who sets goal and helps me achieve it"/>
    <x v="3"/>
  </r>
  <r>
    <d v="2023-04-29T05:24:12"/>
    <s v="India"/>
    <n v="500008"/>
    <x v="1"/>
    <x v="4"/>
    <s v="Yes, I will earn and do that"/>
    <s v="No way"/>
    <s v="No"/>
    <s v="Will NOT work for them"/>
    <n v="6"/>
    <x v="1"/>
    <x v="1"/>
    <x v="9"/>
    <x v="434"/>
    <s v="Manager who explains what is expected, sets a goal and helps achieve it"/>
    <x v="3"/>
  </r>
  <r>
    <d v="2023-04-29T06:40:45"/>
    <s v="India"/>
    <n v="500043"/>
    <x v="1"/>
    <x v="4"/>
    <s v="No, But if someone could bare the cost I will"/>
    <s v="Will work for 3 years or more"/>
    <s v="No"/>
    <s v="Will NOT work for them"/>
    <n v="1"/>
    <x v="1"/>
    <x v="0"/>
    <x v="7"/>
    <x v="301"/>
    <s v="Manager who clearly describes what she/he needs"/>
    <x v="4"/>
  </r>
  <r>
    <d v="2023-04-29T07:48:25"/>
    <s v="India"/>
    <n v="500088"/>
    <x v="1"/>
    <x v="0"/>
    <s v="No I would not be pursuing Higher Education outside of India"/>
    <s v="This will be hard to do, but if it is the right company I would try"/>
    <s v="Yes"/>
    <s v="Will NOT work for them"/>
    <n v="10"/>
    <x v="6"/>
    <x v="2"/>
    <x v="9"/>
    <x v="197"/>
    <s v="Manager who explains what is expected, sets a goal and helps achieve it"/>
    <x v="4"/>
  </r>
  <r>
    <d v="2023-04-29T08:09:22"/>
    <s v="India"/>
    <n v="505460"/>
    <x v="0"/>
    <x v="4"/>
    <s v="No I would not be pursuing Higher Education outside of India"/>
    <s v="This will be hard to do, but if it is the right company I would try"/>
    <s v="No"/>
    <s v="Will NOT work for them"/>
    <n v="7"/>
    <x v="5"/>
    <x v="2"/>
    <x v="17"/>
    <x v="310"/>
    <s v="Manager who explains what is expected, sets a goal and helps achieve it"/>
    <x v="2"/>
  </r>
  <r>
    <d v="2023-04-29T08:09:44"/>
    <s v="India"/>
    <n v="500070"/>
    <x v="1"/>
    <x v="2"/>
    <s v="No, But if someone could bare the cost I will"/>
    <s v="No way"/>
    <s v="No"/>
    <s v="Will NOT work for them"/>
    <n v="1"/>
    <x v="1"/>
    <x v="1"/>
    <x v="9"/>
    <x v="520"/>
    <s v="Manager who explains what is expected, sets a goal and helps achieve it"/>
    <x v="6"/>
  </r>
  <r>
    <d v="2023-04-29T08:12:43"/>
    <s v="India"/>
    <n v="508234"/>
    <x v="1"/>
    <x v="4"/>
    <s v="Yes, I will earn and do that"/>
    <s v="This will be hard to do, but if it is the right company I would try"/>
    <s v="Yes"/>
    <s v="Will NOT work for them"/>
    <n v="5"/>
    <x v="3"/>
    <x v="2"/>
    <x v="18"/>
    <x v="521"/>
    <s v="Manager who clearly describes what she/he needs"/>
    <x v="1"/>
  </r>
  <r>
    <d v="2023-04-29T08:44:22"/>
    <s v="India"/>
    <n v="224135"/>
    <x v="0"/>
    <x v="4"/>
    <s v="No I would not be pursuing Higher Education outside of India"/>
    <s v="Will work for 3 years or more"/>
    <s v="No"/>
    <s v="Will work for them"/>
    <n v="1"/>
    <x v="6"/>
    <x v="2"/>
    <x v="8"/>
    <x v="522"/>
    <s v="Manager who explains what is expected, sets a goal and helps achieve it"/>
    <x v="14"/>
  </r>
  <r>
    <d v="2023-04-29T09:17:42"/>
    <s v="India"/>
    <n v="641006"/>
    <x v="1"/>
    <x v="0"/>
    <s v="No I would not be pursuing Higher Education outside of India"/>
    <s v="This will be hard to do, but if it is the right company I would try"/>
    <s v="No"/>
    <s v="Will work for them"/>
    <n v="7"/>
    <x v="3"/>
    <x v="1"/>
    <x v="6"/>
    <x v="161"/>
    <s v="Manager who clearly describes what she/he needs"/>
    <x v="18"/>
  </r>
  <r>
    <d v="2023-04-29T09:48:31"/>
    <s v="India"/>
    <n v="201306"/>
    <x v="0"/>
    <x v="4"/>
    <s v="Yes, I will earn and do that"/>
    <s v="This will be hard to do, but if it is the right company I would try"/>
    <s v="No"/>
    <s v="Will NOT work for them"/>
    <n v="3"/>
    <x v="6"/>
    <x v="1"/>
    <x v="17"/>
    <x v="359"/>
    <s v="Manager who explains what is expected, sets a goal and helps achieve it"/>
    <x v="7"/>
  </r>
  <r>
    <d v="2023-04-29T09:53:55"/>
    <s v="India"/>
    <n v="110092"/>
    <x v="0"/>
    <x v="1"/>
    <s v="No I would not be pursuing Higher Education outside of India"/>
    <s v="Will work for 3 years or more"/>
    <s v="No"/>
    <s v="Will NOT work for them"/>
    <n v="1"/>
    <x v="3"/>
    <x v="1"/>
    <x v="6"/>
    <x v="523"/>
    <s v="Manager who explains what is expected, sets a goal and helps achieve it"/>
    <x v="7"/>
  </r>
  <r>
    <d v="2023-04-29T09:57:02"/>
    <s v="India"/>
    <n v="201301"/>
    <x v="1"/>
    <x v="0"/>
    <s v="Yes, I will earn and do that"/>
    <s v="Will work for 3 years or more"/>
    <s v="Yes"/>
    <s v="Will NOT work for them"/>
    <n v="8"/>
    <x v="5"/>
    <x v="2"/>
    <x v="9"/>
    <x v="142"/>
    <s v="Manager who explains what is expected, sets a goal and helps achieve it"/>
    <x v="12"/>
  </r>
  <r>
    <d v="2023-04-29T09:58:04"/>
    <s v="India"/>
    <n v="628552"/>
    <x v="0"/>
    <x v="1"/>
    <s v="Yes, I will earn and do that"/>
    <s v="This will be hard to do, but if it is the right company I would try"/>
    <s v="Yes"/>
    <s v="Will work for them"/>
    <n v="7"/>
    <x v="3"/>
    <x v="2"/>
    <x v="14"/>
    <x v="207"/>
    <s v="Manager who explains what is expected, sets a goal and helps achieve it"/>
    <x v="3"/>
  </r>
  <r>
    <d v="2023-04-29T10:03:17"/>
    <s v="India"/>
    <n v="110096"/>
    <x v="0"/>
    <x v="1"/>
    <s v="Yes, I will earn and do that"/>
    <s v="Will work for 3 years or more"/>
    <s v="Yes"/>
    <s v="Will NOT work for them"/>
    <n v="10"/>
    <x v="6"/>
    <x v="2"/>
    <x v="10"/>
    <x v="524"/>
    <s v="Manager who explains what is expected, sets a goal and helps achieve it"/>
    <x v="7"/>
  </r>
  <r>
    <d v="2023-04-29T10:15:56"/>
    <s v="India"/>
    <n v="201301"/>
    <x v="1"/>
    <x v="1"/>
    <s v="Yes, I will earn and do that"/>
    <s v="This will be hard to do, but if it is the right company I would try"/>
    <s v="Yes"/>
    <s v="Will NOT work for them"/>
    <n v="8"/>
    <x v="3"/>
    <x v="1"/>
    <x v="11"/>
    <x v="231"/>
    <s v="Manager who explains what is expected, sets a goal and helps achieve it"/>
    <x v="7"/>
  </r>
  <r>
    <d v="2023-04-29T10:18:05"/>
    <s v="India"/>
    <n v="201301"/>
    <x v="1"/>
    <x v="1"/>
    <s v="Yes, I will earn and do that"/>
    <s v="This will be hard to do, but if it is the right company I would try"/>
    <s v="No"/>
    <s v="Will NOT work for them"/>
    <n v="9"/>
    <x v="5"/>
    <x v="0"/>
    <x v="9"/>
    <x v="366"/>
    <s v="Manager who clearly describes what she/he needs"/>
    <x v="3"/>
  </r>
  <r>
    <d v="2023-04-29T10:21:54"/>
    <s v="India"/>
    <n v="110092"/>
    <x v="0"/>
    <x v="1"/>
    <s v="Yes, I will earn and do that"/>
    <s v="This will be hard to do, but if it is the right company I would try"/>
    <s v="Yes"/>
    <s v="Will NOT work for them"/>
    <n v="3"/>
    <x v="1"/>
    <x v="3"/>
    <x v="9"/>
    <x v="525"/>
    <s v="Manager who sets goal and helps me achieve it"/>
    <x v="7"/>
  </r>
  <r>
    <d v="2023-04-29T10:22:12"/>
    <s v="India"/>
    <n v="201301"/>
    <x v="0"/>
    <x v="2"/>
    <s v="No, But if someone could bare the cost I will"/>
    <s v="This will be hard to do, but if it is the right company I would try"/>
    <s v="Yes"/>
    <s v="Will NOT work for them"/>
    <n v="3"/>
    <x v="1"/>
    <x v="0"/>
    <x v="9"/>
    <x v="526"/>
    <s v="Manager who sets goal and helps me achieve it"/>
    <x v="7"/>
  </r>
  <r>
    <d v="2023-04-29T10:35:33"/>
    <s v="India"/>
    <n v="121003"/>
    <x v="0"/>
    <x v="4"/>
    <s v="Yes, I will earn and do that"/>
    <s v="This will be hard to do, but if it is the right company I would try"/>
    <s v="No"/>
    <s v="Will NOT work for them"/>
    <n v="1"/>
    <x v="6"/>
    <x v="1"/>
    <x v="18"/>
    <x v="520"/>
    <s v="Manager who explains what is expected, sets a goal and helps achieve it"/>
    <x v="4"/>
  </r>
  <r>
    <d v="2023-04-29T10:45:49"/>
    <s v="India"/>
    <n v="201010"/>
    <x v="0"/>
    <x v="2"/>
    <s v="Yes, I will earn and do that"/>
    <s v="This will be hard to do, but if it is the right company I would try"/>
    <s v="Yes"/>
    <s v="Will NOT work for them"/>
    <n v="8"/>
    <x v="1"/>
    <x v="1"/>
    <x v="9"/>
    <x v="118"/>
    <s v="Manager who explains what is expected, sets a goal and helps achieve it"/>
    <x v="19"/>
  </r>
  <r>
    <d v="2023-04-29T10:47:29"/>
    <s v="India"/>
    <n v="743127"/>
    <x v="0"/>
    <x v="0"/>
    <s v="Yes, I will earn and do that"/>
    <s v="Will work for 3 years or more"/>
    <s v="Yes"/>
    <s v="Will work for them"/>
    <n v="7"/>
    <x v="6"/>
    <x v="2"/>
    <x v="9"/>
    <x v="149"/>
    <s v="Manager who clearly describes what she/he needs"/>
    <x v="3"/>
  </r>
  <r>
    <d v="2023-04-29T11:05:31"/>
    <s v="India"/>
    <n v="587102"/>
    <x v="0"/>
    <x v="3"/>
    <s v="No, But if someone could bare the cost I will"/>
    <s v="This will be hard to do, but if it is the right company I would try"/>
    <s v="No"/>
    <s v="Will NOT work for them"/>
    <n v="5"/>
    <x v="1"/>
    <x v="1"/>
    <x v="17"/>
    <x v="111"/>
    <s v="Manager who explains what is expected, sets a goal and helps achieve it"/>
    <x v="24"/>
  </r>
  <r>
    <d v="2023-04-29T11:06:55"/>
    <s v="India"/>
    <n v="500008"/>
    <x v="1"/>
    <x v="4"/>
    <s v="No, But if someone could bare the cost I will"/>
    <s v="This will be hard to do, but if it is the right company I would try"/>
    <s v="No"/>
    <s v="Will NOT work for them"/>
    <n v="6"/>
    <x v="1"/>
    <x v="0"/>
    <x v="20"/>
    <x v="316"/>
    <s v="Manager who explains what is expected, sets a goal and helps achieve it"/>
    <x v="3"/>
  </r>
  <r>
    <d v="2023-04-29T11:11:37"/>
    <s v="India"/>
    <n v="147003"/>
    <x v="0"/>
    <x v="0"/>
    <s v="No I would not be pursuing Higher Education outside of India"/>
    <s v="This will be hard to do, but if it is the right company I would try"/>
    <s v="No"/>
    <s v="Will NOT work for them"/>
    <n v="2"/>
    <x v="1"/>
    <x v="1"/>
    <x v="11"/>
    <x v="385"/>
    <s v="Manager who explains what is expected, sets a goal and helps achieve it"/>
    <x v="1"/>
  </r>
  <r>
    <d v="2023-04-29T11:27:23"/>
    <s v="India"/>
    <n v="600087"/>
    <x v="0"/>
    <x v="4"/>
    <s v="No I would not be pursuing Higher Education outside of India"/>
    <s v="Will work for 3 years or more"/>
    <s v="No"/>
    <s v="Will work for them"/>
    <n v="8"/>
    <x v="3"/>
    <x v="1"/>
    <x v="9"/>
    <x v="139"/>
    <s v="Manager who clearly describes what she/he needs"/>
    <x v="3"/>
  </r>
  <r>
    <d v="2023-04-29T11:27:24"/>
    <s v="India"/>
    <n v="452002"/>
    <x v="0"/>
    <x v="1"/>
    <s v="Yes, I will earn and do that"/>
    <s v="This will be hard to do, but if it is the right company I would try"/>
    <s v="No"/>
    <s v="Will NOT work for them"/>
    <n v="5"/>
    <x v="1"/>
    <x v="1"/>
    <x v="6"/>
    <x v="289"/>
    <s v="Manager who explains what is expected, sets a goal and helps achieve it"/>
    <x v="3"/>
  </r>
  <r>
    <d v="2023-04-29T11:27:40"/>
    <s v="India"/>
    <n v="147001"/>
    <x v="0"/>
    <x v="0"/>
    <s v="No, But if someone could bare the cost I will"/>
    <s v="Will work for 3 years or more"/>
    <s v="No"/>
    <s v="Will NOT work for them"/>
    <n v="5"/>
    <x v="1"/>
    <x v="1"/>
    <x v="18"/>
    <x v="227"/>
    <s v="Manager who explains what is expected, sets a goal and helps achieve it"/>
    <x v="3"/>
  </r>
  <r>
    <d v="2023-04-29T11:31:45"/>
    <s v="India"/>
    <n v="452007"/>
    <x v="0"/>
    <x v="3"/>
    <s v="Yes, I will earn and do that"/>
    <s v="This will be hard to do, but if it is the right company I would try"/>
    <s v="No"/>
    <s v="Will NOT work for them"/>
    <n v="3"/>
    <x v="5"/>
    <x v="1"/>
    <x v="6"/>
    <x v="527"/>
    <s v="Manager who explains what is expected, sets a goal and helps achieve it"/>
    <x v="1"/>
  </r>
  <r>
    <d v="2023-04-29T11:34:54"/>
    <s v="India"/>
    <n v="560039"/>
    <x v="1"/>
    <x v="4"/>
    <s v="No I would not be pursuing Higher Education outside of India"/>
    <s v="This will be hard to do, but if it is the right company I would try"/>
    <s v="No"/>
    <s v="Will NOT work for them"/>
    <n v="5"/>
    <x v="6"/>
    <x v="0"/>
    <x v="15"/>
    <x v="231"/>
    <s v="Manager who explains what is expected, sets a goal and helps achieve it"/>
    <x v="1"/>
  </r>
  <r>
    <d v="2023-04-29T11:36:31"/>
    <s v="India"/>
    <n v="571401"/>
    <x v="1"/>
    <x v="0"/>
    <s v="No, But if someone could bare the cost I will"/>
    <s v="Will work for 3 years or more"/>
    <s v="No"/>
    <s v="Will NOT work for them"/>
    <n v="5"/>
    <x v="6"/>
    <x v="2"/>
    <x v="11"/>
    <x v="507"/>
    <s v="Manager who clearly describes what she/he needs"/>
    <x v="3"/>
  </r>
  <r>
    <d v="2023-04-29T11:48:06"/>
    <s v="India"/>
    <n v="533201"/>
    <x v="1"/>
    <x v="2"/>
    <s v="Yes, I will earn and do that"/>
    <s v="This will be hard to do, but if it is the right company I would try"/>
    <s v="Yes"/>
    <s v="Will work for them"/>
    <n v="6"/>
    <x v="0"/>
    <x v="2"/>
    <x v="7"/>
    <x v="116"/>
    <s v="Manager who clearly describes what she/he needs"/>
    <x v="1"/>
  </r>
  <r>
    <d v="2023-04-29T11:49:25"/>
    <s v="India"/>
    <n v="560073"/>
    <x v="1"/>
    <x v="4"/>
    <s v="No I would not be pursuing Higher Education outside of India"/>
    <s v="This will be hard to do, but if it is the right company I would try"/>
    <s v="Yes"/>
    <s v="Will work for them"/>
    <n v="9"/>
    <x v="6"/>
    <x v="0"/>
    <x v="19"/>
    <x v="231"/>
    <s v="Manager who explains what is expected, sets a goal and helps achieve it"/>
    <x v="7"/>
  </r>
  <r>
    <d v="2023-04-29T12:05:12"/>
    <s v="India"/>
    <n v="560068"/>
    <x v="0"/>
    <x v="2"/>
    <s v="No I would not be pursuing Higher Education outside of India"/>
    <s v="Will work for 3 years or more"/>
    <s v="No"/>
    <s v="Will NOT work for them"/>
    <n v="3"/>
    <x v="3"/>
    <x v="1"/>
    <x v="11"/>
    <x v="191"/>
    <s v="Manager who explains what is expected, sets a goal and helps achieve it"/>
    <x v="3"/>
  </r>
  <r>
    <d v="2023-04-29T12:09:20"/>
    <s v="India"/>
    <n v="201301"/>
    <x v="0"/>
    <x v="2"/>
    <s v="No I would not be pursuing Higher Education outside of India"/>
    <s v="This will be hard to do, but if it is the right company I would try"/>
    <s v="No"/>
    <s v="Will NOT work for them"/>
    <n v="5"/>
    <x v="3"/>
    <x v="1"/>
    <x v="6"/>
    <x v="528"/>
    <s v="Manager who explains what is expected, sets a goal and helps achieve it"/>
    <x v="7"/>
  </r>
  <r>
    <d v="2023-04-29T12:09:42"/>
    <s v="India"/>
    <n v="571128"/>
    <x v="1"/>
    <x v="3"/>
    <s v="No I would not be pursuing Higher Education outside of India"/>
    <s v="This will be hard to do, but if it is the right company I would try"/>
    <s v="No"/>
    <s v="Will NOT work for them"/>
    <n v="1"/>
    <x v="3"/>
    <x v="0"/>
    <x v="21"/>
    <x v="135"/>
    <s v="Manager who explains what is expected, sets a goal and helps achieve it"/>
    <x v="3"/>
  </r>
  <r>
    <d v="2023-04-29T12:12:59"/>
    <s v="India"/>
    <n v="208017"/>
    <x v="0"/>
    <x v="4"/>
    <s v="Yes, I will earn and do that"/>
    <s v="This will be hard to do, but if it is the right company I would try"/>
    <s v="No"/>
    <s v="Will NOT work for them"/>
    <n v="2"/>
    <x v="0"/>
    <x v="0"/>
    <x v="6"/>
    <x v="502"/>
    <s v="Manager who explains what is expected, sets a goal and helps achieve it"/>
    <x v="15"/>
  </r>
  <r>
    <d v="2023-04-29T12:13:25"/>
    <s v="India"/>
    <n v="201301"/>
    <x v="0"/>
    <x v="2"/>
    <s v="No I would not be pursuing Higher Education outside of India"/>
    <s v="This will be hard to do, but if it is the right company I would try"/>
    <s v="No"/>
    <s v="Will NOT work for them"/>
    <n v="5"/>
    <x v="3"/>
    <x v="1"/>
    <x v="16"/>
    <x v="529"/>
    <s v="Manager who explains what is expected, sets a goal and helps achieve it"/>
    <x v="7"/>
  </r>
  <r>
    <d v="2023-04-29T12:28:46"/>
    <s v="India"/>
    <n v="146109"/>
    <x v="0"/>
    <x v="0"/>
    <s v="No I would not be pursuing Higher Education outside of India"/>
    <s v="Will work for 3 years or more"/>
    <s v="No"/>
    <s v="Will NOT work for them"/>
    <n v="1"/>
    <x v="6"/>
    <x v="1"/>
    <x v="25"/>
    <x v="179"/>
    <s v="Manager who explains what is expected, sets a goal and helps achieve it"/>
    <x v="1"/>
  </r>
  <r>
    <d v="2023-04-29T12:37:41"/>
    <s v="India"/>
    <n v="731204"/>
    <x v="0"/>
    <x v="0"/>
    <s v="Yes, I will earn and do that"/>
    <s v="This will be hard to do, but if it is the right company I would try"/>
    <s v="No"/>
    <s v="Will NOT work for them"/>
    <n v="2"/>
    <x v="6"/>
    <x v="1"/>
    <x v="17"/>
    <x v="160"/>
    <s v="Manager who explains what is expected, sets a goal and helps achieve it"/>
    <x v="3"/>
  </r>
  <r>
    <d v="2023-04-29T12:51:00"/>
    <s v="India"/>
    <n v="454775"/>
    <x v="0"/>
    <x v="1"/>
    <s v="No, But if someone could bare the cost I will"/>
    <s v="No way"/>
    <s v="Yes"/>
    <s v="Will work for them"/>
    <n v="10"/>
    <x v="6"/>
    <x v="3"/>
    <x v="23"/>
    <x v="530"/>
    <s v="Manager who sets unrealistic targets"/>
    <x v="6"/>
  </r>
  <r>
    <d v="2023-04-29T12:57:51"/>
    <s v="India"/>
    <n v="40089"/>
    <x v="1"/>
    <x v="2"/>
    <s v="No, But if someone could bare the cost I will"/>
    <s v="Will work for 3 years or more"/>
    <s v="No"/>
    <s v="Will NOT work for them"/>
    <n v="5"/>
    <x v="5"/>
    <x v="1"/>
    <x v="11"/>
    <x v="141"/>
    <s v="Manager who explains what is expected, sets a goal and helps achieve it"/>
    <x v="1"/>
  </r>
  <r>
    <d v="2023-04-29T13:04:39"/>
    <s v="India"/>
    <n v="122052"/>
    <x v="1"/>
    <x v="1"/>
    <s v="No, But if someone could bare the cost I will"/>
    <s v="Will work for 3 years or more"/>
    <s v="Yes"/>
    <s v="Will NOT work for them"/>
    <n v="4"/>
    <x v="5"/>
    <x v="1"/>
    <x v="19"/>
    <x v="223"/>
    <s v="Manager who explains what is expected, sets a goal and helps achieve it"/>
    <x v="1"/>
  </r>
  <r>
    <d v="2023-04-29T13:28:34"/>
    <s v="India"/>
    <n v="560048"/>
    <x v="0"/>
    <x v="4"/>
    <s v="Yes, I will earn and do that"/>
    <s v="This will be hard to do, but if it is the right company I would try"/>
    <s v="No"/>
    <s v="Will NOT work for them"/>
    <n v="5"/>
    <x v="6"/>
    <x v="1"/>
    <x v="16"/>
    <x v="107"/>
    <s v="Manager who explains what is expected, sets a goal and helps achieve it"/>
    <x v="4"/>
  </r>
  <r>
    <d v="2023-04-29T13:31:20"/>
    <s v="India"/>
    <n v="440023"/>
    <x v="0"/>
    <x v="4"/>
    <s v="No, But if someone could bare the cost I will"/>
    <s v="Will work for 3 years or more"/>
    <s v="No"/>
    <s v="Will NOT work for them"/>
    <n v="1"/>
    <x v="1"/>
    <x v="2"/>
    <x v="8"/>
    <x v="224"/>
    <s v="Manager who explains what is expected, sets a goal and helps achieve it"/>
    <x v="3"/>
  </r>
  <r>
    <d v="2023-04-29T13:32:25"/>
    <s v="India"/>
    <n v="560093"/>
    <x v="1"/>
    <x v="4"/>
    <s v="No, But if someone could bare the cost I will"/>
    <s v="Will work for 3 years or more"/>
    <s v="Yes"/>
    <s v="Will work for them"/>
    <n v="10"/>
    <x v="1"/>
    <x v="2"/>
    <x v="19"/>
    <x v="402"/>
    <s v="Manager who clearly describes what she/he needs"/>
    <x v="4"/>
  </r>
  <r>
    <d v="2023-04-29T13:53:36"/>
    <s v="India"/>
    <n v="431122"/>
    <x v="0"/>
    <x v="4"/>
    <s v="Yes, I will earn and do that"/>
    <s v="Will work for 3 years or more"/>
    <s v="No"/>
    <s v="Will NOT work for them"/>
    <n v="8"/>
    <x v="1"/>
    <x v="2"/>
    <x v="11"/>
    <x v="402"/>
    <s v="Manager who explains what is expected, sets a goal and helps achieve it"/>
    <x v="4"/>
  </r>
  <r>
    <d v="2023-04-29T13:55:34"/>
    <s v="India"/>
    <n v="530068"/>
    <x v="0"/>
    <x v="4"/>
    <s v="Yes, I will earn and do that"/>
    <s v="This will be hard to do, but if it is the right company I would try"/>
    <s v="No"/>
    <s v="Will NOT work for them"/>
    <n v="1"/>
    <x v="5"/>
    <x v="2"/>
    <x v="16"/>
    <x v="129"/>
    <s v="Manager who explains what is expected, sets a goal and helps achieve it"/>
    <x v="15"/>
  </r>
  <r>
    <d v="2023-04-29T14:24:41"/>
    <s v="India"/>
    <n v="313002"/>
    <x v="1"/>
    <x v="4"/>
    <s v="No, But if someone could bare the cost I will"/>
    <s v="Will work for 3 years or more"/>
    <s v="No"/>
    <s v="Will NOT work for them"/>
    <n v="5"/>
    <x v="6"/>
    <x v="1"/>
    <x v="11"/>
    <x v="99"/>
    <s v="Manager who sets goal and helps me achieve it"/>
    <x v="3"/>
  </r>
  <r>
    <d v="2023-04-29T14:31:53"/>
    <s v="India"/>
    <n v="395006"/>
    <x v="0"/>
    <x v="2"/>
    <s v="Yes, I will earn and do that"/>
    <s v="This will be hard to do, but if it is the right company I would try"/>
    <s v="No"/>
    <s v="Will NOT work for them"/>
    <n v="1"/>
    <x v="3"/>
    <x v="1"/>
    <x v="15"/>
    <x v="415"/>
    <s v="Manager who sets goal and helps me achieve it"/>
    <x v="1"/>
  </r>
  <r>
    <d v="2023-04-29T14:46:42"/>
    <s v="India"/>
    <n v="600097"/>
    <x v="0"/>
    <x v="4"/>
    <s v="No, But if someone could bare the cost I will"/>
    <s v="This will be hard to do, but if it is the right company I would try"/>
    <s v="Yes"/>
    <s v="Will work for them"/>
    <n v="10"/>
    <x v="6"/>
    <x v="0"/>
    <x v="14"/>
    <x v="128"/>
    <s v="Manager who explains what is expected, sets a goal and helps achieve it"/>
    <x v="12"/>
  </r>
  <r>
    <d v="2023-04-29T14:49:12"/>
    <s v="India"/>
    <n v="421301"/>
    <x v="1"/>
    <x v="4"/>
    <s v="No I would not be pursuing Higher Education outside of India"/>
    <s v="This will be hard to do, but if it is the right company I would try"/>
    <s v="No"/>
    <s v="Will NOT work for them"/>
    <n v="5"/>
    <x v="6"/>
    <x v="2"/>
    <x v="17"/>
    <x v="109"/>
    <s v="Manager who explains what is expected, sets a goal and helps achieve it"/>
    <x v="9"/>
  </r>
  <r>
    <d v="2023-04-29T14:49:53"/>
    <s v="India"/>
    <n v="400102"/>
    <x v="0"/>
    <x v="4"/>
    <s v="Yes, I will earn and do that"/>
    <s v="Will work for 3 years or more"/>
    <s v="No"/>
    <s v="Will work for them"/>
    <n v="6"/>
    <x v="6"/>
    <x v="1"/>
    <x v="17"/>
    <x v="493"/>
    <s v="Manager who explains what is expected, sets a goal and helps achieve it"/>
    <x v="2"/>
  </r>
  <r>
    <d v="2023-04-29T14:52:24"/>
    <s v="India"/>
    <n v="92"/>
    <x v="1"/>
    <x v="0"/>
    <s v="No I would not be pursuing Higher Education outside of India"/>
    <s v="This will be hard to do, but if it is the right company I would try"/>
    <s v="No"/>
    <s v="Will NOT work for them"/>
    <n v="3"/>
    <x v="6"/>
    <x v="1"/>
    <x v="6"/>
    <x v="217"/>
    <s v="Manager who explains what is expected, sets a goal and helps achieve it"/>
    <x v="1"/>
  </r>
  <r>
    <d v="2023-04-29T14:52:52"/>
    <s v="Others"/>
    <s v="PR17QS"/>
    <x v="1"/>
    <x v="4"/>
    <s v="Yes, I will earn and do that"/>
    <s v="This will be hard to do, but if it is the right company I would try"/>
    <s v="No"/>
    <s v="Will NOT work for them"/>
    <n v="2"/>
    <x v="6"/>
    <x v="1"/>
    <x v="9"/>
    <x v="299"/>
    <s v="Manager who explains what is expected, sets a goal and helps achieve it"/>
    <x v="1"/>
  </r>
  <r>
    <d v="2023-04-29T14:55:41"/>
    <s v="India"/>
    <n v="400008"/>
    <x v="0"/>
    <x v="4"/>
    <s v="No I would not be pursuing Higher Education outside of India"/>
    <s v="This will be hard to do, but if it is the right company I would try"/>
    <s v="Yes"/>
    <s v="Will NOT work for them"/>
    <n v="5"/>
    <x v="6"/>
    <x v="1"/>
    <x v="22"/>
    <x v="281"/>
    <s v="Manager who explains what is expected, sets a goal and helps achieve it"/>
    <x v="7"/>
  </r>
  <r>
    <d v="2023-04-29T15:01:12"/>
    <s v="India"/>
    <n v="410206"/>
    <x v="1"/>
    <x v="0"/>
    <s v="Yes, I will earn and do that"/>
    <s v="This will be hard to do, but if it is the right company I would try"/>
    <s v="No"/>
    <s v="Will NOT work for them"/>
    <n v="3"/>
    <x v="3"/>
    <x v="1"/>
    <x v="17"/>
    <x v="110"/>
    <s v="Manager who explains what is expected, sets a goal and helps achieve it"/>
    <x v="3"/>
  </r>
  <r>
    <d v="2023-04-29T15:04:22"/>
    <s v="India"/>
    <n v="242401"/>
    <x v="0"/>
    <x v="2"/>
    <s v="No I would not be pursuing Higher Education outside of India"/>
    <s v="Will work for 3 years or more"/>
    <s v="No"/>
    <s v="Will NOT work for them"/>
    <n v="3"/>
    <x v="6"/>
    <x v="0"/>
    <x v="19"/>
    <x v="449"/>
    <s v="Manager who explains what is expected, sets a goal and helps achieve it"/>
    <x v="3"/>
  </r>
  <r>
    <d v="2023-04-29T15:12:47"/>
    <s v="India"/>
    <n v="410206"/>
    <x v="1"/>
    <x v="2"/>
    <s v="No, But if someone could bare the cost I will"/>
    <s v="This will be hard to do, but if it is the right company I would try"/>
    <s v="No"/>
    <s v="Will NOT work for them"/>
    <n v="6"/>
    <x v="6"/>
    <x v="1"/>
    <x v="17"/>
    <x v="284"/>
    <s v="Manager who explains what is expected, sets a goal and helps achieve it"/>
    <x v="3"/>
  </r>
  <r>
    <d v="2023-04-29T15:17:05"/>
    <s v="India"/>
    <n v="500090"/>
    <x v="1"/>
    <x v="4"/>
    <s v="No I would not be pursuing Higher Education outside of India"/>
    <s v="This will be hard to do, but if it is the right company I would try"/>
    <s v="No"/>
    <s v="Will NOT work for them"/>
    <n v="3"/>
    <x v="5"/>
    <x v="0"/>
    <x v="9"/>
    <x v="124"/>
    <s v="Manager who explains what is expected, sets a goal and helps achieve it"/>
    <x v="1"/>
  </r>
  <r>
    <d v="2023-04-29T15:18:08"/>
    <s v="India"/>
    <n v="370465"/>
    <x v="1"/>
    <x v="2"/>
    <s v="Yes, I will earn and do that"/>
    <s v="Will work for 3 years or more"/>
    <s v="No"/>
    <s v="Will NOT work for them"/>
    <n v="3"/>
    <x v="6"/>
    <x v="1"/>
    <x v="8"/>
    <x v="531"/>
    <s v="Manager who explains what is expected, sets a goal and helps achieve it"/>
    <x v="1"/>
  </r>
  <r>
    <d v="2023-04-29T15:19:04"/>
    <s v="India"/>
    <n v="410206"/>
    <x v="1"/>
    <x v="2"/>
    <s v="Yes, I will earn and do that"/>
    <s v="This will be hard to do, but if it is the right company I would try"/>
    <s v="No"/>
    <s v="Will NOT work for them"/>
    <n v="2"/>
    <x v="5"/>
    <x v="1"/>
    <x v="7"/>
    <x v="338"/>
    <s v="Manager who explains what is expected, sets a goal and helps achieve it"/>
    <x v="3"/>
  </r>
  <r>
    <d v="2023-04-29T15:31:55"/>
    <s v="India"/>
    <n v="421103"/>
    <x v="0"/>
    <x v="3"/>
    <s v="Yes, I will earn and do that"/>
    <s v="This will be hard to do, but if it is the right company I would try"/>
    <s v="No"/>
    <s v="Will NOT work for them"/>
    <n v="7"/>
    <x v="1"/>
    <x v="1"/>
    <x v="17"/>
    <x v="385"/>
    <s v="Manager who explains what is expected, sets a goal and helps achieve it"/>
    <x v="6"/>
  </r>
  <r>
    <d v="2023-04-29T15:34:17"/>
    <s v="India"/>
    <n v="751012"/>
    <x v="1"/>
    <x v="0"/>
    <s v="No I would not be pursuing Higher Education outside of India"/>
    <s v="Will work for 3 years or more"/>
    <s v="No"/>
    <s v="Will NOT work for them"/>
    <n v="6"/>
    <x v="1"/>
    <x v="1"/>
    <x v="6"/>
    <x v="404"/>
    <s v="Manager who explains what is expected, sets a goal and helps achieve it"/>
    <x v="13"/>
  </r>
  <r>
    <d v="2023-04-29T15:36:38"/>
    <s v="India"/>
    <n v="560107"/>
    <x v="0"/>
    <x v="0"/>
    <s v="Yes, I will earn and do that"/>
    <s v="This will be hard to do, but if it is the right company I would try"/>
    <s v="No"/>
    <s v="Will work for them"/>
    <n v="7"/>
    <x v="6"/>
    <x v="1"/>
    <x v="9"/>
    <x v="125"/>
    <s v="Manager who sets goal and helps me achieve it"/>
    <x v="12"/>
  </r>
  <r>
    <d v="2023-04-29T15:43:07"/>
    <s v="India"/>
    <n v="590005"/>
    <x v="0"/>
    <x v="1"/>
    <s v="No I would not be pursuing Higher Education outside of India"/>
    <s v="Will work for 3 years or more"/>
    <s v="No"/>
    <s v="Will NOT work for them"/>
    <n v="6"/>
    <x v="5"/>
    <x v="1"/>
    <x v="19"/>
    <x v="532"/>
    <s v="Manager who explains what is expected, sets a goal and helps achieve it"/>
    <x v="7"/>
  </r>
  <r>
    <d v="2023-04-29T15:43:17"/>
    <s v="India"/>
    <n v="533201"/>
    <x v="0"/>
    <x v="2"/>
    <s v="No I would not be pursuing Higher Education outside of India"/>
    <s v="Will work for 3 years or more"/>
    <s v="No"/>
    <s v="Will NOT work for them"/>
    <n v="1"/>
    <x v="3"/>
    <x v="1"/>
    <x v="9"/>
    <x v="533"/>
    <s v="Manager who explains what is expected, sets a goal and helps achieve it"/>
    <x v="7"/>
  </r>
  <r>
    <d v="2023-04-29T15:47:10"/>
    <s v="India"/>
    <n v="560038"/>
    <x v="0"/>
    <x v="2"/>
    <s v="No I would not be pursuing Higher Education outside of India"/>
    <s v="This will be hard to do, but if it is the right company I would try"/>
    <s v="Yes"/>
    <s v="Will NOT work for them"/>
    <n v="4"/>
    <x v="3"/>
    <x v="1"/>
    <x v="13"/>
    <x v="353"/>
    <s v="Manager who explains what is expected, sets a goal and helps achieve it"/>
    <x v="3"/>
  </r>
  <r>
    <d v="2023-04-29T16:07:16"/>
    <s v="India"/>
    <n v="400103"/>
    <x v="1"/>
    <x v="4"/>
    <s v="No I would not be pursuing Higher Education outside of India"/>
    <s v="Will work for 3 years or more"/>
    <s v="Yes"/>
    <s v="Will NOT work for them"/>
    <n v="7"/>
    <x v="1"/>
    <x v="1"/>
    <x v="13"/>
    <x v="109"/>
    <s v="Manager who explains what is expected, sets a goal and helps achieve it"/>
    <x v="14"/>
  </r>
  <r>
    <d v="2023-04-29T16:28:57"/>
    <s v="India"/>
    <n v="410210"/>
    <x v="0"/>
    <x v="2"/>
    <s v="No I would not be pursuing Higher Education outside of India"/>
    <s v="Will work for 3 years or more"/>
    <s v="Yes"/>
    <s v="Will NOT work for them"/>
    <n v="8"/>
    <x v="1"/>
    <x v="1"/>
    <x v="17"/>
    <x v="433"/>
    <s v="Manager who explains what is expected, sets a goal and helps achieve it"/>
    <x v="7"/>
  </r>
  <r>
    <d v="2023-04-29T16:34:31"/>
    <s v="India"/>
    <n v="400709"/>
    <x v="0"/>
    <x v="4"/>
    <s v="No I would not be pursuing Higher Education outside of India"/>
    <s v="No way"/>
    <s v="Yes"/>
    <s v="Will work for them"/>
    <n v="10"/>
    <x v="3"/>
    <x v="2"/>
    <x v="9"/>
    <x v="203"/>
    <s v="Manager who sets goal and helps me achieve it"/>
    <x v="11"/>
  </r>
  <r>
    <d v="2023-04-29T16:55:34"/>
    <s v="India"/>
    <n v="147003"/>
    <x v="0"/>
    <x v="2"/>
    <s v="No I would not be pursuing Higher Education outside of India"/>
    <s v="This will be hard to do, but if it is the right company I would try"/>
    <s v="No"/>
    <s v="Will NOT work for them"/>
    <n v="7"/>
    <x v="6"/>
    <x v="1"/>
    <x v="19"/>
    <x v="141"/>
    <s v="Manager who explains what is expected, sets a goal and helps achieve it"/>
    <x v="11"/>
  </r>
  <r>
    <d v="2023-04-29T16:58:43"/>
    <s v="India"/>
    <n v="456010"/>
    <x v="1"/>
    <x v="1"/>
    <s v="Yes, I will earn and do that"/>
    <s v="This will be hard to do, but if it is the right company I would try"/>
    <s v="No"/>
    <s v="Will NOT work for them"/>
    <n v="5"/>
    <x v="6"/>
    <x v="1"/>
    <x v="9"/>
    <x v="308"/>
    <s v="Manager who sets goal and helps me achieve it"/>
    <x v="2"/>
  </r>
  <r>
    <d v="2023-04-29T16:59:21"/>
    <s v="India"/>
    <n v="142026"/>
    <x v="1"/>
    <x v="0"/>
    <s v="Yes, I will earn and do that"/>
    <s v="Will work for 3 years or more"/>
    <s v="No"/>
    <s v="Will NOT work for them"/>
    <n v="4"/>
    <x v="1"/>
    <x v="1"/>
    <x v="18"/>
    <x v="371"/>
    <s v="Manager who explains what is expected, sets a goal and helps achieve it"/>
    <x v="3"/>
  </r>
  <r>
    <d v="2023-04-29T17:08:47"/>
    <s v="India"/>
    <n v="605004"/>
    <x v="1"/>
    <x v="3"/>
    <s v="No, But if someone could bare the cost I will"/>
    <s v="This will be hard to do, but if it is the right company I would try"/>
    <s v="No"/>
    <s v="Will NOT work for them"/>
    <n v="8"/>
    <x v="1"/>
    <x v="1"/>
    <x v="6"/>
    <x v="224"/>
    <s v="Manager who explains what is expected, sets a goal and helps achieve it"/>
    <x v="1"/>
  </r>
  <r>
    <d v="2023-04-29T17:10:22"/>
    <s v="India"/>
    <n v="456010"/>
    <x v="1"/>
    <x v="4"/>
    <s v="No, But if someone could bare the cost I will"/>
    <s v="Will work for 3 years or more"/>
    <s v="No"/>
    <s v="Will NOT work for them"/>
    <n v="1"/>
    <x v="0"/>
    <x v="0"/>
    <x v="10"/>
    <x v="243"/>
    <s v="Manager who clearly describes what she/he needs"/>
    <x v="6"/>
  </r>
  <r>
    <d v="2023-04-29T17:15:39"/>
    <s v="India"/>
    <n v="456006"/>
    <x v="0"/>
    <x v="4"/>
    <s v="Yes, I will earn and do that"/>
    <s v="No way"/>
    <s v="Yes"/>
    <s v="Will work for them"/>
    <n v="1"/>
    <x v="3"/>
    <x v="2"/>
    <x v="21"/>
    <x v="302"/>
    <s v="Manager who clearly describes what she/he needs"/>
    <x v="3"/>
  </r>
  <r>
    <d v="2023-04-29T17:18:20"/>
    <s v="India"/>
    <n v="452010"/>
    <x v="0"/>
    <x v="2"/>
    <s v="No I would not be pursuing Higher Education outside of India"/>
    <s v="Will work for 3 years or more"/>
    <s v="No"/>
    <s v="Will NOT work for them"/>
    <n v="10"/>
    <x v="1"/>
    <x v="2"/>
    <x v="23"/>
    <x v="349"/>
    <s v="Manager who explains what is expected, sets a goal and helps achieve it"/>
    <x v="7"/>
  </r>
  <r>
    <d v="2023-04-29T17:20:56"/>
    <s v="India"/>
    <n v="456010"/>
    <x v="1"/>
    <x v="4"/>
    <s v="Yes, I will earn and do that"/>
    <s v="This will be hard to do, but if it is the right company I would try"/>
    <s v="Yes"/>
    <s v="Will work for them"/>
    <n v="5"/>
    <x v="5"/>
    <x v="1"/>
    <x v="7"/>
    <x v="179"/>
    <s v="Manager who explains what is expected, sets a goal and helps achieve it"/>
    <x v="15"/>
  </r>
  <r>
    <d v="2023-04-29T17:36:01"/>
    <s v="India"/>
    <n v="721302"/>
    <x v="1"/>
    <x v="0"/>
    <s v="Yes, I will earn and do that"/>
    <s v="This will be hard to do, but if it is the right company I would try"/>
    <s v="No"/>
    <s v="Will NOT work for them"/>
    <n v="5"/>
    <x v="1"/>
    <x v="1"/>
    <x v="18"/>
    <x v="357"/>
    <s v="Manager who explains what is expected, sets a goal and helps achieve it"/>
    <x v="2"/>
  </r>
  <r>
    <d v="2023-04-29T17:41:30"/>
    <s v="India"/>
    <n v="731130"/>
    <x v="0"/>
    <x v="4"/>
    <s v="Yes, I will earn and do that"/>
    <s v="This will be hard to do, but if it is the right company I would try"/>
    <s v="Yes"/>
    <s v="Will work for them"/>
    <n v="1"/>
    <x v="5"/>
    <x v="1"/>
    <x v="9"/>
    <x v="155"/>
    <s v="Manager who clearly describes what she/he needs"/>
    <x v="3"/>
  </r>
  <r>
    <d v="2023-04-29T17:43:37"/>
    <s v="India"/>
    <n v="600049"/>
    <x v="1"/>
    <x v="3"/>
    <s v="Yes, I will earn and do that"/>
    <s v="Will work for 3 years or more"/>
    <s v="No"/>
    <s v="Will NOT work for them"/>
    <n v="5"/>
    <x v="5"/>
    <x v="0"/>
    <x v="21"/>
    <x v="382"/>
    <s v="Manager who explains what is expected, sets a goal and helps achieve it"/>
    <x v="4"/>
  </r>
  <r>
    <d v="2023-04-29T17:46:34"/>
    <s v="India"/>
    <n v="781014"/>
    <x v="0"/>
    <x v="2"/>
    <s v="No I would not be pursuing Higher Education outside of India"/>
    <s v="Will work for 3 years or more"/>
    <s v="No"/>
    <s v="Will NOT work for them"/>
    <n v="5"/>
    <x v="6"/>
    <x v="1"/>
    <x v="6"/>
    <x v="288"/>
    <s v="Manager who explains what is expected, sets a goal and helps achieve it"/>
    <x v="14"/>
  </r>
  <r>
    <d v="2023-04-29T17:58:50"/>
    <s v="India"/>
    <n v="144602"/>
    <x v="0"/>
    <x v="2"/>
    <s v="Yes, I will earn and do that"/>
    <s v="This will be hard to do, but if it is the right company I would try"/>
    <s v="No"/>
    <s v="Will NOT work for them"/>
    <n v="9"/>
    <x v="6"/>
    <x v="1"/>
    <x v="18"/>
    <x v="277"/>
    <s v="Manager who explains what is expected, sets a goal and helps achieve it"/>
    <x v="1"/>
  </r>
  <r>
    <d v="2023-04-29T17:58:52"/>
    <s v="India"/>
    <n v="110006"/>
    <x v="0"/>
    <x v="1"/>
    <s v="No I would not be pursuing Higher Education outside of India"/>
    <s v="This will be hard to do, but if it is the right company I would try"/>
    <s v="No"/>
    <s v="Will NOT work for them"/>
    <n v="8"/>
    <x v="6"/>
    <x v="1"/>
    <x v="6"/>
    <x v="109"/>
    <s v="Manager who clearly describes what she/he needs"/>
    <x v="7"/>
  </r>
  <r>
    <d v="2023-04-29T17:59:13"/>
    <s v="India"/>
    <n v="452009"/>
    <x v="1"/>
    <x v="3"/>
    <s v="Yes, I will earn and do that"/>
    <s v="This will be hard to do, but if it is the right company I would try"/>
    <s v="No"/>
    <s v="Will NOT work for them"/>
    <n v="5"/>
    <x v="1"/>
    <x v="2"/>
    <x v="9"/>
    <x v="371"/>
    <s v="Manager who explains what is expected, sets a goal and helps achieve it"/>
    <x v="3"/>
  </r>
  <r>
    <d v="2023-04-29T17:59:20"/>
    <s v="India"/>
    <n v="456010"/>
    <x v="1"/>
    <x v="0"/>
    <s v="No, But if someone could bare the cost I will"/>
    <s v="Will work for 3 years or more"/>
    <s v="Yes"/>
    <s v="Will NOT work for them"/>
    <n v="7"/>
    <x v="1"/>
    <x v="1"/>
    <x v="7"/>
    <x v="276"/>
    <s v="Manager who sets goal and helps me achieve it"/>
    <x v="3"/>
  </r>
  <r>
    <d v="2023-04-29T18:02:18"/>
    <s v="India"/>
    <n v="400067"/>
    <x v="1"/>
    <x v="2"/>
    <s v="Yes, I will earn and do that"/>
    <s v="This will be hard to do, but if it is the right company I would try"/>
    <s v="No"/>
    <s v="Will NOT work for them"/>
    <n v="5"/>
    <x v="1"/>
    <x v="1"/>
    <x v="19"/>
    <x v="163"/>
    <s v="Manager who explains what is expected, sets a goal and helps achieve it"/>
    <x v="4"/>
  </r>
  <r>
    <d v="2023-04-29T18:08:38"/>
    <s v="India"/>
    <n v="713212"/>
    <x v="1"/>
    <x v="2"/>
    <s v="Yes, I will earn and do that"/>
    <s v="Will work for 3 years or more"/>
    <s v="No"/>
    <s v="Will NOT work for them"/>
    <n v="1"/>
    <x v="3"/>
    <x v="0"/>
    <x v="17"/>
    <x v="534"/>
    <s v="Manager who explains what is expected, sets a goal and helps achieve it"/>
    <x v="3"/>
  </r>
  <r>
    <d v="2023-04-29T18:13:20"/>
    <s v="Others"/>
    <n v="641183"/>
    <x v="0"/>
    <x v="1"/>
    <s v="Yes, I will earn and do that"/>
    <s v="This will be hard to do, but if it is the right company I would try"/>
    <s v="No"/>
    <s v="Will work for them"/>
    <n v="7"/>
    <x v="6"/>
    <x v="1"/>
    <x v="18"/>
    <x v="121"/>
    <s v="Manager who explains what is expected, sets a goal and helps achieve it"/>
    <x v="2"/>
  </r>
  <r>
    <d v="2023-04-29T18:24:49"/>
    <s v="India"/>
    <n v="560001"/>
    <x v="0"/>
    <x v="2"/>
    <s v="Yes, I will earn and do that"/>
    <s v="Will work for 3 years or more"/>
    <s v="No"/>
    <s v="Will NOT work for them"/>
    <n v="3"/>
    <x v="5"/>
    <x v="2"/>
    <x v="15"/>
    <x v="235"/>
    <s v="Manager who sets targets and expects me to achieve it"/>
    <x v="9"/>
  </r>
  <r>
    <d v="2023-04-29T18:26:23"/>
    <s v="India"/>
    <n v="533201"/>
    <x v="1"/>
    <x v="2"/>
    <s v="No I would not be pursuing Higher Education outside of India"/>
    <s v="This will be hard to do, but if it is the right company I would try"/>
    <s v="No"/>
    <s v="Will NOT work for them"/>
    <n v="10"/>
    <x v="0"/>
    <x v="2"/>
    <x v="9"/>
    <x v="416"/>
    <s v="Manager who explains what is expected, sets a goal and helps achieve it"/>
    <x v="7"/>
  </r>
  <r>
    <d v="2023-04-29T18:32:19"/>
    <s v="India"/>
    <n v="456010"/>
    <x v="0"/>
    <x v="4"/>
    <s v="No, But if someone could bare the cost I will"/>
    <s v="Will work for 3 years or more"/>
    <s v="No"/>
    <s v="Will NOT work for them"/>
    <n v="4"/>
    <x v="3"/>
    <x v="2"/>
    <x v="17"/>
    <x v="392"/>
    <s v="Manager who sets goal and helps me achieve it"/>
    <x v="7"/>
  </r>
  <r>
    <d v="2023-04-29T18:46:16"/>
    <s v="India"/>
    <n v="122008"/>
    <x v="0"/>
    <x v="4"/>
    <s v="No, But if someone could bare the cost I will"/>
    <s v="Will work for 3 years or more"/>
    <s v="No"/>
    <s v="Will NOT work for them"/>
    <n v="8"/>
    <x v="6"/>
    <x v="1"/>
    <x v="9"/>
    <x v="188"/>
    <s v="Manager who explains what is expected, sets a goal and helps achieve it"/>
    <x v="7"/>
  </r>
  <r>
    <d v="2023-04-29T19:03:14"/>
    <s v="India"/>
    <n v="160062"/>
    <x v="1"/>
    <x v="3"/>
    <s v="Yes, I will earn and do that"/>
    <s v="This will be hard to do, but if it is the right company I would try"/>
    <s v="No"/>
    <s v="Will NOT work for them"/>
    <n v="3"/>
    <x v="6"/>
    <x v="1"/>
    <x v="18"/>
    <x v="218"/>
    <s v="Manager who explains what is expected, sets a goal and helps achieve it"/>
    <x v="1"/>
  </r>
  <r>
    <d v="2023-04-29T19:07:43"/>
    <s v="India"/>
    <n v="400703"/>
    <x v="0"/>
    <x v="4"/>
    <s v="No, But if someone could bare the cost I will"/>
    <s v="Will work for 3 years or more"/>
    <s v="Yes"/>
    <s v="Will work for them"/>
    <n v="8"/>
    <x v="6"/>
    <x v="1"/>
    <x v="8"/>
    <x v="356"/>
    <s v="Manager who explains what is expected, sets a goal and helps achieve it"/>
    <x v="4"/>
  </r>
  <r>
    <d v="2023-04-29T19:08:52"/>
    <s v="India"/>
    <n v="110019"/>
    <x v="1"/>
    <x v="4"/>
    <s v="Yes, I will earn and do that"/>
    <s v="This will be hard to do, but if it is the right company I would try"/>
    <s v="Yes"/>
    <s v="Will NOT work for them"/>
    <n v="5"/>
    <x v="1"/>
    <x v="1"/>
    <x v="17"/>
    <x v="224"/>
    <s v="Manager who explains what is expected, sets a goal and helps achieve it"/>
    <x v="3"/>
  </r>
  <r>
    <d v="2023-04-29T19:14:46"/>
    <s v="India"/>
    <n v="410206"/>
    <x v="0"/>
    <x v="4"/>
    <s v="Yes, I will earn and do that"/>
    <s v="Will work for 3 years or more"/>
    <s v="No"/>
    <s v="Will NOT work for them"/>
    <n v="3"/>
    <x v="6"/>
    <x v="2"/>
    <x v="17"/>
    <x v="535"/>
    <s v="Manager who explains what is expected, sets a goal and helps achieve it"/>
    <x v="3"/>
  </r>
  <r>
    <d v="2023-04-29T19:18:36"/>
    <s v="India"/>
    <n v="533262"/>
    <x v="0"/>
    <x v="4"/>
    <s v="No, But if someone could bare the cost I will"/>
    <s v="Will work for 3 years or more"/>
    <s v="No"/>
    <s v="Will NOT work for them"/>
    <n v="5"/>
    <x v="3"/>
    <x v="2"/>
    <x v="14"/>
    <x v="536"/>
    <s v="Manager who explains what is expected, sets a goal and helps achieve it"/>
    <x v="2"/>
  </r>
  <r>
    <d v="2023-04-29T19:31:15"/>
    <s v="India"/>
    <n v="400050"/>
    <x v="1"/>
    <x v="2"/>
    <s v="No I would not be pursuing Higher Education outside of India"/>
    <s v="This will be hard to do, but if it is the right company I would try"/>
    <s v="No"/>
    <s v="Will NOT work for them"/>
    <n v="7"/>
    <x v="1"/>
    <x v="0"/>
    <x v="8"/>
    <x v="458"/>
    <s v="Manager who explains what is expected, sets a goal and helps achieve it"/>
    <x v="2"/>
  </r>
  <r>
    <d v="2023-04-29T19:40:39"/>
    <s v="India"/>
    <n v="700118"/>
    <x v="0"/>
    <x v="0"/>
    <s v="No I would not be pursuing Higher Education outside of India"/>
    <s v="This will be hard to do, but if it is the right company I would try"/>
    <s v="No"/>
    <s v="Will NOT work for them"/>
    <n v="1"/>
    <x v="6"/>
    <x v="2"/>
    <x v="14"/>
    <x v="132"/>
    <s v="Manager who sets goal and helps me achieve it"/>
    <x v="1"/>
  </r>
  <r>
    <d v="2023-04-29T19:48:19"/>
    <s v="India"/>
    <n v="605010"/>
    <x v="1"/>
    <x v="3"/>
    <s v="No, But if someone could bare the cost I will"/>
    <s v="Will work for 3 years or more"/>
    <s v="No"/>
    <s v="Will NOT work for them"/>
    <n v="3"/>
    <x v="6"/>
    <x v="0"/>
    <x v="6"/>
    <x v="537"/>
    <s v="Manager who explains what is expected, sets a goal and helps achieve it"/>
    <x v="1"/>
  </r>
  <r>
    <d v="2023-04-29T19:49:40"/>
    <s v="Others"/>
    <n v="2145"/>
    <x v="1"/>
    <x v="0"/>
    <s v="No, But if someone could bare the cost I will"/>
    <s v="This will be hard to do, but if it is the right company I would try"/>
    <s v="No"/>
    <s v="Will NOT work for them"/>
    <n v="1"/>
    <x v="1"/>
    <x v="0"/>
    <x v="9"/>
    <x v="538"/>
    <s v="Manager who explains what is expected, sets a goal and helps achieve it"/>
    <x v="1"/>
  </r>
  <r>
    <d v="2023-04-29T20:08:38"/>
    <s v="India"/>
    <n v="600004"/>
    <x v="1"/>
    <x v="4"/>
    <s v="No I would not be pursuing Higher Education outside of India"/>
    <s v="This will be hard to do, but if it is the right company I would try"/>
    <s v="No"/>
    <s v="Will NOT work for them"/>
    <n v="1"/>
    <x v="3"/>
    <x v="0"/>
    <x v="21"/>
    <x v="160"/>
    <s v="Manager who sets targets and expects me to achieve it"/>
    <x v="7"/>
  </r>
  <r>
    <d v="2023-04-29T20:09:54"/>
    <s v="Canada"/>
    <s v="V5Z3G7"/>
    <x v="0"/>
    <x v="2"/>
    <s v="Yes, I will earn and do that"/>
    <s v="Will work for 3 years or more"/>
    <s v="No"/>
    <s v="Will NOT work for them"/>
    <n v="6"/>
    <x v="3"/>
    <x v="2"/>
    <x v="20"/>
    <x v="539"/>
    <s v="Manager who clearly describes what she/he needs"/>
    <x v="15"/>
  </r>
  <r>
    <d v="2023-04-29T20:12:28"/>
    <s v="India"/>
    <n v="110076"/>
    <x v="1"/>
    <x v="2"/>
    <s v="Yes, I will earn and do that"/>
    <s v="Will work for 3 years or more"/>
    <s v="No"/>
    <s v="Will NOT work for them"/>
    <n v="3"/>
    <x v="6"/>
    <x v="0"/>
    <x v="16"/>
    <x v="540"/>
    <s v="Manager who explains what is expected, sets a goal and helps achieve it"/>
    <x v="1"/>
  </r>
  <r>
    <d v="2023-04-29T20:12:34"/>
    <s v="India"/>
    <n v="500003"/>
    <x v="1"/>
    <x v="2"/>
    <s v="No I would not be pursuing Higher Education outside of India"/>
    <s v="No way"/>
    <s v="No"/>
    <s v="Will work for them"/>
    <n v="7"/>
    <x v="1"/>
    <x v="1"/>
    <x v="8"/>
    <x v="239"/>
    <s v="Manager who clearly describes what she/he needs"/>
    <x v="3"/>
  </r>
  <r>
    <d v="2023-04-29T20:13:15"/>
    <s v="India"/>
    <n v="160062"/>
    <x v="0"/>
    <x v="4"/>
    <s v="No, But if someone could bare the cost I will"/>
    <s v="This will be hard to do, but if it is the right company I would try"/>
    <s v="No"/>
    <s v="Will NOT work for them"/>
    <n v="4"/>
    <x v="6"/>
    <x v="1"/>
    <x v="8"/>
    <x v="214"/>
    <s v="Manager who explains what is expected, sets a goal and helps achieve it"/>
    <x v="1"/>
  </r>
  <r>
    <d v="2023-04-29T20:13:17"/>
    <s v="India"/>
    <n v="505001"/>
    <x v="1"/>
    <x v="0"/>
    <s v="Yes, I will earn and do that"/>
    <s v="This will be hard to do, but if it is the right company I would try"/>
    <s v="No"/>
    <s v="Will NOT work for them"/>
    <n v="7"/>
    <x v="5"/>
    <x v="1"/>
    <x v="14"/>
    <x v="245"/>
    <s v="Manager who sets goal and helps me achieve it"/>
    <x v="4"/>
  </r>
  <r>
    <d v="2023-04-29T20:14:34"/>
    <s v="India"/>
    <n v="160062"/>
    <x v="0"/>
    <x v="1"/>
    <s v="No, But if someone could bare the cost I will"/>
    <s v="This will be hard to do, but if it is the right company I would try"/>
    <s v="No"/>
    <s v="Will NOT work for them"/>
    <n v="1"/>
    <x v="1"/>
    <x v="1"/>
    <x v="17"/>
    <x v="541"/>
    <s v="Manager who explains what is expected, sets a goal and helps achieve it"/>
    <x v="3"/>
  </r>
  <r>
    <d v="2023-04-29T20:19:27"/>
    <s v="India"/>
    <n v="533262"/>
    <x v="0"/>
    <x v="2"/>
    <s v="No I would not be pursuing Higher Education outside of India"/>
    <s v="This will be hard to do, but if it is the right company I would try"/>
    <s v="Yes"/>
    <s v="Will work for them"/>
    <n v="4"/>
    <x v="5"/>
    <x v="2"/>
    <x v="6"/>
    <x v="186"/>
    <s v="Manager who explains what is expected, sets a goal and helps achieve it"/>
    <x v="4"/>
  </r>
  <r>
    <d v="2023-04-29T20:22:00"/>
    <s v="India"/>
    <n v="505001"/>
    <x v="0"/>
    <x v="4"/>
    <s v="No, But if someone could bare the cost I will"/>
    <s v="This will be hard to do, but if it is the right company I would try"/>
    <s v="No"/>
    <s v="Will NOT work for them"/>
    <n v="5"/>
    <x v="3"/>
    <x v="1"/>
    <x v="15"/>
    <x v="167"/>
    <s v="Manager who explains what is expected, sets a goal and helps achieve it"/>
    <x v="1"/>
  </r>
  <r>
    <d v="2023-04-29T20:22:23"/>
    <s v="India"/>
    <n v="533005"/>
    <x v="0"/>
    <x v="4"/>
    <s v="Yes, I will earn and do that"/>
    <s v="This will be hard to do, but if it is the right company I would try"/>
    <s v="Yes"/>
    <s v="Will work for them"/>
    <n v="2"/>
    <x v="1"/>
    <x v="1"/>
    <x v="6"/>
    <x v="542"/>
    <s v="Manager who explains what is expected, sets a goal and helps achieve it"/>
    <x v="1"/>
  </r>
  <r>
    <d v="2023-04-29T20:22:50"/>
    <s v="India"/>
    <n v="500026"/>
    <x v="1"/>
    <x v="4"/>
    <s v="Yes, I will earn and do that"/>
    <s v="This will be hard to do, but if it is the right company I would try"/>
    <s v="No"/>
    <s v="Will work for them"/>
    <n v="6"/>
    <x v="1"/>
    <x v="2"/>
    <x v="7"/>
    <x v="274"/>
    <s v="Manager who sets targets and expects me to achieve it"/>
    <x v="24"/>
  </r>
  <r>
    <d v="2023-04-29T20:23:50"/>
    <s v="India"/>
    <n v="533262"/>
    <x v="1"/>
    <x v="4"/>
    <s v="Yes, I will earn and do that"/>
    <s v="Will work for 3 years or more"/>
    <s v="Yes"/>
    <s v="Will work for them"/>
    <n v="3"/>
    <x v="3"/>
    <x v="2"/>
    <x v="9"/>
    <x v="143"/>
    <s v="Manager who clearly describes what she/he needs"/>
    <x v="1"/>
  </r>
  <r>
    <d v="2023-04-29T20:24:02"/>
    <s v="India"/>
    <n v="110060"/>
    <x v="0"/>
    <x v="0"/>
    <s v="No I would not be pursuing Higher Education outside of India"/>
    <s v="No way"/>
    <s v="No"/>
    <s v="Will NOT work for them"/>
    <n v="1"/>
    <x v="5"/>
    <x v="2"/>
    <x v="21"/>
    <x v="193"/>
    <s v="Manager who clearly describes what she/he needs"/>
    <x v="6"/>
  </r>
  <r>
    <d v="2023-04-29T20:29:08"/>
    <s v="India"/>
    <n v="500009"/>
    <x v="0"/>
    <x v="4"/>
    <s v="Yes, I will earn and do that"/>
    <s v="This will be hard to do, but if it is the right company I would try"/>
    <s v="No"/>
    <s v="Will NOT work for them"/>
    <n v="6"/>
    <x v="3"/>
    <x v="1"/>
    <x v="6"/>
    <x v="161"/>
    <s v="Manager who clearly describes what she/he needs"/>
    <x v="4"/>
  </r>
  <r>
    <d v="2023-04-29T20:30:37"/>
    <s v="India"/>
    <n v="500057"/>
    <x v="1"/>
    <x v="4"/>
    <s v="No, But if someone could bare the cost I will"/>
    <s v="This will be hard to do, but if it is the right company I would try"/>
    <s v="No"/>
    <s v="Will NOT work for them"/>
    <n v="10"/>
    <x v="3"/>
    <x v="0"/>
    <x v="17"/>
    <x v="109"/>
    <s v="Manager who explains what is expected, sets a goal and helps achieve it"/>
    <x v="6"/>
  </r>
  <r>
    <d v="2023-04-29T20:30:38"/>
    <s v="India"/>
    <n v="500083"/>
    <x v="0"/>
    <x v="3"/>
    <s v="No, But if someone could bare the cost I will"/>
    <s v="This will be hard to do, but if it is the right company I would try"/>
    <s v="No"/>
    <s v="Will work for them"/>
    <n v="10"/>
    <x v="6"/>
    <x v="0"/>
    <x v="9"/>
    <x v="281"/>
    <s v="Manager who explains what is expected, sets a goal and helps achieve it"/>
    <x v="2"/>
  </r>
  <r>
    <d v="2023-04-29T20:33:27"/>
    <s v="India"/>
    <n v="411028"/>
    <x v="0"/>
    <x v="0"/>
    <s v="No I would not be pursuing Higher Education outside of India"/>
    <s v="This will be hard to do, but if it is the right company I would try"/>
    <s v="No"/>
    <s v="Will NOT work for them"/>
    <n v="5"/>
    <x v="6"/>
    <x v="1"/>
    <x v="19"/>
    <x v="450"/>
    <s v="Manager who explains what is expected, sets a goal and helps achieve it"/>
    <x v="8"/>
  </r>
  <r>
    <d v="2023-04-29T20:36:51"/>
    <s v="India"/>
    <n v="533005"/>
    <x v="0"/>
    <x v="2"/>
    <s v="No, But if someone could bare the cost I will"/>
    <s v="This will be hard to do, but if it is the right company I would try"/>
    <s v="Yes"/>
    <s v="Will NOT work for them"/>
    <n v="4"/>
    <x v="6"/>
    <x v="1"/>
    <x v="17"/>
    <x v="153"/>
    <s v="Manager who explains what is expected, sets a goal and helps achieve it"/>
    <x v="11"/>
  </r>
  <r>
    <d v="2023-04-29T20:39:29"/>
    <s v="India"/>
    <n v="505001"/>
    <x v="1"/>
    <x v="4"/>
    <s v="No I would not be pursuing Higher Education outside of India"/>
    <s v="This will be hard to do, but if it is the right company I would try"/>
    <s v="No"/>
    <s v="Will NOT work for them"/>
    <n v="1"/>
    <x v="0"/>
    <x v="2"/>
    <x v="9"/>
    <x v="132"/>
    <s v="Manager who explains what is expected, sets a goal and helps achieve it"/>
    <x v="1"/>
  </r>
  <r>
    <d v="2023-04-29T20:43:28"/>
    <s v="India"/>
    <n v="500029"/>
    <x v="0"/>
    <x v="4"/>
    <s v="Yes, I will earn and do that"/>
    <s v="Will work for 3 years or more"/>
    <s v="Yes"/>
    <s v="Will NOT work for them"/>
    <n v="7"/>
    <x v="6"/>
    <x v="1"/>
    <x v="6"/>
    <x v="179"/>
    <s v="Manager who sets goal and helps me achieve it"/>
    <x v="1"/>
  </r>
  <r>
    <d v="2023-04-29T20:45:36"/>
    <s v="India"/>
    <n v="500094"/>
    <x v="1"/>
    <x v="4"/>
    <s v="Yes, I will earn and do that"/>
    <s v="This will be hard to do, but if it is the right company I would try"/>
    <s v="No"/>
    <s v="Will work for them"/>
    <n v="3"/>
    <x v="1"/>
    <x v="1"/>
    <x v="19"/>
    <x v="308"/>
    <s v="Manager who sets goal and helps me achieve it"/>
    <x v="3"/>
  </r>
  <r>
    <d v="2023-04-29T20:52:34"/>
    <s v="India"/>
    <n v="522501"/>
    <x v="1"/>
    <x v="0"/>
    <s v="No I would not be pursuing Higher Education outside of India"/>
    <s v="This will be hard to do, but if it is the right company I would try"/>
    <s v="No"/>
    <s v="Will NOT work for them"/>
    <n v="5"/>
    <x v="0"/>
    <x v="1"/>
    <x v="9"/>
    <x v="543"/>
    <s v="Manager who clearly describes what she/he needs"/>
    <x v="1"/>
  </r>
  <r>
    <d v="2023-04-29T20:57:47"/>
    <s v="India"/>
    <n v="125111"/>
    <x v="1"/>
    <x v="4"/>
    <s v="Yes, I will earn and do that"/>
    <s v="Will work for 3 years or more"/>
    <s v="Yes"/>
    <s v="Will work for them"/>
    <n v="6"/>
    <x v="0"/>
    <x v="1"/>
    <x v="11"/>
    <x v="353"/>
    <s v="Manager who explains what is expected, sets a goal and helps achieve it"/>
    <x v="6"/>
  </r>
  <r>
    <d v="2023-04-29T20:58:18"/>
    <s v="India"/>
    <n v="505524"/>
    <x v="0"/>
    <x v="0"/>
    <s v="No I would not be pursuing Higher Education outside of India"/>
    <s v="Will work for 3 years or more"/>
    <s v="No"/>
    <s v="Will work for them"/>
    <n v="5"/>
    <x v="6"/>
    <x v="2"/>
    <x v="18"/>
    <x v="179"/>
    <s v="Manager who explains what is expected, sets a goal and helps achieve it"/>
    <x v="1"/>
  </r>
  <r>
    <d v="2023-04-29T20:58:25"/>
    <s v="India"/>
    <n v="500019"/>
    <x v="0"/>
    <x v="2"/>
    <s v="No, But if someone could bare the cost I will"/>
    <s v="No way"/>
    <s v="No"/>
    <s v="Will NOT work for them"/>
    <n v="8"/>
    <x v="5"/>
    <x v="1"/>
    <x v="11"/>
    <x v="325"/>
    <s v="Manager who sets goal and helps me achieve it"/>
    <x v="4"/>
  </r>
  <r>
    <d v="2023-04-29T21:00:00"/>
    <s v="India"/>
    <n v="508101"/>
    <x v="1"/>
    <x v="3"/>
    <s v="Yes, I will earn and do that"/>
    <s v="This will be hard to do, but if it is the right company I would try"/>
    <s v="No"/>
    <s v="Will NOT work for them"/>
    <n v="4"/>
    <x v="6"/>
    <x v="1"/>
    <x v="9"/>
    <x v="358"/>
    <s v="Manager who explains what is expected, sets a goal and helps achieve it"/>
    <x v="15"/>
  </r>
  <r>
    <d v="2023-04-29T21:01:39"/>
    <s v="India"/>
    <n v="452001"/>
    <x v="0"/>
    <x v="4"/>
    <s v="No I would not be pursuing Higher Education outside of India"/>
    <s v="Will work for 3 years or more"/>
    <s v="No"/>
    <s v="Will NOT work for them"/>
    <n v="1"/>
    <x v="6"/>
    <x v="2"/>
    <x v="9"/>
    <x v="198"/>
    <s v="Manager who sets targets and expects me to achieve it"/>
    <x v="3"/>
  </r>
  <r>
    <d v="2023-04-29T21:02:25"/>
    <s v="India"/>
    <n v="500013"/>
    <x v="0"/>
    <x v="2"/>
    <s v="Yes, I will earn and do that"/>
    <s v="This will be hard to do, but if it is the right company I would try"/>
    <s v="No"/>
    <s v="Will NOT work for them"/>
    <n v="7"/>
    <x v="6"/>
    <x v="1"/>
    <x v="16"/>
    <x v="544"/>
    <s v="Manager who explains what is expected, sets a goal and helps achieve it"/>
    <x v="3"/>
  </r>
  <r>
    <d v="2023-04-29T21:08:33"/>
    <s v="India"/>
    <n v="828116"/>
    <x v="0"/>
    <x v="2"/>
    <s v="No, But if someone could bare the cost I will"/>
    <s v="Will work for 3 years or more"/>
    <s v="Yes"/>
    <s v="Will work for them"/>
    <n v="10"/>
    <x v="6"/>
    <x v="1"/>
    <x v="9"/>
    <x v="414"/>
    <s v="Manager who explains what is expected, sets a goal and helps achieve it"/>
    <x v="3"/>
  </r>
  <r>
    <d v="2023-04-29T21:11:04"/>
    <s v="India"/>
    <n v="500011"/>
    <x v="1"/>
    <x v="4"/>
    <s v="No I would not be pursuing Higher Education outside of India"/>
    <s v="This will be hard to do, but if it is the right company I would try"/>
    <s v="Yes"/>
    <s v="Will work for them"/>
    <n v="3"/>
    <x v="5"/>
    <x v="2"/>
    <x v="20"/>
    <x v="156"/>
    <s v="Manager who clearly describes what she/he needs"/>
    <x v="6"/>
  </r>
  <r>
    <d v="2023-04-29T21:11:07"/>
    <s v="Canada"/>
    <s v="Xxxxx"/>
    <x v="0"/>
    <x v="2"/>
    <s v="No, But if someone could bare the cost I will"/>
    <s v="This will be hard to do, but if it is the right company I would try"/>
    <s v="No"/>
    <s v="Will NOT work for them"/>
    <n v="5"/>
    <x v="6"/>
    <x v="2"/>
    <x v="15"/>
    <x v="519"/>
    <s v="Manager who explains what is expected, sets a goal and helps achieve it"/>
    <x v="1"/>
  </r>
  <r>
    <d v="2023-04-29T21:13:37"/>
    <s v="India"/>
    <n v="500062"/>
    <x v="0"/>
    <x v="2"/>
    <s v="No I would not be pursuing Higher Education outside of India"/>
    <s v="This will be hard to do, but if it is the right company I would try"/>
    <s v="No"/>
    <s v="Will NOT work for them"/>
    <n v="2"/>
    <x v="6"/>
    <x v="2"/>
    <x v="19"/>
    <x v="217"/>
    <s v="Manager who sets goal and helps me achieve it"/>
    <x v="5"/>
  </r>
  <r>
    <d v="2023-04-29T21:14:11"/>
    <s v="Canada"/>
    <s v="H3X2V2"/>
    <x v="0"/>
    <x v="4"/>
    <s v="Yes, I will earn and do that"/>
    <s v="Will work for 3 years or more"/>
    <s v="No"/>
    <s v="Will NOT work for them"/>
    <n v="1"/>
    <x v="5"/>
    <x v="1"/>
    <x v="17"/>
    <x v="453"/>
    <s v="Manager who explains what is expected, sets a goal and helps achieve it"/>
    <x v="8"/>
  </r>
  <r>
    <d v="2023-04-29T21:14:39"/>
    <s v="India"/>
    <n v="421201"/>
    <x v="0"/>
    <x v="0"/>
    <s v="Yes, I will earn and do that"/>
    <s v="This will be hard to do, but if it is the right company I would try"/>
    <s v="No"/>
    <s v="Will NOT work for them"/>
    <n v="5"/>
    <x v="6"/>
    <x v="2"/>
    <x v="7"/>
    <x v="174"/>
    <s v="Manager who clearly describes what she/he needs"/>
    <x v="1"/>
  </r>
  <r>
    <d v="2023-04-29T21:16:31"/>
    <s v="Canada"/>
    <s v="Xxxx"/>
    <x v="0"/>
    <x v="4"/>
    <s v="No, But if someone could bare the cost I will"/>
    <s v="Will work for 3 years or more"/>
    <s v="No"/>
    <s v="Will work for them"/>
    <n v="5"/>
    <x v="6"/>
    <x v="3"/>
    <x v="6"/>
    <x v="183"/>
    <s v="Manager who explains what is expected, sets a goal and helps achieve it"/>
    <x v="1"/>
  </r>
  <r>
    <d v="2023-04-29T21:21:31"/>
    <s v="India"/>
    <n v="110076"/>
    <x v="0"/>
    <x v="2"/>
    <s v="Yes, I will earn and do that"/>
    <s v="Will work for 3 years or more"/>
    <s v="No"/>
    <s v="Will NOT work for them"/>
    <n v="5"/>
    <x v="3"/>
    <x v="1"/>
    <x v="7"/>
    <x v="245"/>
    <s v="Manager who explains what is expected, sets a goal and helps achieve it"/>
    <x v="7"/>
  </r>
  <r>
    <d v="2023-04-29T21:21:38"/>
    <s v="India"/>
    <n v="462042"/>
    <x v="0"/>
    <x v="3"/>
    <s v="Yes, I will earn and do that"/>
    <s v="Will work for 3 years or more"/>
    <s v="No"/>
    <s v="Will NOT work for them"/>
    <n v="8"/>
    <x v="1"/>
    <x v="1"/>
    <x v="19"/>
    <x v="180"/>
    <s v="Manager who explains what is expected, sets a goal and helps achieve it"/>
    <x v="3"/>
  </r>
  <r>
    <d v="2023-04-29T21:21:41"/>
    <s v="India"/>
    <n v="110096"/>
    <x v="1"/>
    <x v="2"/>
    <s v="Yes, I will earn and do that"/>
    <s v="Will work for 3 years or more"/>
    <s v="No"/>
    <s v="Will NOT work for them"/>
    <n v="2"/>
    <x v="6"/>
    <x v="2"/>
    <x v="11"/>
    <x v="200"/>
    <s v="Manager who explains what is expected, sets a goal and helps achieve it"/>
    <x v="3"/>
  </r>
  <r>
    <d v="2023-04-29T21:25:20"/>
    <s v="India"/>
    <n v="110008"/>
    <x v="1"/>
    <x v="4"/>
    <s v="No I would not be pursuing Higher Education outside of India"/>
    <s v="This will be hard to do, but if it is the right company I would try"/>
    <s v="No"/>
    <s v="Will NOT work for them"/>
    <n v="5"/>
    <x v="6"/>
    <x v="1"/>
    <x v="9"/>
    <x v="545"/>
    <s v="Manager who clearly describes what she/he needs"/>
    <x v="2"/>
  </r>
  <r>
    <d v="2023-04-29T21:25:54"/>
    <s v="India"/>
    <n v="533005"/>
    <x v="0"/>
    <x v="4"/>
    <s v="No I would not be pursuing Higher Education outside of India"/>
    <s v="Will work for 3 years or more"/>
    <s v="Yes"/>
    <s v="Will NOT work for them"/>
    <n v="5"/>
    <x v="1"/>
    <x v="1"/>
    <x v="7"/>
    <x v="191"/>
    <s v="Manager who explains what is expected, sets a goal and helps achieve it"/>
    <x v="4"/>
  </r>
  <r>
    <d v="2023-04-29T21:26:12"/>
    <s v="Canada"/>
    <s v="H3N1W9"/>
    <x v="0"/>
    <x v="3"/>
    <s v="Yes, I will earn and do that"/>
    <s v="Will work for 3 years or more"/>
    <s v="No"/>
    <s v="Will NOT work for them"/>
    <n v="5"/>
    <x v="3"/>
    <x v="2"/>
    <x v="22"/>
    <x v="420"/>
    <s v="Manager who sets targets and expects me to achieve it"/>
    <x v="3"/>
  </r>
  <r>
    <d v="2023-04-29T21:28:26"/>
    <s v="United States of America"/>
    <n v="78363"/>
    <x v="0"/>
    <x v="4"/>
    <s v="Yes, I will earn and do that"/>
    <s v="This will be hard to do, but if it is the right company I would try"/>
    <s v="Yes"/>
    <s v="Will work for them"/>
    <n v="10"/>
    <x v="3"/>
    <x v="1"/>
    <x v="25"/>
    <x v="546"/>
    <s v="Manager who explains what is expected, sets a goal and helps achieve it"/>
    <x v="1"/>
  </r>
  <r>
    <d v="2023-04-29T21:29:38"/>
    <s v="Canada"/>
    <s v="H3S"/>
    <x v="0"/>
    <x v="0"/>
    <s v="Yes, I will earn and do that"/>
    <s v="This will be hard to do, but if it is the right company I would try"/>
    <s v="No"/>
    <s v="Will NOT work for them"/>
    <n v="1"/>
    <x v="3"/>
    <x v="2"/>
    <x v="10"/>
    <x v="230"/>
    <s v="Manager who sets goal and helps me achieve it"/>
    <x v="7"/>
  </r>
  <r>
    <d v="2023-04-29T21:32:20"/>
    <s v="India"/>
    <n v="509301"/>
    <x v="1"/>
    <x v="4"/>
    <s v="Yes, I will earn and do that"/>
    <s v="This will be hard to do, but if it is the right company I would try"/>
    <s v="Yes"/>
    <s v="Will work for them"/>
    <n v="9"/>
    <x v="6"/>
    <x v="1"/>
    <x v="9"/>
    <x v="243"/>
    <s v="Manager who explains what is expected, sets a goal and helps achieve it"/>
    <x v="1"/>
  </r>
  <r>
    <d v="2023-04-29T21:35:14"/>
    <s v="India"/>
    <n v="110027"/>
    <x v="1"/>
    <x v="0"/>
    <s v="No, But if someone could bare the cost I will"/>
    <s v="This will be hard to do, but if it is the right company I would try"/>
    <s v="No"/>
    <s v="Will NOT work for them"/>
    <n v="7"/>
    <x v="5"/>
    <x v="2"/>
    <x v="10"/>
    <x v="101"/>
    <s v="Manager who explains what is expected, sets a goal and helps achieve it"/>
    <x v="3"/>
  </r>
  <r>
    <d v="2023-04-29T21:38:05"/>
    <s v="India"/>
    <n v="581301"/>
    <x v="0"/>
    <x v="3"/>
    <s v="No I would not be pursuing Higher Education outside of India"/>
    <s v="This will be hard to do, but if it is the right company I would try"/>
    <s v="Yes"/>
    <s v="Will NOT work for them"/>
    <n v="5"/>
    <x v="1"/>
    <x v="0"/>
    <x v="6"/>
    <x v="101"/>
    <s v="Manager who explains what is expected, sets a goal and helps achieve it"/>
    <x v="11"/>
  </r>
  <r>
    <d v="2023-04-29T21:45:45"/>
    <s v="India"/>
    <n v="110027"/>
    <x v="1"/>
    <x v="0"/>
    <s v="Yes, I will earn and do that"/>
    <s v="This will be hard to do, but if it is the right company I would try"/>
    <s v="Yes"/>
    <s v="Will NOT work for them"/>
    <n v="5"/>
    <x v="6"/>
    <x v="1"/>
    <x v="8"/>
    <x v="114"/>
    <s v="Manager who explains what is expected, sets a goal and helps achieve it"/>
    <x v="7"/>
  </r>
  <r>
    <d v="2023-04-29T21:53:51"/>
    <s v="India"/>
    <n v="201002"/>
    <x v="0"/>
    <x v="3"/>
    <s v="Yes, I will earn and do that"/>
    <s v="This will be hard to do, but if it is the right company I would try"/>
    <s v="No"/>
    <s v="Will NOT work for them"/>
    <n v="1"/>
    <x v="5"/>
    <x v="1"/>
    <x v="11"/>
    <x v="266"/>
    <s v="Manager who explains what is expected, sets a goal and helps achieve it"/>
    <x v="1"/>
  </r>
  <r>
    <d v="2023-04-29T21:54:32"/>
    <s v="India"/>
    <n v="43002"/>
    <x v="1"/>
    <x v="4"/>
    <s v="No I would not be pursuing Higher Education outside of India"/>
    <s v="This will be hard to do, but if it is the right company I would try"/>
    <s v="No"/>
    <s v="Will NOT work for them"/>
    <n v="8"/>
    <x v="3"/>
    <x v="1"/>
    <x v="6"/>
    <x v="206"/>
    <s v="Manager who explains what is expected, sets a goal and helps achieve it"/>
    <x v="3"/>
  </r>
  <r>
    <d v="2023-04-29T21:57:55"/>
    <s v="India"/>
    <n v="110003"/>
    <x v="0"/>
    <x v="0"/>
    <s v="Yes, I will earn and do that"/>
    <s v="This will be hard to do, but if it is the right company I would try"/>
    <s v="No"/>
    <s v="Will NOT work for them"/>
    <n v="8"/>
    <x v="1"/>
    <x v="2"/>
    <x v="9"/>
    <x v="141"/>
    <s v="Manager who sets goal and helps me achieve it"/>
    <x v="3"/>
  </r>
  <r>
    <d v="2023-04-29T22:07:13"/>
    <s v="Canada"/>
    <s v="H3X2V2"/>
    <x v="0"/>
    <x v="0"/>
    <s v="Yes, I will earn and do that"/>
    <s v="This will be hard to do, but if it is the right company I would try"/>
    <s v="No"/>
    <s v="Will NOT work for them"/>
    <n v="1"/>
    <x v="6"/>
    <x v="1"/>
    <x v="9"/>
    <x v="363"/>
    <s v="Manager who explains what is expected, sets a goal and helps achieve it"/>
    <x v="8"/>
  </r>
  <r>
    <d v="2023-04-29T22:08:42"/>
    <s v="India"/>
    <n v="500072"/>
    <x v="1"/>
    <x v="3"/>
    <s v="Yes, I will earn and do that"/>
    <s v="Will work for 3 years or more"/>
    <s v="No"/>
    <s v="Will NOT work for them"/>
    <n v="6"/>
    <x v="3"/>
    <x v="1"/>
    <x v="6"/>
    <x v="415"/>
    <s v="Manager who sets targets and expects me to achieve it"/>
    <x v="11"/>
  </r>
  <r>
    <d v="2023-04-29T22:09:38"/>
    <s v="India"/>
    <n v="495001"/>
    <x v="1"/>
    <x v="4"/>
    <s v="Yes, I will earn and do that"/>
    <s v="Will work for 3 years or more"/>
    <s v="No"/>
    <s v="Will NOT work for them"/>
    <n v="4"/>
    <x v="6"/>
    <x v="1"/>
    <x v="6"/>
    <x v="200"/>
    <s v="Manager who explains what is expected, sets a goal and helps achieve it"/>
    <x v="2"/>
  </r>
  <r>
    <d v="2023-04-29T22:11:58"/>
    <s v="India"/>
    <n v="456006"/>
    <x v="1"/>
    <x v="2"/>
    <s v="No, But if someone could bare the cost I will"/>
    <s v="This will be hard to do, but if it is the right company I would try"/>
    <s v="No"/>
    <s v="Will NOT work for them"/>
    <n v="10"/>
    <x v="1"/>
    <x v="1"/>
    <x v="6"/>
    <x v="125"/>
    <s v="Manager who explains what is expected, sets a goal and helps achieve it"/>
    <x v="4"/>
  </r>
  <r>
    <d v="2023-04-29T22:13:31"/>
    <s v="India"/>
    <n v="473001"/>
    <x v="0"/>
    <x v="2"/>
    <s v="No I would not be pursuing Higher Education outside of India"/>
    <s v="This will be hard to do, but if it is the right company I would try"/>
    <s v="No"/>
    <s v="Will NOT work for them"/>
    <n v="3"/>
    <x v="6"/>
    <x v="1"/>
    <x v="22"/>
    <x v="400"/>
    <s v="Manager who sets goal and helps me achieve it"/>
    <x v="1"/>
  </r>
  <r>
    <d v="2023-04-29T22:15:31"/>
    <s v="India"/>
    <n v="110006"/>
    <x v="1"/>
    <x v="2"/>
    <s v="No, But if someone could bare the cost I will"/>
    <s v="This will be hard to do, but if it is the right company I would try"/>
    <s v="No"/>
    <s v="Will NOT work for them"/>
    <n v="4"/>
    <x v="5"/>
    <x v="1"/>
    <x v="9"/>
    <x v="205"/>
    <s v="Manager who explains what is expected, sets a goal and helps achieve it"/>
    <x v="2"/>
  </r>
  <r>
    <d v="2023-04-29T22:18:16"/>
    <s v="United States of America"/>
    <n v="27606"/>
    <x v="1"/>
    <x v="0"/>
    <s v="No, But if someone could bare the cost I will"/>
    <s v="Will work for 3 years or more"/>
    <s v="No"/>
    <s v="Will NOT work for them"/>
    <n v="5"/>
    <x v="6"/>
    <x v="1"/>
    <x v="9"/>
    <x v="140"/>
    <s v="Manager who explains what is expected, sets a goal and helps achieve it"/>
    <x v="1"/>
  </r>
  <r>
    <d v="2023-04-29T22:20:03"/>
    <s v="India"/>
    <n v="721302"/>
    <x v="0"/>
    <x v="1"/>
    <s v="No I would not be pursuing Higher Education outside of India"/>
    <s v="This will be hard to do, but if it is the right company I would try"/>
    <s v="No"/>
    <s v="Will NOT work for them"/>
    <n v="6"/>
    <x v="3"/>
    <x v="1"/>
    <x v="10"/>
    <x v="159"/>
    <s v="Manager who sets goal and helps me achieve it"/>
    <x v="1"/>
  </r>
  <r>
    <d v="2023-04-29T22:22:02"/>
    <s v="India"/>
    <n v="452001"/>
    <x v="1"/>
    <x v="0"/>
    <s v="No I would not be pursuing Higher Education outside of India"/>
    <s v="This will be hard to do, but if it is the right company I would try"/>
    <s v="No"/>
    <s v="Will NOT work for them"/>
    <n v="3"/>
    <x v="5"/>
    <x v="1"/>
    <x v="6"/>
    <x v="547"/>
    <s v="Manager who explains what is expected, sets a goal and helps achieve it"/>
    <x v="1"/>
  </r>
  <r>
    <d v="2023-04-29T22:22:46"/>
    <s v="India"/>
    <n v="828302"/>
    <x v="0"/>
    <x v="1"/>
    <s v="No I would not be pursuing Higher Education outside of India"/>
    <s v="This will be hard to do, but if it is the right company I would try"/>
    <s v="Yes"/>
    <s v="Will NOT work for them"/>
    <n v="6"/>
    <x v="1"/>
    <x v="2"/>
    <x v="18"/>
    <x v="198"/>
    <s v="Manager who clearly describes what she/he needs"/>
    <x v="1"/>
  </r>
  <r>
    <d v="2023-04-29T22:27:03"/>
    <s v="India"/>
    <n v="505001"/>
    <x v="0"/>
    <x v="4"/>
    <s v="Yes, I will earn and do that"/>
    <s v="Will work for 3 years or more"/>
    <s v="Yes"/>
    <s v="Will NOT work for them"/>
    <n v="7"/>
    <x v="3"/>
    <x v="1"/>
    <x v="6"/>
    <x v="548"/>
    <s v="Manager who sets unrealistic targets"/>
    <x v="4"/>
  </r>
  <r>
    <d v="2023-04-29T22:37:26"/>
    <s v="India"/>
    <n v="576101"/>
    <x v="1"/>
    <x v="2"/>
    <s v="Yes, I will earn and do that"/>
    <s v="Will work for 3 years or more"/>
    <s v="No"/>
    <s v="Will NOT work for them"/>
    <n v="2"/>
    <x v="6"/>
    <x v="0"/>
    <x v="9"/>
    <x v="141"/>
    <s v="Manager who explains what is expected, sets a goal and helps achieve it"/>
    <x v="1"/>
  </r>
  <r>
    <d v="2023-04-29T22:45:13"/>
    <s v="India"/>
    <n v="515002"/>
    <x v="1"/>
    <x v="4"/>
    <s v="Yes, I will earn and do that"/>
    <s v="Will work for 3 years or more"/>
    <s v="No"/>
    <s v="Will work for them"/>
    <n v="5"/>
    <x v="5"/>
    <x v="2"/>
    <x v="11"/>
    <x v="348"/>
    <s v="Manager who explains what is expected, sets a goal and helps achieve it"/>
    <x v="4"/>
  </r>
  <r>
    <d v="2023-04-29T22:47:03"/>
    <s v="India"/>
    <n v="518003"/>
    <x v="1"/>
    <x v="4"/>
    <s v="No I would not be pursuing Higher Education outside of India"/>
    <s v="This will be hard to do, but if it is the right company I would try"/>
    <s v="No"/>
    <s v="Will work for them"/>
    <n v="7"/>
    <x v="1"/>
    <x v="1"/>
    <x v="9"/>
    <x v="179"/>
    <s v="Manager who sets goal and helps me achieve it"/>
    <x v="1"/>
  </r>
  <r>
    <d v="2023-04-29T22:53:10"/>
    <s v="India"/>
    <n v="524004"/>
    <x v="1"/>
    <x v="4"/>
    <s v="Yes, I will earn and do that"/>
    <s v="This will be hard to do, but if it is the right company I would try"/>
    <s v="No"/>
    <s v="Will work for them"/>
    <n v="10"/>
    <x v="3"/>
    <x v="2"/>
    <x v="9"/>
    <x v="116"/>
    <s v="Manager who clearly describes what she/he needs"/>
    <x v="1"/>
  </r>
  <r>
    <d v="2023-04-29T22:54:43"/>
    <s v="India"/>
    <n v="516434"/>
    <x v="1"/>
    <x v="4"/>
    <s v="No I would not be pursuing Higher Education outside of India"/>
    <s v="Will work for 3 years or more"/>
    <s v="No"/>
    <s v="Will NOT work for them"/>
    <n v="2"/>
    <x v="3"/>
    <x v="2"/>
    <x v="17"/>
    <x v="316"/>
    <s v="Manager who explains what is expected, sets a goal and helps achieve it"/>
    <x v="1"/>
  </r>
  <r>
    <d v="2023-04-29T22:59:26"/>
    <s v="Others"/>
    <s v="0000"/>
    <x v="1"/>
    <x v="0"/>
    <s v="No I would not be pursuing Higher Education outside of India"/>
    <s v="This will be hard to do, but if it is the right company I would try"/>
    <s v="No"/>
    <s v="Will NOT work for them"/>
    <n v="4"/>
    <x v="6"/>
    <x v="2"/>
    <x v="18"/>
    <x v="129"/>
    <s v="Manager who clearly describes what she/he needs"/>
    <x v="1"/>
  </r>
  <r>
    <d v="2023-04-29T23:02:12"/>
    <s v="India"/>
    <n v="500045"/>
    <x v="0"/>
    <x v="1"/>
    <s v="Yes, I will earn and do that"/>
    <s v="This will be hard to do, but if it is the right company I would try"/>
    <s v="No"/>
    <s v="Will work for them"/>
    <n v="2"/>
    <x v="6"/>
    <x v="2"/>
    <x v="14"/>
    <x v="353"/>
    <s v="Manager who clearly describes what she/he needs"/>
    <x v="1"/>
  </r>
  <r>
    <d v="2023-04-29T23:08:46"/>
    <s v="India"/>
    <n v="751002"/>
    <x v="1"/>
    <x v="3"/>
    <s v="No, But if someone could bare the cost I will"/>
    <s v="This will be hard to do, but if it is the right company I would try"/>
    <s v="No"/>
    <s v="Will NOT work for them"/>
    <n v="1"/>
    <x v="5"/>
    <x v="1"/>
    <x v="9"/>
    <x v="338"/>
    <s v="Manager who explains what is expected, sets a goal and helps achieve it"/>
    <x v="1"/>
  </r>
  <r>
    <d v="2023-04-29T23:16:50"/>
    <s v="India"/>
    <n v="505001"/>
    <x v="0"/>
    <x v="0"/>
    <s v="Yes, I will earn and do that"/>
    <s v="Will work for 3 years or more"/>
    <s v="No"/>
    <s v="Will NOT work for them"/>
    <n v="4"/>
    <x v="1"/>
    <x v="2"/>
    <x v="9"/>
    <x v="143"/>
    <s v="Manager who sets goal and helps me achieve it"/>
    <x v="7"/>
  </r>
  <r>
    <d v="2023-04-30T00:00:52"/>
    <s v="India"/>
    <n v="600089"/>
    <x v="0"/>
    <x v="4"/>
    <s v="Yes, I will earn and do that"/>
    <s v="This will be hard to do, but if it is the right company I would try"/>
    <s v="No"/>
    <s v="Will NOT work for them"/>
    <n v="3"/>
    <x v="6"/>
    <x v="1"/>
    <x v="9"/>
    <x v="416"/>
    <s v="Manager who sets goal and helps me achieve it"/>
    <x v="1"/>
  </r>
  <r>
    <d v="2023-04-30T00:38:54"/>
    <s v="India"/>
    <n v="470001"/>
    <x v="1"/>
    <x v="3"/>
    <s v="Yes, I will earn and do that"/>
    <s v="This will be hard to do, but if it is the right company I would try"/>
    <s v="No"/>
    <s v="Will NOT work for them"/>
    <n v="6"/>
    <x v="1"/>
    <x v="1"/>
    <x v="6"/>
    <x v="143"/>
    <s v="Manager who explains what is expected, sets a goal and helps achieve it"/>
    <x v="6"/>
  </r>
  <r>
    <d v="2023-04-30T00:40:10"/>
    <s v="India"/>
    <n v="18"/>
    <x v="0"/>
    <x v="4"/>
    <s v="Yes, I will earn and do that"/>
    <s v="This will be hard to do, but if it is the right company I would try"/>
    <s v="No"/>
    <s v="Will NOT work for them"/>
    <n v="5"/>
    <x v="6"/>
    <x v="2"/>
    <x v="19"/>
    <x v="96"/>
    <s v="Manager who explains what is expected, sets a goal and helps achieve it"/>
    <x v="1"/>
  </r>
  <r>
    <d v="2023-04-30T00:50:43"/>
    <s v="India"/>
    <n v="500091"/>
    <x v="0"/>
    <x v="2"/>
    <s v="Yes, I will earn and do that"/>
    <s v="This will be hard to do, but if it is the right company I would try"/>
    <s v="No"/>
    <s v="Will NOT work for them"/>
    <n v="5"/>
    <x v="5"/>
    <x v="0"/>
    <x v="6"/>
    <x v="310"/>
    <s v="Manager who explains what is expected, sets a goal and helps achieve it"/>
    <x v="11"/>
  </r>
  <r>
    <d v="2023-04-30T01:01:42"/>
    <s v="India"/>
    <n v="605003"/>
    <x v="1"/>
    <x v="0"/>
    <s v="No I would not be pursuing Higher Education outside of India"/>
    <s v="Will work for 3 years or more"/>
    <s v="No"/>
    <s v="Will NOT work for them"/>
    <n v="7"/>
    <x v="5"/>
    <x v="1"/>
    <x v="11"/>
    <x v="201"/>
    <s v="Manager who sets targets and expects me to achieve it"/>
    <x v="7"/>
  </r>
  <r>
    <d v="2023-04-30T01:08:39"/>
    <s v="Canada"/>
    <s v="V4C4G1"/>
    <x v="1"/>
    <x v="1"/>
    <s v="Yes, I will earn and do that"/>
    <s v="This will be hard to do, but if it is the right company I would try"/>
    <s v="No"/>
    <s v="Will NOT work for them"/>
    <n v="5"/>
    <x v="5"/>
    <x v="1"/>
    <x v="11"/>
    <x v="109"/>
    <s v="Manager who sets targets and expects me to achieve it"/>
    <x v="1"/>
  </r>
  <r>
    <d v="2023-04-30T03:43:00"/>
    <s v="India"/>
    <n v="110007"/>
    <x v="0"/>
    <x v="3"/>
    <s v="Yes, I will earn and do that"/>
    <s v="Will work for 3 years or more"/>
    <s v="No"/>
    <s v="Will NOT work for them"/>
    <n v="4"/>
    <x v="6"/>
    <x v="1"/>
    <x v="25"/>
    <x v="549"/>
    <s v="Manager who sets targets and expects me to achieve it"/>
    <x v="1"/>
  </r>
  <r>
    <d v="2023-04-30T04:24:12"/>
    <s v="India"/>
    <n v="110062"/>
    <x v="0"/>
    <x v="3"/>
    <s v="No I would not be pursuing Higher Education outside of India"/>
    <s v="No way"/>
    <s v="No"/>
    <s v="Will NOT work for them"/>
    <n v="5"/>
    <x v="1"/>
    <x v="0"/>
    <x v="9"/>
    <x v="318"/>
    <s v="Manager who explains what is expected, sets a goal and helps achieve it"/>
    <x v="7"/>
  </r>
  <r>
    <d v="2023-04-30T07:12:03"/>
    <s v="India"/>
    <n v="473001"/>
    <x v="0"/>
    <x v="4"/>
    <s v="No, But if someone could bare the cost I will"/>
    <s v="No way"/>
    <s v="No"/>
    <s v="Will NOT work for them"/>
    <n v="4"/>
    <x v="3"/>
    <x v="1"/>
    <x v="11"/>
    <x v="488"/>
    <s v="Manager who explains what is expected, sets a goal and helps achieve it"/>
    <x v="3"/>
  </r>
  <r>
    <d v="2023-04-30T07:23:30"/>
    <s v="India"/>
    <n v="505460"/>
    <x v="1"/>
    <x v="4"/>
    <s v="No, But if someone could bare the cost I will"/>
    <s v="No way"/>
    <s v="Yes"/>
    <s v="Will NOT work for them"/>
    <n v="5"/>
    <x v="5"/>
    <x v="2"/>
    <x v="6"/>
    <x v="107"/>
    <s v="Manager who sets goal and helps me achieve it"/>
    <x v="1"/>
  </r>
  <r>
    <d v="2023-04-30T07:45:16"/>
    <s v="India"/>
    <n v="110006"/>
    <x v="1"/>
    <x v="4"/>
    <s v="Yes, I will earn and do that"/>
    <s v="This will be hard to do, but if it is the right company I would try"/>
    <s v="No"/>
    <s v="Will NOT work for them"/>
    <n v="1"/>
    <x v="6"/>
    <x v="1"/>
    <x v="17"/>
    <x v="325"/>
    <s v="Manager who explains what is expected, sets a goal and helps achieve it"/>
    <x v="4"/>
  </r>
  <r>
    <d v="2023-04-30T07:56:45"/>
    <s v="India"/>
    <n v="560066"/>
    <x v="1"/>
    <x v="2"/>
    <s v="No, But if someone could bare the cost I will"/>
    <s v="This will be hard to do, but if it is the right company I would try"/>
    <s v="No"/>
    <s v="Will NOT work for them"/>
    <n v="6"/>
    <x v="6"/>
    <x v="1"/>
    <x v="9"/>
    <x v="550"/>
    <s v="Manager who explains what is expected, sets a goal and helps achieve it"/>
    <x v="4"/>
  </r>
  <r>
    <d v="2023-04-30T08:36:21"/>
    <s v="India"/>
    <n v="160002"/>
    <x v="1"/>
    <x v="4"/>
    <s v="No I would not be pursuing Higher Education outside of India"/>
    <s v="This will be hard to do, but if it is the right company I would try"/>
    <s v="No"/>
    <s v="Will NOT work for them"/>
    <n v="1"/>
    <x v="0"/>
    <x v="2"/>
    <x v="9"/>
    <x v="164"/>
    <s v="Manager who clearly describes what she/he needs"/>
    <x v="3"/>
  </r>
  <r>
    <d v="2023-04-30T10:01:45"/>
    <s v="India"/>
    <n v="605010"/>
    <x v="1"/>
    <x v="2"/>
    <s v="No, But if someone could bare the cost I will"/>
    <s v="Will work for 3 years or more"/>
    <s v="No"/>
    <s v="Will NOT work for them"/>
    <n v="6"/>
    <x v="1"/>
    <x v="0"/>
    <x v="8"/>
    <x v="95"/>
    <s v="Manager who sets goal and helps me achieve it"/>
    <x v="3"/>
  </r>
  <r>
    <d v="2023-04-30T10:06:37"/>
    <s v="India"/>
    <n v="571301"/>
    <x v="0"/>
    <x v="4"/>
    <s v="No I would not be pursuing Higher Education outside of India"/>
    <s v="This will be hard to do, but if it is the right company I would try"/>
    <s v="No"/>
    <s v="Will NOT work for them"/>
    <n v="5"/>
    <x v="6"/>
    <x v="2"/>
    <x v="14"/>
    <x v="229"/>
    <s v="Manager who clearly describes what she/he needs"/>
    <x v="7"/>
  </r>
  <r>
    <d v="2023-04-30T10:19:04"/>
    <s v="Canada"/>
    <s v="M3J0E5"/>
    <x v="1"/>
    <x v="2"/>
    <s v="Yes, I will earn and do that"/>
    <s v="No way"/>
    <s v="No"/>
    <s v="Will work for them"/>
    <n v="8"/>
    <x v="1"/>
    <x v="1"/>
    <x v="24"/>
    <x v="219"/>
    <s v="Manager who sets goal and helps me achieve it"/>
    <x v="7"/>
  </r>
  <r>
    <d v="2023-04-30T10:36:44"/>
    <s v="India"/>
    <n v="243006"/>
    <x v="0"/>
    <x v="3"/>
    <s v="No I would not be pursuing Higher Education outside of India"/>
    <s v="This will be hard to do, but if it is the right company I would try"/>
    <s v="Yes"/>
    <s v="Will NOT work for them"/>
    <n v="5"/>
    <x v="5"/>
    <x v="1"/>
    <x v="11"/>
    <x v="373"/>
    <s v="Manager who explains what is expected, sets a goal and helps achieve it"/>
    <x v="1"/>
  </r>
  <r>
    <d v="2023-04-30T10:48:23"/>
    <s v="India"/>
    <n v="142026"/>
    <x v="1"/>
    <x v="4"/>
    <s v="Yes, I will earn and do that"/>
    <s v="Will work for 3 years or more"/>
    <s v="No"/>
    <s v="Will NOT work for them"/>
    <n v="8"/>
    <x v="1"/>
    <x v="1"/>
    <x v="7"/>
    <x v="292"/>
    <s v="Manager who sets goal and helps me achieve it"/>
    <x v="6"/>
  </r>
  <r>
    <d v="2023-04-30T11:09:59"/>
    <s v="India"/>
    <n v="605013"/>
    <x v="1"/>
    <x v="4"/>
    <s v="Yes, I will earn and do that"/>
    <s v="Will work for 3 years or more"/>
    <s v="No"/>
    <s v="Will NOT work for them"/>
    <n v="9"/>
    <x v="6"/>
    <x v="2"/>
    <x v="18"/>
    <x v="114"/>
    <s v="Manager who explains what is expected, sets a goal and helps achieve it"/>
    <x v="0"/>
  </r>
  <r>
    <d v="2023-04-30T11:27:56"/>
    <s v="India"/>
    <n v="201010"/>
    <x v="0"/>
    <x v="2"/>
    <s v="No I would not be pursuing Higher Education outside of India"/>
    <s v="Will work for 3 years or more"/>
    <s v="No"/>
    <s v="Will work for them"/>
    <n v="10"/>
    <x v="3"/>
    <x v="1"/>
    <x v="15"/>
    <x v="389"/>
    <s v="Manager who explains what is expected, sets a goal and helps achieve it"/>
    <x v="4"/>
  </r>
  <r>
    <d v="2023-04-30T12:24:51"/>
    <s v="India"/>
    <n v="518395"/>
    <x v="0"/>
    <x v="0"/>
    <s v="No I would not be pursuing Higher Education outside of India"/>
    <s v="Will work for 3 years or more"/>
    <s v="No"/>
    <s v="Will NOT work for them"/>
    <n v="8"/>
    <x v="1"/>
    <x v="2"/>
    <x v="7"/>
    <x v="426"/>
    <s v="Manager who clearly describes what she/he needs"/>
    <x v="7"/>
  </r>
  <r>
    <d v="2023-04-30T12:29:16"/>
    <s v="India"/>
    <n v="700032"/>
    <x v="1"/>
    <x v="3"/>
    <s v="No, But if someone could bare the cost I will"/>
    <s v="Will work for 3 years or more"/>
    <s v="Yes"/>
    <s v="Will work for them"/>
    <n v="7"/>
    <x v="5"/>
    <x v="1"/>
    <x v="11"/>
    <x v="551"/>
    <s v="Manager who explains what is expected, sets a goal and helps achieve it"/>
    <x v="3"/>
  </r>
  <r>
    <d v="2023-04-30T12:31:17"/>
    <s v="India"/>
    <n v="395006"/>
    <x v="0"/>
    <x v="0"/>
    <s v="Yes, I will earn and do that"/>
    <s v="This will be hard to do, but if it is the right company I would try"/>
    <s v="No"/>
    <s v="Will NOT work for them"/>
    <n v="8"/>
    <x v="1"/>
    <x v="1"/>
    <x v="8"/>
    <x v="521"/>
    <s v="Manager who sets goal and helps me achieve it"/>
    <x v="0"/>
  </r>
  <r>
    <d v="2023-04-30T12:35:37"/>
    <s v="India"/>
    <n v="395004"/>
    <x v="0"/>
    <x v="4"/>
    <s v="No, But if someone could bare the cost I will"/>
    <s v="This will be hard to do, but if it is the right company I would try"/>
    <s v="No"/>
    <s v="Will NOT work for them"/>
    <n v="1"/>
    <x v="3"/>
    <x v="0"/>
    <x v="6"/>
    <x v="449"/>
    <s v="Manager who explains what is expected, sets a goal and helps achieve it"/>
    <x v="5"/>
  </r>
  <r>
    <d v="2023-04-30T12:40:26"/>
    <s v="India"/>
    <n v="395006"/>
    <x v="1"/>
    <x v="4"/>
    <s v="No I would not be pursuing Higher Education outside of India"/>
    <s v="This will be hard to do, but if it is the right company I would try"/>
    <s v="No"/>
    <s v="Will NOT work for them"/>
    <n v="3"/>
    <x v="3"/>
    <x v="2"/>
    <x v="14"/>
    <x v="301"/>
    <s v="Manager who sets goal and helps me achieve it"/>
    <x v="4"/>
  </r>
  <r>
    <d v="2023-04-30T12:41:09"/>
    <s v="India"/>
    <n v="492001"/>
    <x v="0"/>
    <x v="4"/>
    <s v="No I would not be pursuing Higher Education outside of India"/>
    <s v="Will work for 3 years or more"/>
    <s v="No"/>
    <s v="Will NOT work for them"/>
    <n v="9"/>
    <x v="3"/>
    <x v="2"/>
    <x v="6"/>
    <x v="363"/>
    <s v="Manager who explains what is expected, sets a goal and helps achieve it"/>
    <x v="1"/>
  </r>
  <r>
    <d v="2023-04-30T13:03:30"/>
    <s v="India"/>
    <n v="394327"/>
    <x v="0"/>
    <x v="4"/>
    <s v="No, But if someone could bare the cost I will"/>
    <s v="This will be hard to do, but if it is the right company I would try"/>
    <s v="No"/>
    <s v="Will NOT work for them"/>
    <n v="1"/>
    <x v="6"/>
    <x v="1"/>
    <x v="6"/>
    <x v="552"/>
    <s v="Manager who clearly describes what she/he needs"/>
    <x v="3"/>
  </r>
  <r>
    <d v="2023-04-30T13:05:44"/>
    <s v="India"/>
    <n v="231304"/>
    <x v="0"/>
    <x v="1"/>
    <s v="Yes, I will earn and do that"/>
    <s v="Will work for 3 years or more"/>
    <s v="No"/>
    <s v="Will NOT work for them"/>
    <n v="1"/>
    <x v="3"/>
    <x v="2"/>
    <x v="7"/>
    <x v="284"/>
    <s v="Manager who explains what is expected, sets a goal and helps achieve it"/>
    <x v="7"/>
  </r>
  <r>
    <d v="2023-04-30T13:06:00"/>
    <s v="India"/>
    <n v="473001"/>
    <x v="0"/>
    <x v="1"/>
    <s v="Yes, I will earn and do that"/>
    <s v="This will be hard to do, but if it is the right company I would try"/>
    <s v="Yes"/>
    <s v="Will work for them"/>
    <n v="10"/>
    <x v="5"/>
    <x v="2"/>
    <x v="13"/>
    <x v="182"/>
    <s v="Manager who clearly describes what she/he needs"/>
    <x v="14"/>
  </r>
  <r>
    <d v="2023-04-30T13:20:06"/>
    <s v="India"/>
    <n v="248001"/>
    <x v="0"/>
    <x v="2"/>
    <s v="No I would not be pursuing Higher Education outside of India"/>
    <s v="Will work for 3 years or more"/>
    <s v="Yes"/>
    <s v="Will NOT work for them"/>
    <n v="8"/>
    <x v="1"/>
    <x v="1"/>
    <x v="11"/>
    <x v="146"/>
    <s v="Manager who explains what is expected, sets a goal and helps achieve it"/>
    <x v="1"/>
  </r>
  <r>
    <d v="2023-04-30T13:24:13"/>
    <s v="India"/>
    <n v="600504"/>
    <x v="1"/>
    <x v="4"/>
    <s v="No I would not be pursuing Higher Education outside of India"/>
    <s v="Will work for 3 years or more"/>
    <s v="No"/>
    <s v="Will NOT work for them"/>
    <n v="3"/>
    <x v="3"/>
    <x v="2"/>
    <x v="11"/>
    <x v="444"/>
    <s v="Manager who sets goal and helps me achieve it"/>
    <x v="3"/>
  </r>
  <r>
    <d v="2023-04-30T13:40:12"/>
    <s v="India"/>
    <n v="94587"/>
    <x v="0"/>
    <x v="4"/>
    <s v="No I would not be pursuing Higher Education outside of India"/>
    <s v="No way"/>
    <s v="No"/>
    <s v="Will NOT work for them"/>
    <n v="7"/>
    <x v="3"/>
    <x v="1"/>
    <x v="6"/>
    <x v="243"/>
    <s v="Manager who clearly describes what she/he needs"/>
    <x v="7"/>
  </r>
  <r>
    <d v="2023-04-30T13:45:12"/>
    <s v="India"/>
    <n v="395006"/>
    <x v="0"/>
    <x v="0"/>
    <s v="Yes, I will earn and do that"/>
    <s v="This will be hard to do, but if it is the right company I would try"/>
    <s v="Yes"/>
    <s v="Will work for them"/>
    <n v="2"/>
    <x v="6"/>
    <x v="3"/>
    <x v="14"/>
    <x v="359"/>
    <s v="Manager who sets unrealistic targets"/>
    <x v="7"/>
  </r>
  <r>
    <d v="2023-04-30T13:51:04"/>
    <s v="India"/>
    <n v="686503"/>
    <x v="0"/>
    <x v="2"/>
    <s v="No I would not be pursuing Higher Education outside of India"/>
    <s v="This will be hard to do, but if it is the right company I would try"/>
    <s v="No"/>
    <s v="Will NOT work for them"/>
    <n v="3"/>
    <x v="1"/>
    <x v="1"/>
    <x v="11"/>
    <x v="197"/>
    <s v="Manager who sets targets and expects me to achieve it"/>
    <x v="7"/>
  </r>
  <r>
    <d v="2023-04-30T14:08:48"/>
    <s v="India"/>
    <n v="110025"/>
    <x v="0"/>
    <x v="0"/>
    <s v="Yes, I will earn and do that"/>
    <s v="Will work for 3 years or more"/>
    <s v="No"/>
    <s v="Will NOT work for them"/>
    <n v="5"/>
    <x v="5"/>
    <x v="1"/>
    <x v="11"/>
    <x v="196"/>
    <s v="Manager who sets goal and helps me achieve it"/>
    <x v="1"/>
  </r>
  <r>
    <d v="2023-04-30T14:20:31"/>
    <s v="India"/>
    <n v="841230"/>
    <x v="0"/>
    <x v="4"/>
    <s v="No I would not be pursuing Higher Education outside of India"/>
    <s v="This will be hard to do, but if it is the right company I would try"/>
    <s v="Yes"/>
    <s v="Will work for them"/>
    <n v="9"/>
    <x v="1"/>
    <x v="0"/>
    <x v="21"/>
    <x v="284"/>
    <s v="Manager who explains what is expected, sets a goal and helps achieve it"/>
    <x v="7"/>
  </r>
  <r>
    <d v="2023-04-30T14:43:47"/>
    <s v="India"/>
    <n v="440035"/>
    <x v="0"/>
    <x v="2"/>
    <s v="Yes, I will earn and do that"/>
    <s v="This will be hard to do, but if it is the right company I would try"/>
    <s v="No"/>
    <s v="Will NOT work for them"/>
    <n v="6"/>
    <x v="1"/>
    <x v="2"/>
    <x v="22"/>
    <x v="506"/>
    <s v="Manager who explains what is expected, sets a goal and helps achieve it"/>
    <x v="5"/>
  </r>
  <r>
    <d v="2023-04-30T14:57:23"/>
    <s v="India"/>
    <n v="395006"/>
    <x v="1"/>
    <x v="2"/>
    <s v="No I would not be pursuing Higher Education outside of India"/>
    <s v="This will be hard to do, but if it is the right company I would try"/>
    <s v="No"/>
    <s v="Will NOT work for them"/>
    <n v="1"/>
    <x v="1"/>
    <x v="0"/>
    <x v="17"/>
    <x v="114"/>
    <s v="Manager who explains what is expected, sets a goal and helps achieve it"/>
    <x v="3"/>
  </r>
  <r>
    <d v="2023-04-30T15:11:13"/>
    <s v="India"/>
    <n v="395006"/>
    <x v="0"/>
    <x v="2"/>
    <s v="No I would not be pursuing Higher Education outside of India"/>
    <s v="This will be hard to do, but if it is the right company I would try"/>
    <s v="No"/>
    <s v="Will NOT work for them"/>
    <n v="5"/>
    <x v="6"/>
    <x v="1"/>
    <x v="17"/>
    <x v="126"/>
    <s v="Manager who explains what is expected, sets a goal and helps achieve it"/>
    <x v="3"/>
  </r>
  <r>
    <d v="2023-04-30T15:25:13"/>
    <s v="India"/>
    <n v="395004"/>
    <x v="0"/>
    <x v="4"/>
    <s v="No I would not be pursuing Higher Education outside of India"/>
    <s v="This will be hard to do, but if it is the right company I would try"/>
    <s v="No"/>
    <s v="Will NOT work for them"/>
    <n v="4"/>
    <x v="6"/>
    <x v="1"/>
    <x v="16"/>
    <x v="331"/>
    <s v="Manager who explains what is expected, sets a goal and helps achieve it"/>
    <x v="1"/>
  </r>
  <r>
    <d v="2023-04-30T15:52:07"/>
    <s v="India"/>
    <n v="605009"/>
    <x v="0"/>
    <x v="1"/>
    <s v="Yes, I will earn and do that"/>
    <s v="This will be hard to do, but if it is the right company I would try"/>
    <s v="No"/>
    <s v="Will NOT work for them"/>
    <n v="4"/>
    <x v="1"/>
    <x v="1"/>
    <x v="9"/>
    <x v="149"/>
    <s v="Manager who explains what is expected, sets a goal and helps achieve it"/>
    <x v="1"/>
  </r>
  <r>
    <d v="2023-04-30T16:00:13"/>
    <s v="India"/>
    <n v="302020"/>
    <x v="1"/>
    <x v="3"/>
    <s v="Yes, I will earn and do that"/>
    <s v="This will be hard to do, but if it is the right company I would try"/>
    <s v="Yes"/>
    <s v="Will NOT work for them"/>
    <n v="7"/>
    <x v="1"/>
    <x v="1"/>
    <x v="10"/>
    <x v="318"/>
    <s v="Manager who explains what is expected, sets a goal and helps achieve it"/>
    <x v="3"/>
  </r>
  <r>
    <d v="2023-04-30T16:04:51"/>
    <s v="India"/>
    <n v="410206"/>
    <x v="0"/>
    <x v="3"/>
    <s v="Yes, I will earn and do that"/>
    <s v="This will be hard to do, but if it is the right company I would try"/>
    <s v="No"/>
    <s v="Will NOT work for them"/>
    <n v="2"/>
    <x v="6"/>
    <x v="1"/>
    <x v="8"/>
    <x v="96"/>
    <s v="Manager who explains what is expected, sets a goal and helps achieve it"/>
    <x v="1"/>
  </r>
  <r>
    <d v="2023-04-30T17:49:15"/>
    <s v="India"/>
    <n v="110025"/>
    <x v="0"/>
    <x v="1"/>
    <s v="Yes, I will earn and do that"/>
    <s v="Will work for 3 years or more"/>
    <s v="Yes"/>
    <s v="Will work for them"/>
    <n v="3"/>
    <x v="3"/>
    <x v="1"/>
    <x v="19"/>
    <x v="553"/>
    <s v="Manager who explains what is expected, sets a goal and helps achieve it"/>
    <x v="2"/>
  </r>
  <r>
    <d v="2023-04-30T18:06:43"/>
    <s v="India"/>
    <n v="201301"/>
    <x v="0"/>
    <x v="3"/>
    <s v="No I would not be pursuing Higher Education outside of India"/>
    <s v="No way"/>
    <s v="Yes"/>
    <s v="Will NOT work for them"/>
    <n v="10"/>
    <x v="3"/>
    <x v="2"/>
    <x v="16"/>
    <x v="521"/>
    <s v="Manager who clearly describes what she/he needs"/>
    <x v="7"/>
  </r>
  <r>
    <d v="2023-04-30T18:20:18"/>
    <s v="India"/>
    <n v="501301"/>
    <x v="0"/>
    <x v="0"/>
    <s v="No I would not be pursuing Higher Education outside of India"/>
    <s v="This will be hard to do, but if it is the right company I would try"/>
    <s v="No"/>
    <s v="Will NOT work for them"/>
    <n v="2"/>
    <x v="3"/>
    <x v="1"/>
    <x v="11"/>
    <x v="309"/>
    <s v="Manager who clearly describes what she/he needs"/>
    <x v="3"/>
  </r>
  <r>
    <d v="2023-04-30T19:15:36"/>
    <s v="Canada"/>
    <s v="N9b2l3"/>
    <x v="0"/>
    <x v="4"/>
    <s v="Yes, I will earn and do that"/>
    <s v="Will work for 3 years or more"/>
    <s v="No"/>
    <s v="Will NOT work for them"/>
    <n v="5"/>
    <x v="1"/>
    <x v="1"/>
    <x v="8"/>
    <x v="353"/>
    <s v="Manager who sets goal and helps me achieve it"/>
    <x v="3"/>
  </r>
  <r>
    <d v="2023-04-30T19:51:30"/>
    <s v="India"/>
    <n v="201010"/>
    <x v="1"/>
    <x v="4"/>
    <s v="No, But if someone could bare the cost I will"/>
    <s v="This will be hard to do, but if it is the right company I would try"/>
    <s v="No"/>
    <s v="Will NOT work for them"/>
    <n v="7"/>
    <x v="6"/>
    <x v="0"/>
    <x v="7"/>
    <x v="171"/>
    <s v="Manager who explains what is expected, sets a goal and helps achieve it"/>
    <x v="8"/>
  </r>
  <r>
    <d v="2023-04-30T20:40:07"/>
    <s v="India"/>
    <n v="231001"/>
    <x v="0"/>
    <x v="2"/>
    <s v="No, But if someone could bare the cost I will"/>
    <s v="No way"/>
    <s v="No"/>
    <s v="Will work for them"/>
    <n v="7"/>
    <x v="5"/>
    <x v="2"/>
    <x v="6"/>
    <x v="522"/>
    <s v="Manager who explains what is expected, sets a goal and helps achieve it"/>
    <x v="1"/>
  </r>
  <r>
    <d v="2023-04-30T20:44:26"/>
    <s v="India"/>
    <n v="605001"/>
    <x v="0"/>
    <x v="4"/>
    <s v="Yes, I will earn and do that"/>
    <s v="This will be hard to do, but if it is the right company I would try"/>
    <s v="No"/>
    <s v="Will NOT work for them"/>
    <n v="1"/>
    <x v="1"/>
    <x v="2"/>
    <x v="11"/>
    <x v="108"/>
    <s v="Manager who explains what is expected, sets a goal and helps achieve it"/>
    <x v="3"/>
  </r>
  <r>
    <d v="2023-04-30T21:01:53"/>
    <s v="India"/>
    <n v="250002"/>
    <x v="1"/>
    <x v="4"/>
    <s v="No I would not be pursuing Higher Education outside of India"/>
    <s v="Will work for 3 years or more"/>
    <s v="No"/>
    <s v="Will NOT work for them"/>
    <n v="8"/>
    <x v="6"/>
    <x v="1"/>
    <x v="17"/>
    <x v="554"/>
    <s v="Manager who explains what is expected, sets a goal and helps achieve it"/>
    <x v="15"/>
  </r>
  <r>
    <d v="2023-04-30T21:14:22"/>
    <s v="India"/>
    <n v="500094"/>
    <x v="1"/>
    <x v="4"/>
    <s v="No I would not be pursuing Higher Education outside of India"/>
    <s v="Will work for 3 years or more"/>
    <s v="No"/>
    <s v="Will NOT work for them"/>
    <n v="2"/>
    <x v="3"/>
    <x v="2"/>
    <x v="9"/>
    <x v="555"/>
    <s v="Manager who sets goal and helps me achieve it"/>
    <x v="1"/>
  </r>
  <r>
    <d v="2023-04-30T21:33:00"/>
    <s v="India"/>
    <n v="501510"/>
    <x v="0"/>
    <x v="4"/>
    <s v="No, But if someone could bare the cost I will"/>
    <s v="Will work for 3 years or more"/>
    <s v="No"/>
    <s v="Will NOT work for them"/>
    <n v="6"/>
    <x v="5"/>
    <x v="1"/>
    <x v="6"/>
    <x v="289"/>
    <s v="Manager who explains what is expected, sets a goal and helps achieve it"/>
    <x v="8"/>
  </r>
  <r>
    <d v="2023-04-30T21:45:59"/>
    <s v="India"/>
    <n v="110072"/>
    <x v="0"/>
    <x v="2"/>
    <s v="No, But if someone could bare the cost I will"/>
    <s v="This will be hard to do, but if it is the right company I would try"/>
    <s v="Yes"/>
    <s v="Will work for them"/>
    <n v="8"/>
    <x v="6"/>
    <x v="2"/>
    <x v="9"/>
    <x v="111"/>
    <s v="Manager who clearly describes what she/he needs"/>
    <x v="0"/>
  </r>
  <r>
    <d v="2023-04-30T21:53:26"/>
    <s v="India"/>
    <n v="482001"/>
    <x v="0"/>
    <x v="1"/>
    <s v="Yes, I will earn and do that"/>
    <s v="Will work for 3 years or more"/>
    <s v="No"/>
    <s v="Will work for them"/>
    <n v="3"/>
    <x v="6"/>
    <x v="2"/>
    <x v="9"/>
    <x v="503"/>
    <s v="Manager who sets goal and helps me achieve it"/>
    <x v="12"/>
  </r>
  <r>
    <d v="2023-04-30T22:04:35"/>
    <s v="United States of America"/>
    <s v="06511"/>
    <x v="0"/>
    <x v="0"/>
    <s v="No, But if someone could bare the cost I will"/>
    <s v="Will work for 3 years or more"/>
    <s v="No"/>
    <s v="Will NOT work for them"/>
    <n v="10"/>
    <x v="3"/>
    <x v="0"/>
    <x v="17"/>
    <x v="412"/>
    <s v="Manager who explains what is expected, sets a goal and helps achieve it"/>
    <x v="1"/>
  </r>
  <r>
    <d v="2023-04-30T22:21:42"/>
    <s v="India"/>
    <n v="500094"/>
    <x v="0"/>
    <x v="4"/>
    <s v="No, But if someone could bare the cost I will"/>
    <s v="Will work for 3 years or more"/>
    <s v="Yes"/>
    <s v="Will work for them"/>
    <n v="5"/>
    <x v="3"/>
    <x v="2"/>
    <x v="9"/>
    <x v="428"/>
    <s v="Manager who explains what is expected, sets a goal and helps achieve it"/>
    <x v="1"/>
  </r>
  <r>
    <d v="2023-04-30T22:52:18"/>
    <s v="India"/>
    <n v="454001"/>
    <x v="0"/>
    <x v="4"/>
    <s v="No, But if someone could bare the cost I will"/>
    <s v="Will work for 3 years or more"/>
    <s v="No"/>
    <s v="Will NOT work for them"/>
    <n v="7"/>
    <x v="6"/>
    <x v="1"/>
    <x v="8"/>
    <x v="194"/>
    <s v="Manager who explains what is expected, sets a goal and helps achieve it"/>
    <x v="1"/>
  </r>
  <r>
    <d v="2023-04-30T23:51:56"/>
    <s v="India"/>
    <n v="607001"/>
    <x v="0"/>
    <x v="3"/>
    <s v="Yes, I will earn and do that"/>
    <s v="Will work for 3 years or more"/>
    <s v="No"/>
    <s v="Will NOT work for them"/>
    <n v="6"/>
    <x v="6"/>
    <x v="0"/>
    <x v="9"/>
    <x v="556"/>
    <s v="Manager who explains what is expected, sets a goal and helps achieve it"/>
    <x v="1"/>
  </r>
  <r>
    <d v="2023-04-30T23:56:15"/>
    <s v="India"/>
    <n v="621211"/>
    <x v="0"/>
    <x v="3"/>
    <s v="Yes, I will earn and do that"/>
    <s v="This will be hard to do, but if it is the right company I would try"/>
    <s v="Yes"/>
    <s v="Will work for them"/>
    <n v="5"/>
    <x v="3"/>
    <x v="2"/>
    <x v="20"/>
    <x v="492"/>
    <s v="Manager who sets targets and expects me to achieve it"/>
    <x v="6"/>
  </r>
  <r>
    <d v="2023-05-01T00:03:28"/>
    <s v="India"/>
    <n v="395006"/>
    <x v="0"/>
    <x v="0"/>
    <s v="No I would not be pursuing Higher Education outside of India"/>
    <s v="This will be hard to do, but if it is the right company I would try"/>
    <s v="No"/>
    <s v="Will NOT work for them"/>
    <n v="5"/>
    <x v="6"/>
    <x v="2"/>
    <x v="22"/>
    <x v="317"/>
    <s v="Manager who clearly describes what she/he needs"/>
    <x v="1"/>
  </r>
  <r>
    <d v="2023-05-01T00:08:15"/>
    <s v="India"/>
    <n v="576213"/>
    <x v="1"/>
    <x v="4"/>
    <s v="Yes, I will earn and do that"/>
    <s v="This will be hard to do, but if it is the right company I would try"/>
    <s v="Yes"/>
    <s v="Will work for them"/>
    <n v="9"/>
    <x v="0"/>
    <x v="1"/>
    <x v="8"/>
    <x v="197"/>
    <s v="Manager who explains what is expected, sets a goal and helps achieve it"/>
    <x v="2"/>
  </r>
  <r>
    <d v="2023-05-01T00:30:50"/>
    <s v="India"/>
    <n v="456010"/>
    <x v="0"/>
    <x v="0"/>
    <s v="No I would not be pursuing Higher Education outside of India"/>
    <s v="Will work for 3 years or more"/>
    <s v="No"/>
    <s v="Will NOT work for them"/>
    <n v="6"/>
    <x v="6"/>
    <x v="0"/>
    <x v="17"/>
    <x v="153"/>
    <s v="Manager who explains what is expected, sets a goal and helps achieve it"/>
    <x v="1"/>
  </r>
  <r>
    <d v="2023-05-01T01:06:10"/>
    <s v="India"/>
    <n v="500019"/>
    <x v="0"/>
    <x v="4"/>
    <s v="Yes, I will earn and do that"/>
    <s v="This will be hard to do, but if it is the right company I would try"/>
    <s v="No"/>
    <s v="Will NOT work for them"/>
    <n v="1"/>
    <x v="6"/>
    <x v="1"/>
    <x v="12"/>
    <x v="109"/>
    <s v="Manager who clearly describes what she/he needs"/>
    <x v="3"/>
  </r>
  <r>
    <d v="2023-05-01T01:49:12"/>
    <s v="India"/>
    <n v="452001"/>
    <x v="0"/>
    <x v="1"/>
    <s v="Yes, I will earn and do that"/>
    <s v="Will work for 3 years or more"/>
    <s v="Yes"/>
    <s v="Will NOT work for them"/>
    <n v="10"/>
    <x v="6"/>
    <x v="2"/>
    <x v="14"/>
    <x v="473"/>
    <s v="Manager who explains what is expected, sets a goal and helps achieve it"/>
    <x v="3"/>
  </r>
  <r>
    <d v="2023-05-01T01:51:11"/>
    <s v="India"/>
    <n v="452001"/>
    <x v="1"/>
    <x v="4"/>
    <s v="No, But if someone could bare the cost I will"/>
    <s v="This will be hard to do, but if it is the right company I would try"/>
    <s v="No"/>
    <s v="Will NOT work for them"/>
    <n v="3"/>
    <x v="1"/>
    <x v="3"/>
    <x v="6"/>
    <x v="557"/>
    <s v="Manager who sets goal and helps me achieve it"/>
    <x v="3"/>
  </r>
  <r>
    <d v="2023-05-01T01:54:09"/>
    <s v="India"/>
    <n v="452010"/>
    <x v="1"/>
    <x v="0"/>
    <s v="No I would not be pursuing Higher Education outside of India"/>
    <s v="This will be hard to do, but if it is the right company I would try"/>
    <s v="Yes"/>
    <s v="Will NOT work for them"/>
    <n v="6"/>
    <x v="0"/>
    <x v="1"/>
    <x v="6"/>
    <x v="276"/>
    <s v="Manager who explains what is expected, sets a goal and helps achieve it"/>
    <x v="7"/>
  </r>
  <r>
    <d v="2023-05-01T07:14:04"/>
    <s v="India"/>
    <n v="201014"/>
    <x v="1"/>
    <x v="3"/>
    <s v="Yes, I will earn and do that"/>
    <s v="This will be hard to do, but if it is the right company I would try"/>
    <s v="No"/>
    <s v="Will NOT work for them"/>
    <n v="3"/>
    <x v="6"/>
    <x v="1"/>
    <x v="16"/>
    <x v="530"/>
    <s v="Manager who explains what is expected, sets a goal and helps achieve it"/>
    <x v="1"/>
  </r>
  <r>
    <d v="2023-05-01T07:47:00"/>
    <s v="India"/>
    <n v="587102"/>
    <x v="0"/>
    <x v="1"/>
    <s v="No I would not be pursuing Higher Education outside of India"/>
    <s v="Will work for 3 years or more"/>
    <s v="No"/>
    <s v="Will NOT work for them"/>
    <n v="5"/>
    <x v="0"/>
    <x v="1"/>
    <x v="13"/>
    <x v="537"/>
    <s v="Manager who sets goal and helps me achieve it"/>
    <x v="13"/>
  </r>
  <r>
    <d v="2023-05-01T08:42:20"/>
    <s v="India"/>
    <n v="530068"/>
    <x v="0"/>
    <x v="0"/>
    <s v="No I would not be pursuing Higher Education outside of India"/>
    <s v="This will be hard to do, but if it is the right company I would try"/>
    <s v="Yes"/>
    <s v="Will NOT work for them"/>
    <n v="5"/>
    <x v="1"/>
    <x v="2"/>
    <x v="9"/>
    <x v="135"/>
    <s v="Manager who sets goal and helps me achieve it"/>
    <x v="2"/>
  </r>
  <r>
    <d v="2023-05-01T09:09:27"/>
    <s v="India"/>
    <n v="456010"/>
    <x v="0"/>
    <x v="0"/>
    <s v="Yes, I will earn and do that"/>
    <s v="Will work for 3 years or more"/>
    <s v="Yes"/>
    <s v="Will work for them"/>
    <n v="6"/>
    <x v="3"/>
    <x v="1"/>
    <x v="8"/>
    <x v="148"/>
    <s v="Manager who sets targets and expects me to achieve it"/>
    <x v="7"/>
  </r>
  <r>
    <d v="2023-05-01T09:39:13"/>
    <s v="India"/>
    <n v="560045"/>
    <x v="1"/>
    <x v="2"/>
    <s v="Yes, I will earn and do that"/>
    <s v="This will be hard to do, but if it is the right company I would try"/>
    <s v="No"/>
    <s v="Will work for them"/>
    <n v="6"/>
    <x v="6"/>
    <x v="1"/>
    <x v="11"/>
    <x v="558"/>
    <s v="Manager who explains what is expected, sets a goal and helps achieve it"/>
    <x v="1"/>
  </r>
  <r>
    <d v="2023-05-01T10:37:16"/>
    <s v="India"/>
    <n v="605007"/>
    <x v="1"/>
    <x v="2"/>
    <s v="No, But if someone could bare the cost I will"/>
    <s v="This will be hard to do, but if it is the right company I would try"/>
    <s v="No"/>
    <s v="Will NOT work for them"/>
    <n v="5"/>
    <x v="5"/>
    <x v="0"/>
    <x v="6"/>
    <x v="253"/>
    <s v="Manager who explains what is expected, sets a goal and helps achieve it"/>
    <x v="1"/>
  </r>
  <r>
    <d v="2023-05-01T10:55:05"/>
    <s v="India"/>
    <n v="201002"/>
    <x v="1"/>
    <x v="2"/>
    <s v="No, But if someone could bare the cost I will"/>
    <s v="This will be hard to do, but if it is the right company I would try"/>
    <s v="No"/>
    <s v="Will NOT work for them"/>
    <n v="6"/>
    <x v="6"/>
    <x v="1"/>
    <x v="14"/>
    <x v="111"/>
    <s v="Manager who explains what is expected, sets a goal and helps achieve it"/>
    <x v="1"/>
  </r>
  <r>
    <d v="2023-05-01T11:45:18"/>
    <s v="India"/>
    <n v="530002"/>
    <x v="0"/>
    <x v="2"/>
    <s v="No, But if someone could bare the cost I will"/>
    <s v="Will work for 3 years or more"/>
    <s v="No"/>
    <s v="Will NOT work for them"/>
    <n v="2"/>
    <x v="1"/>
    <x v="0"/>
    <x v="8"/>
    <x v="108"/>
    <s v="Manager who sets goal and helps me achieve it"/>
    <x v="1"/>
  </r>
  <r>
    <d v="2023-05-01T12:15:17"/>
    <s v="India"/>
    <n v="388001"/>
    <x v="1"/>
    <x v="2"/>
    <s v="No I would not be pursuing Higher Education outside of India"/>
    <s v="This will be hard to do, but if it is the right company I would try"/>
    <s v="No"/>
    <s v="Will NOT work for them"/>
    <n v="6"/>
    <x v="0"/>
    <x v="1"/>
    <x v="11"/>
    <x v="111"/>
    <s v="Manager who explains what is expected, sets a goal and helps achieve it"/>
    <x v="1"/>
  </r>
  <r>
    <d v="2023-05-01T12:27:39"/>
    <s v="India"/>
    <n v="679103"/>
    <x v="0"/>
    <x v="4"/>
    <s v="No I would not be pursuing Higher Education outside of India"/>
    <s v="No way"/>
    <s v="No"/>
    <s v="Will NOT work for them"/>
    <n v="6"/>
    <x v="1"/>
    <x v="4"/>
    <x v="23"/>
    <x v="207"/>
    <s v="Manager who sets unrealistic targets"/>
    <x v="7"/>
  </r>
  <r>
    <d v="2023-05-01T12:28:40"/>
    <s v="India"/>
    <n v="678008"/>
    <x v="0"/>
    <x v="1"/>
    <s v="Yes, I will earn and do that"/>
    <s v="Will work for 3 years or more"/>
    <s v="No"/>
    <s v="Will NOT work for them"/>
    <n v="9"/>
    <x v="5"/>
    <x v="2"/>
    <x v="18"/>
    <x v="296"/>
    <s v="Manager who explains what is expected, sets a goal and helps achieve it"/>
    <x v="1"/>
  </r>
  <r>
    <d v="2023-05-01T12:29:54"/>
    <s v="India"/>
    <n v="560016"/>
    <x v="1"/>
    <x v="3"/>
    <s v="No I would not be pursuing Higher Education outside of India"/>
    <s v="Will work for 3 years or more"/>
    <s v="No"/>
    <s v="Will NOT work for them"/>
    <n v="5"/>
    <x v="1"/>
    <x v="2"/>
    <x v="22"/>
    <x v="226"/>
    <s v="Manager who explains what is expected, sets a goal and helps achieve it"/>
    <x v="2"/>
  </r>
  <r>
    <d v="2023-05-01T13:04:44"/>
    <s v="India"/>
    <n v="572120"/>
    <x v="0"/>
    <x v="1"/>
    <s v="Yes, I will earn and do that"/>
    <s v="This will be hard to do, but if it is the right company I would try"/>
    <s v="No"/>
    <s v="Will NOT work for them"/>
    <n v="8"/>
    <x v="6"/>
    <x v="0"/>
    <x v="19"/>
    <x v="559"/>
    <s v="Manager who sets goal and helps me achieve it"/>
    <x v="3"/>
  </r>
  <r>
    <d v="2023-05-01T14:28:10"/>
    <s v="India"/>
    <n v="679101"/>
    <x v="1"/>
    <x v="4"/>
    <s v="Yes, I will earn and do that"/>
    <s v="Will work for 3 years or more"/>
    <s v="Yes"/>
    <s v="Will NOT work for them"/>
    <n v="1"/>
    <x v="3"/>
    <x v="3"/>
    <x v="24"/>
    <x v="202"/>
    <s v="Manager who sets goal and helps me achieve it"/>
    <x v="1"/>
  </r>
  <r>
    <d v="2023-05-01T14:55:26"/>
    <s v="India"/>
    <n v="827012"/>
    <x v="0"/>
    <x v="1"/>
    <s v="Yes, I will earn and do that"/>
    <s v="This will be hard to do, but if it is the right company I would try"/>
    <s v="No"/>
    <s v="Will work for them"/>
    <n v="6"/>
    <x v="5"/>
    <x v="1"/>
    <x v="6"/>
    <x v="553"/>
    <s v="Manager who explains what is expected, sets a goal and helps achieve it"/>
    <x v="4"/>
  </r>
  <r>
    <d v="2023-05-01T14:56:49"/>
    <s v="India"/>
    <n v="827004"/>
    <x v="0"/>
    <x v="4"/>
    <s v="Yes, I will earn and do that"/>
    <s v="This will be hard to do, but if it is the right company I would try"/>
    <s v="Yes"/>
    <s v="Will work for them"/>
    <n v="1"/>
    <x v="3"/>
    <x v="2"/>
    <x v="10"/>
    <x v="560"/>
    <s v="Manager who clearly describes what she/he needs"/>
    <x v="7"/>
  </r>
  <r>
    <d v="2023-05-01T14:58:35"/>
    <s v="India"/>
    <n v="827013"/>
    <x v="0"/>
    <x v="4"/>
    <s v="Yes, I will earn and do that"/>
    <s v="This will be hard to do, but if it is the right company I would try"/>
    <s v="No"/>
    <s v="Will NOT work for them"/>
    <n v="8"/>
    <x v="3"/>
    <x v="2"/>
    <x v="9"/>
    <x v="214"/>
    <s v="Manager who clearly describes what she/he needs"/>
    <x v="1"/>
  </r>
  <r>
    <d v="2023-05-01T15:02:37"/>
    <s v="India"/>
    <n v="160030"/>
    <x v="1"/>
    <x v="4"/>
    <s v="No, But if someone could bare the cost I will"/>
    <s v="This will be hard to do, but if it is the right company I would try"/>
    <s v="No"/>
    <s v="Will NOT work for them"/>
    <n v="7"/>
    <x v="6"/>
    <x v="1"/>
    <x v="15"/>
    <x v="114"/>
    <s v="Manager who explains what is expected, sets a goal and helps achieve it"/>
    <x v="1"/>
  </r>
  <r>
    <d v="2023-05-01T15:04:00"/>
    <s v="India"/>
    <n v="678001"/>
    <x v="0"/>
    <x v="3"/>
    <s v="No I would not be pursuing Higher Education outside of India"/>
    <s v="This will be hard to do, but if it is the right company I would try"/>
    <s v="No"/>
    <s v="Will NOT work for them"/>
    <n v="3"/>
    <x v="1"/>
    <x v="1"/>
    <x v="8"/>
    <x v="120"/>
    <s v="Manager who sets goal and helps me achieve it"/>
    <x v="4"/>
  </r>
  <r>
    <d v="2023-05-01T15:19:10"/>
    <s v="India"/>
    <n v="422003"/>
    <x v="1"/>
    <x v="4"/>
    <s v="No, But if someone could bare the cost I will"/>
    <s v="This will be hard to do, but if it is the right company I would try"/>
    <s v="No"/>
    <s v="Will NOT work for them"/>
    <n v="4"/>
    <x v="5"/>
    <x v="0"/>
    <x v="9"/>
    <x v="561"/>
    <s v="Manager who clearly describes what she/he needs"/>
    <x v="3"/>
  </r>
  <r>
    <d v="2023-05-01T15:30:46"/>
    <s v="India"/>
    <n v="827012"/>
    <x v="0"/>
    <x v="1"/>
    <s v="Yes, I will earn and do that"/>
    <s v="This will be hard to do, but if it is the right company I would try"/>
    <s v="No"/>
    <s v="Will NOT work for them"/>
    <n v="7"/>
    <x v="6"/>
    <x v="1"/>
    <x v="10"/>
    <x v="302"/>
    <s v="Manager who explains what is expected, sets a goal and helps achieve it"/>
    <x v="3"/>
  </r>
  <r>
    <d v="2023-05-01T16:01:23"/>
    <s v="India"/>
    <n v="700023"/>
    <x v="1"/>
    <x v="2"/>
    <s v="Yes, I will earn and do that"/>
    <s v="Will work for 3 years or more"/>
    <s v="No"/>
    <s v="Will NOT work for them"/>
    <n v="9"/>
    <x v="5"/>
    <x v="1"/>
    <x v="22"/>
    <x v="303"/>
    <s v="Manager who sets goal and helps me achieve it"/>
    <x v="1"/>
  </r>
  <r>
    <d v="2023-05-01T16:02:50"/>
    <s v="India"/>
    <n v="605010"/>
    <x v="0"/>
    <x v="4"/>
    <s v="No I would not be pursuing Higher Education outside of India"/>
    <s v="Will work for 3 years or more"/>
    <s v="No"/>
    <s v="Will NOT work for them"/>
    <n v="5"/>
    <x v="6"/>
    <x v="2"/>
    <x v="17"/>
    <x v="318"/>
    <s v="Manager who sets goal and helps me achieve it"/>
    <x v="7"/>
  </r>
  <r>
    <d v="2023-05-01T16:56:48"/>
    <s v="India"/>
    <n v="7"/>
    <x v="1"/>
    <x v="0"/>
    <s v="No, But if someone could bare the cost I will"/>
    <s v="This will be hard to do, but if it is the right company I would try"/>
    <s v="Yes"/>
    <s v="Will NOT work for them"/>
    <n v="4"/>
    <x v="5"/>
    <x v="1"/>
    <x v="20"/>
    <x v="436"/>
    <s v="Manager who explains what is expected, sets a goal and helps achieve it"/>
    <x v="1"/>
  </r>
  <r>
    <d v="2023-05-01T17:30:49"/>
    <s v="India"/>
    <n v="700000"/>
    <x v="1"/>
    <x v="0"/>
    <s v="No, But if someone could bare the cost I will"/>
    <s v="This will be hard to do, but if it is the right company I would try"/>
    <s v="Yes"/>
    <s v="Will NOT work for them"/>
    <n v="4"/>
    <x v="1"/>
    <x v="0"/>
    <x v="10"/>
    <x v="371"/>
    <s v="Manager who clearly describes what she/he needs"/>
    <x v="3"/>
  </r>
  <r>
    <d v="2023-05-01T18:39:19"/>
    <s v="India"/>
    <n v="474006"/>
    <x v="0"/>
    <x v="3"/>
    <s v="Yes, I will earn and do that"/>
    <s v="This will be hard to do, but if it is the right company I would try"/>
    <s v="No"/>
    <s v="Will NOT work for them"/>
    <n v="3"/>
    <x v="6"/>
    <x v="1"/>
    <x v="16"/>
    <x v="99"/>
    <s v="Manager who explains what is expected, sets a goal and helps achieve it"/>
    <x v="3"/>
  </r>
  <r>
    <d v="2023-05-01T19:19:46"/>
    <s v="India"/>
    <n v="700032"/>
    <x v="0"/>
    <x v="3"/>
    <s v="Yes, I will earn and do that"/>
    <s v="Will work for 3 years or more"/>
    <s v="No"/>
    <s v="Will NOT work for them"/>
    <n v="1"/>
    <x v="6"/>
    <x v="1"/>
    <x v="15"/>
    <x v="396"/>
    <s v="Manager who explains what is expected, sets a goal and helps achieve it"/>
    <x v="1"/>
  </r>
  <r>
    <d v="2023-05-01T20:05:02"/>
    <s v="India"/>
    <n v="829111"/>
    <x v="0"/>
    <x v="1"/>
    <s v="No, But if someone could bare the cost I will"/>
    <s v="Will work for 3 years or more"/>
    <s v="Yes"/>
    <s v="Will work for them"/>
    <n v="8"/>
    <x v="3"/>
    <x v="2"/>
    <x v="9"/>
    <x v="308"/>
    <s v="Manager who sets goal and helps me achieve it"/>
    <x v="7"/>
  </r>
  <r>
    <d v="2023-05-01T21:46:21"/>
    <s v="India"/>
    <n v="110019"/>
    <x v="0"/>
    <x v="0"/>
    <s v="No, But if someone could bare the cost I will"/>
    <s v="This will be hard to do, but if it is the right company I would try"/>
    <s v="Yes"/>
    <s v="Will NOT work for them"/>
    <n v="5"/>
    <x v="6"/>
    <x v="1"/>
    <x v="11"/>
    <x v="181"/>
    <s v="Manager who explains what is expected, sets a goal and helps achieve it"/>
    <x v="1"/>
  </r>
  <r>
    <d v="2023-05-01T21:47:46"/>
    <s v="India"/>
    <n v="382421"/>
    <x v="0"/>
    <x v="4"/>
    <s v="Yes, I will earn and do that"/>
    <s v="Will work for 3 years or more"/>
    <s v="No"/>
    <s v="Will NOT work for them"/>
    <n v="3"/>
    <x v="3"/>
    <x v="1"/>
    <x v="9"/>
    <x v="176"/>
    <s v="Manager who clearly describes what she/he needs"/>
    <x v="4"/>
  </r>
  <r>
    <d v="2023-05-01T21:51:28"/>
    <s v="India"/>
    <n v="382470"/>
    <x v="0"/>
    <x v="2"/>
    <s v="No I would not be pursuing Higher Education outside of India"/>
    <s v="Will work for 3 years or more"/>
    <s v="No"/>
    <s v="Will NOT work for them"/>
    <n v="5"/>
    <x v="3"/>
    <x v="2"/>
    <x v="7"/>
    <x v="466"/>
    <s v="Manager who sets goal and helps me achieve it"/>
    <x v="7"/>
  </r>
  <r>
    <d v="2023-05-01T21:55:33"/>
    <s v="India"/>
    <n v="380005"/>
    <x v="0"/>
    <x v="0"/>
    <s v="No I would not be pursuing Higher Education outside of India"/>
    <s v="Will work for 3 years or more"/>
    <s v="No"/>
    <s v="Will NOT work for them"/>
    <n v="2"/>
    <x v="5"/>
    <x v="1"/>
    <x v="19"/>
    <x v="350"/>
    <s v="Manager who explains what is expected, sets a goal and helps achieve it"/>
    <x v="4"/>
  </r>
  <r>
    <d v="2023-05-01T22:02:41"/>
    <s v="India"/>
    <n v="382424"/>
    <x v="0"/>
    <x v="4"/>
    <s v="No, But if someone could bare the cost I will"/>
    <s v="This will be hard to do, but if it is the right company I would try"/>
    <s v="No"/>
    <s v="Will NOT work for them"/>
    <n v="8"/>
    <x v="5"/>
    <x v="0"/>
    <x v="6"/>
    <x v="194"/>
    <s v="Manager who explains what is expected, sets a goal and helps achieve it"/>
    <x v="1"/>
  </r>
  <r>
    <d v="2023-05-01T22:03:49"/>
    <s v="India"/>
    <n v="382424"/>
    <x v="0"/>
    <x v="4"/>
    <s v="No, But if someone could bare the cost I will"/>
    <s v="Will work for 3 years or more"/>
    <s v="No"/>
    <s v="Will NOT work for them"/>
    <n v="10"/>
    <x v="6"/>
    <x v="1"/>
    <x v="7"/>
    <x v="181"/>
    <s v="Manager who sets goal and helps me achieve it"/>
    <x v="7"/>
  </r>
  <r>
    <d v="2023-05-01T22:07:35"/>
    <s v="India"/>
    <n v="382421"/>
    <x v="0"/>
    <x v="2"/>
    <s v="Yes, I will earn and do that"/>
    <s v="No way"/>
    <s v="Yes"/>
    <s v="Will NOT work for them"/>
    <n v="3"/>
    <x v="1"/>
    <x v="2"/>
    <x v="9"/>
    <x v="140"/>
    <s v="Manager who explains what is expected, sets a goal and helps achieve it"/>
    <x v="3"/>
  </r>
  <r>
    <d v="2023-05-01T22:12:00"/>
    <s v="India"/>
    <n v="380019"/>
    <x v="0"/>
    <x v="2"/>
    <s v="Yes, I will earn and do that"/>
    <s v="Will work for 3 years or more"/>
    <s v="No"/>
    <s v="Will work for them"/>
    <n v="5"/>
    <x v="5"/>
    <x v="1"/>
    <x v="9"/>
    <x v="325"/>
    <s v="Manager who sets goal and helps me achieve it"/>
    <x v="0"/>
  </r>
  <r>
    <d v="2023-05-01T22:38:31"/>
    <s v="India"/>
    <n v="382421"/>
    <x v="0"/>
    <x v="4"/>
    <s v="No I would not be pursuing Higher Education outside of India"/>
    <s v="This will be hard to do, but if it is the right company I would try"/>
    <s v="No"/>
    <s v="Will NOT work for them"/>
    <n v="1"/>
    <x v="3"/>
    <x v="0"/>
    <x v="17"/>
    <x v="139"/>
    <s v="Manager who clearly describes what she/he needs"/>
    <x v="8"/>
  </r>
  <r>
    <d v="2023-05-02T05:10:06"/>
    <s v="India"/>
    <n v="144411"/>
    <x v="0"/>
    <x v="4"/>
    <s v="No, But if someone could bare the cost I will"/>
    <s v="This will be hard to do, but if it is the right company I would try"/>
    <s v="No"/>
    <s v="Will NOT work for them"/>
    <n v="1"/>
    <x v="3"/>
    <x v="1"/>
    <x v="8"/>
    <x v="109"/>
    <s v="Manager who explains what is expected, sets a goal and helps achieve it"/>
    <x v="1"/>
  </r>
  <r>
    <d v="2023-05-02T05:32:58"/>
    <s v="India"/>
    <n v="600122"/>
    <x v="0"/>
    <x v="2"/>
    <s v="No, But if someone could bare the cost I will"/>
    <s v="This will be hard to do, but if it is the right company I would try"/>
    <s v="No"/>
    <s v="Will NOT work for them"/>
    <n v="4"/>
    <x v="6"/>
    <x v="2"/>
    <x v="9"/>
    <x v="371"/>
    <s v="Manager who clearly describes what she/he needs"/>
    <x v="1"/>
  </r>
  <r>
    <d v="2023-05-02T06:20:14"/>
    <s v="India"/>
    <n v="380005"/>
    <x v="0"/>
    <x v="3"/>
    <s v="No, But if someone could bare the cost I will"/>
    <s v="Will work for 3 years or more"/>
    <s v="No"/>
    <s v="Will work for them"/>
    <n v="8"/>
    <x v="6"/>
    <x v="2"/>
    <x v="14"/>
    <x v="562"/>
    <s v="Manager who clearly describes what she/he needs"/>
    <x v="1"/>
  </r>
  <r>
    <d v="2023-05-02T08:01:20"/>
    <s v="India"/>
    <n v="515870"/>
    <x v="0"/>
    <x v="3"/>
    <s v="No I would not be pursuing Higher Education outside of India"/>
    <s v="This will be hard to do, but if it is the right company I would try"/>
    <s v="No"/>
    <s v="Will NOT work for them"/>
    <n v="4"/>
    <x v="1"/>
    <x v="0"/>
    <x v="11"/>
    <x v="563"/>
    <s v="Manager who explains what is expected, sets a goal and helps achieve it"/>
    <x v="7"/>
  </r>
  <r>
    <d v="2023-05-02T09:53:56"/>
    <s v="India"/>
    <n v="515870"/>
    <x v="0"/>
    <x v="4"/>
    <s v="No, But if someone could bare the cost I will"/>
    <s v="Will work for 3 years or more"/>
    <s v="Yes"/>
    <s v="Will NOT work for them"/>
    <n v="8"/>
    <x v="5"/>
    <x v="1"/>
    <x v="11"/>
    <x v="121"/>
    <s v="Manager who explains what is expected, sets a goal and helps achieve it"/>
    <x v="7"/>
  </r>
  <r>
    <d v="2023-05-02T13:34:37"/>
    <s v="India"/>
    <n v="560098"/>
    <x v="0"/>
    <x v="4"/>
    <s v="Yes, I will earn and do that"/>
    <s v="This will be hard to do, but if it is the right company I would try"/>
    <s v="No"/>
    <s v="Will NOT work for them"/>
    <n v="2"/>
    <x v="1"/>
    <x v="0"/>
    <x v="17"/>
    <x v="182"/>
    <s v="Manager who explains what is expected, sets a goal and helps achieve it"/>
    <x v="3"/>
  </r>
  <r>
    <d v="2023-05-02T13:51:00"/>
    <s v="India"/>
    <n v="793007"/>
    <x v="0"/>
    <x v="0"/>
    <s v="No I would not be pursuing Higher Education outside of India"/>
    <s v="Will work for 3 years or more"/>
    <s v="Yes"/>
    <s v="Will work for them"/>
    <n v="5"/>
    <x v="1"/>
    <x v="1"/>
    <x v="19"/>
    <x v="247"/>
    <s v="Manager who clearly describes what she/he needs"/>
    <x v="3"/>
  </r>
  <r>
    <d v="2023-05-02T14:12:06"/>
    <s v="India"/>
    <n v="793006"/>
    <x v="1"/>
    <x v="3"/>
    <s v="Yes, I will earn and do that"/>
    <s v="This will be hard to do, but if it is the right company I would try"/>
    <s v="No"/>
    <s v="Will NOT work for them"/>
    <n v="2"/>
    <x v="6"/>
    <x v="1"/>
    <x v="8"/>
    <x v="430"/>
    <s v="Manager who explains what is expected, sets a goal and helps achieve it"/>
    <x v="3"/>
  </r>
  <r>
    <d v="2023-05-02T14:14:42"/>
    <s v="India"/>
    <n v="793002"/>
    <x v="0"/>
    <x v="4"/>
    <s v="Yes, I will earn and do that"/>
    <s v="This will be hard to do, but if it is the right company I would try"/>
    <s v="Yes"/>
    <s v="Will work for them"/>
    <n v="4"/>
    <x v="5"/>
    <x v="1"/>
    <x v="19"/>
    <x v="254"/>
    <s v="Manager who explains what is expected, sets a goal and helps achieve it"/>
    <x v="1"/>
  </r>
  <r>
    <d v="2023-05-02T14:27:43"/>
    <s v="India"/>
    <n v="793009"/>
    <x v="1"/>
    <x v="0"/>
    <s v="Yes, I will earn and do that"/>
    <s v="Will work for 3 years or more"/>
    <s v="No"/>
    <s v="Will NOT work for them"/>
    <n v="1"/>
    <x v="1"/>
    <x v="1"/>
    <x v="9"/>
    <x v="338"/>
    <s v="Manager who explains what is expected, sets a goal and helps achieve it"/>
    <x v="11"/>
  </r>
  <r>
    <d v="2023-05-02T14:28:35"/>
    <s v="India"/>
    <n v="793021"/>
    <x v="1"/>
    <x v="4"/>
    <s v="No I would not be pursuing Higher Education outside of India"/>
    <s v="This will be hard to do, but if it is the right company I would try"/>
    <s v="Yes"/>
    <s v="Will NOT work for them"/>
    <n v="3"/>
    <x v="0"/>
    <x v="0"/>
    <x v="22"/>
    <x v="564"/>
    <s v="Manager who explains what is expected, sets a goal and helps achieve it"/>
    <x v="1"/>
  </r>
  <r>
    <d v="2023-05-02T14:39:34"/>
    <s v="India"/>
    <n v="411004"/>
    <x v="1"/>
    <x v="0"/>
    <s v="No, But if someone could bare the cost I will"/>
    <s v="This will be hard to do, but if it is the right company I would try"/>
    <s v="No"/>
    <s v="Will NOT work for them"/>
    <n v="8"/>
    <x v="1"/>
    <x v="1"/>
    <x v="13"/>
    <x v="490"/>
    <s v="Manager who sets targets and expects me to achieve it"/>
    <x v="1"/>
  </r>
  <r>
    <d v="2023-05-02T14:45:07"/>
    <s v="India"/>
    <n v="793001"/>
    <x v="0"/>
    <x v="3"/>
    <s v="Yes, I will earn and do that"/>
    <s v="This will be hard to do, but if it is the right company I would try"/>
    <s v="No"/>
    <s v="Will NOT work for them"/>
    <n v="2"/>
    <x v="1"/>
    <x v="2"/>
    <x v="9"/>
    <x v="371"/>
    <s v="Manager who explains what is expected, sets a goal and helps achieve it"/>
    <x v="1"/>
  </r>
  <r>
    <d v="2023-05-02T14:49:44"/>
    <s v="India"/>
    <n v="793006"/>
    <x v="1"/>
    <x v="4"/>
    <s v="Yes, I will earn and do that"/>
    <s v="This will be hard to do, but if it is the right company I would try"/>
    <s v="Yes"/>
    <s v="Will NOT work for them"/>
    <n v="1"/>
    <x v="1"/>
    <x v="1"/>
    <x v="13"/>
    <x v="215"/>
    <s v="Manager who explains what is expected, sets a goal and helps achieve it"/>
    <x v="3"/>
  </r>
  <r>
    <d v="2023-05-02T14:51:10"/>
    <s v="India"/>
    <n v="737136"/>
    <x v="1"/>
    <x v="0"/>
    <s v="Yes, I will earn and do that"/>
    <s v="This will be hard to do, but if it is the right company I would try"/>
    <s v="No"/>
    <s v="Will NOT work for them"/>
    <n v="4"/>
    <x v="5"/>
    <x v="2"/>
    <x v="7"/>
    <x v="96"/>
    <s v="Manager who explains what is expected, sets a goal and helps achieve it"/>
    <x v="3"/>
  </r>
  <r>
    <d v="2023-05-02T15:02:10"/>
    <s v="India"/>
    <n v="793006"/>
    <x v="0"/>
    <x v="0"/>
    <s v="No I would not be pursuing Higher Education outside of India"/>
    <s v="This will be hard to do, but if it is the right company I would try"/>
    <s v="Yes"/>
    <s v="Will work for them"/>
    <n v="10"/>
    <x v="6"/>
    <x v="1"/>
    <x v="14"/>
    <x v="558"/>
    <s v="Manager who sets targets and expects me to achieve it"/>
    <x v="1"/>
  </r>
  <r>
    <d v="2023-05-02T15:03:54"/>
    <s v="India"/>
    <n v="111018"/>
    <x v="0"/>
    <x v="4"/>
    <s v="No I would not be pursuing Higher Education outside of India"/>
    <s v="This will be hard to do, but if it is the right company I would try"/>
    <s v="Yes"/>
    <s v="Will NOT work for them"/>
    <n v="4"/>
    <x v="5"/>
    <x v="1"/>
    <x v="19"/>
    <x v="198"/>
    <s v="Manager who sets goal and helps me achieve it"/>
    <x v="1"/>
  </r>
  <r>
    <d v="2023-05-02T15:05:54"/>
    <s v="India"/>
    <n v="794001"/>
    <x v="0"/>
    <x v="4"/>
    <s v="No, But if someone could bare the cost I will"/>
    <s v="Will work for 3 years or more"/>
    <s v="No"/>
    <s v="Will NOT work for them"/>
    <n v="3"/>
    <x v="0"/>
    <x v="2"/>
    <x v="18"/>
    <x v="292"/>
    <s v="Manager who sets unrealistic targets"/>
    <x v="11"/>
  </r>
  <r>
    <d v="2023-05-02T16:07:54"/>
    <s v="India"/>
    <n v="110070"/>
    <x v="0"/>
    <x v="0"/>
    <s v="No I would not be pursuing Higher Education outside of India"/>
    <s v="This will be hard to do, but if it is the right company I would try"/>
    <s v="No"/>
    <s v="Will NOT work for them"/>
    <n v="4"/>
    <x v="1"/>
    <x v="1"/>
    <x v="19"/>
    <x v="565"/>
    <s v="Manager who sets goal and helps me achieve it"/>
    <x v="1"/>
  </r>
  <r>
    <d v="2023-05-02T16:21:44"/>
    <s v="India"/>
    <n v="560029"/>
    <x v="1"/>
    <x v="4"/>
    <s v="No I would not be pursuing Higher Education outside of India"/>
    <s v="This will be hard to do, but if it is the right company I would try"/>
    <s v="No"/>
    <s v="Will NOT work for them"/>
    <n v="3"/>
    <x v="0"/>
    <x v="1"/>
    <x v="7"/>
    <x v="486"/>
    <s v="Manager who sets goal and helps me achieve it"/>
    <x v="1"/>
  </r>
  <r>
    <d v="2023-05-02T16:29:18"/>
    <s v="India"/>
    <n v="787001"/>
    <x v="0"/>
    <x v="2"/>
    <s v="No I would not be pursuing Higher Education outside of India"/>
    <s v="This will be hard to do, but if it is the right company I would try"/>
    <s v="No"/>
    <s v="Will NOT work for them"/>
    <n v="3"/>
    <x v="5"/>
    <x v="1"/>
    <x v="9"/>
    <x v="138"/>
    <s v="Manager who sets goal and helps me achieve it"/>
    <x v="3"/>
  </r>
  <r>
    <d v="2023-05-02T16:32:56"/>
    <s v="India"/>
    <n v="793006"/>
    <x v="1"/>
    <x v="3"/>
    <s v="Yes, I will earn and do that"/>
    <s v="This will be hard to do, but if it is the right company I would try"/>
    <s v="No"/>
    <s v="Will work for them"/>
    <n v="5"/>
    <x v="1"/>
    <x v="1"/>
    <x v="16"/>
    <x v="221"/>
    <s v="Manager who sets goal and helps me achieve it"/>
    <x v="3"/>
  </r>
  <r>
    <d v="2023-05-02T16:39:48"/>
    <s v="India"/>
    <n v="793102"/>
    <x v="1"/>
    <x v="2"/>
    <s v="No, But if someone could bare the cost I will"/>
    <s v="This will be hard to do, but if it is the right company I would try"/>
    <s v="No"/>
    <s v="Will NOT work for them"/>
    <n v="5"/>
    <x v="6"/>
    <x v="1"/>
    <x v="19"/>
    <x v="207"/>
    <s v="Manager who explains what is expected, sets a goal and helps achieve it"/>
    <x v="1"/>
  </r>
  <r>
    <d v="2023-05-02T16:55:23"/>
    <s v="United Arab Emirates"/>
    <n v="307501"/>
    <x v="0"/>
    <x v="0"/>
    <s v="No I would not be pursuing Higher Education outside of India"/>
    <s v="This will be hard to do, but if it is the right company I would try"/>
    <s v="No"/>
    <s v="Will NOT work for them"/>
    <n v="1"/>
    <x v="3"/>
    <x v="2"/>
    <x v="9"/>
    <x v="206"/>
    <s v="Manager who sets goal and helps me achieve it"/>
    <x v="7"/>
  </r>
  <r>
    <d v="2023-05-02T17:21:51"/>
    <s v="India"/>
    <n v="793006"/>
    <x v="1"/>
    <x v="0"/>
    <s v="No I would not be pursuing Higher Education outside of India"/>
    <s v="This will be hard to do, but if it is the right company I would try"/>
    <s v="Yes"/>
    <s v="Will NOT work for them"/>
    <n v="4"/>
    <x v="1"/>
    <x v="0"/>
    <x v="11"/>
    <x v="224"/>
    <s v="Manager who explains what is expected, sets a goal and helps achieve it"/>
    <x v="3"/>
  </r>
  <r>
    <d v="2023-05-02T18:04:14"/>
    <s v="India"/>
    <n v="793021"/>
    <x v="0"/>
    <x v="3"/>
    <s v="No, But if someone could bare the cost I will"/>
    <s v="This will be hard to do, but if it is the right company I would try"/>
    <s v="Yes"/>
    <s v="Will work for them"/>
    <n v="8"/>
    <x v="1"/>
    <x v="0"/>
    <x v="10"/>
    <x v="566"/>
    <s v="Manager who explains what is expected, sets a goal and helps achieve it"/>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3">
  <r>
    <d v="2022-12-16T11:46:06"/>
    <s v="India"/>
    <n v="273005"/>
    <x v="0"/>
    <s v="People who have changed the world for better"/>
    <s v="Yes, I will earn and do that"/>
    <s v="This will be hard to do, but if it is the right company I would try"/>
    <s v="No"/>
    <s v="Will NOT work for them"/>
    <n v="4"/>
    <s v="Fully Remote with No option to visit offices"/>
    <s v="Employer who rewards learning and enables that environment"/>
    <x v="0"/>
    <s v="Manager who explains what is expected, sets a goal and helps achieve it"/>
    <x v="0"/>
    <x v="0"/>
  </r>
  <r>
    <d v="2022-12-16T11:46:34"/>
    <s v="India"/>
    <n v="851129"/>
    <x v="0"/>
    <s v="People who have changed the world for better"/>
    <s v="No, But if someone could bare the cost I will"/>
    <s v="This will be hard to do, but if it is the right company I would try"/>
    <s v="No"/>
    <s v="Will NOT work for them"/>
    <n v="1"/>
    <s v="Fully Remote with Options to travel as and when needed"/>
    <s v="Employer who pushes your limits by enabling an learning environment, and rewards you at the end"/>
    <x v="1"/>
    <s v="Manager who explains what is expected, sets a goal and helps achieve it"/>
    <x v="1"/>
    <x v="1"/>
  </r>
  <r>
    <d v="2022-12-16T11:55:22"/>
    <s v="India"/>
    <n v="123106"/>
    <x v="1"/>
    <s v="Social Media like LinkedIn"/>
    <s v="Yes, I will earn and do that"/>
    <s v="Will work for 3 years or more"/>
    <s v="Yes"/>
    <s v="Will work for them"/>
    <n v="7"/>
    <s v="Hybrid Working Environment with less than 15 days a month at office"/>
    <s v="Employer who pushes your limits by enabling an learning environment, and rewards you at the end"/>
    <x v="2"/>
    <s v="Manager who explains what is expected, sets a goal and helps achieve it"/>
    <x v="2"/>
    <x v="1"/>
  </r>
  <r>
    <d v="2022-12-16T11:58:46"/>
    <s v="India"/>
    <n v="834003"/>
    <x v="0"/>
    <s v="People from my circle, but not family members"/>
    <s v="No, But if someone could bare the cost I will"/>
    <s v="This will be hard to do, but if it is the right company I would try"/>
    <s v="No"/>
    <s v="Will NOT work for them"/>
    <n v="6"/>
    <s v="Hybrid Working Environment with less than 15 days a month at office"/>
    <s v="Employer who pushes your limits by enabling an learning environment, and rewards you at the end"/>
    <x v="3"/>
    <s v="Manager who explains what is expected, sets a goal and helps achieve it"/>
    <x v="3"/>
    <x v="0"/>
  </r>
  <r>
    <d v="2022-12-16T11:59:26"/>
    <s v="India"/>
    <n v="301019"/>
    <x v="1"/>
    <s v="Influencers who had successful careers"/>
    <s v="No, But if someone could bare the cost I will"/>
    <s v="Will work for 3 years or more"/>
    <s v="No"/>
    <s v="Will NOT work for them"/>
    <n v="5"/>
    <s v="Fully Remote with Options to travel as and when needed"/>
    <s v="Employer who appreciates learning and enables that environment"/>
    <x v="4"/>
    <s v="Manager who explains what is expected, sets a goal and helps achieve it"/>
    <x v="2"/>
    <x v="1"/>
  </r>
  <r>
    <d v="2022-12-16T11:59:37"/>
    <s v="India"/>
    <n v="768028"/>
    <x v="1"/>
    <s v="My Parents"/>
    <s v="Yes, I will earn and do that"/>
    <s v="This will be hard to do, but if it is the right company I would try"/>
    <s v="No"/>
    <s v="Will NOT work for them"/>
    <n v="6"/>
    <s v="Fully Remote with Options to travel as and when needed"/>
    <s v="Employer who appreciates learning and enables that environment"/>
    <x v="3"/>
    <s v="Manager who explains what is expected, sets a goal and helps achieve it"/>
    <x v="3"/>
    <x v="0"/>
  </r>
  <r>
    <d v="2022-12-16T12:00:03"/>
    <s v="India"/>
    <n v="301019"/>
    <x v="0"/>
    <s v="People from my circle, but not family members"/>
    <s v="No, But if someone could bare the cost I will"/>
    <s v="This will be hard to do, but if it is the right company I would try"/>
    <s v="Yes"/>
    <s v="Will work for them"/>
    <n v="7"/>
    <s v="Fully Remote with Options to travel as and when needed"/>
    <s v="Employer who pushes your limits by enabling an learning environment, and rewards you at the end"/>
    <x v="5"/>
    <s v="Manager who explains what is expected, sets a goal and helps achieve it"/>
    <x v="1"/>
    <x v="0"/>
  </r>
  <r>
    <d v="2022-12-16T12:02:07"/>
    <s v="India"/>
    <n v="722207"/>
    <x v="0"/>
    <s v="People from my circle, but not family members"/>
    <s v="No, But if someone could bare the cost I will"/>
    <s v="This will be hard to do, but if it is the right company I would try"/>
    <s v="No"/>
    <s v="Will work for them"/>
    <n v="5"/>
    <s v="Hybrid Working Environment with less than 15 days a month at office"/>
    <s v="Employer who pushes your limits by enabling an learning environment, and rewards you at the end"/>
    <x v="3"/>
    <s v="Manager who explains what is expected, sets a goal and helps achieve it"/>
    <x v="4"/>
    <x v="1"/>
  </r>
  <r>
    <d v="2022-12-16T12:12:10"/>
    <s v="India"/>
    <n v="400022"/>
    <x v="0"/>
    <s v="People from my circle, but not family members"/>
    <s v="No, But if someone could bare the cost I will"/>
    <s v="This will be hard to do, but if it is the right company I would try"/>
    <s v="Yes"/>
    <s v="Will NOT work for them"/>
    <n v="6"/>
    <s v="Fully Remote with Options to travel as and when needed"/>
    <s v="Employer who rewards learning and enables that environment"/>
    <x v="6"/>
    <s v="Manager who explains what is expected, sets a goal and helps achieve it"/>
    <x v="1"/>
    <x v="1"/>
  </r>
  <r>
    <d v="2022-12-16T12:36:25"/>
    <s v="India"/>
    <n v="201310"/>
    <x v="0"/>
    <s v="Social Media like LinkedIn"/>
    <s v="No, But if someone could bare the cost I will"/>
    <s v="This will be hard to do, but if it is the right company I would try"/>
    <s v="Yes"/>
    <s v="Will work for them"/>
    <n v="7"/>
    <s v="Every Day Office Environment"/>
    <s v="Employer who rewards learning and enables that environment"/>
    <x v="3"/>
    <s v="Manager who explains what is expected, sets a goal and helps achieve it"/>
    <x v="5"/>
    <x v="1"/>
  </r>
  <r>
    <d v="2022-12-16T12:41:19"/>
    <s v="India"/>
    <n v="679121"/>
    <x v="0"/>
    <s v="People from my circle, but not family members"/>
    <s v="Yes, I will earn and do that"/>
    <s v="This will be hard to do, but if it is the right company I would try"/>
    <s v="Yes"/>
    <s v="Will work for them"/>
    <n v="8"/>
    <s v="Fully Remote with Options to travel as and when needed"/>
    <s v="Employer who pushes your limits by enabling an learning environment, and rewards you at the end"/>
    <x v="7"/>
    <s v="Manager who sets goal and helps me achieve it"/>
    <x v="5"/>
    <x v="1"/>
  </r>
  <r>
    <d v="2022-12-16T12:42:13"/>
    <s v="India"/>
    <n v="639111"/>
    <x v="0"/>
    <s v="People who have changed the world for better"/>
    <s v="No, But if someone could bare the cost I will"/>
    <s v="Will work for 3 years or more"/>
    <s v="No"/>
    <s v="Will NOT work for them"/>
    <n v="1"/>
    <s v="Fully Remote with Options to travel as and when needed"/>
    <s v="Employer who appreciates learning and enables that environment"/>
    <x v="8"/>
    <s v="Manager who sets goal and helps me achieve it"/>
    <x v="6"/>
    <x v="1"/>
  </r>
  <r>
    <d v="2022-12-16T13:03:23"/>
    <s v="India"/>
    <n v="136119"/>
    <x v="0"/>
    <s v="My Parents"/>
    <s v="No, But if someone could bare the cost I will"/>
    <s v="This will be hard to do, but if it is the right company I would try"/>
    <s v="Yes"/>
    <s v="Will work for them"/>
    <n v="4"/>
    <s v="Hybrid Working Environment with less than 15 days a month at office"/>
    <s v="Employer who appreciates learning and enables that environment"/>
    <x v="9"/>
    <s v="Manager who sets goal and helps me achieve it"/>
    <x v="3"/>
    <x v="2"/>
  </r>
  <r>
    <d v="2022-12-16T13:20:55"/>
    <s v="India"/>
    <n v="678104"/>
    <x v="0"/>
    <s v="People who have changed the world for better"/>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5"/>
    <s v="Manager who sets goal and helps me achieve it"/>
    <x v="1"/>
    <x v="1"/>
  </r>
  <r>
    <d v="2022-12-16T13:23:27"/>
    <s v="India"/>
    <n v="560024"/>
    <x v="1"/>
    <s v="People from my circle, but not family members"/>
    <s v="Yes, I will earn and do that"/>
    <s v="This will be hard to do, but if it is the right company I would try"/>
    <s v="Yes"/>
    <s v="Will NOT work for them"/>
    <n v="6"/>
    <s v="Hybrid Working Environment with less than 15 days a month at office"/>
    <s v="Employer who pushes your limits by enabling an learning environment, and rewards you at the end"/>
    <x v="10"/>
    <s v="Manager who explains what is expected, sets a goal and helps achieve it"/>
    <x v="7"/>
    <x v="1"/>
  </r>
  <r>
    <d v="2022-12-16T13:25:06"/>
    <s v="India"/>
    <n v="560064"/>
    <x v="0"/>
    <s v="People from my circle, but not family members"/>
    <s v="No, But if someone could bare the cost I will"/>
    <s v="This will be hard to do, but if it is the right company I would try"/>
    <s v="No"/>
    <s v="Will NOT work for them"/>
    <n v="8"/>
    <s v="Hybrid Working Environment with less than 10 days a month at office"/>
    <s v="Employer who pushes your limits by enabling an learning environment, and rewards you at the end"/>
    <x v="11"/>
    <s v="Manager who explains what is expected, sets a goal and helps achieve it"/>
    <x v="8"/>
    <x v="0"/>
  </r>
  <r>
    <d v="2022-12-16T13:26:05"/>
    <s v="India"/>
    <n v="561203"/>
    <x v="0"/>
    <s v="Influencers who had successful careers"/>
    <s v="Yes, I will earn and do that"/>
    <s v="This will be hard to do, but if it is the right company I would try"/>
    <s v="No"/>
    <s v="Will NOT work for them"/>
    <n v="1"/>
    <s v="Hybrid Working Environment with less than 15 days a month at office"/>
    <s v="Employer who pushes your limits by enabling an learning environment, and rewards you at the end"/>
    <x v="12"/>
    <s v="Manager who explains what is expected, sets a goal and helps achieve it"/>
    <x v="2"/>
    <x v="1"/>
  </r>
  <r>
    <d v="2022-12-16T13:29:30"/>
    <s v="India"/>
    <n v="515201"/>
    <x v="0"/>
    <s v="My Parents"/>
    <s v="Yes, I will earn and do that"/>
    <s v="Will work for 3 years or more"/>
    <s v="No"/>
    <s v="Will NOT work for them"/>
    <n v="2"/>
    <s v="Every Day Office Environment"/>
    <s v="Employer who appreciates learning and enables that environment"/>
    <x v="13"/>
    <s v="Manager who sets goal and helps me achieve it"/>
    <x v="1"/>
    <x v="1"/>
  </r>
  <r>
    <d v="2022-12-16T13:34:10"/>
    <s v="India"/>
    <n v="211002"/>
    <x v="0"/>
    <s v="People who have changed the world for better"/>
    <s v="Yes, I will earn and do that"/>
    <s v="This will be hard to do, but if it is the right company I would try"/>
    <s v="No"/>
    <s v="Will work for them"/>
    <n v="6"/>
    <s v="Every Day Office Environment"/>
    <s v="Employer who appreciates learning and enables that environment"/>
    <x v="14"/>
    <s v="Manager who explains what is expected, sets a goal and helps achieve it"/>
    <x v="7"/>
    <x v="1"/>
  </r>
  <r>
    <d v="2022-12-16T13:36:18"/>
    <s v="India"/>
    <n v="577002"/>
    <x v="1"/>
    <s v="Influencers who had successful careers"/>
    <s v="Yes, I will earn and do that"/>
    <s v="No way, 3 years with one employer is crazy"/>
    <s v="No"/>
    <s v="Will NOT work for them"/>
    <n v="7"/>
    <s v="Hybrid Working Environment with less than 15 days a month at office"/>
    <s v="Employer who rewards learning and enables that environment"/>
    <x v="15"/>
    <s v="Manager who explains what is expected, sets a goal and helps achieve it"/>
    <x v="9"/>
    <x v="0"/>
  </r>
  <r>
    <d v="2022-12-16T13:40:33"/>
    <s v="India"/>
    <n v="673020"/>
    <x v="1"/>
    <s v="People from my circle, but not family members"/>
    <s v="No, But if someone could bare the cost I will"/>
    <s v="This will be hard to do, but if it is the right company I would try"/>
    <s v="No"/>
    <s v="Will NOT work for them"/>
    <n v="1"/>
    <s v="Hybrid Working Environment with less than 15 days a month at office"/>
    <s v="Employer who pushes your limits by enabling an learning environment, and rewards you at the end"/>
    <x v="16"/>
    <s v="Manager who explains what is expected, sets a goal and helps achieve it"/>
    <x v="1"/>
    <x v="0"/>
  </r>
  <r>
    <d v="2022-12-16T13:45:48"/>
    <s v="India"/>
    <n v="301019"/>
    <x v="0"/>
    <s v="My Parents"/>
    <s v="Yes, I will earn and do that"/>
    <s v="No way, 3 years with one employer is crazy"/>
    <s v="No"/>
    <s v="Will NOT work for them"/>
    <n v="1"/>
    <s v="Every Day Office Environment"/>
    <s v="Employer who pushes your limits by enabling an learning environment, and rewards you at the end"/>
    <x v="17"/>
    <s v="Manager who clearly describes what she/he needs"/>
    <x v="3"/>
    <x v="1"/>
  </r>
  <r>
    <d v="2022-12-16T13:46:59"/>
    <s v="India"/>
    <n v="680613"/>
    <x v="1"/>
    <s v="My Parents"/>
    <s v="Yes, I will earn and do that"/>
    <s v="This will be hard to do, but if it is the right company I would try"/>
    <s v="Yes"/>
    <s v="Will NOT work for them"/>
    <n v="3"/>
    <s v="Fully Remote with Options to travel as and when needed"/>
    <s v="Employer who rewards learning and enables that environment"/>
    <x v="18"/>
    <s v="Manager who clearly describes what she/he needs"/>
    <x v="10"/>
    <x v="1"/>
  </r>
  <r>
    <d v="2022-12-16T13:51:24"/>
    <s v="India"/>
    <n v="852201"/>
    <x v="0"/>
    <s v="People who have changed the world for better"/>
    <s v="No, But if someone could bare the cost I will"/>
    <s v="Will work for 3 years or more"/>
    <s v="No"/>
    <s v="Will work for them"/>
    <n v="8"/>
    <s v="Every Day Office Environment"/>
    <s v="Employer who pushes your limits by enabling an learning environment, and rewards you at the end"/>
    <x v="8"/>
    <s v="Manager who explains what is expected, sets a goal and helps achieve it"/>
    <x v="4"/>
    <x v="2"/>
  </r>
  <r>
    <d v="2022-12-16T13:54:30"/>
    <s v="India"/>
    <n v="731021"/>
    <x v="0"/>
    <s v="People from my circle, but not family members"/>
    <s v="No, But if someone could bare the cost I will"/>
    <s v="Will work for 3 years or more"/>
    <s v="No"/>
    <s v="Will NOT work for them"/>
    <n v="5"/>
    <s v="Hybrid Working Environment with less than 15 days a month at office"/>
    <s v="Employer who pushes your limits by enabling an learning environment, and rewards you at the end"/>
    <x v="19"/>
    <s v="Manager who explains what is expected, sets a goal and helps achieve it"/>
    <x v="1"/>
    <x v="2"/>
  </r>
  <r>
    <d v="2022-12-16T14:04:00"/>
    <s v="India"/>
    <n v="303007"/>
    <x v="0"/>
    <s v="Influencers who had successful careers"/>
    <s v="Yes, I will earn and do that"/>
    <s v="This will be hard to do, but if it is the right company I would try"/>
    <s v="No"/>
    <s v="Will NOT work for them"/>
    <n v="1"/>
    <s v="Fully Remote with Options to travel as and when needed"/>
    <s v="Employer who appreciates learning and enables that environment"/>
    <x v="20"/>
    <s v="Manager who sets goal and helps me achieve it"/>
    <x v="7"/>
    <x v="1"/>
  </r>
  <r>
    <d v="2022-12-16T14:05:39"/>
    <s v="India"/>
    <n v="852201"/>
    <x v="1"/>
    <s v="My Parents"/>
    <s v="No I would not be pursuing Higher Education outside of India"/>
    <s v="Will work for 3 years or more"/>
    <s v="No"/>
    <s v="Will work for them"/>
    <n v="6"/>
    <s v="Hybrid Working Environment with less than 3 days a month at office"/>
    <s v="Employer who appreciates learning and enables that environment"/>
    <x v="21"/>
    <s v="Manager who sets targets and expects me to achieve it"/>
    <x v="1"/>
    <x v="1"/>
  </r>
  <r>
    <d v="2022-12-16T14:10:12"/>
    <s v="United Arab Emirates"/>
    <n v="27287"/>
    <x v="1"/>
    <s v="My Parents"/>
    <s v="Yes, I will earn and do that"/>
    <s v="This will be hard to do, but if it is the right company I would try"/>
    <s v="No"/>
    <s v="Will NOT work for them"/>
    <n v="6"/>
    <s v="Hybrid Working Environment with less than 15 days a month at office"/>
    <s v="Employer who pushes your limits by enabling an learning environment, and rewards you at the end"/>
    <x v="15"/>
    <s v="Manager who explains what is expected, sets a goal and helps achieve it"/>
    <x v="3"/>
    <x v="2"/>
  </r>
  <r>
    <d v="2022-12-16T14:21:58"/>
    <s v="India"/>
    <n v="700063"/>
    <x v="0"/>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22"/>
    <s v="Manager who explains what is expected, sets a goal and helps achieve it"/>
    <x v="5"/>
    <x v="0"/>
  </r>
  <r>
    <d v="2022-12-16T14:34:35"/>
    <s v="India"/>
    <n v="577528"/>
    <x v="0"/>
    <s v="Social Media like LinkedIn"/>
    <s v="Yes, I will earn and do that"/>
    <s v="This will be hard to do, but if it is the right company I would try"/>
    <s v="Yes"/>
    <s v="Will work for them"/>
    <n v="1"/>
    <s v="Every Day Office Environment"/>
    <s v="Employer who appreciates learning and enables that environment"/>
    <x v="13"/>
    <s v="Manager who sets targets and expects me to achieve it"/>
    <x v="7"/>
    <x v="0"/>
  </r>
  <r>
    <d v="2022-12-16T14:40:31"/>
    <s v="India"/>
    <n v="122003"/>
    <x v="0"/>
    <s v="My Parents"/>
    <s v="Yes, I will earn and do that"/>
    <s v="Will work for 3 years or more"/>
    <s v="No"/>
    <s v="Will NOT work for them"/>
    <n v="7"/>
    <s v="Every Day Office Environment"/>
    <s v="Employer who pushes your limits by enabling an learning environment, and rewards you at the end"/>
    <x v="23"/>
    <s v="Manager who explains what is expected, sets a goal and helps achieve it"/>
    <x v="11"/>
    <x v="0"/>
  </r>
  <r>
    <d v="2022-12-16T14:44:14"/>
    <s v="India"/>
    <n v="122003"/>
    <x v="0"/>
    <s v="People who have changed the world for better"/>
    <s v="Yes, I will earn and do that"/>
    <s v="This will be hard to do, but if it is the right company I would try"/>
    <s v="No"/>
    <s v="Will NOT work for them"/>
    <n v="1"/>
    <s v="Hybrid Working Environment with less than 10 days a month at office"/>
    <s v="Employer who pushes your limits by enabling an learning environment, and rewards you at the end"/>
    <x v="7"/>
    <s v="Manager who explains what is expected, sets a goal and helps achieve it"/>
    <x v="1"/>
    <x v="0"/>
  </r>
  <r>
    <d v="2022-12-16T14:47:05"/>
    <s v="India"/>
    <n v="440002"/>
    <x v="0"/>
    <s v="Influencers who had successful careers"/>
    <s v="No, But if someone could bare the cost I will"/>
    <s v="Will work for 3 years or more"/>
    <s v="No"/>
    <s v="Will NOT work for them"/>
    <n v="7"/>
    <s v="Hybrid Working Environment with less than 15 days a month at office"/>
    <s v="Employer who pushes your limits by enabling an learning environment, and rewards you at the end"/>
    <x v="24"/>
    <s v="Manager who sets goal and helps me achieve it"/>
    <x v="2"/>
    <x v="0"/>
  </r>
  <r>
    <d v="2022-12-16T14:48:15"/>
    <s v="India"/>
    <n v="852201"/>
    <x v="1"/>
    <s v="People who have changed the world for better"/>
    <s v="No, But if someone could bare the cost I will"/>
    <s v="This will be hard to do, but if it is the right company I would try"/>
    <s v="No"/>
    <s v="Will NOT work for them"/>
    <n v="5"/>
    <s v="Fully Remote with No option to visit offices"/>
    <s v="Employer who pushes your limits by enabling an learning environment, and rewards you at the end"/>
    <x v="25"/>
    <s v="Manager who explains what is expected, sets a goal and helps achieve it"/>
    <x v="11"/>
    <x v="1"/>
  </r>
  <r>
    <d v="2022-12-16T14:49:05"/>
    <s v="India"/>
    <n v="465674"/>
    <x v="1"/>
    <s v="My Parents"/>
    <s v="No I would not be pursuing Higher Education outside of India"/>
    <s v="This will be hard to do, but if it is the right company I would try"/>
    <s v="No"/>
    <s v="Will NOT work for them"/>
    <n v="10"/>
    <s v="Hybrid Working Environment with less than 10 days a month at office"/>
    <s v="Employer who appreciates learning and enables that environment"/>
    <x v="23"/>
    <s v="Manager who sets targets and expects me to achieve it"/>
    <x v="3"/>
    <x v="1"/>
  </r>
  <r>
    <d v="2022-12-16T15:02:44"/>
    <s v="India"/>
    <n v="561203"/>
    <x v="0"/>
    <s v="Influencers who had successful careers"/>
    <s v="Yes, I will earn and do that"/>
    <s v="No way, 3 years with one employer is crazy"/>
    <s v="No"/>
    <s v="Will NOT work for them"/>
    <n v="6"/>
    <s v="Hybrid Working Environment with less than 3 days a month at office"/>
    <s v="Employer who pushes your limits by enabling an learning environment, and rewards you at the end"/>
    <x v="26"/>
    <s v="Manager who clearly describes what she/he needs"/>
    <x v="3"/>
    <x v="1"/>
  </r>
  <r>
    <d v="2022-12-16T15:06:49"/>
    <s v="India"/>
    <n v="577004"/>
    <x v="1"/>
    <s v="Influencers who had successful careers"/>
    <s v="Yes, I will earn and do that"/>
    <s v="This will be hard to do, but if it is the right company I would try"/>
    <s v="No"/>
    <s v="Will NOT work for them"/>
    <n v="5"/>
    <s v="Every Day Office Environment"/>
    <s v="Employer who pushes your limits by enabling an learning environment, and rewards you at the end"/>
    <x v="20"/>
    <s v="Manager who explains what is expected, sets a goal and helps achieve it"/>
    <x v="1"/>
    <x v="1"/>
  </r>
  <r>
    <d v="2022-12-16T15:07:33"/>
    <s v="India"/>
    <n v="826004"/>
    <x v="0"/>
    <s v="People who have changed the world for better"/>
    <s v="Yes, I will earn and do that"/>
    <s v="Will work for 3 years or more"/>
    <s v="No"/>
    <s v="Will NOT work for them"/>
    <n v="4"/>
    <s v="Every Day Office Environment"/>
    <s v="Employer who appreciates learning and enables that environment"/>
    <x v="25"/>
    <s v="Manager who clearly describes what she/he needs"/>
    <x v="3"/>
    <x v="1"/>
  </r>
  <r>
    <d v="2022-12-16T15:25:51"/>
    <s v="India"/>
    <n v="826004"/>
    <x v="0"/>
    <s v="My Parents"/>
    <s v="Yes, I will earn and do that"/>
    <s v="This will be hard to do, but if it is the right company I would try"/>
    <s v="No"/>
    <s v="Will NOT work for them"/>
    <n v="7"/>
    <s v="Hybrid Working Environment with less than 15 days a month at office"/>
    <s v="Employer who appreciates learning and enables that environment"/>
    <x v="9"/>
    <s v="Manager who explains what is expected, sets a goal and helps achieve it"/>
    <x v="11"/>
    <x v="0"/>
  </r>
  <r>
    <d v="2022-12-16T15:29:38"/>
    <s v="India"/>
    <n v="515003"/>
    <x v="0"/>
    <s v="My Parents"/>
    <s v="No I would not be pursuing Higher Education outside of India"/>
    <s v="Will work for 3 years or more"/>
    <s v="No"/>
    <s v="Will NOT work for them"/>
    <n v="8"/>
    <s v="Every Day Office Environment"/>
    <s v="Employer who pushes your limits by enabling an learning environment, and rewards you at the end"/>
    <x v="12"/>
    <s v="Manager who explains what is expected, sets a goal and helps achieve it"/>
    <x v="3"/>
    <x v="0"/>
  </r>
  <r>
    <d v="2022-12-16T15:30:50"/>
    <s v="India"/>
    <n v="496001"/>
    <x v="0"/>
    <s v="My Parents"/>
    <s v="Yes, I will earn and do that"/>
    <s v="This will be hard to do, but if it is the right company I would try"/>
    <s v="No"/>
    <s v="Will NOT work for them"/>
    <n v="2"/>
    <s v="Hybrid Working Environment with less than 10 days a month at office"/>
    <s v="Employer who appreciates learning and enables that environment"/>
    <x v="27"/>
    <s v="Manager who sets goal and helps me achieve it"/>
    <x v="3"/>
    <x v="0"/>
  </r>
  <r>
    <d v="2022-12-16T15:31:12"/>
    <s v="India"/>
    <n v="713104"/>
    <x v="0"/>
    <s v="People who have changed the world for better"/>
    <s v="Yes, I will earn and do that"/>
    <s v="Will work for 3 years or more"/>
    <s v="No"/>
    <s v="Will NOT work for them"/>
    <n v="5"/>
    <s v="Fully Remote with No option to visit offices"/>
    <s v="Employer who pushes your limits by enabling an learning environment, and rewards you at the end"/>
    <x v="10"/>
    <s v="Manager who explains what is expected, sets a goal and helps achieve it"/>
    <x v="8"/>
    <x v="1"/>
  </r>
  <r>
    <d v="2022-12-16T15:31:17"/>
    <s v="India"/>
    <n v="416001"/>
    <x v="0"/>
    <s v="My Parents"/>
    <s v="No I would not be pursuing Higher Education outside of India"/>
    <s v="This will be hard to do, but if it is the right company I would try"/>
    <s v="Yes"/>
    <s v="Will NOT work for them"/>
    <n v="10"/>
    <s v="Fully Remote with Options to travel as and when needed"/>
    <s v="Employer who appreciates learning and enables that environment"/>
    <x v="28"/>
    <s v="Manager who explains what is expected, sets a goal and helps achieve it"/>
    <x v="0"/>
    <x v="0"/>
  </r>
  <r>
    <d v="2022-12-16T15:33:13"/>
    <s v="India"/>
    <n v="826004"/>
    <x v="0"/>
    <s v="People who have changed the world for better"/>
    <s v="No, But if someone could bare the cost I will"/>
    <s v="This will be hard to do, but if it is the right company I would try"/>
    <s v="No"/>
    <s v="Will NOT work for them"/>
    <n v="4"/>
    <s v="Hybrid Working Environment with less than 15 days a month at office"/>
    <s v="Employer who pushes your limits by enabling an learning environment, and rewards you at the end"/>
    <x v="29"/>
    <s v="Manager who explains what is expected, sets a goal and helps achieve it"/>
    <x v="11"/>
    <x v="1"/>
  </r>
  <r>
    <d v="2022-12-16T15:34:31"/>
    <s v="India"/>
    <n v="110088"/>
    <x v="0"/>
    <s v="People from my circle, but not family members"/>
    <s v="Yes, I will earn and do that"/>
    <s v="Will work for 3 years or more"/>
    <s v="Yes"/>
    <s v="Will work for them"/>
    <n v="8"/>
    <s v="Hybrid Working Environment with less than 10 days a month at office"/>
    <s v="Employer who pushes your limits by enabling an learning environment, and rewards you at the end"/>
    <x v="30"/>
    <s v="Manager who explains what is expected, sets a goal and helps achieve it"/>
    <x v="7"/>
    <x v="1"/>
  </r>
  <r>
    <d v="2022-12-16T15:41:54"/>
    <s v="India"/>
    <n v="110016"/>
    <x v="1"/>
    <s v="My Parents"/>
    <s v="No, But if someone could bare the cost I will"/>
    <s v="This will be hard to do, but if it is the right company I would try"/>
    <s v="No"/>
    <s v="Will NOT work for them"/>
    <n v="8"/>
    <s v="Hybrid Working Environment with less than 15 days a month at office"/>
    <s v="Employer who pushes your limits by enabling an learning environment, and rewards you at the end"/>
    <x v="31"/>
    <s v="Manager who explains what is expected, sets a goal and helps achieve it"/>
    <x v="2"/>
    <x v="0"/>
  </r>
  <r>
    <d v="2022-12-16T15:43:45"/>
    <s v="India"/>
    <n v="131001"/>
    <x v="0"/>
    <s v="My Parents"/>
    <s v="Yes, I will earn and do that"/>
    <s v="Will work for 3 years or more"/>
    <s v="Yes"/>
    <s v="Will work for them"/>
    <n v="8"/>
    <s v="Hybrid Working Environment with less than 15 days a month at office"/>
    <s v="Employer who rewards learning and enables that environment"/>
    <x v="1"/>
    <s v="Manager who explains what is expected, sets a goal and helps achieve it"/>
    <x v="12"/>
    <x v="2"/>
  </r>
  <r>
    <d v="2022-12-16T15:44:36"/>
    <s v="India"/>
    <n v="505001"/>
    <x v="0"/>
    <s v="People who have changed the world for better"/>
    <s v="No I would not be pursuing Higher Education outside of India"/>
    <s v="Will work for 3 years or more"/>
    <s v="No"/>
    <s v="Will NOT work for them"/>
    <n v="8"/>
    <s v="Fully Remote with Options to travel as and when needed"/>
    <s v="Employer who pushes your limits by enabling an learning environment, and rewards you at the end"/>
    <x v="32"/>
    <s v="Manager who sets goal and helps me achieve it"/>
    <x v="13"/>
    <x v="1"/>
  </r>
  <r>
    <d v="2022-12-16T15:45:29"/>
    <s v="India"/>
    <n v="600064"/>
    <x v="1"/>
    <s v="People from my circle, but not family members"/>
    <s v="No I would not be pursuing Higher Education outside of India"/>
    <s v="Will work for 3 years or more"/>
    <s v="No"/>
    <s v="Will work for them"/>
    <n v="3"/>
    <s v="Hybrid Working Environment with less than 15 days a month at office"/>
    <s v="Employer who pushes your limits by enabling an learning environment, and rewards you at the end"/>
    <x v="17"/>
    <s v="Manager who explains what is expected, sets a goal and helps achieve it"/>
    <x v="1"/>
    <x v="0"/>
  </r>
  <r>
    <d v="2022-12-16T15:47:38"/>
    <s v="India"/>
    <n v="600129"/>
    <x v="1"/>
    <s v="Influencers who had successful careers"/>
    <s v="No I would not be pursuing Higher Education outside of India"/>
    <s v="Will work for 3 years or more"/>
    <s v="Yes"/>
    <s v="Will work for them"/>
    <n v="5"/>
    <s v="Hybrid Working Environment with less than 10 days a month at office"/>
    <s v="Employer who rewards learning and enables that environment"/>
    <x v="33"/>
    <s v="Manager who explains what is expected, sets a goal and helps achieve it"/>
    <x v="1"/>
    <x v="2"/>
  </r>
  <r>
    <d v="2022-12-16T15:51:18"/>
    <s v="India"/>
    <n v="263126"/>
    <x v="0"/>
    <s v="Social Media like LinkedIn"/>
    <s v="Yes, I will earn and do that"/>
    <s v="This will be hard to do, but if it is the right company I would try"/>
    <s v="Yes"/>
    <s v="Will NOT work for them"/>
    <n v="6"/>
    <s v="Hybrid Working Environment with less than 3 days a month at office"/>
    <s v="Employer who rewards learning and enables that environment"/>
    <x v="30"/>
    <s v="Manager who explains what is expected, sets a goal and helps achieve it"/>
    <x v="7"/>
    <x v="1"/>
  </r>
  <r>
    <d v="2022-12-16T15:54:55"/>
    <s v="India"/>
    <n v="781008"/>
    <x v="0"/>
    <s v="People from my circle, but not family member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34"/>
    <s v="Manager who sets goal and helps me achieve it"/>
    <x v="2"/>
    <x v="0"/>
  </r>
  <r>
    <d v="2022-12-16T15:57:19"/>
    <s v="India"/>
    <n v="785001"/>
    <x v="0"/>
    <s v="People who have changed the world for better"/>
    <s v="Yes, I will earn and do that"/>
    <s v="This will be hard to do, but if it is the right company I would try"/>
    <s v="Yes"/>
    <s v="Will work for them"/>
    <n v="7"/>
    <s v="Hybrid Working Environment with less than 10 days a month at office"/>
    <s v="Employer who rewards learning and enables that environment"/>
    <x v="8"/>
    <s v="Manager who sets goal and helps me achieve it"/>
    <x v="11"/>
    <x v="1"/>
  </r>
  <r>
    <d v="2022-12-16T15:59:57"/>
    <s v="India"/>
    <n v="629004"/>
    <x v="0"/>
    <s v="People who have changed the world for better"/>
    <s v="No, But if someone could bare the cost I will"/>
    <s v="Will work for 3 years or more"/>
    <s v="Yes"/>
    <s v="Will NOT work for them"/>
    <n v="10"/>
    <s v="Fully Remote with Options to travel as and when needed"/>
    <s v="Employer who pushes your limits by enabling an learning environment, and rewards you at the end"/>
    <x v="24"/>
    <s v="Manager who explains what is expected, sets a goal and helps achieve it"/>
    <x v="0"/>
    <x v="0"/>
  </r>
  <r>
    <d v="2022-12-16T16:05:56"/>
    <s v="India"/>
    <n v="600089"/>
    <x v="0"/>
    <s v="My Parents"/>
    <s v="Yes, I will earn and do that"/>
    <s v="Will work for 3 years or more"/>
    <s v="No"/>
    <s v="Will NOT work for them"/>
    <n v="4"/>
    <s v="Every Day Office Environment"/>
    <s v="Employer who pushes your limits and doesn't enables learning environment and never rewards you"/>
    <x v="5"/>
    <s v="Manager who explains what is expected, sets a goal and helps achieve it"/>
    <x v="4"/>
    <x v="0"/>
  </r>
  <r>
    <d v="2022-12-16T16:07:52"/>
    <s v="India"/>
    <n v="500005"/>
    <x v="0"/>
    <s v="People who have changed the world for better"/>
    <s v="No, But if someone could bare the cost I will"/>
    <s v="This will be hard to do, but if it is the right company I would try"/>
    <s v="Yes"/>
    <s v="Will NOT work for them"/>
    <n v="5"/>
    <s v="Fully Remote with Options to travel as and when needed"/>
    <s v="Employer who pushes your limits by enabling an learning environment, and rewards you at the end"/>
    <x v="8"/>
    <s v="Manager who explains what is expected, sets a goal and helps achieve it"/>
    <x v="11"/>
    <x v="0"/>
  </r>
  <r>
    <d v="2022-12-16T16:08:24"/>
    <s v="India"/>
    <n v="452007"/>
    <x v="0"/>
    <s v="My Parents"/>
    <s v="No, But if someone could bare the cost I will"/>
    <s v="This will be hard to do, but if it is the right company I would try"/>
    <s v="No"/>
    <s v="Will NOT work for them"/>
    <n v="4"/>
    <s v="Fully Remote with Options to travel as and when needed"/>
    <s v="Employer who pushes your limits by enabling an learning environment, and rewards you at the end"/>
    <x v="1"/>
    <s v="Manager who clearly describes what she/he needs"/>
    <x v="1"/>
    <x v="0"/>
  </r>
  <r>
    <d v="2022-12-16T16:19:43"/>
    <s v="India"/>
    <n v="782001"/>
    <x v="0"/>
    <s v="People who have changed the world for better"/>
    <s v="No I would not be pursuing Higher Education outside of India"/>
    <s v="This will be hard to do, but if it is the right company I would try"/>
    <s v="Yes"/>
    <s v="Will work for them"/>
    <n v="6"/>
    <s v="Fully Remote with No option to visit offices"/>
    <s v="Employer who appreciates learning and enables that environment"/>
    <x v="35"/>
    <s v="Manager who clearly describes what she/he needs"/>
    <x v="6"/>
    <x v="1"/>
  </r>
  <r>
    <d v="2022-12-16T16:21:53"/>
    <s v="India"/>
    <n v="248001"/>
    <x v="1"/>
    <s v="People who have changed the world for better"/>
    <s v="No, But if someone could bare the cost I will"/>
    <s v="This will be hard to do, but if it is the right company I would try"/>
    <s v="No"/>
    <s v="Will NOT work for them"/>
    <n v="6"/>
    <s v="Hybrid Working Environment with less than 10 days a month at office"/>
    <s v="Employer who pushes your limits by enabling an learning environment, and rewards you at the end"/>
    <x v="5"/>
    <s v="Manager who explains what is expected, sets a goal and helps achieve it"/>
    <x v="3"/>
    <x v="1"/>
  </r>
  <r>
    <d v="2022-12-16T16:41:39"/>
    <s v="India"/>
    <n v="785001"/>
    <x v="0"/>
    <s v="My Parents"/>
    <s v="Yes, I will earn and do that"/>
    <s v="Will work for 3 years or more"/>
    <s v="No"/>
    <s v="Will NOT work for them"/>
    <n v="8"/>
    <s v="Every Day Office Environment"/>
    <s v="Employer who pushes your limits by enabling an learning environment, and rewards you at the end"/>
    <x v="36"/>
    <s v="Manager who explains what is expected, sets a goal and helps achieve it"/>
    <x v="3"/>
    <x v="1"/>
  </r>
  <r>
    <d v="2022-12-16T16:42:40"/>
    <s v="India"/>
    <n v="852218"/>
    <x v="0"/>
    <s v="My Parents"/>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37"/>
    <s v="Manager who sets goal and helps me achieve it"/>
    <x v="1"/>
    <x v="0"/>
  </r>
  <r>
    <d v="2022-12-16T16:46:12"/>
    <s v="India"/>
    <n v="411038"/>
    <x v="0"/>
    <s v="People who have changed the world for better"/>
    <s v="Yes, I will earn and do that"/>
    <s v="This will be hard to do, but if it is the right company I would try"/>
    <s v="No"/>
    <s v="Will NOT work for them"/>
    <n v="8"/>
    <s v="Hybrid Working Environment with less than 3 days a month at office"/>
    <s v="Employer who pushes your limits by enabling an learning environment, and rewards you at the end"/>
    <x v="3"/>
    <s v="Manager who explains what is expected, sets a goal and helps achieve it"/>
    <x v="11"/>
    <x v="1"/>
  </r>
  <r>
    <d v="2022-12-16T16:48:02"/>
    <s v="India"/>
    <n v="282007"/>
    <x v="1"/>
    <s v="Influencers who had successful careers"/>
    <s v="No I would not be pursuing Higher Education outside of India"/>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9"/>
    <s v="Manager who explains what is expected, sets a goal and helps achieve it"/>
    <x v="7"/>
    <x v="0"/>
  </r>
  <r>
    <d v="2022-12-16T16:56:18"/>
    <s v="India"/>
    <n v="207001"/>
    <x v="0"/>
    <s v="People from my circle, but not family members"/>
    <s v="No, But if someone could bare the cost I will"/>
    <s v="This will be hard to do, but if it is the right company I would try"/>
    <s v="No"/>
    <s v="Will NOT work for them"/>
    <n v="5"/>
    <s v="Fully Remote with Options to travel as and when needed"/>
    <s v="Employer who pushes your limits by enabling an learning environment, and rewards you at the end"/>
    <x v="7"/>
    <s v="Manager who explains what is expected, sets a goal and helps achieve it"/>
    <x v="7"/>
    <x v="1"/>
  </r>
  <r>
    <d v="2022-12-16T16:59:03"/>
    <s v="India"/>
    <n v="425301"/>
    <x v="1"/>
    <s v="People who have changed the world for better"/>
    <s v="No I would not be pursuing Higher Education outside of India"/>
    <s v="This will be hard to do, but if it is the right company I would try"/>
    <s v="No"/>
    <s v="Will NOT work for them"/>
    <n v="6"/>
    <s v="Hybrid Working Environment with less than 10 days a month at office"/>
    <s v="Employer who rewards learning and enables that environment"/>
    <x v="38"/>
    <s v="Manager who explains what is expected, sets a goal and helps achieve it"/>
    <x v="14"/>
    <x v="1"/>
  </r>
  <r>
    <d v="2022-12-16T17:03:32"/>
    <s v="India"/>
    <n v="828122"/>
    <x v="0"/>
    <s v="People who have changed the world for better"/>
    <s v="No, But if someone could bare the cost I will"/>
    <s v="This will be hard to do, but if it is the right company I would try"/>
    <s v="No"/>
    <s v="Will work for them"/>
    <n v="8"/>
    <s v="Hybrid Working Environment with less than 10 days a month at office"/>
    <s v="Employer who pushes your limits by enabling an learning environment, and rewards you at the end"/>
    <x v="17"/>
    <s v="Manager who explains what is expected, sets a goal and helps achieve it"/>
    <x v="1"/>
    <x v="0"/>
  </r>
  <r>
    <d v="2022-12-16T17:16:14"/>
    <s v="India"/>
    <n v="244901"/>
    <x v="0"/>
    <s v="People who have changed the world for better"/>
    <s v="Yes, I will earn and do that"/>
    <s v="Will work for 3 years or more"/>
    <s v="No"/>
    <s v="Will NOT work for them"/>
    <n v="5"/>
    <s v="Fully Remote with Options to travel as and when needed"/>
    <s v="Employer who pushes your limits by enabling an learning environment, and rewards you at the end"/>
    <x v="1"/>
    <s v="Manager who explains what is expected, sets a goal and helps achieve it"/>
    <x v="9"/>
    <x v="0"/>
  </r>
  <r>
    <d v="2022-12-16T17:37:11"/>
    <s v="India"/>
    <n v="641021"/>
    <x v="1"/>
    <s v="People who have changed the world for better"/>
    <s v="No, But if someone could bare the cost I will"/>
    <s v="This will be hard to do, but if it is the right company I would try"/>
    <s v="No"/>
    <s v="Will NOT work for them"/>
    <n v="7"/>
    <s v="Fully Remote with Options to travel as and when needed"/>
    <s v="Employer who rewards learning and enables that environment"/>
    <x v="39"/>
    <s v="Manager who explains what is expected, sets a goal and helps achieve it"/>
    <x v="7"/>
    <x v="1"/>
  </r>
  <r>
    <d v="2022-12-16T17:54:22"/>
    <s v="India"/>
    <n v="560060"/>
    <x v="1"/>
    <s v="My Parents"/>
    <s v="No I would not be pursuing Higher Education outside of India"/>
    <s v="Will work for 3 years or more"/>
    <s v="Yes"/>
    <s v="Will work for them"/>
    <n v="5"/>
    <s v="Hybrid Working Environment with less than 15 days a month at office"/>
    <s v="Employer who appreciates learning and enables that environment"/>
    <x v="27"/>
    <s v="Manager who clearly describes what she/he needs"/>
    <x v="6"/>
    <x v="1"/>
  </r>
  <r>
    <d v="2022-12-16T17:55:09"/>
    <s v="India"/>
    <n v="560098"/>
    <x v="1"/>
    <s v="Influencers who had successful careers"/>
    <s v="Yes, I will earn and do that"/>
    <s v="This will be hard to do, but if it is the right company I would try"/>
    <s v="No"/>
    <s v="Will NOT work for them"/>
    <n v="2"/>
    <s v="Hybrid Working Environment with less than 3 days a month at office"/>
    <s v="Employer who rewards learning and enables that environment"/>
    <x v="12"/>
    <s v="Manager who explains what is expected, sets a goal and helps achieve it"/>
    <x v="4"/>
    <x v="0"/>
  </r>
  <r>
    <d v="2022-12-16T18:17:37"/>
    <s v="India"/>
    <n v="457001"/>
    <x v="1"/>
    <s v="Influencers who had successful careers"/>
    <s v="Yes, I will earn and do that"/>
    <s v="Will work for 3 years or more"/>
    <s v="No"/>
    <s v="Will NOT work for them"/>
    <n v="1"/>
    <s v="Hybrid Working Environment with less than 10 days a month at office"/>
    <s v="Employer who appreciates learning and enables that environment"/>
    <x v="27"/>
    <s v="Manager who clearly describes what she/he needs"/>
    <x v="3"/>
    <x v="0"/>
  </r>
  <r>
    <d v="2022-12-16T18:28:12"/>
    <s v="India"/>
    <n v="524412"/>
    <x v="0"/>
    <s v="People who have changed the world for better"/>
    <s v="No I would not be pursuing Higher Education outside of India"/>
    <s v="Will work for 3 years or more"/>
    <s v="No"/>
    <s v="Will NOT work for them"/>
    <n v="1"/>
    <s v="Fully Remote with Options to travel as and when needed"/>
    <s v="Employer who appreciates learning and enables that environment"/>
    <x v="40"/>
    <s v="Manager who explains what is expected, sets a goal and helps achieve it"/>
    <x v="7"/>
    <x v="0"/>
  </r>
  <r>
    <d v="2022-12-16T18:53:16"/>
    <s v="India"/>
    <n v="110059"/>
    <x v="1"/>
    <s v="My Parents"/>
    <s v="No I would not be pursuing Higher Education outside of India"/>
    <s v="This will be hard to do, but if it is the right company I would try"/>
    <s v="No"/>
    <s v="Will work for them"/>
    <n v="1"/>
    <s v="Every Day Office Environment"/>
    <s v="Employer who appreciates learning and enables that environment"/>
    <x v="41"/>
    <s v="Manager who sets goal and helps me achieve it"/>
    <x v="3"/>
    <x v="1"/>
  </r>
  <r>
    <d v="2022-12-16T19:19:04"/>
    <s v="India"/>
    <n v="425001"/>
    <x v="0"/>
    <s v="My Parents"/>
    <s v="No I would not be pursuing Higher Education outside of India"/>
    <s v="This will be hard to do, but if it is the right company I would try"/>
    <s v="Yes"/>
    <s v="Will work for them"/>
    <n v="7"/>
    <s v="Fully Remote with No option to visit offices"/>
    <s v="Employer who pushes your limits by enabling an learning environment, and rewards you at the end"/>
    <x v="42"/>
    <s v="Manager who clearly describes what she/he needs"/>
    <x v="1"/>
    <x v="0"/>
  </r>
  <r>
    <d v="2022-12-16T19:23:16"/>
    <s v="India"/>
    <n v="425001"/>
    <x v="1"/>
    <s v="My Parents"/>
    <s v="Yes, I will earn and do that"/>
    <s v="No way, 3 years with one employer is crazy"/>
    <s v="Yes"/>
    <s v="Will work for them"/>
    <n v="1"/>
    <s v="Fully Remote with No option to visit offices"/>
    <s v="Employers who appreciates learning but doesn't enables an learning environment"/>
    <x v="27"/>
    <s v="Manager who clearly describes what she/he needs"/>
    <x v="6"/>
    <x v="1"/>
  </r>
  <r>
    <d v="2022-12-16T19:24:14"/>
    <s v="India"/>
    <n v="851101"/>
    <x v="0"/>
    <s v="People who have changed the world for better"/>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5"/>
    <s v="Manager who explains what is expected, sets a goal and helps achieve it"/>
    <x v="1"/>
    <x v="1"/>
  </r>
  <r>
    <d v="2022-12-16T19:32:47"/>
    <s v="India"/>
    <n v="431009"/>
    <x v="1"/>
    <s v="Social Media like LinkedIn"/>
    <s v="No I would not be pursuing Higher Education outside of India"/>
    <s v="Will work for 3 years or more"/>
    <s v="No"/>
    <s v="Will NOT work for them"/>
    <n v="6"/>
    <s v="Hybrid Working Environment with less than 3 days a month at office"/>
    <s v="Employer who appreciates learning and enables that environment"/>
    <x v="33"/>
    <s v="Manager who explains what is expected, sets a goal and helps achieve it"/>
    <x v="3"/>
    <x v="2"/>
  </r>
  <r>
    <d v="2022-12-16T19:33:50"/>
    <s v="India"/>
    <n v="400022"/>
    <x v="1"/>
    <s v="People from my circle, but not family members"/>
    <s v="Yes, I will earn and do that"/>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29"/>
    <s v="Manager who explains what is expected, sets a goal and helps achieve it"/>
    <x v="1"/>
    <x v="0"/>
  </r>
  <r>
    <d v="2022-12-16T19:34:52"/>
    <s v="India"/>
    <n v="828109"/>
    <x v="0"/>
    <s v="My Parents"/>
    <s v="Yes, I will earn and do that"/>
    <s v="Will work for 3 years or more"/>
    <s v="Yes"/>
    <s v="Will work for them"/>
    <n v="2"/>
    <s v="Every Day Office Environment"/>
    <s v="Employer who appreciates learning and enables that environment"/>
    <x v="43"/>
    <s v="Manager who sets targets and expects me to achieve it"/>
    <x v="4"/>
    <x v="0"/>
  </r>
  <r>
    <d v="2022-12-16T19:39:48"/>
    <s v="India"/>
    <n v="425001"/>
    <x v="0"/>
    <s v="People from my circle, but not family members"/>
    <s v="Yes, I will earn and do that"/>
    <s v="Will work for 3 years or more"/>
    <s v="No"/>
    <s v="Will work for them"/>
    <n v="8"/>
    <s v="Hybrid Working Environment with less than 10 days a month at office"/>
    <s v="Employer who appreciates learning and enables that environment"/>
    <x v="44"/>
    <s v="Manager who sets goal and helps me achieve it"/>
    <x v="1"/>
    <x v="1"/>
  </r>
  <r>
    <d v="2022-12-16T19:40:33"/>
    <s v="India"/>
    <n v="224001"/>
    <x v="0"/>
    <s v="My Parents"/>
    <s v="No, But if someone could bare the cost I will"/>
    <s v="This will be hard to do, but if it is the right company I would try"/>
    <s v="Yes"/>
    <s v="Will work for them"/>
    <n v="5"/>
    <s v="Fully Remote with No option to visit offices"/>
    <s v="Employer who pushes your limits by enabling an learning environment, and rewards you at the end"/>
    <x v="45"/>
    <s v="Manager who explains what is expected, sets a goal and helps achieve it"/>
    <x v="2"/>
    <x v="0"/>
  </r>
  <r>
    <d v="2022-12-16T19:40:40"/>
    <s v="India"/>
    <n v="110092"/>
    <x v="1"/>
    <s v="Influencers who had successful careers"/>
    <s v="Yes, I will earn and do that"/>
    <s v="This will be hard to do, but if it is the right company I would try"/>
    <s v="No"/>
    <s v="Will NOT work for them"/>
    <n v="6"/>
    <s v="Fully Remote with Options to travel as and when needed"/>
    <s v="Employer who pushes your limits by enabling an learning environment, and rewards you at the end"/>
    <x v="24"/>
    <s v="Manager who explains what is expected, sets a goal and helps achieve it"/>
    <x v="3"/>
    <x v="1"/>
  </r>
  <r>
    <d v="2022-12-16T19:40:56"/>
    <s v="India"/>
    <n v="500018"/>
    <x v="0"/>
    <s v="My Parents"/>
    <s v="Yes, I will earn and do that"/>
    <s v="Will work for 3 years or more"/>
    <s v="No"/>
    <s v="Will NOT work for them"/>
    <n v="8"/>
    <s v="Hybrid Working Environment with less than 3 days a month at office"/>
    <s v="Employer who rewards learning and enables that environment"/>
    <x v="27"/>
    <s v="Manager who sets targets and expects me to achieve it"/>
    <x v="15"/>
    <x v="1"/>
  </r>
  <r>
    <d v="2022-12-16T19:48:02"/>
    <s v="India"/>
    <n v="533342"/>
    <x v="0"/>
    <s v="Influencers who had successful careers"/>
    <s v="No I would not be pursuing Higher Education outside of India"/>
    <s v="Will work for 3 years or more"/>
    <s v="No"/>
    <s v="Will NOT work for them"/>
    <n v="9"/>
    <s v="Every Day Office Environment"/>
    <s v="Employer who pushes your limits by enabling an learning environment, and rewards you at the end"/>
    <x v="33"/>
    <s v="Manager who clearly describes what she/he needs"/>
    <x v="3"/>
    <x v="1"/>
  </r>
  <r>
    <d v="2022-12-16T19:48:22"/>
    <s v="India"/>
    <n v="600053"/>
    <x v="1"/>
    <s v="Social Media like LinkedIn"/>
    <s v="Yes, I will earn and do that"/>
    <s v="Will work for 3 years or more"/>
    <s v="No"/>
    <s v="Will NOT work for them"/>
    <n v="4"/>
    <s v="Hybrid Working Environment with less than 10 days a month at office"/>
    <s v="Employer who appreciates learning and enables that environment"/>
    <x v="38"/>
    <s v="Manager who explains what is expected, sets a goal and helps achieve it"/>
    <x v="4"/>
    <x v="1"/>
  </r>
  <r>
    <d v="2022-12-16T19:54:20"/>
    <s v="India"/>
    <n v="425001"/>
    <x v="1"/>
    <s v="Influencers who had successful careers"/>
    <s v="No I would not be pursuing Higher Education outside of India"/>
    <s v="This will be hard to do, but if it is the right company I would try"/>
    <s v="No"/>
    <s v="Will NOT work for them"/>
    <n v="5"/>
    <s v="Every Day Office Environment"/>
    <s v="Employer who pushes your limits by enabling an learning environment, and rewards you at the end"/>
    <x v="40"/>
    <s v="Manager who explains what is expected, sets a goal and helps achieve it"/>
    <x v="7"/>
    <x v="0"/>
  </r>
  <r>
    <d v="2022-12-16T20:04:02"/>
    <s v="India"/>
    <n v="370110"/>
    <x v="0"/>
    <s v="Social Media like LinkedIn"/>
    <s v="No I would not be pursuing Higher Education outside of India"/>
    <s v="This will be hard to do, but if it is the right company I would try"/>
    <s v="Yes"/>
    <s v="Will NOT work for them"/>
    <n v="5"/>
    <s v="Hybrid Working Environment with less than 15 days a month at office"/>
    <s v="Employer who pushes your limits by enabling an learning environment, and rewards you at the end"/>
    <x v="1"/>
    <s v="Manager who sets goal and helps me achieve it"/>
    <x v="0"/>
    <x v="1"/>
  </r>
  <r>
    <d v="2022-12-16T20:15:24"/>
    <s v="India"/>
    <n v="110017"/>
    <x v="1"/>
    <s v="People from my circle, but not family members"/>
    <s v="Yes, I will earn and do that"/>
    <s v="This will be hard to do, but if it is the right company I would try"/>
    <s v="No"/>
    <s v="Will NOT work for them"/>
    <n v="1"/>
    <s v="Every Day Office Environment"/>
    <s v="Employer who pushes your limits by enabling an learning environment, and rewards you at the end"/>
    <x v="43"/>
    <s v="Manager who explains what is expected, sets a goal and helps achieve it"/>
    <x v="11"/>
    <x v="2"/>
  </r>
  <r>
    <d v="2022-12-16T20:16:16"/>
    <s v="India"/>
    <n v="574111"/>
    <x v="1"/>
    <s v="People from my circle, but not family members"/>
    <s v="No, But if someone could bare the cost I will"/>
    <s v="Will work for 3 years or more"/>
    <s v="No"/>
    <s v="Will NOT work for them"/>
    <n v="5"/>
    <s v="Hybrid Working Environment with less than 15 days a month at office"/>
    <s v="Employer who pushes your limits by enabling an learning environment, and rewards you at the end"/>
    <x v="46"/>
    <s v="Manager who explains what is expected, sets a goal and helps achieve it"/>
    <x v="11"/>
    <x v="2"/>
  </r>
  <r>
    <d v="2022-12-16T20:26:38"/>
    <s v="India"/>
    <n v="576104"/>
    <x v="1"/>
    <s v="People from my circle, but not family members"/>
    <s v="No, But if someone could bare the cost I will"/>
    <s v="This will be hard to do, but if it is the right company I would try"/>
    <s v="No"/>
    <s v="Will NOT work for them"/>
    <n v="5"/>
    <s v="Fully Remote with Options to travel as and when needed"/>
    <s v="Employer who appreciates learning and enables that environment"/>
    <x v="47"/>
    <s v="Manager who explains what is expected, sets a goal and helps achieve it"/>
    <x v="1"/>
    <x v="1"/>
  </r>
  <r>
    <d v="2022-12-16T20:33:48"/>
    <s v="India"/>
    <n v="246701"/>
    <x v="1"/>
    <s v="Social Media like LinkedIn"/>
    <s v="Yes, I will earn and do that"/>
    <s v="This will be hard to do, but if it is the right company I would try"/>
    <s v="No"/>
    <s v="Will NOT work for them"/>
    <n v="1"/>
    <s v="Hybrid Working Environment with less than 10 days a month at office"/>
    <s v="Employer who pushes your limits by enabling an learning environment, and rewards you at the end"/>
    <x v="48"/>
    <s v="Manager who explains what is expected, sets a goal and helps achieve it"/>
    <x v="4"/>
    <x v="1"/>
  </r>
  <r>
    <d v="2022-12-16T20:58:24"/>
    <s v="India"/>
    <n v="560060"/>
    <x v="0"/>
    <s v="My Parents"/>
    <s v="Yes, I will earn and do that"/>
    <s v="Will work for 3 years or more"/>
    <s v="Yes"/>
    <s v="Will work for them"/>
    <n v="8"/>
    <s v="Every Day Office Environment"/>
    <s v="Employer who appreciates learning and enables that environment"/>
    <x v="49"/>
    <s v="Manager who sets goal and helps me achieve it"/>
    <x v="3"/>
    <x v="1"/>
  </r>
  <r>
    <d v="2022-12-16T21:00:09"/>
    <s v="India"/>
    <n v="520007"/>
    <x v="0"/>
    <s v="People who have changed the world for better"/>
    <s v="No I would not be pursuing Higher Education outside of India"/>
    <s v="Will work for 3 years or more"/>
    <s v="No"/>
    <s v="Will work for them"/>
    <n v="6"/>
    <s v="Hybrid Working Environment with less than 3 days a month at office"/>
    <s v="Employer who pushes your limits and doesn't enables learning environment and never rewards you"/>
    <x v="37"/>
    <s v="Manager who explains what is expected, sets a goal and helps achieve it"/>
    <x v="2"/>
    <x v="1"/>
  </r>
  <r>
    <d v="2022-12-16T21:17:22"/>
    <s v="India"/>
    <n v="641663"/>
    <x v="0"/>
    <s v="My Parents"/>
    <s v="Yes, I will earn and do that"/>
    <s v="Will work for 3 years or more"/>
    <s v="Yes"/>
    <s v="Will work for them"/>
    <n v="9"/>
    <s v="Every Day Office Environment"/>
    <s v="Employer who appreciates learning and enables that environment"/>
    <x v="50"/>
    <s v="Manager who clearly describes what she/he needs"/>
    <x v="7"/>
    <x v="2"/>
  </r>
  <r>
    <d v="2022-12-16T21:26:43"/>
    <s v="United States of America"/>
    <n v="84321"/>
    <x v="0"/>
    <s v="People from my circle, but not family members"/>
    <s v="Yes, I will earn and do that"/>
    <s v="This will be hard to do, but if it is the right company I would try"/>
    <s v="No"/>
    <s v="Will NOT work for them"/>
    <n v="5"/>
    <s v="Hybrid Working Environment with less than 15 days a month at office"/>
    <s v="Employer who appreciates learning and enables that environment"/>
    <x v="24"/>
    <s v="Manager who explains what is expected, sets a goal and helps achieve it"/>
    <x v="11"/>
    <x v="1"/>
  </r>
  <r>
    <d v="2022-12-16T21:55:48"/>
    <s v="India"/>
    <n v="607104"/>
    <x v="0"/>
    <s v="People from my circle, but not family members"/>
    <s v="No I would not be pursuing Higher Education outside of India"/>
    <s v="This will be hard to do, but if it is the right company I would try"/>
    <s v="No"/>
    <s v="Will work for them"/>
    <n v="8"/>
    <s v="Hybrid Working Environment with less than 15 days a month at office"/>
    <s v="Employer who rewards learning and enables that environment"/>
    <x v="51"/>
    <s v="Manager who explains what is expected, sets a goal and helps achieve it"/>
    <x v="7"/>
    <x v="2"/>
  </r>
  <r>
    <d v="2022-12-16T21:59:33"/>
    <s v="India"/>
    <n v="609305"/>
    <x v="0"/>
    <s v="People who have changed the world for better"/>
    <s v="No I would not be pursuing Higher Education outside of India"/>
    <s v="No way, 3 years with one employer is crazy"/>
    <s v="No"/>
    <s v="Will NOT work for them"/>
    <n v="1"/>
    <s v="Every Day Office Environment"/>
    <s v="Employer who appreciates learning and enables that environment"/>
    <x v="18"/>
    <s v="Manager who clearly describes what she/he needs"/>
    <x v="3"/>
    <x v="1"/>
  </r>
  <r>
    <d v="2022-12-16T22:02:31"/>
    <s v="India"/>
    <n v="607104"/>
    <x v="0"/>
    <s v="People who have changed the world for better"/>
    <s v="No I would not be pursuing Higher Education outside of India"/>
    <s v="No way, 3 years with one employer is crazy"/>
    <s v="No"/>
    <s v="Will work for them"/>
    <n v="3"/>
    <s v="Every Day Office Environment"/>
    <s v="Employer who pushes your limits by enabling an learning environment, and rewards you at the end"/>
    <x v="52"/>
    <s v="Manager who sets unrealistic targets"/>
    <x v="1"/>
    <x v="1"/>
  </r>
  <r>
    <d v="2022-12-16T22:08:51"/>
    <s v="India"/>
    <n v="425001"/>
    <x v="0"/>
    <s v="Influencers who had successful careers"/>
    <s v="Yes, I will earn and do that"/>
    <s v="This will be hard to do, but if it is the right company I would try"/>
    <s v="No"/>
    <s v="Will work for them"/>
    <n v="2"/>
    <s v="Every Day Office Environment"/>
    <s v="Employer who pushes your limits by enabling an learning environment, and rewards you at the end"/>
    <x v="1"/>
    <s v="Manager who explains what is expected, sets a goal and helps achieve it"/>
    <x v="3"/>
    <x v="1"/>
  </r>
  <r>
    <d v="2022-12-16T22:09:16"/>
    <s v="India"/>
    <n v="560029"/>
    <x v="1"/>
    <s v="My Parents"/>
    <s v="Yes, I will earn and do that"/>
    <s v="Will work for 3 years or more"/>
    <s v="No"/>
    <s v="Will NOT work for them"/>
    <n v="2"/>
    <s v="Fully Remote with Options to travel as and when needed"/>
    <s v="Employer who pushes your limits by enabling an learning environment, and rewards you at the end"/>
    <x v="53"/>
    <s v="Manager who explains what is expected, sets a goal and helps achieve it"/>
    <x v="1"/>
    <x v="2"/>
  </r>
  <r>
    <d v="2022-12-17T00:03:42"/>
    <s v="India"/>
    <n v="400013"/>
    <x v="0"/>
    <s v="My Parents"/>
    <s v="No, But if someone could bare the cost I will"/>
    <s v="This will be hard to do, but if it is the right company I would try"/>
    <s v="No"/>
    <s v="Will NOT work for them"/>
    <n v="7"/>
    <s v="Hybrid Working Environment with less than 10 days a month at office"/>
    <s v="Employer who pushes your limits by enabling an learning environment, and rewards you at the end"/>
    <x v="23"/>
    <s v="Manager who explains what is expected, sets a goal and helps achieve it"/>
    <x v="9"/>
    <x v="0"/>
  </r>
  <r>
    <d v="2022-12-17T00:11:16"/>
    <s v="India"/>
    <n v="431109"/>
    <x v="0"/>
    <s v="Influencers who had successful careers"/>
    <s v="Yes, I will earn and do that"/>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1"/>
    <s v="Manager who explains what is expected, sets a goal and helps achieve it"/>
    <x v="3"/>
    <x v="2"/>
  </r>
  <r>
    <d v="2022-12-17T01:09:06"/>
    <s v="India"/>
    <n v="133001"/>
    <x v="0"/>
    <s v="People from my circle, but not family members"/>
    <s v="No I would not be pursuing Higher Education outside of India"/>
    <s v="This will be hard to do, but if it is the right company I would try"/>
    <s v="No"/>
    <s v="Will NOT work for them"/>
    <n v="8"/>
    <s v="Hybrid Working Environment with less than 10 days a month at office"/>
    <s v="Employer who pushes your limits by enabling an learning environment, and rewards you at the end"/>
    <x v="54"/>
    <s v="Manager who explains what is expected, sets a goal and helps achieve it"/>
    <x v="3"/>
    <x v="0"/>
  </r>
  <r>
    <d v="2022-12-17T01:22:30"/>
    <s v="India"/>
    <n v="785001"/>
    <x v="0"/>
    <s v="People from my circle, but not family members"/>
    <s v="No I would not be pursuing Higher Education outside of India"/>
    <s v="This will be hard to do, but if it is the right company I would try"/>
    <s v="Yes"/>
    <s v="Will NOT work for them"/>
    <n v="5"/>
    <s v="Hybrid Working Environment with less than 3 days a month at office"/>
    <s v="Employer who appreciates learning and enables that environment"/>
    <x v="8"/>
    <s v="Manager who explains what is expected, sets a goal and helps achieve it"/>
    <x v="3"/>
    <x v="0"/>
  </r>
  <r>
    <d v="2022-12-17T06:40:06"/>
    <s v="India"/>
    <n v="561203"/>
    <x v="0"/>
    <s v="Influencers who had successful careers"/>
    <s v="Yes, I will earn and do that"/>
    <s v="This will be hard to do, but if it is the right company I would try"/>
    <s v="Yes"/>
    <s v="Will work for them"/>
    <n v="5"/>
    <s v="Hybrid Working Environment with less than 10 days a month at office"/>
    <s v="Employer who pushes your limits and doesn't enables learning environment and never rewards you"/>
    <x v="16"/>
    <s v="Manager who sets goal and helps me achieve it"/>
    <x v="1"/>
    <x v="1"/>
  </r>
  <r>
    <d v="2022-12-17T08:57:33"/>
    <s v="India"/>
    <n v="852131"/>
    <x v="0"/>
    <s v="My Parents"/>
    <s v="No, But if someone could bare the cost I will"/>
    <s v="This will be hard to do, but if it is the right company I would try"/>
    <s v="Yes"/>
    <s v="Will NOT work for them"/>
    <n v="4"/>
    <s v="Hybrid Working Environment with less than 15 days a month at office"/>
    <s v="Employer who pushes your limits by enabling an learning environment, and rewards you at the end"/>
    <x v="7"/>
    <s v="Manager who sets goal and helps me achieve it"/>
    <x v="3"/>
    <x v="2"/>
  </r>
  <r>
    <d v="2022-12-17T09:19:46"/>
    <s v="India"/>
    <n v="560072"/>
    <x v="0"/>
    <s v="Social Media like LinkedIn"/>
    <s v="No I would not be pursuing Higher Education outside of India"/>
    <s v="This will be hard to do, but if it is the right company I would try"/>
    <s v="No"/>
    <s v="Will work for them"/>
    <n v="8"/>
    <s v="Fully Remote with Options to travel as and when needed"/>
    <s v="Employer who pushes your limits by enabling an learning environment, and rewards you at the end"/>
    <x v="38"/>
    <s v="Manager who explains what is expected, sets a goal and helps achieve it"/>
    <x v="7"/>
    <x v="1"/>
  </r>
  <r>
    <d v="2022-12-17T10:47:20"/>
    <s v="India"/>
    <n v="410206"/>
    <x v="0"/>
    <s v="People from my circle, but not family members"/>
    <s v="No I would not be pursuing Higher Education outside of India"/>
    <s v="This will be hard to do, but if it is the right company I would try"/>
    <s v="No"/>
    <s v="Will NOT work for them"/>
    <n v="3"/>
    <s v="Hybrid Working Environment with less than 10 days a month at office"/>
    <s v="Employer who pushes your limits by enabling an learning environment, and rewards you at the end"/>
    <x v="55"/>
    <s v="Manager who explains what is expected, sets a goal and helps achieve it"/>
    <x v="3"/>
    <x v="1"/>
  </r>
  <r>
    <d v="2022-12-17T11:36:55"/>
    <s v="Germany"/>
    <n v="83024"/>
    <x v="0"/>
    <s v="Social Media like LinkedIn"/>
    <s v="Yes, I will earn and do that"/>
    <s v="Will work for 3 years or more"/>
    <s v="No"/>
    <s v="Will NOT work for them"/>
    <n v="6"/>
    <s v="Hybrid Working Environment with less than 15 days a month at office"/>
    <s v="Employer who pushes your limits by enabling an learning environment, and rewards you at the end"/>
    <x v="19"/>
    <s v="Manager who clearly describes what she/he needs"/>
    <x v="0"/>
    <x v="0"/>
  </r>
  <r>
    <d v="2022-12-17T12:45:09"/>
    <s v="India"/>
    <n v="474009"/>
    <x v="0"/>
    <s v="People who have changed the world for better"/>
    <s v="No, But if someone could bare the cost I will"/>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37"/>
    <s v="Manager who explains what is expected, sets a goal and helps achieve it"/>
    <x v="1"/>
    <x v="2"/>
  </r>
  <r>
    <d v="2022-12-17T12:51:11"/>
    <s v="India"/>
    <n v="400101"/>
    <x v="1"/>
    <s v="My Parents"/>
    <s v="No, But if someone could bare the cost I will"/>
    <s v="Will work for 3 years or more"/>
    <s v="No"/>
    <s v="Will NOT work for them"/>
    <n v="5"/>
    <s v="Hybrid Working Environment with less than 10 days a month at office"/>
    <s v="Employer who appreciates learning and enables that environment"/>
    <x v="56"/>
    <s v="Manager who sets targets and expects me to achieve it"/>
    <x v="11"/>
    <x v="2"/>
  </r>
  <r>
    <d v="2022-12-17T12:53:16"/>
    <s v="India"/>
    <n v="560090"/>
    <x v="1"/>
    <s v="My Parents"/>
    <s v="Yes, I will earn and do that"/>
    <s v="Will work for 3 years or more"/>
    <s v="No"/>
    <s v="Will NOT work for them"/>
    <n v="4"/>
    <s v="Hybrid Working Environment with less than 15 days a month at office"/>
    <s v="Employer who rewards learning and enables that environment"/>
    <x v="15"/>
    <s v="Manager who clearly describes what she/he needs"/>
    <x v="1"/>
    <x v="0"/>
  </r>
  <r>
    <d v="2022-12-17T13:33:40"/>
    <s v="India"/>
    <n v="380015"/>
    <x v="0"/>
    <s v="Influencers who had successful careers"/>
    <s v="No I would not be pursuing Higher Education outside of India"/>
    <s v="Will work for 3 years or more"/>
    <s v="Yes"/>
    <s v="Will work for them"/>
    <n v="6"/>
    <s v="Hybrid Working Environment with less than 10 days a month at office"/>
    <s v="Employer who pushes your limits by enabling an learning environment, and rewards you at the end"/>
    <x v="45"/>
    <s v="Manager who explains what is expected, sets a goal and helps achieve it"/>
    <x v="3"/>
    <x v="0"/>
  </r>
  <r>
    <d v="2022-12-17T13:52:49"/>
    <s v="India"/>
    <n v="700111"/>
    <x v="0"/>
    <s v="My Parents"/>
    <s v="No, But if someone could bare the cost I will"/>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57"/>
    <s v="Manager who explains what is expected, sets a goal and helps achieve it"/>
    <x v="0"/>
    <x v="1"/>
  </r>
  <r>
    <d v="2022-12-17T13:53:32"/>
    <s v="India"/>
    <n v="281001"/>
    <x v="1"/>
    <s v="People who have changed the world for better"/>
    <s v="Yes, I will earn and do that"/>
    <s v="Will work for 3 years or more"/>
    <s v="No"/>
    <s v="Will NOT work for them"/>
    <n v="8"/>
    <s v="Fully Remote with Options to travel as and when needed"/>
    <s v="Employer who pushes your limits by enabling an learning environment, and rewards you at the end"/>
    <x v="58"/>
    <s v="Manager who explains what is expected, sets a goal and helps achieve it"/>
    <x v="1"/>
    <x v="0"/>
  </r>
  <r>
    <d v="2022-12-17T14:04:42"/>
    <s v="India"/>
    <n v="517112"/>
    <x v="0"/>
    <s v="My Parents"/>
    <s v="No, But if someone could bare the cost I will"/>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24"/>
    <s v="Manager who clearly describes what she/he needs"/>
    <x v="3"/>
    <x v="0"/>
  </r>
  <r>
    <d v="2022-12-17T14:18:44"/>
    <s v="India"/>
    <n v="711315"/>
    <x v="0"/>
    <s v="My Parents"/>
    <s v="No, But if someone could bare the cost I will"/>
    <s v="This will be hard to do, but if it is the right company I would try"/>
    <s v="Yes"/>
    <s v="Will work for them"/>
    <n v="8"/>
    <s v="Fully Remote with Options to travel as and when needed"/>
    <s v="Employer who pushes your limits by enabling an learning environment, and rewards you at the end"/>
    <x v="5"/>
    <s v="Manager who explains what is expected, sets a goal and helps achieve it"/>
    <x v="1"/>
    <x v="0"/>
  </r>
  <r>
    <d v="2022-12-17T14:22:30"/>
    <s v="India"/>
    <n v="400012"/>
    <x v="0"/>
    <s v="My Parents"/>
    <s v="No I would not be pursuing Higher Education outside of India"/>
    <s v="Will work for 3 years or more"/>
    <s v="No"/>
    <s v="Will NOT work for them"/>
    <n v="8"/>
    <s v="Hybrid Working Environment with less than 15 days a month at office"/>
    <s v="Employer who appreciates learning and enables that environment"/>
    <x v="55"/>
    <s v="Manager who clearly describes what she/he needs"/>
    <x v="1"/>
    <x v="0"/>
  </r>
  <r>
    <d v="2022-12-17T14:38:58"/>
    <s v="India"/>
    <n v="500072"/>
    <x v="0"/>
    <s v="People from my circle, but not family members"/>
    <s v="No, But if someone could bare the cost I will"/>
    <s v="This will be hard to do, but if it is the right company I would try"/>
    <s v="No"/>
    <s v="Will NOT work for them"/>
    <n v="6"/>
    <s v="Fully Remote with Options to travel as and when needed"/>
    <s v="Employer who pushes your limits by enabling an learning environment, and rewards you at the end"/>
    <x v="3"/>
    <s v="Manager who explains what is expected, sets a goal and helps achieve it"/>
    <x v="6"/>
    <x v="1"/>
  </r>
  <r>
    <d v="2022-12-17T14:55:50"/>
    <s v="India"/>
    <n v="380015"/>
    <x v="1"/>
    <s v="My Parents"/>
    <s v="Yes, I will earn and do that"/>
    <s v="This will be hard to do, but if it is the right company I would try"/>
    <s v="Yes"/>
    <s v="Will work for them"/>
    <n v="8"/>
    <s v="Hybrid Working Environment with less than 3 days a month at office"/>
    <s v="Employer who rewards learning and enables that environment"/>
    <x v="58"/>
    <s v="Manager who sets goal and helps me achieve it"/>
    <x v="7"/>
    <x v="1"/>
  </r>
  <r>
    <d v="2022-12-17T15:11:27"/>
    <s v="India"/>
    <n v="751010"/>
    <x v="1"/>
    <s v="People from my circle, but not family members"/>
    <s v="Yes, I will earn and do that"/>
    <s v="This will be hard to do, but if it is the right company I would try"/>
    <s v="No"/>
    <s v="Will NOT work for them"/>
    <n v="8"/>
    <s v="Hybrid Working Environment with less than 10 days a month at office"/>
    <s v="Employer who pushes your limits by enabling an learning environment, and rewards you at the end"/>
    <x v="33"/>
    <s v="Manager who explains what is expected, sets a goal and helps achieve it"/>
    <x v="2"/>
    <x v="0"/>
  </r>
  <r>
    <d v="2022-12-17T16:56:18"/>
    <s v="India"/>
    <n v="425401"/>
    <x v="0"/>
    <s v="Influencers who had successful careers"/>
    <s v="Yes, I will earn and do that"/>
    <s v="Will work for 3 years or more"/>
    <s v="No"/>
    <s v="Will NOT work for them"/>
    <n v="6"/>
    <s v="Every Day Office Environment"/>
    <s v="Employer who appreciates learning and enables that environment"/>
    <x v="15"/>
    <s v="Manager who clearly describes what she/he needs"/>
    <x v="7"/>
    <x v="0"/>
  </r>
  <r>
    <d v="2022-12-17T17:03:20"/>
    <s v="India"/>
    <n v="425002"/>
    <x v="1"/>
    <s v="My Parents"/>
    <s v="No I would not be pursuing Higher Education outside of India"/>
    <s v="Will work for 3 years or more"/>
    <s v="No"/>
    <s v="Will NOT work for them"/>
    <n v="2"/>
    <s v="Fully Remote with No option to visit offices"/>
    <s v="Employer who appreciates learning and enables that environment"/>
    <x v="27"/>
    <s v="Manager who sets goal and helps me achieve it"/>
    <x v="3"/>
    <x v="1"/>
  </r>
  <r>
    <d v="2022-12-17T18:30:57"/>
    <s v="India"/>
    <n v="760001"/>
    <x v="1"/>
    <s v="People from my circle, but not family members"/>
    <s v="No I would not be pursuing Higher Education outside of India"/>
    <s v="Will work for 3 years or more"/>
    <s v="No"/>
    <s v="Will NOT work for them"/>
    <n v="10"/>
    <s v="Fully Remote with Options to travel as and when needed"/>
    <s v="Employer who pushes your limits and doesn't enables learning environment and never rewards you"/>
    <x v="59"/>
    <s v="Manager who explains what is expected, sets a goal and helps achieve it"/>
    <x v="3"/>
    <x v="2"/>
  </r>
  <r>
    <d v="2022-12-17T19:11:31"/>
    <s v="India"/>
    <n v="226023"/>
    <x v="0"/>
    <s v="Influencers who had successful careers"/>
    <s v="No I would not be pursuing Higher Education outside of India"/>
    <s v="This will be hard to do, but if it is the right company I would try"/>
    <s v="Yes"/>
    <s v="Will NOT work for them"/>
    <n v="5"/>
    <s v="Hybrid Working Environment with less than 10 days a month at office"/>
    <s v="Employer who appreciates learning and enables that environment"/>
    <x v="60"/>
    <s v="Manager who explains what is expected, sets a goal and helps achieve it"/>
    <x v="1"/>
    <x v="0"/>
  </r>
  <r>
    <d v="2022-12-17T19:28:13"/>
    <s v="India"/>
    <n v="560077"/>
    <x v="0"/>
    <s v="People who have changed the world for better"/>
    <s v="No I would not be pursuing Higher Education outside of India"/>
    <s v="Will work for 3 years or more"/>
    <s v="No"/>
    <s v="Will NOT work for them"/>
    <n v="2"/>
    <s v="Fully Remote with Options to travel as and when needed"/>
    <s v="Employer who pushes your limits by enabling an learning environment, and rewards you at the end"/>
    <x v="61"/>
    <s v="Manager who explains what is expected, sets a goal and helps achieve it"/>
    <x v="1"/>
    <x v="1"/>
  </r>
  <r>
    <d v="2022-12-17T20:14:15"/>
    <s v="India"/>
    <n v="302039"/>
    <x v="0"/>
    <s v="My Parents"/>
    <s v="No I would not be pursuing Higher Education outside of India"/>
    <s v="Will work for 3 years or more"/>
    <s v="Yes"/>
    <s v="Will work for them"/>
    <n v="9"/>
    <s v="Fully Remote with No option to visit offices"/>
    <s v="Employer who appreciates learning and enables that environment"/>
    <x v="24"/>
    <s v="Manager who clearly describes what she/he needs"/>
    <x v="1"/>
    <x v="0"/>
  </r>
  <r>
    <d v="2022-12-17T20:36:46"/>
    <s v="India"/>
    <n v="751010"/>
    <x v="0"/>
    <s v="Influencers who had successful careers"/>
    <s v="Yes, I will earn and do that"/>
    <s v="This will be hard to do, but if it is the right company I would try"/>
    <s v="No"/>
    <s v="Will work for them"/>
    <n v="3"/>
    <s v="Hybrid Working Environment with less than 15 days a month at office"/>
    <s v="Employer who pushes your limits by enabling an learning environment, and rewards you at the end"/>
    <x v="62"/>
    <s v="Manager who explains what is expected, sets a goal and helps achieve it"/>
    <x v="4"/>
    <x v="0"/>
  </r>
  <r>
    <d v="2022-12-17T20:44:46"/>
    <s v="Germany"/>
    <n v="81827"/>
    <x v="0"/>
    <s v="People who have changed the world for better"/>
    <s v="Yes, I will earn and do that"/>
    <s v="Will work for 3 years or more"/>
    <s v="Yes"/>
    <s v="Will work for them"/>
    <n v="5"/>
    <s v="Fully Remote with Options to travel as and when needed"/>
    <s v="Employer who pushes your limits by enabling an learning environment, and rewards you at the end"/>
    <x v="42"/>
    <s v="Manager who clearly describes what she/he needs"/>
    <x v="11"/>
    <x v="1"/>
  </r>
  <r>
    <d v="2022-12-17T21:29:33"/>
    <s v="India"/>
    <n v="121003"/>
    <x v="0"/>
    <s v="People from my circle, but not family members"/>
    <s v="No, But if someone could bare the cost I will"/>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3"/>
    <s v="Manager who explains what is expected, sets a goal and helps achieve it"/>
    <x v="3"/>
    <x v="1"/>
  </r>
  <r>
    <d v="2022-12-17T22:12:28"/>
    <s v="India"/>
    <n v="101201"/>
    <x v="0"/>
    <s v="My Parents"/>
    <s v="No I would not be pursuing Higher Education outside of India"/>
    <s v="This will be hard to do, but if it is the right company I would try"/>
    <s v="No"/>
    <s v="Will NOT work for them"/>
    <n v="2"/>
    <s v="Hybrid Working Environment with less than 3 days a month at office"/>
    <s v="Employer who pushes your limits by enabling an learning environment, and rewards you at the end"/>
    <x v="15"/>
    <s v="Manager who sets goal and helps me achieve it"/>
    <x v="3"/>
    <x v="0"/>
  </r>
  <r>
    <d v="2022-12-17T22:19:05"/>
    <s v="India"/>
    <n v="605401"/>
    <x v="0"/>
    <s v="My Parents"/>
    <s v="Yes, I will earn and do that"/>
    <s v="Will work for 3 years or more"/>
    <s v="Yes"/>
    <s v="Will NOT work for them"/>
    <n v="7"/>
    <s v="Hybrid Working Environment with less than 10 days a month at office"/>
    <s v="Employer who appreciates learning and enables that environment"/>
    <x v="23"/>
    <s v="Manager who sets goal and helps me achieve it"/>
    <x v="5"/>
    <x v="0"/>
  </r>
  <r>
    <d v="2022-12-18T09:37:08"/>
    <s v="India"/>
    <n v="753003"/>
    <x v="0"/>
    <s v="Influencers who had successful careers"/>
    <s v="Yes, I will earn and do that"/>
    <s v="This will be hard to do, but if it is the right company I would try"/>
    <s v="Yes"/>
    <s v="Will work for them"/>
    <n v="7"/>
    <s v="Hybrid Working Environment with less than 15 days a month at office"/>
    <s v="Employer who appreciates learning and enables that environment"/>
    <x v="63"/>
    <s v="Manager who clearly describes what she/he needs"/>
    <x v="3"/>
    <x v="1"/>
  </r>
  <r>
    <d v="2022-12-18T11:18:25"/>
    <s v="India"/>
    <n v="416509"/>
    <x v="0"/>
    <s v="Social Media like LinkedIn"/>
    <s v="Yes, I will earn and do that"/>
    <s v="This will be hard to do, but if it is the right company I would try"/>
    <s v="No"/>
    <s v="Will NOT work for them"/>
    <n v="7"/>
    <s v="Hybrid Working Environment with less than 15 days a month at office"/>
    <s v="Employer who appreciates learning and enables that environment"/>
    <x v="40"/>
    <s v="Manager who sets goal and helps me achieve it"/>
    <x v="1"/>
    <x v="1"/>
  </r>
  <r>
    <d v="2022-12-18T11:58:21"/>
    <s v="India"/>
    <n v="400099"/>
    <x v="0"/>
    <s v="People who have changed the world for better"/>
    <s v="No, But if someone could bare the cost I will"/>
    <s v="This will be hard to do, but if it is the right company I would try"/>
    <s v="No"/>
    <s v="Will NOT work for them"/>
    <n v="6"/>
    <s v="Hybrid Working Environment with less than 3 days a month at office"/>
    <s v="Employer who rewards learning and enables that environment"/>
    <x v="38"/>
    <s v="Manager who clearly describes what she/he needs"/>
    <x v="3"/>
    <x v="1"/>
  </r>
  <r>
    <d v="2022-12-18T13:24:07"/>
    <s v="India"/>
    <n v="301001"/>
    <x v="0"/>
    <s v="People who have changed the world for better"/>
    <s v="Yes, I will earn and do that"/>
    <s v="This will be hard to do, but if it is the right company I would try"/>
    <s v="No"/>
    <s v="Will NOT work for them"/>
    <n v="4"/>
    <s v="Every Day Office Environment"/>
    <s v="Employer who appreciates learning and enables that environment"/>
    <x v="24"/>
    <s v="Manager who explains what is expected, sets a goal and helps achieve it"/>
    <x v="1"/>
    <x v="0"/>
  </r>
  <r>
    <d v="2022-12-18T15:06:57"/>
    <s v="India"/>
    <n v="302017"/>
    <x v="0"/>
    <s v="My Parents"/>
    <s v="No I would not be pursuing Higher Education outside of India"/>
    <s v="Will work for 3 years or more"/>
    <s v="Yes"/>
    <s v="Will NOT work for them"/>
    <n v="5"/>
    <s v="Hybrid Working Environment with less than 15 days a month at office"/>
    <s v="Employer who pushes your limits by enabling an learning environment, and rewards you at the end"/>
    <x v="27"/>
    <s v="Manager who explains what is expected, sets a goal and helps achieve it"/>
    <x v="1"/>
    <x v="0"/>
  </r>
  <r>
    <d v="2022-12-18T15:41:26"/>
    <s v="India"/>
    <n v="560096"/>
    <x v="1"/>
    <s v="My Parents"/>
    <s v="Yes, I will earn and do that"/>
    <s v="This will be hard to do, but if it is the right company I would try"/>
    <s v="No"/>
    <s v="Will NOT work for them"/>
    <n v="2"/>
    <s v="Hybrid Working Environment with less than 10 days a month at office"/>
    <s v="Employer who pushes your limits by enabling an learning environment, and rewards you at the end"/>
    <x v="64"/>
    <s v="Manager who clearly describes what she/he needs"/>
    <x v="1"/>
    <x v="0"/>
  </r>
  <r>
    <d v="2022-12-18T17:32:01"/>
    <s v="India"/>
    <n v="431005"/>
    <x v="0"/>
    <s v="My Parents"/>
    <s v="Yes, I will earn and do that"/>
    <s v="Will work for 3 years or more"/>
    <s v="No"/>
    <s v="Will work for them"/>
    <n v="1"/>
    <s v="Fully Remote with Options to travel as and when needed"/>
    <s v="Employer who pushes your limits by enabling an learning environment, and rewards you at the end"/>
    <x v="65"/>
    <s v="Manager who sets goal and helps me achieve it"/>
    <x v="3"/>
    <x v="1"/>
  </r>
  <r>
    <d v="2022-12-18T17:39:37"/>
    <s v="India"/>
    <n v="620005"/>
    <x v="0"/>
    <s v="People from my circle, but not family members"/>
    <s v="No I would not be pursuing Higher Education outside of India"/>
    <s v="This will be hard to do, but if it is the right company I would try"/>
    <s v="Yes"/>
    <s v="Will NOT work for them"/>
    <n v="3"/>
    <s v="Hybrid Working Environment with less than 15 days a month at office"/>
    <s v="Employer who pushes your limits by enabling an learning environment, and rewards you at the end"/>
    <x v="58"/>
    <s v="Manager who explains what is expected, sets a goal and helps achieve it"/>
    <x v="1"/>
    <x v="2"/>
  </r>
  <r>
    <d v="2022-12-18T18:03:02"/>
    <s v="India"/>
    <n v="786001"/>
    <x v="0"/>
    <s v="My Parents"/>
    <s v="Yes, I will earn and do that"/>
    <s v="This will be hard to do, but if it is the right company I would try"/>
    <s v="No"/>
    <s v="Will NOT work for them"/>
    <n v="4"/>
    <s v="Every Day Office Environment"/>
    <s v="Employer who appreciates learning and enables that environment"/>
    <x v="63"/>
    <s v="Manager who clearly describes what she/he needs"/>
    <x v="1"/>
    <x v="0"/>
  </r>
  <r>
    <d v="2022-12-18T18:20:17"/>
    <s v="India"/>
    <n v="422010"/>
    <x v="1"/>
    <s v="People who have changed the world for better"/>
    <s v="No I would not be pursuing Higher Education outside of India"/>
    <s v="Will work for 3 years or more"/>
    <s v="No"/>
    <s v="Will NOT work for them"/>
    <n v="2"/>
    <s v="Fully Remote with Options to travel as and when needed"/>
    <s v="Employer who rewards learning and enables that environment"/>
    <x v="22"/>
    <s v="Manager who explains what is expected, sets a goal and helps achieve it"/>
    <x v="12"/>
    <x v="2"/>
  </r>
  <r>
    <d v="2022-12-18T20:37:32"/>
    <s v="India"/>
    <n v="110044"/>
    <x v="0"/>
    <s v="Influencers who had successful careers"/>
    <s v="No, But if someone could bare the cost I will"/>
    <s v="This will be hard to do, but if it is the right company I would try"/>
    <s v="Yes"/>
    <s v="Will work for them"/>
    <n v="7"/>
    <s v="Fully Remote with Options to travel as and when needed"/>
    <s v="Employer who rewards learning and enables that environment"/>
    <x v="24"/>
    <s v="Manager who explains what is expected, sets a goal and helps achieve it"/>
    <x v="5"/>
    <x v="1"/>
  </r>
  <r>
    <d v="2022-12-18T20:57:59"/>
    <s v="India"/>
    <n v="700156"/>
    <x v="0"/>
    <s v="People from my circle, but not family members"/>
    <s v="No I would not be pursuing Higher Education outside of India"/>
    <s v="Will work for 3 years or more"/>
    <s v="No"/>
    <s v="Will NOT work for them"/>
    <n v="7"/>
    <s v="Hybrid Working Environment with less than 3 days a month at office"/>
    <s v="Employer who pushes your limits by enabling an learning environment, and rewards you at the end"/>
    <x v="66"/>
    <s v="Manager who explains what is expected, sets a goal and helps achieve it"/>
    <x v="14"/>
    <x v="0"/>
  </r>
  <r>
    <d v="2022-12-18T21:41:55"/>
    <s v="India"/>
    <n v="824003"/>
    <x v="0"/>
    <s v="People from my circle, but not family members"/>
    <s v="Yes, I will earn and do that"/>
    <s v="This will be hard to do, but if it is the right company I would try"/>
    <s v="No"/>
    <s v="Will NOT work for them"/>
    <n v="9"/>
    <s v="Hybrid Working Environment with less than 3 days a month at office"/>
    <s v="Employer who appreciates learning and enables that environment"/>
    <x v="1"/>
    <s v="Manager who sets goal and helps me achieve it"/>
    <x v="3"/>
    <x v="2"/>
  </r>
  <r>
    <d v="2022-12-19T00:03:47"/>
    <s v="India"/>
    <n v="410505"/>
    <x v="0"/>
    <s v="Social Media like LinkedIn"/>
    <s v="Yes, I will earn and do that"/>
    <s v="Will work for 3 years or more"/>
    <s v="Yes"/>
    <s v="Will work for them"/>
    <n v="3"/>
    <s v="Hybrid Working Environment with less than 3 days a month at office"/>
    <s v="Employer who appreciates learning and enables that environment"/>
    <x v="12"/>
    <s v="Manager who clearly describes what she/he needs"/>
    <x v="6"/>
    <x v="1"/>
  </r>
  <r>
    <d v="2022-12-19T00:22:25"/>
    <s v="India"/>
    <n v="151110"/>
    <x v="1"/>
    <s v="People who have changed the world for better"/>
    <s v="No I would not be pursuing Higher Education outside of India"/>
    <s v="This will be hard to do, but if it is the right company I would try"/>
    <s v="Yes"/>
    <s v="Will work for them"/>
    <n v="10"/>
    <s v="Fully Remote with Options to travel as and when needed"/>
    <s v="Employer who pushes your limits by enabling an learning environment, and rewards you at the end"/>
    <x v="67"/>
    <s v="Manager who explains what is expected, sets a goal and helps achieve it"/>
    <x v="2"/>
    <x v="0"/>
  </r>
  <r>
    <d v="2022-12-19T00:22:47"/>
    <s v="India"/>
    <n v="410206"/>
    <x v="0"/>
    <s v="People from my circle, but not family members"/>
    <s v="No, But if someone could bare the cost I will"/>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27"/>
    <s v="Manager who explains what is expected, sets a goal and helps achieve it"/>
    <x v="3"/>
    <x v="0"/>
  </r>
  <r>
    <d v="2022-12-19T00:42:46"/>
    <s v="India"/>
    <n v="721445"/>
    <x v="0"/>
    <s v="Influencers who had successful careers"/>
    <s v="No, But if someone could bare the cost I will"/>
    <s v="Will work for 3 years or more"/>
    <s v="No"/>
    <s v="Will work for them"/>
    <n v="7"/>
    <s v="Every Day Office Environment"/>
    <s v="Employer who appreciates learning and enables that environment"/>
    <x v="15"/>
    <s v="Manager who clearly describes what she/he needs"/>
    <x v="3"/>
    <x v="1"/>
  </r>
  <r>
    <d v="2022-12-19T08:27:16"/>
    <s v="India"/>
    <n v="251309"/>
    <x v="1"/>
    <s v="Social Media like LinkedIn"/>
    <s v="Yes, I will earn and do that"/>
    <s v="This will be hard to do, but if it is the right company I would try"/>
    <s v="No"/>
    <s v="Will NOT work for them"/>
    <n v="5"/>
    <s v="Fully Remote with Options to travel as and when needed"/>
    <s v="Employer who appreciates learning and enables that environment"/>
    <x v="11"/>
    <s v="Manager who explains what is expected, sets a goal and helps achieve it"/>
    <x v="2"/>
    <x v="0"/>
  </r>
  <r>
    <d v="2022-12-19T09:45:28"/>
    <s v="India"/>
    <n v="713216"/>
    <x v="1"/>
    <s v="My Parents"/>
    <s v="No I would not be pursuing Higher Education outside of India"/>
    <s v="Will work for 3 years or more"/>
    <s v="No"/>
    <s v="Will NOT work for them"/>
    <n v="6"/>
    <s v="Fully Remote with Options to travel as and when needed"/>
    <s v="Employer who pushes your limits by enabling an learning environment, and rewards you at the end"/>
    <x v="63"/>
    <s v="Manager who explains what is expected, sets a goal and helps achieve it"/>
    <x v="1"/>
    <x v="1"/>
  </r>
  <r>
    <d v="2022-12-19T10:09:13"/>
    <s v="India"/>
    <n v="670102"/>
    <x v="0"/>
    <s v="My Parents"/>
    <s v="No I would not be pursuing Higher Education outside of India"/>
    <s v="This will be hard to do, but if it is the right company I would try"/>
    <s v="Yes"/>
    <s v="Will work for them"/>
    <n v="2"/>
    <s v="Hybrid Working Environment with less than 15 days a month at office"/>
    <s v="Employer who pushes your limits by enabling an learning environment, and rewards you at the end"/>
    <x v="1"/>
    <s v="Manager who explains what is expected, sets a goal and helps achieve it"/>
    <x v="3"/>
    <x v="0"/>
  </r>
  <r>
    <d v="2022-12-19T10:09:32"/>
    <s v="India"/>
    <n v="251309"/>
    <x v="1"/>
    <s v="Social Media like LinkedIn"/>
    <s v="Yes, I will earn and do that"/>
    <s v="This will be hard to do, but if it is the right company I would try"/>
    <s v="No"/>
    <s v="Will NOT work for them"/>
    <n v="5"/>
    <s v="Hybrid Working Environment with less than 3 days a month at office"/>
    <s v="Employer who appreciates learning and enables that environment"/>
    <x v="31"/>
    <s v="Manager who explains what is expected, sets a goal and helps achieve it"/>
    <x v="16"/>
    <x v="0"/>
  </r>
  <r>
    <d v="2022-12-19T11:02:43"/>
    <s v="India"/>
    <n v="721302"/>
    <x v="0"/>
    <s v="My Parents"/>
    <s v="No, But if someone could bare the cost I will"/>
    <s v="This will be hard to do, but if it is the right company I would try"/>
    <s v="Yes"/>
    <s v="Will NOT work for them"/>
    <n v="3"/>
    <s v="Hybrid Working Environment with less than 10 days a month at office"/>
    <s v="Employer who pushes your limits by enabling an learning environment, and rewards you at the end"/>
    <x v="29"/>
    <s v="Manager who explains what is expected, sets a goal and helps achieve it"/>
    <x v="3"/>
    <x v="1"/>
  </r>
  <r>
    <d v="2022-12-19T12:14:58"/>
    <s v="India"/>
    <n v="382421"/>
    <x v="1"/>
    <s v="People who have changed the world for better"/>
    <s v="No I would not be pursuing Higher Education outside of India"/>
    <s v="Will work for 3 years or more"/>
    <s v="No"/>
    <s v="Will NOT work for them"/>
    <n v="1"/>
    <s v="Fully Remote with Options to travel as and when needed"/>
    <s v="Employer who pushes your limits by enabling an learning environment, and rewards you at the end"/>
    <x v="39"/>
    <s v="Manager who clearly describes what she/he needs"/>
    <x v="13"/>
    <x v="2"/>
  </r>
  <r>
    <d v="2022-12-19T13:02:49"/>
    <s v="India"/>
    <n v="600016"/>
    <x v="0"/>
    <s v="Influencers who had successful careers"/>
    <s v="No I would not be pursuing Higher Education outside of India"/>
    <s v="Will work for 3 years or more"/>
    <s v="Yes"/>
    <s v="Will work for them"/>
    <n v="3"/>
    <s v="Hybrid Working Environment with less than 10 days a month at office"/>
    <s v="Employer who pushes your limits by enabling an learning environment, and rewards you at the end"/>
    <x v="15"/>
    <s v="Manager who sets targets and expects me to achieve it"/>
    <x v="16"/>
    <x v="2"/>
  </r>
  <r>
    <d v="2022-12-19T13:25:41"/>
    <s v="India"/>
    <n v="560037"/>
    <x v="0"/>
    <s v="Influencers who had successful careers"/>
    <s v="No, But if someone could bare the cost I will"/>
    <s v="This will be hard to do, but if it is the right company I would try"/>
    <s v="No"/>
    <s v="Will NOT work for them"/>
    <n v="5"/>
    <s v="Fully Remote with Options to travel as and when needed"/>
    <s v="Employer who pushes your limits by enabling an learning environment, and rewards you at the end"/>
    <x v="3"/>
    <s v="Manager who explains what is expected, sets a goal and helps achieve it"/>
    <x v="3"/>
    <x v="1"/>
  </r>
  <r>
    <d v="2022-12-19T14:32:53"/>
    <s v="India"/>
    <n v="122011"/>
    <x v="0"/>
    <s v="Social Media like LinkedIn"/>
    <s v="No, But if someone could bare the cost I will"/>
    <s v="This will be hard to do, but if it is the right company I would try"/>
    <s v="No"/>
    <s v="Will NOT work for them"/>
    <n v="8"/>
    <s v="Every Day Office Environment"/>
    <s v="Employer who pushes your limits by enabling an learning environment, and rewards you at the end"/>
    <x v="23"/>
    <s v="Manager who explains what is expected, sets a goal and helps achieve it"/>
    <x v="1"/>
    <x v="0"/>
  </r>
  <r>
    <d v="2022-12-19T16:47:09"/>
    <s v="India"/>
    <n v="123106"/>
    <x v="1"/>
    <s v="Influencers who had successful careers"/>
    <s v="Yes, I will earn and do that"/>
    <s v="This will be hard to do, but if it is the right company I would try"/>
    <s v="No"/>
    <s v="Will NOT work for them"/>
    <n v="7"/>
    <s v="Fully Remote with Options to travel as and when needed"/>
    <s v="Employer who appreciates learning and enables that environment"/>
    <x v="38"/>
    <s v="Manager who explains what is expected, sets a goal and helps achieve it"/>
    <x v="1"/>
    <x v="1"/>
  </r>
  <r>
    <d v="2022-12-19T17:10:12"/>
    <s v="India"/>
    <n v="121001"/>
    <x v="1"/>
    <s v="My Parents"/>
    <s v="Yes, I will earn and do that"/>
    <s v="Will work for 3 years or more"/>
    <s v="No"/>
    <s v="Will NOT work for them"/>
    <n v="5"/>
    <s v="Hybrid Working Environment with less than 3 days a month at office"/>
    <s v="Employer who appreciates learning and enables that environment"/>
    <x v="3"/>
    <s v="Manager who explains what is expected, sets a goal and helps achieve it"/>
    <x v="4"/>
    <x v="0"/>
  </r>
  <r>
    <d v="2022-12-19T17:45:21"/>
    <s v="India"/>
    <n v="363310"/>
    <x v="0"/>
    <s v="People who have changed the world for better"/>
    <s v="No I would not be pursuing Higher Education outside of India"/>
    <s v="This will be hard to do, but if it is the right company I would try"/>
    <s v="No"/>
    <s v="Will NOT work for them"/>
    <n v="9"/>
    <s v="Hybrid Working Environment with less than 15 days a month at office"/>
    <s v="Employer who pushes your limits and doesn't enables learning environment and never rewards you"/>
    <x v="16"/>
    <s v="Manager who explains what is expected, sets a goal and helps achieve it"/>
    <x v="1"/>
    <x v="1"/>
  </r>
  <r>
    <d v="2022-12-19T19:34:33"/>
    <s v="India"/>
    <n v="382010"/>
    <x v="1"/>
    <s v="People who have changed the world for better"/>
    <s v="Yes, I will earn and do that"/>
    <s v="This will be hard to do, but if it is the right company I would try"/>
    <s v="No"/>
    <s v="Will NOT work for them"/>
    <n v="8"/>
    <s v="Fully Remote with Options to travel as and when needed"/>
    <s v="Employer who rewards learning and enables that environment"/>
    <x v="65"/>
    <s v="Manager who sets targets and expects me to achieve it"/>
    <x v="3"/>
    <x v="1"/>
  </r>
  <r>
    <d v="2022-12-19T19:37:35"/>
    <s v="India"/>
    <n v="394210"/>
    <x v="0"/>
    <s v="My Parents"/>
    <s v="No I would not be pursuing Higher Education outside of India"/>
    <s v="No way, 3 years with one employer is crazy"/>
    <s v="No"/>
    <s v="Will NOT work for them"/>
    <n v="6"/>
    <s v="Hybrid Working Environment with less than 3 days a month at office"/>
    <s v="Employer who pushes your limits by enabling an learning environment, and rewards you at the end"/>
    <x v="42"/>
    <s v="Manager who sets goal and helps me achieve it"/>
    <x v="3"/>
    <x v="1"/>
  </r>
  <r>
    <d v="2022-12-19T20:25:30"/>
    <s v="India"/>
    <n v="382024"/>
    <x v="0"/>
    <s v="My Parents"/>
    <s v="Yes, I will earn and do that"/>
    <s v="This will be hard to do, but if it is the right company I would try"/>
    <s v="No"/>
    <s v="Will work for them"/>
    <n v="4"/>
    <s v="Every Day Office Environment"/>
    <s v="Employer who appreciates learning and enables that environment"/>
    <x v="68"/>
    <s v="Manager who clearly describes what she/he needs"/>
    <x v="1"/>
    <x v="2"/>
  </r>
  <r>
    <d v="2022-12-19T21:32:20"/>
    <s v="India"/>
    <n v="721101"/>
    <x v="0"/>
    <s v="People from my circle, but not family members"/>
    <s v="No, But if someone could bare the cost I will"/>
    <s v="No way, 3 years with one employer is crazy"/>
    <s v="No"/>
    <s v="Will NOT work for them"/>
    <n v="9"/>
    <s v="Hybrid Working Environment with less than 15 days a month at office"/>
    <s v="Employers who appreciates learning but doesn't enables an learning environment"/>
    <x v="69"/>
    <s v="Manager who clearly describes what she/he needs"/>
    <x v="7"/>
    <x v="0"/>
  </r>
  <r>
    <d v="2022-12-19T22:13:07"/>
    <s v="India"/>
    <n v="503175"/>
    <x v="0"/>
    <s v="My Parents"/>
    <s v="Yes, I will earn and do that"/>
    <s v="Will work for 3 years or more"/>
    <s v="No"/>
    <s v="Will NOT work for them"/>
    <n v="5"/>
    <s v="Fully Remote with No option to visit offices"/>
    <s v="Employer who pushes your limits and doesn't enables learning environment and never rewards you"/>
    <x v="64"/>
    <s v="Manager who sets targets and expects me to achieve it"/>
    <x v="6"/>
    <x v="1"/>
  </r>
  <r>
    <d v="2022-12-19T22:21:26"/>
    <s v="India"/>
    <n v="533103"/>
    <x v="0"/>
    <s v="My Parents"/>
    <s v="Yes, I will earn and do that"/>
    <s v="This will be hard to do, but if it is the right company I would try"/>
    <s v="Yes"/>
    <s v="Will work for them"/>
    <n v="8"/>
    <s v="Hybrid Working Environment with less than 3 days a month at office"/>
    <s v="Employer who pushes your limits by enabling an learning environment, and rewards you at the end"/>
    <x v="45"/>
    <s v="Manager who explains what is expected, sets a goal and helps achieve it"/>
    <x v="0"/>
    <x v="1"/>
  </r>
  <r>
    <d v="2022-12-20T09:50:02"/>
    <s v="India"/>
    <n v="382042"/>
    <x v="1"/>
    <s v="People from my circle, but not family members"/>
    <s v="No, But if someone could bare the cost I will"/>
    <s v="Will work for 3 years or more"/>
    <s v="No"/>
    <s v="Will NOT work for them"/>
    <n v="1"/>
    <s v="Every Day Office Environment"/>
    <s v="Employer who appreciates learning and enables that environment"/>
    <x v="70"/>
    <s v="Manager who clearly describes what she/he needs"/>
    <x v="3"/>
    <x v="1"/>
  </r>
  <r>
    <d v="2022-12-20T12:22:18"/>
    <s v="India"/>
    <n v="600036"/>
    <x v="1"/>
    <s v="Influencers who had successful careers"/>
    <s v="No I would not be pursuing Higher Education outside of India"/>
    <s v="This will be hard to do, but if it is the right company I would try"/>
    <s v="No"/>
    <s v="Will NOT work for them"/>
    <n v="2"/>
    <s v="Hybrid Working Environment with less than 3 days a month at office"/>
    <s v="Employer who appreciates learning and enables that environment"/>
    <x v="23"/>
    <s v="Manager who explains what is expected, sets a goal and helps achieve it"/>
    <x v="3"/>
    <x v="1"/>
  </r>
  <r>
    <d v="2022-12-20T15:57:13"/>
    <s v="India"/>
    <n v="605110"/>
    <x v="0"/>
    <s v="Influencers who had successful careers"/>
    <s v="No, But if someone could bare the cost I will"/>
    <s v="Will work for 3 years or more"/>
    <s v="No"/>
    <s v="Will NOT work for them"/>
    <n v="6"/>
    <s v="Fully Remote with Options to travel as and when needed"/>
    <s v="Employer who pushes your limits by enabling an learning environment, and rewards you at the end"/>
    <x v="39"/>
    <s v="Manager who explains what is expected, sets a goal and helps achieve it"/>
    <x v="11"/>
    <x v="1"/>
  </r>
  <r>
    <d v="2022-12-20T16:02:03"/>
    <s v="India"/>
    <n v="800009"/>
    <x v="1"/>
    <s v="People who have changed the world for better"/>
    <s v="No I would not be pursuing Higher Education outside of India"/>
    <s v="This will be hard to do, but if it is the right company I would try"/>
    <s v="Yes"/>
    <s v="Will work for them"/>
    <n v="7"/>
    <s v="Hybrid Working Environment with less than 15 days a month at office"/>
    <s v="Employer who pushes your limits by enabling an learning environment, and rewards you at the end"/>
    <x v="5"/>
    <s v="Manager who explains what is expected, sets a goal and helps achieve it"/>
    <x v="1"/>
    <x v="0"/>
  </r>
  <r>
    <d v="2022-12-20T16:12:11"/>
    <s v="India"/>
    <n v="248002"/>
    <x v="1"/>
    <s v="People who have changed the world for better"/>
    <s v="No, But if someone could bare the cost I will"/>
    <s v="No way, 3 years with one employer is crazy"/>
    <s v="No"/>
    <s v="Will work for them"/>
    <n v="4"/>
    <s v="Hybrid Working Environment with less than 3 days a month at office"/>
    <s v="Employer who rewards learning and enables that environment"/>
    <x v="71"/>
    <s v="Manager who sets goal and helps me achieve it"/>
    <x v="17"/>
    <x v="1"/>
  </r>
  <r>
    <d v="2022-12-20T16:27:06"/>
    <s v="India"/>
    <n v="845438"/>
    <x v="1"/>
    <s v="Influencers who had successful careers"/>
    <s v="Yes, I will earn and do that"/>
    <s v="This will be hard to do, but if it is the right company I would try"/>
    <s v="No"/>
    <s v="Will NOT work for them"/>
    <n v="5"/>
    <s v="Every Day Office Environment"/>
    <s v="Employers who appreciates learning but doesn't enables an learning environment"/>
    <x v="72"/>
    <s v="Manager who sets goal and helps me achieve it"/>
    <x v="1"/>
    <x v="1"/>
  </r>
  <r>
    <d v="2022-12-20T16:38:32"/>
    <s v="India"/>
    <n v="800006"/>
    <x v="0"/>
    <s v="My Parents"/>
    <s v="No I would not be pursuing Higher Education outside of India"/>
    <s v="This will be hard to do, but if it is the right company I would try"/>
    <s v="Yes"/>
    <s v="Will work for them"/>
    <n v="6"/>
    <s v="Every Day Office Environment"/>
    <s v="Employer who pushes your limits by enabling an learning environment, and rewards you at the end"/>
    <x v="40"/>
    <s v="Manager who explains what is expected, sets a goal and helps achieve it"/>
    <x v="3"/>
    <x v="1"/>
  </r>
  <r>
    <d v="2022-12-20T16:46:09"/>
    <s v="India"/>
    <n v="800024"/>
    <x v="0"/>
    <s v="My Parents"/>
    <s v="No, But if someone could bare the cost I will"/>
    <s v="This will be hard to do, but if it is the right company I would try"/>
    <s v="No"/>
    <s v="Will NOT work for them"/>
    <n v="4"/>
    <s v="Hybrid Working Environment with less than 15 days a month at office"/>
    <s v="Employer who pushes your limits by enabling an learning environment, and rewards you at the end"/>
    <x v="15"/>
    <s v="Manager who explains what is expected, sets a goal and helps achieve it"/>
    <x v="1"/>
    <x v="2"/>
  </r>
  <r>
    <d v="2022-12-20T16:46:49"/>
    <s v="India"/>
    <n v="248002"/>
    <x v="1"/>
    <s v="My Parents"/>
    <s v="Yes, I will earn and do that"/>
    <s v="Will work for 3 years or more"/>
    <s v="No"/>
    <s v="Will NOT work for them"/>
    <n v="7"/>
    <s v="Every Day Office Environment"/>
    <s v="Employer who pushes your limits by enabling an learning environment, and rewards you at the end"/>
    <x v="14"/>
    <s v="Manager who explains what is expected, sets a goal and helps achieve it"/>
    <x v="1"/>
    <x v="0"/>
  </r>
  <r>
    <d v="2022-12-20T17:05:27"/>
    <s v="India"/>
    <n v="502285"/>
    <x v="0"/>
    <s v="My Parents"/>
    <s v="No I would not be pursuing Higher Education outside of India"/>
    <s v="This will be hard to do, but if it is the right company I would try"/>
    <s v="Yes"/>
    <s v="Will work for them"/>
    <n v="8"/>
    <s v="Every Day Office Environment"/>
    <s v="Employer who rewards learning and enables that environment"/>
    <x v="38"/>
    <s v="Manager who sets goal and helps me achieve it"/>
    <x v="1"/>
    <x v="1"/>
  </r>
  <r>
    <d v="2022-12-20T17:18:25"/>
    <s v="India"/>
    <n v="123106"/>
    <x v="0"/>
    <s v="Influencers who had successful careers"/>
    <s v="No, But if someone could bare the cost I will"/>
    <s v="Will work for 3 years or more"/>
    <s v="No"/>
    <s v="Will NOT work for them"/>
    <n v="3"/>
    <s v="Hybrid Working Environment with less than 15 days a month at office"/>
    <s v="Employer who pushes your limits by enabling an learning environment, and rewards you at the end"/>
    <x v="20"/>
    <s v="Manager who explains what is expected, sets a goal and helps achieve it"/>
    <x v="1"/>
    <x v="1"/>
  </r>
  <r>
    <d v="2022-12-20T17:32:31"/>
    <s v="India"/>
    <n v="365541"/>
    <x v="1"/>
    <s v="Social Media like LinkedIn"/>
    <s v="Yes, I will earn and do that"/>
    <s v="Will work for 3 years or more"/>
    <s v="No"/>
    <s v="Will NOT work for them"/>
    <n v="5"/>
    <s v="Fully Remote with Options to travel as and when needed"/>
    <s v="Employer who appreciates learning and enables that environment"/>
    <x v="39"/>
    <s v="Manager who clearly describes what she/he needs"/>
    <x v="6"/>
    <x v="1"/>
  </r>
  <r>
    <d v="2022-12-20T17:51:01"/>
    <s v="India"/>
    <n v="425001"/>
    <x v="0"/>
    <s v="People who have changed the world for better"/>
    <s v="Yes, I will earn and do that"/>
    <s v="This will be hard to do, but if it is the right company I would try"/>
    <s v="No"/>
    <s v="Will NOT work for them"/>
    <n v="4"/>
    <s v="Hybrid Working Environment with less than 15 days a month at office"/>
    <s v="Employer who rewards learning and enables that environment"/>
    <x v="15"/>
    <s v="Manager who sets targets and expects me to achieve it"/>
    <x v="4"/>
    <x v="0"/>
  </r>
  <r>
    <d v="2022-12-20T17:55:22"/>
    <s v="India"/>
    <n v="425001"/>
    <x v="0"/>
    <s v="My Parents"/>
    <s v="Yes, I will earn and do that"/>
    <s v="This will be hard to do, but if it is the right company I would try"/>
    <s v="No"/>
    <s v="Will NOT work for them"/>
    <n v="3"/>
    <s v="Fully Remote with Options to travel as and when needed"/>
    <s v="Employer who appreciates learning and enables that environment"/>
    <x v="28"/>
    <s v="Manager who sets goal and helps me achieve it"/>
    <x v="6"/>
    <x v="1"/>
  </r>
  <r>
    <d v="2022-12-20T17:56:03"/>
    <s v="India"/>
    <n v="424206"/>
    <x v="0"/>
    <s v="My Parents"/>
    <s v="No I would not be pursuing Higher Education outside of India"/>
    <s v="Will work for 3 years or more"/>
    <s v="No"/>
    <s v="Will NOT work for them"/>
    <n v="7"/>
    <s v="Fully Remote with Options to travel as and when needed"/>
    <s v="Employer who pushes your limits by enabling an learning environment, and rewards you at the end"/>
    <x v="55"/>
    <s v="Manager who explains what is expected, sets a goal and helps achieve it"/>
    <x v="7"/>
    <x v="1"/>
  </r>
  <r>
    <d v="2022-12-20T17:58:17"/>
    <s v="India"/>
    <n v="122004"/>
    <x v="0"/>
    <s v="Social Media like LinkedIn"/>
    <s v="No, But if someone could bare the cost I will"/>
    <s v="This will be hard to do, but if it is the right company I would try"/>
    <s v="Yes"/>
    <s v="Will NOT work for them"/>
    <n v="3"/>
    <s v="Hybrid Working Environment with less than 15 days a month at office"/>
    <s v="Employer who pushes your limits by enabling an learning environment, and rewards you at the end"/>
    <x v="73"/>
    <s v="Manager who explains what is expected, sets a goal and helps achieve it"/>
    <x v="5"/>
    <x v="0"/>
  </r>
  <r>
    <d v="2022-12-20T18:13:02"/>
    <s v="India"/>
    <n v="246701"/>
    <x v="1"/>
    <s v="My Parents"/>
    <s v="Yes, I will earn and do that"/>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3"/>
    <s v="Manager who explains what is expected, sets a goal and helps achieve it"/>
    <x v="3"/>
    <x v="1"/>
  </r>
  <r>
    <d v="2022-12-20T18:31:23"/>
    <s v="India"/>
    <n v="412308"/>
    <x v="0"/>
    <s v="People who have changed the world for better"/>
    <s v="No I would not be pursuing Higher Education outside of India"/>
    <s v="Will work for 3 years or more"/>
    <s v="No"/>
    <s v="Will NOT work for them"/>
    <n v="1"/>
    <s v="Every Day Office Environment"/>
    <s v="Employer who pushes your limits by enabling an learning environment, and rewards you at the end"/>
    <x v="15"/>
    <s v="Manager who sets goal and helps me achieve it"/>
    <x v="7"/>
    <x v="1"/>
  </r>
  <r>
    <d v="2022-12-20T18:32:20"/>
    <s v="India"/>
    <n v="248001"/>
    <x v="1"/>
    <s v="Social Media like LinkedIn"/>
    <s v="No, But if someone could bare the cost I will"/>
    <s v="Will work for 3 years or more"/>
    <s v="No"/>
    <s v="Will work for them"/>
    <n v="5"/>
    <s v="Hybrid Working Environment with less than 10 days a month at office"/>
    <s v="Employer who appreciates learning and enables that environment"/>
    <x v="8"/>
    <s v="Manager who clearly describes what she/he needs"/>
    <x v="1"/>
    <x v="0"/>
  </r>
  <r>
    <d v="2022-12-20T19:36:56"/>
    <s v="India"/>
    <n v="500001"/>
    <x v="1"/>
    <s v="People who have changed the world for better"/>
    <s v="No, But if someone could bare the cost I will"/>
    <s v="This will be hard to do, but if it is the right company I would try"/>
    <s v="No"/>
    <s v="Will NOT work for them"/>
    <n v="3"/>
    <s v="Fully Remote with Options to travel as and when needed"/>
    <s v="Employer who rewards learning and enables that environment"/>
    <x v="64"/>
    <s v="Manager who clearly describes what she/he needs"/>
    <x v="3"/>
    <x v="1"/>
  </r>
  <r>
    <d v="2022-12-20T19:40:07"/>
    <s v="India"/>
    <n v="670504"/>
    <x v="1"/>
    <s v="People from my circle, but not family members"/>
    <s v="Yes, I will earn and do that"/>
    <s v="Will work for 3 years or more"/>
    <s v="No"/>
    <s v="Will NOT work for them"/>
    <n v="1"/>
    <s v="Hybrid Working Environment with less than 15 days a month at office"/>
    <s v="Employer who rewards learning and enables that environment"/>
    <x v="18"/>
    <s v="Manager who clearly describes what she/he needs"/>
    <x v="3"/>
    <x v="0"/>
  </r>
  <r>
    <d v="2022-12-20T19:49:43"/>
    <s v="India"/>
    <n v="301018"/>
    <x v="1"/>
    <s v="My Parents"/>
    <s v="No, But if someone could bare the cost I will"/>
    <s v="This will be hard to do, but if it is the right company I would try"/>
    <s v="Yes"/>
    <s v="Will NOT work for them"/>
    <n v="8"/>
    <s v="Fully Remote with Options to travel as and when needed"/>
    <s v="Employer who pushes your limits by enabling an learning environment, and rewards you at the end"/>
    <x v="48"/>
    <s v="Manager who clearly describes what she/he needs"/>
    <x v="1"/>
    <x v="0"/>
  </r>
  <r>
    <d v="2022-12-20T20:53:40"/>
    <s v="India"/>
    <n v="680307"/>
    <x v="1"/>
    <s v="People who have changed the world for better"/>
    <s v="Yes, I will earn and do that"/>
    <s v="Will work for 3 years or more"/>
    <s v="No"/>
    <s v="Will NOT work for them"/>
    <n v="1"/>
    <s v="Fully Remote with Options to travel as and when needed"/>
    <s v="Employer who pushes your limits by enabling an learning environment, and rewards you at the end"/>
    <x v="3"/>
    <s v="Manager who clearly describes what she/he needs"/>
    <x v="3"/>
    <x v="0"/>
  </r>
  <r>
    <d v="2022-12-20T21:15:18"/>
    <s v="India"/>
    <n v="607102"/>
    <x v="0"/>
    <s v="My Parents"/>
    <s v="Yes, I will earn and do that"/>
    <s v="Will work for 3 years or more"/>
    <s v="Yes"/>
    <s v="Will work for them"/>
    <n v="6"/>
    <s v="Every Day Office Environment"/>
    <s v="Employer who appreciates learning and enables that environment"/>
    <x v="23"/>
    <s v="Manager who sets unrealistic targets"/>
    <x v="1"/>
    <x v="1"/>
  </r>
  <r>
    <d v="2022-12-20T21:22:27"/>
    <s v="India"/>
    <n v="605110"/>
    <x v="0"/>
    <s v="Social Media like LinkedIn"/>
    <s v="Yes, I will earn and do that"/>
    <s v="No way, 3 years with one employer is crazy"/>
    <s v="Yes"/>
    <s v="Will work for them"/>
    <n v="5"/>
    <s v="Hybrid Working Environment with less than 3 days a month at office"/>
    <s v="Employer who pushes your limits by enabling an learning environment, and rewards you at the end"/>
    <x v="28"/>
    <s v="Manager who explains what is expected, sets a goal and helps achieve it"/>
    <x v="6"/>
    <x v="0"/>
  </r>
  <r>
    <d v="2022-12-20T21:31:59"/>
    <s v="India"/>
    <n v="680586"/>
    <x v="1"/>
    <s v="Influencers who had successful careers"/>
    <s v="Yes, I will earn and do that"/>
    <s v="Will work for 3 years or more"/>
    <s v="No"/>
    <s v="Will NOT work for them"/>
    <n v="5"/>
    <s v="Fully Remote with Options to travel as and when needed"/>
    <s v="Employer who pushes your limits by enabling an learning environment, and rewards you at the end"/>
    <x v="3"/>
    <s v="Manager who explains what is expected, sets a goal and helps achieve it"/>
    <x v="18"/>
    <x v="0"/>
  </r>
  <r>
    <d v="2022-12-20T21:49:57"/>
    <s v="India"/>
    <n v="431001"/>
    <x v="0"/>
    <s v="Influencers who had successful careers"/>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72"/>
    <s v="Manager who clearly describes what she/he needs"/>
    <x v="11"/>
    <x v="1"/>
  </r>
  <r>
    <d v="2022-12-20T22:07:55"/>
    <s v="India"/>
    <n v="411046"/>
    <x v="0"/>
    <s v="People who have changed the world for better"/>
    <s v="Yes, I will earn and do that"/>
    <s v="This will be hard to do, but if it is the right company I would try"/>
    <s v="No"/>
    <s v="Will NOT work for them"/>
    <n v="1"/>
    <s v="Hybrid Working Environment with less than 15 days a month at office"/>
    <s v="Employer who pushes your limits by enabling an learning environment, and rewards you at the end"/>
    <x v="74"/>
    <s v="Manager who sets targets and expects me to achieve it"/>
    <x v="0"/>
    <x v="1"/>
  </r>
  <r>
    <d v="2022-12-20T22:21:56"/>
    <s v="India"/>
    <n v="431105"/>
    <x v="0"/>
    <s v="Influencers who had successful careers"/>
    <s v="Yes, I will earn and do that"/>
    <s v="This will be hard to do, but if it is the right company I would try"/>
    <s v="No"/>
    <s v="Will NOT work for them"/>
    <n v="7"/>
    <s v="Every Day Office Environment"/>
    <s v="Employer who pushes your limits by enabling an learning environment, and rewards you at the end"/>
    <x v="9"/>
    <s v="Manager who explains what is expected, sets a goal and helps achieve it"/>
    <x v="1"/>
    <x v="1"/>
  </r>
  <r>
    <d v="2022-12-20T22:39:10"/>
    <s v="India"/>
    <n v="110024"/>
    <x v="1"/>
    <s v="People who have changed the world for better"/>
    <s v="Yes, I will earn and do that"/>
    <s v="This will be hard to do, but if it is the right company I would try"/>
    <s v="No"/>
    <s v="Will NOT work for them"/>
    <n v="8"/>
    <s v="Hybrid Working Environment with less than 15 days a month at office"/>
    <s v="Employer who pushes your limits by enabling an learning environment, and rewards you at the end"/>
    <x v="18"/>
    <s v="Manager who explains what is expected, sets a goal and helps achieve it"/>
    <x v="5"/>
    <x v="2"/>
  </r>
  <r>
    <d v="2022-12-20T22:50:30"/>
    <s v="India"/>
    <n v="431001"/>
    <x v="1"/>
    <s v="Influencers who had successful careers"/>
    <s v="No, But if someone could bare the cost I will"/>
    <s v="Will work for 3 years or more"/>
    <s v="Yes"/>
    <s v="Will work for them"/>
    <n v="6"/>
    <s v="Hybrid Working Environment with less than 3 days a month at office"/>
    <s v="Employer who rewards learning and enables that environment"/>
    <x v="75"/>
    <s v="Manager who explains what is expected, sets a goal and helps achieve it"/>
    <x v="1"/>
    <x v="1"/>
  </r>
  <r>
    <d v="2022-12-20T23:32:48"/>
    <s v="India"/>
    <n v="425001"/>
    <x v="0"/>
    <s v="Influencers who had successful careers"/>
    <s v="Yes, I will earn and do that"/>
    <s v="This will be hard to do, but if it is the right company I would try"/>
    <s v="Yes"/>
    <s v="Will NOT work for them"/>
    <n v="9"/>
    <s v="Hybrid Working Environment with less than 10 days a month at office"/>
    <s v="Employer who pushes your limits by enabling an learning environment, and rewards you at the end"/>
    <x v="55"/>
    <s v="Manager who explains what is expected, sets a goal and helps achieve it"/>
    <x v="19"/>
    <x v="0"/>
  </r>
  <r>
    <d v="2022-12-21T06:32:38"/>
    <s v="India"/>
    <n v="500028"/>
    <x v="0"/>
    <s v="People from my circle, but not family members"/>
    <s v="Yes, I will earn and do that"/>
    <s v="No way, 3 years with one employer is crazy"/>
    <s v="Yes"/>
    <s v="Will work for them"/>
    <n v="8"/>
    <s v="Fully Remote with Options to travel as and when needed"/>
    <s v="Employer who rewards learning and enables that environment"/>
    <x v="29"/>
    <s v="Manager who sets targets and expects me to achieve it"/>
    <x v="3"/>
    <x v="0"/>
  </r>
  <r>
    <d v="2022-12-21T07:21:10"/>
    <s v="India"/>
    <n v="413525"/>
    <x v="0"/>
    <s v="My Parents"/>
    <s v="Yes, I will earn and do that"/>
    <s v="Will work for 3 years or more"/>
    <s v="Yes"/>
    <s v="Will work for them"/>
    <n v="7"/>
    <s v="Hybrid Working Environment with less than 3 days a month at office"/>
    <s v="Employer who appreciates learning and enables that environment"/>
    <x v="36"/>
    <s v="Manager who sets targets and expects me to achieve it"/>
    <x v="6"/>
    <x v="1"/>
  </r>
  <r>
    <d v="2022-12-21T11:59:25"/>
    <s v="India"/>
    <n v="691505"/>
    <x v="0"/>
    <s v="People from my circle, but not family members"/>
    <s v="No, But if someone could bare the cost I will"/>
    <s v="This will be hard to do, but if it is the right company I would try"/>
    <s v="Yes"/>
    <s v="Will work for them"/>
    <n v="8"/>
    <s v="Hybrid Working Environment with less than 15 days a month at office"/>
    <s v="Employer who rewards learning and enables that environment"/>
    <x v="76"/>
    <s v="Manager who explains what is expected, sets a goal and helps achieve it"/>
    <x v="1"/>
    <x v="1"/>
  </r>
  <r>
    <d v="2022-12-21T12:02:05"/>
    <s v="India"/>
    <n v="605110"/>
    <x v="0"/>
    <s v="My Parents"/>
    <s v="No I would not be pursuing Higher Education outside of India"/>
    <s v="This will be hard to do, but if it is the right company I would try"/>
    <s v="No"/>
    <s v="Will NOT work for them"/>
    <n v="5"/>
    <s v="Hybrid Working Environment with less than 15 days a month at office"/>
    <s v="Employer who appreciates learning and enables that environment"/>
    <x v="0"/>
    <s v="Manager who sets goal and helps me achieve it"/>
    <x v="1"/>
    <x v="1"/>
  </r>
  <r>
    <d v="2022-12-21T12:55:05"/>
    <s v="India"/>
    <n v="673507"/>
    <x v="1"/>
    <s v="People from my circle, but not family members"/>
    <s v="No I would not be pursuing Higher Education outside of India"/>
    <s v="No way, 3 years with one employer is crazy"/>
    <s v="No"/>
    <s v="Will NOT work for them"/>
    <n v="1"/>
    <s v="Hybrid Working Environment with less than 10 days a month at office"/>
    <s v="Employer who rewards learning and enables that environment"/>
    <x v="8"/>
    <s v="Manager who clearly describes what she/he needs"/>
    <x v="4"/>
    <x v="2"/>
  </r>
  <r>
    <d v="2022-12-21T13:42:01"/>
    <s v="India"/>
    <n v="796701"/>
    <x v="1"/>
    <s v="People who have changed the world for better"/>
    <s v="No, But if someone could bare the cost I will"/>
    <s v="This will be hard to do, but if it is the right company I would try"/>
    <s v="No"/>
    <s v="Will NOT work for them"/>
    <n v="3"/>
    <s v="Hybrid Working Environment with less than 15 days a month at office"/>
    <s v="Employer who rewards learning and enables that environment"/>
    <x v="22"/>
    <s v="Manager who explains what is expected, sets a goal and helps achieve it"/>
    <x v="1"/>
    <x v="0"/>
  </r>
  <r>
    <d v="2022-12-21T14:26:41"/>
    <s v="India"/>
    <n v="1234"/>
    <x v="0"/>
    <s v="My Parents"/>
    <s v="Yes, I will earn and do that"/>
    <s v="Will work for 3 years or more"/>
    <s v="Yes"/>
    <s v="Will work for them"/>
    <n v="1"/>
    <s v="Every Day Office Environment"/>
    <s v="Employer who appreciates learning and enables that environment"/>
    <x v="18"/>
    <s v="Manager who clearly describes what she/he needs"/>
    <x v="3"/>
    <x v="1"/>
  </r>
  <r>
    <d v="2022-12-21T14:30:07"/>
    <s v="India"/>
    <n v="605110"/>
    <x v="0"/>
    <s v="People who have changed the world for better"/>
    <s v="Yes, I will earn and do that"/>
    <s v="This will be hard to do, but if it is the right company I would try"/>
    <s v="Yes"/>
    <s v="Will NOT work for them"/>
    <n v="3"/>
    <s v="Hybrid Working Environment with less than 15 days a month at office"/>
    <s v="Employer who appreciates learning and enables that environment"/>
    <x v="77"/>
    <s v="Manager who sets goal and helps me achieve it"/>
    <x v="7"/>
    <x v="0"/>
  </r>
  <r>
    <d v="2022-12-21T14:33:09"/>
    <s v="India"/>
    <n v="605501"/>
    <x v="0"/>
    <s v="Social Media like LinkedIn"/>
    <s v="No I would not be pursuing Higher Education outside of India"/>
    <s v="Will work for 3 years or more"/>
    <s v="Yes"/>
    <s v="Will work for them"/>
    <n v="8"/>
    <s v="Every Day Office Environment"/>
    <s v="Employer who appreciates learning and enables that environment"/>
    <x v="4"/>
    <s v="Manager who sets targets and expects me to achieve it"/>
    <x v="7"/>
    <x v="2"/>
  </r>
  <r>
    <d v="2022-12-21T14:33:21"/>
    <s v="India"/>
    <n v="604102"/>
    <x v="1"/>
    <s v="Social Media like LinkedIn"/>
    <s v="No, But if someone could bare the cost I will"/>
    <s v="This will be hard to do, but if it is the right company I would try"/>
    <s v="No"/>
    <s v="Will NOT work for them"/>
    <n v="7"/>
    <s v="Every Day Office Environment"/>
    <s v="Employer who rewards learning and enables that environment"/>
    <x v="13"/>
    <s v="Manager who explains what is expected, sets a goal and helps achieve it"/>
    <x v="3"/>
    <x v="1"/>
  </r>
  <r>
    <d v="2022-12-21T14:34:03"/>
    <s v="India"/>
    <n v="605102"/>
    <x v="0"/>
    <s v="My Parents"/>
    <s v="Yes, I will earn and do that"/>
    <s v="This will be hard to do, but if it is the right company I would try"/>
    <s v="Yes"/>
    <s v="Will NOT work for them"/>
    <n v="2"/>
    <s v="Every Day Office Environment"/>
    <s v="Employer who appreciates learning and enables that environment"/>
    <x v="15"/>
    <s v="Manager who sets targets and expects me to achieve it"/>
    <x v="3"/>
    <x v="1"/>
  </r>
  <r>
    <d v="2022-12-21T14:34:09"/>
    <s v="India"/>
    <n v="607402"/>
    <x v="0"/>
    <s v="People who have changed the world for better"/>
    <s v="No I would not be pursuing Higher Education outside of India"/>
    <s v="This will be hard to do, but if it is the right company I would try"/>
    <s v="No"/>
    <s v="Will NOT work for them"/>
    <n v="4"/>
    <s v="Fully Remote with Options to travel as and when needed"/>
    <s v="Employer who appreciates learning and enables that environment"/>
    <x v="19"/>
    <s v="Manager who explains what is expected, sets a goal and helps achieve it"/>
    <x v="7"/>
    <x v="0"/>
  </r>
  <r>
    <d v="2022-12-21T14:35:25"/>
    <s v="India"/>
    <n v="605003"/>
    <x v="0"/>
    <s v="My Parents"/>
    <s v="Yes, I will earn and do that"/>
    <s v="No way, 3 years with one employer is crazy"/>
    <s v="Yes"/>
    <s v="Will work for them"/>
    <n v="2"/>
    <s v="Every Day Office Environment"/>
    <s v="Employer who appreciates learning and enables that environment"/>
    <x v="78"/>
    <s v="Manager who sets targets and expects me to achieve it"/>
    <x v="4"/>
    <x v="0"/>
  </r>
  <r>
    <d v="2022-12-21T14:35:43"/>
    <s v="India"/>
    <n v="607003"/>
    <x v="0"/>
    <s v="People who have changed the world for better"/>
    <s v="Yes, I will earn and do that"/>
    <s v="This will be hard to do, but if it is the right company I would try"/>
    <s v="Yes"/>
    <s v="Will work for them"/>
    <n v="5"/>
    <s v="Fully Remote with Options to travel as and when needed"/>
    <s v="Employer who pushes your limits by enabling an learning environment, and rewards you at the end"/>
    <x v="72"/>
    <s v="Manager who explains what is expected, sets a goal and helps achieve it"/>
    <x v="1"/>
    <x v="1"/>
  </r>
  <r>
    <d v="2022-12-21T14:37:45"/>
    <s v="India"/>
    <n v="605110"/>
    <x v="1"/>
    <s v="My Parents"/>
    <s v="No I would not be pursuing Higher Education outside of India"/>
    <s v="Will work for 3 years or more"/>
    <s v="Yes"/>
    <s v="Will work for them"/>
    <n v="10"/>
    <s v="Every Day Office Environment"/>
    <s v="Employer who appreciates learning and enables that environment"/>
    <x v="79"/>
    <s v="Manager who sets goal and helps me achieve it"/>
    <x v="7"/>
    <x v="0"/>
  </r>
  <r>
    <d v="2022-12-21T14:39:50"/>
    <s v="India"/>
    <n v="605008"/>
    <x v="0"/>
    <s v="My Parents"/>
    <s v="Yes, I will earn and do that"/>
    <s v="This will be hard to do, but if it is the right company I would try"/>
    <s v="Yes"/>
    <s v="Will work for them"/>
    <n v="10"/>
    <s v="Every Day Office Environment"/>
    <s v="Employer who rewards learning and enables that environment"/>
    <x v="25"/>
    <s v="Manager who clearly describes what she/he needs"/>
    <x v="4"/>
    <x v="1"/>
  </r>
  <r>
    <d v="2022-12-21T14:40:59"/>
    <s v="India"/>
    <n v="605110"/>
    <x v="1"/>
    <s v="My Parents"/>
    <s v="No I would not be pursuing Higher Education outside of India"/>
    <s v="This will be hard to do, but if it is the right company I would try"/>
    <s v="No"/>
    <s v="Will work for them"/>
    <n v="5"/>
    <s v="Fully Remote with Options to travel as and when needed"/>
    <s v="Employer who appreciates learning and enables that environment"/>
    <x v="10"/>
    <s v="Manager who explains what is expected, sets a goal and helps achieve it"/>
    <x v="1"/>
    <x v="0"/>
  </r>
  <r>
    <d v="2022-12-21T14:45:55"/>
    <s v="India"/>
    <n v="605110"/>
    <x v="0"/>
    <s v="Influencers who had successful careers"/>
    <s v="Yes, I will earn and do that"/>
    <s v="This will be hard to do, but if it is the right company I would try"/>
    <s v="Yes"/>
    <s v="Will work for them"/>
    <n v="3"/>
    <s v="Fully Remote with Options to travel as and when needed"/>
    <s v="Employer who rewards learning and enables that environment"/>
    <x v="63"/>
    <s v="Manager who clearly describes what she/he needs"/>
    <x v="1"/>
    <x v="1"/>
  </r>
  <r>
    <d v="2022-12-21T14:46:28"/>
    <s v="India"/>
    <n v="605102"/>
    <x v="0"/>
    <s v="My Parents"/>
    <s v="Yes, I will earn and do that"/>
    <s v="Will work for 3 years or more"/>
    <s v="Yes"/>
    <s v="Will work for them"/>
    <n v="10"/>
    <s v="Every Day Office Environment"/>
    <s v="Employer who appreciates learning and enables that environment"/>
    <x v="80"/>
    <s v="Manager who sets targets and expects me to achieve it"/>
    <x v="3"/>
    <x v="1"/>
  </r>
  <r>
    <d v="2022-12-21T14:47:07"/>
    <s v="India"/>
    <n v="2004"/>
    <x v="0"/>
    <s v="My Parents"/>
    <s v="No, But if someone could bare the cost I will"/>
    <s v="No way, 3 years with one employer is crazy"/>
    <s v="Yes"/>
    <s v="Will work for them"/>
    <n v="5"/>
    <s v="Hybrid Working Environment with less than 15 days a month at office"/>
    <s v="Employer who pushes your limits and doesn't enables learning environment and never rewards you"/>
    <x v="64"/>
    <s v="Manager who sets goal and helps me achieve it"/>
    <x v="18"/>
    <x v="1"/>
  </r>
  <r>
    <d v="2022-12-21T14:53:35"/>
    <s v="India"/>
    <n v="605005"/>
    <x v="1"/>
    <s v="People who have changed the world for better"/>
    <s v="No I would not be pursuing Higher Education outside of India"/>
    <s v="This will be hard to do, but if it is the right company I would try"/>
    <s v="Yes"/>
    <s v="Will NOT work for them"/>
    <n v="5"/>
    <s v="Fully Remote with Options to travel as and when needed"/>
    <s v="Employer who appreciates learning and enables that environment"/>
    <x v="73"/>
    <s v="Manager who explains what is expected, sets a goal and helps achieve it"/>
    <x v="1"/>
    <x v="1"/>
  </r>
  <r>
    <d v="2022-12-21T14:54:49"/>
    <s v="India"/>
    <n v="605007"/>
    <x v="0"/>
    <s v="My Parents"/>
    <s v="Yes, I will earn and do that"/>
    <s v="No way, 3 years with one employer is crazy"/>
    <s v="Yes"/>
    <s v="Will work for them"/>
    <n v="4"/>
    <s v="Every Day Office Environment"/>
    <s v="Employer who rewards learning and enables that environment"/>
    <x v="27"/>
    <s v="Manager who sets targets and expects me to achieve it"/>
    <x v="2"/>
    <x v="0"/>
  </r>
  <r>
    <d v="2022-12-21T15:00:58"/>
    <s v="India"/>
    <n v="605009"/>
    <x v="1"/>
    <s v="Social Media like LinkedIn"/>
    <s v="No I would not be pursuing Higher Education outside of India"/>
    <s v="This will be hard to do, but if it is the right company I would try"/>
    <s v="No"/>
    <s v="Will work for them"/>
    <n v="10"/>
    <s v="Every Day Office Environment"/>
    <s v="Employer who appreciates learning and enables that environment"/>
    <x v="17"/>
    <s v="Manager who clearly describes what she/he needs"/>
    <x v="6"/>
    <x v="1"/>
  </r>
  <r>
    <d v="2022-12-21T15:03:38"/>
    <s v="India"/>
    <n v="605007"/>
    <x v="0"/>
    <s v="People who have changed the world for better"/>
    <s v="No I would not be pursuing Higher Education outside of India"/>
    <s v="This will be hard to do, but if it is the right company I would try"/>
    <s v="No"/>
    <s v="Will NOT work for them"/>
    <n v="8"/>
    <s v="Every Day Office Environment"/>
    <s v="Employer who appreciates learning and enables that environment"/>
    <x v="72"/>
    <s v="Manager who clearly describes what she/he needs"/>
    <x v="6"/>
    <x v="1"/>
  </r>
  <r>
    <d v="2022-12-21T15:09:08"/>
    <s v="India"/>
    <n v="605014"/>
    <x v="0"/>
    <s v="My Parents"/>
    <s v="Yes, I will earn and do that"/>
    <s v="This will be hard to do, but if it is the right company I would try"/>
    <s v="Yes"/>
    <s v="Will NOT work for them"/>
    <n v="8"/>
    <s v="Fully Remote with Options to travel as and when needed"/>
    <s v="Employer who appreciates learning and enables that environment"/>
    <x v="35"/>
    <s v="Manager who sets unrealistic targets"/>
    <x v="7"/>
    <x v="1"/>
  </r>
  <r>
    <d v="2022-12-21T15:20:56"/>
    <s v="India"/>
    <n v="605107"/>
    <x v="0"/>
    <s v="People who have changed the world for better"/>
    <s v="No I would not be pursuing Higher Education outside of India"/>
    <s v="This will be hard to do, but if it is the right company I would try"/>
    <s v="No"/>
    <s v="Will NOT work for them"/>
    <n v="3"/>
    <s v="Every Day Office Environment"/>
    <s v="Employer who appreciates learning and enables that environment"/>
    <x v="70"/>
    <s v="Manager who clearly describes what she/he needs"/>
    <x v="6"/>
    <x v="0"/>
  </r>
  <r>
    <d v="2022-12-21T15:33:44"/>
    <s v="India"/>
    <n v="605009"/>
    <x v="1"/>
    <s v="People who have changed the world for better"/>
    <s v="No I would not be pursuing Higher Education outside of India"/>
    <s v="This will be hard to do, but if it is the right company I would try"/>
    <s v="No"/>
    <s v="Will NOT work for them"/>
    <n v="2"/>
    <s v="Hybrid Working Environment with less than 10 days a month at office"/>
    <s v="Employer who appreciates learning and enables that environment"/>
    <x v="16"/>
    <s v="Manager who explains what is expected, sets a goal and helps achieve it"/>
    <x v="4"/>
    <x v="0"/>
  </r>
  <r>
    <d v="2022-12-21T15:34:19"/>
    <s v="India"/>
    <n v="605001"/>
    <x v="1"/>
    <s v="Social Media like LinkedIn"/>
    <s v="Yes, I will earn and do that"/>
    <s v="No way, 3 years with one employer is crazy"/>
    <s v="Yes"/>
    <s v="Will work for them"/>
    <n v="8"/>
    <s v="Hybrid Working Environment with less than 15 days a month at office"/>
    <s v="Employers who appreciates learning but doesn't enables an learning environment"/>
    <x v="81"/>
    <s v="Manager who clearly describes what she/he needs"/>
    <x v="6"/>
    <x v="2"/>
  </r>
  <r>
    <d v="2022-12-21T15:44:50"/>
    <s v="India"/>
    <n v="605110"/>
    <x v="1"/>
    <s v="My Parents"/>
    <s v="No, But if someone could bare the cost I will"/>
    <s v="This will be hard to do, but if it is the right company I would try"/>
    <s v="Yes"/>
    <s v="Will work for them"/>
    <n v="3"/>
    <s v="Every Day Office Environment"/>
    <s v="Employer who appreciates learning and enables that environment"/>
    <x v="12"/>
    <s v="Manager who sets targets and expects me to achieve it"/>
    <x v="6"/>
    <x v="1"/>
  </r>
  <r>
    <d v="2022-12-21T16:12:35"/>
    <s v="India"/>
    <n v="442406"/>
    <x v="0"/>
    <s v="My Parents"/>
    <s v="No, But if someone could bare the cost I will"/>
    <s v="This will be hard to do, but if it is the right company I would try"/>
    <s v="No"/>
    <s v="Will NOT work for them"/>
    <n v="7"/>
    <s v="Fully Remote with No option to visit offices"/>
    <s v="Employer who pushes your limits by enabling an learning environment, and rewards you at the end"/>
    <x v="37"/>
    <s v="Manager who explains what is expected, sets a goal and helps achieve it"/>
    <x v="1"/>
    <x v="1"/>
  </r>
  <r>
    <d v="2022-12-21T16:51:36"/>
    <s v="India"/>
    <n v="605101"/>
    <x v="0"/>
    <s v="My Parents"/>
    <s v="Yes, I will earn and do that"/>
    <s v="This will be hard to do, but if it is the right company I would try"/>
    <s v="Yes"/>
    <s v="Will work for them"/>
    <n v="10"/>
    <s v="Fully Remote with Options to travel as and when needed"/>
    <s v="Employer who appreciates learning and enables that environment"/>
    <x v="35"/>
    <s v="Manager who sets targets and expects me to achieve it"/>
    <x v="1"/>
    <x v="1"/>
  </r>
  <r>
    <d v="2022-12-21T17:10:18"/>
    <s v="India"/>
    <n v="605008"/>
    <x v="0"/>
    <s v="People from my circle, but not family members"/>
    <s v="Yes, I will earn and do that"/>
    <s v="Will work for 3 years or more"/>
    <s v="No"/>
    <s v="Will NOT work for them"/>
    <n v="7"/>
    <s v="Fully Remote with Options to travel as and when needed"/>
    <s v="Employer who pushes your limits by enabling an learning environment, and rewards you at the end"/>
    <x v="72"/>
    <s v="Manager who sets goal and helps me achieve it"/>
    <x v="7"/>
    <x v="1"/>
  </r>
  <r>
    <d v="2022-12-21T17:26:05"/>
    <s v="India"/>
    <n v="722207"/>
    <x v="0"/>
    <s v="People from my circle, but not family members"/>
    <s v="No I would not be pursuing Higher Education outside of India"/>
    <s v="This will be hard to do, but if it is the right company I would try"/>
    <s v="Yes"/>
    <s v="Will work for them"/>
    <n v="5"/>
    <s v="Hybrid Working Environment with less than 3 days a month at office"/>
    <s v="Employer who rewards learning and enables that environment"/>
    <x v="30"/>
    <s v="Manager who explains what is expected, sets a goal and helps achieve it"/>
    <x v="3"/>
    <x v="2"/>
  </r>
  <r>
    <d v="2022-12-21T17:43:42"/>
    <s v="India"/>
    <n v="604102"/>
    <x v="1"/>
    <s v="People who have changed the world for better"/>
    <s v="Yes, I will earn and do that"/>
    <s v="Will work for 3 years or more"/>
    <s v="Yes"/>
    <s v="Will work for them"/>
    <n v="4"/>
    <s v="Hybrid Working Environment with less than 10 days a month at office"/>
    <s v="Employer who appreciates learning and enables that environment"/>
    <x v="5"/>
    <s v="Manager who sets goal and helps me achieve it"/>
    <x v="7"/>
    <x v="1"/>
  </r>
  <r>
    <d v="2022-12-21T18:07:47"/>
    <s v="India"/>
    <n v="122002"/>
    <x v="0"/>
    <s v="People who have changed the world for better"/>
    <s v="Yes, I will earn and do that"/>
    <s v="No way, 3 years with one employer is crazy"/>
    <s v="No"/>
    <s v="Will NOT work for them"/>
    <n v="7"/>
    <s v="Hybrid Working Environment with less than 15 days a month at office"/>
    <s v="Employer who rewards learning and enables that environment"/>
    <x v="82"/>
    <s v="Manager who explains what is expected, sets a goal and helps achieve it"/>
    <x v="1"/>
    <x v="1"/>
  </r>
  <r>
    <d v="2022-12-21T18:12:42"/>
    <s v="India"/>
    <n v="605102"/>
    <x v="1"/>
    <s v="My Parents"/>
    <s v="Yes, I will earn and do that"/>
    <s v="This will be hard to do, but if it is the right company I would try"/>
    <s v="Yes"/>
    <s v="Will work for them"/>
    <n v="5"/>
    <s v="Every Day Office Environment"/>
    <s v="Employer who appreciates learning and enables that environment"/>
    <x v="83"/>
    <s v="Manager who sets targets and expects me to achieve it"/>
    <x v="4"/>
    <x v="1"/>
  </r>
  <r>
    <d v="2022-12-21T21:23:38"/>
    <s v="India"/>
    <n v="607001"/>
    <x v="0"/>
    <s v="Social Media like LinkedIn"/>
    <s v="No, But if someone could bare the cost I will"/>
    <s v="This will be hard to do, but if it is the right company I would try"/>
    <s v="Yes"/>
    <s v="Will work for them"/>
    <n v="5"/>
    <s v="Hybrid Working Environment with less than 15 days a month at office"/>
    <s v="Employer who pushes your limits by enabling an learning environment, and rewards you at the end"/>
    <x v="15"/>
    <s v="Manager who explains what is expected, sets a goal and helps achieve it"/>
    <x v="3"/>
    <x v="1"/>
  </r>
  <r>
    <d v="2022-12-21T21:40:05"/>
    <s v="India"/>
    <n v="605102"/>
    <x v="1"/>
    <s v="My Parents"/>
    <s v="Yes, I will earn and do that"/>
    <s v="Will work for 3 years or more"/>
    <s v="Yes"/>
    <s v="Will work for them"/>
    <n v="1"/>
    <s v="Every Day Office Environment"/>
    <s v="Employer who appreciates learning and enables that environment"/>
    <x v="84"/>
    <s v="Manager who sets goal and helps me achieve it"/>
    <x v="4"/>
    <x v="1"/>
  </r>
  <r>
    <d v="2022-12-22T07:31:57"/>
    <s v="India"/>
    <n v="500026"/>
    <x v="1"/>
    <s v="People who have changed the world for better"/>
    <s v="No I would not be pursuing Higher Education outside of India"/>
    <s v="This will be hard to do, but if it is the right company I would try"/>
    <s v="No"/>
    <s v="Will NOT work for them"/>
    <n v="7"/>
    <s v="Hybrid Working Environment with less than 10 days a month at office"/>
    <s v="Employer who pushes your limits by enabling an learning environment, and rewards you at the end"/>
    <x v="22"/>
    <s v="Manager who explains what is expected, sets a goal and helps achieve it"/>
    <x v="1"/>
    <x v="1"/>
  </r>
  <r>
    <d v="2022-12-22T08:48:49"/>
    <s v="India"/>
    <n v="500030"/>
    <x v="1"/>
    <s v="Social Media like LinkedIn"/>
    <s v="Yes, I will earn and do that"/>
    <s v="This will be hard to do, but if it is the right company I would try"/>
    <s v="No"/>
    <s v="Will NOT work for them"/>
    <n v="5"/>
    <s v="Every Day Office Environment"/>
    <s v="Employer who appreciates learning and enables that environment"/>
    <x v="25"/>
    <s v="Manager who explains what is expected, sets a goal and helps achieve it"/>
    <x v="4"/>
    <x v="0"/>
  </r>
  <r>
    <d v="2022-12-22T10:47:53"/>
    <s v="India"/>
    <n v="462043"/>
    <x v="1"/>
    <s v="People who have changed the world for better"/>
    <s v="Yes, I will earn and do that"/>
    <s v="This will be hard to do, but if it is the right company I would try"/>
    <s v="No"/>
    <s v="Will NOT work for them"/>
    <n v="8"/>
    <s v="Every Day Office Environment"/>
    <s v="Employer who pushes your limits by enabling an learning environment, and rewards you at the end"/>
    <x v="24"/>
    <s v="Manager who sets goal and helps me achieve it"/>
    <x v="5"/>
    <x v="0"/>
  </r>
  <r>
    <d v="2022-12-22T11:41:05"/>
    <s v="India"/>
    <n v="786001"/>
    <x v="0"/>
    <s v="People from my circle, but not family members"/>
    <s v="No, But if someone could bare the cost I will"/>
    <s v="This will be hard to do, but if it is the right company I would try"/>
    <s v="No"/>
    <s v="Will work for them"/>
    <n v="9"/>
    <s v="Hybrid Working Environment with less than 15 days a month at office"/>
    <s v="Employer who pushes your limits by enabling an learning environment, and rewards you at the end"/>
    <x v="39"/>
    <s v="Manager who explains what is expected, sets a goal and helps achieve it"/>
    <x v="4"/>
    <x v="0"/>
  </r>
  <r>
    <d v="2022-12-22T12:27:18"/>
    <s v="India"/>
    <n v="605004"/>
    <x v="0"/>
    <s v="Influencers who had successful careers"/>
    <s v="Yes, I will earn and do that"/>
    <s v="This will be hard to do, but if it is the right company I would try"/>
    <s v="No"/>
    <s v="Will NOT work for them"/>
    <n v="3"/>
    <s v="Hybrid Working Environment with less than 15 days a month at office"/>
    <s v="Employer who pushes your limits by enabling an learning environment, and rewards you at the end"/>
    <x v="15"/>
    <s v="Manager who explains what is expected, sets a goal and helps achieve it"/>
    <x v="9"/>
    <x v="0"/>
  </r>
  <r>
    <d v="2022-12-22T12:40:31"/>
    <s v="India"/>
    <n v="700041"/>
    <x v="0"/>
    <s v="People who have changed the world for better"/>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18"/>
    <s v="Manager who explains what is expected, sets a goal and helps achieve it"/>
    <x v="3"/>
    <x v="0"/>
  </r>
  <r>
    <d v="2022-12-22T12:47:00"/>
    <s v="India"/>
    <n v="700041"/>
    <x v="1"/>
    <s v="My Parents"/>
    <s v="No I would not be pursuing Higher Education outside of India"/>
    <s v="This will be hard to do, but if it is the right company I would try"/>
    <s v="No"/>
    <s v="Will NOT work for them"/>
    <n v="9"/>
    <s v="Fully Remote with Options to travel as and when needed"/>
    <s v="Employer who appreciates learning and enables that environment"/>
    <x v="18"/>
    <s v="Manager who sets goal and helps me achieve it"/>
    <x v="11"/>
    <x v="0"/>
  </r>
  <r>
    <d v="2022-12-22T14:58:34"/>
    <s v="India"/>
    <n v="828114"/>
    <x v="0"/>
    <s v="Influencers who had successful careers"/>
    <s v="Yes, I will earn and do that"/>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42"/>
    <s v="Manager who sets goal and helps me achieve it"/>
    <x v="1"/>
    <x v="1"/>
  </r>
  <r>
    <d v="2022-12-22T15:34:47"/>
    <s v="Germany"/>
    <n v="85368"/>
    <x v="1"/>
    <s v="People who have changed the world for better"/>
    <s v="Yes, I will earn and do that"/>
    <s v="This will be hard to do, but if it is the right company I would try"/>
    <s v="No"/>
    <s v="Will NOT work for them"/>
    <n v="5"/>
    <s v="Fully Remote with Options to travel as and when needed"/>
    <s v="Employer who appreciates learning and enables that environment"/>
    <x v="57"/>
    <s v="Manager who clearly describes what she/he needs"/>
    <x v="3"/>
    <x v="1"/>
  </r>
  <r>
    <d v="2022-12-22T15:37:31"/>
    <s v="Germany"/>
    <n v="81369"/>
    <x v="1"/>
    <s v="My Parents"/>
    <s v="Yes, I will earn and do that"/>
    <s v="This will be hard to do, but if it is the right company I would try"/>
    <s v="Yes"/>
    <s v="Will work for them"/>
    <n v="10"/>
    <s v="Hybrid Working Environment with less than 10 days a month at office"/>
    <s v="Employer who rewards learning and enables that environment"/>
    <x v="79"/>
    <s v="Manager who explains what is expected, sets a goal and helps achieve it"/>
    <x v="3"/>
    <x v="1"/>
  </r>
  <r>
    <d v="2022-12-22T17:06:52"/>
    <s v="India"/>
    <n v="81241"/>
    <x v="0"/>
    <s v="People who have changed the world for better"/>
    <s v="Yes, I will earn and do that"/>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13"/>
    <s v="Manager who explains what is expected, sets a goal and helps achieve it"/>
    <x v="1"/>
    <x v="0"/>
  </r>
  <r>
    <d v="2022-12-22T17:19:50"/>
    <s v="India"/>
    <n v="176022"/>
    <x v="0"/>
    <s v="Social Media like LinkedIn"/>
    <s v="Yes, I will earn and do that"/>
    <s v="Will work for 3 years or more"/>
    <s v="No"/>
    <s v="Will work for them"/>
    <n v="7"/>
    <s v="Hybrid Working Environment with less than 10 days a month at office"/>
    <s v="Employer who rewards learning and enables that environment"/>
    <x v="41"/>
    <s v="Manager who sets targets and expects me to achieve it"/>
    <x v="1"/>
    <x v="1"/>
  </r>
  <r>
    <d v="2022-12-22T21:30:17"/>
    <s v="Canada"/>
    <s v="N2H6M6"/>
    <x v="0"/>
    <s v="People who have changed the world for better"/>
    <s v="Yes, I will earn and do that"/>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15"/>
    <s v="Manager who explains what is expected, sets a goal and helps achieve it"/>
    <x v="7"/>
    <x v="0"/>
  </r>
  <r>
    <d v="2022-12-22T22:59:12"/>
    <s v="India"/>
    <n v="500078"/>
    <x v="0"/>
    <s v="My Parents"/>
    <s v="No, But if someone could bare the cost I will"/>
    <s v="This will be hard to do, but if it is the right company I would try"/>
    <s v="Yes"/>
    <s v="Will work for them"/>
    <n v="8"/>
    <s v="Hybrid Working Environment with less than 15 days a month at office"/>
    <s v="Employer who rewards learning and enables that environment"/>
    <x v="85"/>
    <s v="Manager who explains what is expected, sets a goal and helps achieve it"/>
    <x v="2"/>
    <x v="1"/>
  </r>
  <r>
    <d v="2022-12-23T01:32:49"/>
    <s v="Germany"/>
    <n v="81241"/>
    <x v="0"/>
    <s v="My Parents"/>
    <s v="Yes, I will earn and do that"/>
    <s v="This will be hard to do, but if it is the right company I would try"/>
    <s v="No"/>
    <s v="Will NOT work for them"/>
    <n v="3"/>
    <s v="Hybrid Working Environment with less than 15 days a month at office"/>
    <s v="Employer who rewards learning and enables that environment"/>
    <x v="15"/>
    <s v="Manager who sets goal and helps me achieve it"/>
    <x v="3"/>
    <x v="1"/>
  </r>
  <r>
    <d v="2022-12-23T17:15:29"/>
    <s v="India"/>
    <n v="305901"/>
    <x v="0"/>
    <s v="People from my circle, but not family members"/>
    <s v="Yes, I will earn and do that"/>
    <s v="This will be hard to do, but if it is the right company I would try"/>
    <s v="No"/>
    <s v="Will NOT work for them"/>
    <n v="6"/>
    <s v="Hybrid Working Environment with less than 15 days a month at office"/>
    <s v="Employer who pushes your limits by enabling an learning environment, and rewards you at the end"/>
    <x v="11"/>
    <s v="Manager who explains what is expected, sets a goal and helps achieve it"/>
    <x v="1"/>
    <x v="0"/>
  </r>
  <r>
    <d v="2022-12-23T18:15:23"/>
    <s v="India"/>
    <n v="385001"/>
    <x v="1"/>
    <s v="My Parents"/>
    <s v="No I would not be pursuing Higher Education outside of India"/>
    <s v="This will be hard to do, but if it is the right company I would try"/>
    <s v="Yes"/>
    <s v="Will work for them"/>
    <n v="10"/>
    <s v="Fully Remote with Options to travel as and when needed"/>
    <s v="Employer who appreciates learning and enables that environment"/>
    <x v="86"/>
    <s v="Manager who clearly describes what she/he needs"/>
    <x v="6"/>
    <x v="2"/>
  </r>
  <r>
    <d v="2022-12-23T18:16:37"/>
    <s v="India"/>
    <n v="385001"/>
    <x v="1"/>
    <s v="My Parents"/>
    <s v="No I would not be pursuing Higher Education outside of India"/>
    <s v="This will be hard to do, but if it is the right company I would try"/>
    <s v="Yes"/>
    <s v="Will work for them"/>
    <n v="4"/>
    <s v="Every Day Office Environment"/>
    <s v="Employer who appreciates learning and enables that environment"/>
    <x v="70"/>
    <s v="Manager who explains what is expected, sets a goal and helps achieve it"/>
    <x v="1"/>
    <x v="1"/>
  </r>
  <r>
    <d v="2022-12-23T18:17:13"/>
    <s v="India"/>
    <n v="380052"/>
    <x v="1"/>
    <s v="My Parents"/>
    <s v="Yes, I will earn and do that"/>
    <s v="Will work for 3 years or more"/>
    <s v="Yes"/>
    <s v="Will NOT work for them"/>
    <n v="10"/>
    <s v="Hybrid Working Environment with less than 3 days a month at office"/>
    <s v="Employer who pushes your limits by enabling an learning environment, and rewards you at the end"/>
    <x v="72"/>
    <s v="Manager who explains what is expected, sets a goal and helps achieve it"/>
    <x v="3"/>
    <x v="0"/>
  </r>
  <r>
    <d v="2022-12-23T18:49:14"/>
    <s v="India"/>
    <n v="576213"/>
    <x v="0"/>
    <s v="People who have changed the world for better"/>
    <s v="No, But if someone could bare the cost I will"/>
    <s v="Will work for 3 years or more"/>
    <s v="No"/>
    <s v="Will work for them"/>
    <n v="3"/>
    <s v="Hybrid Working Environment with less than 10 days a month at office"/>
    <s v="Employer who appreciates learning and enables that environment"/>
    <x v="32"/>
    <s v="Manager who explains what is expected, sets a goal and helps achieve it"/>
    <x v="1"/>
    <x v="1"/>
  </r>
  <r>
    <d v="2022-12-23T18:52:23"/>
    <s v="India"/>
    <n v="576213"/>
    <x v="1"/>
    <s v="Influencers who had successful careers"/>
    <s v="No, But if someone could bare the cost I will"/>
    <s v="This will be hard to do, but if it is the right company I would try"/>
    <s v="Yes"/>
    <s v="Will NOT work for them"/>
    <n v="5"/>
    <s v="Hybrid Working Environment with less than 15 days a month at office"/>
    <s v="Employer who pushes your limits by enabling an learning environment, and rewards you at the end"/>
    <x v="3"/>
    <s v="Manager who clearly describes what she/he needs"/>
    <x v="4"/>
    <x v="0"/>
  </r>
  <r>
    <d v="2022-12-23T18:58:21"/>
    <s v="India"/>
    <n v="385210"/>
    <x v="0"/>
    <s v="Influencers who had successful careers"/>
    <s v="No I would not be pursuing Higher Education outside of India"/>
    <s v="Will work for 3 years or more"/>
    <s v="Yes"/>
    <s v="Will work for them"/>
    <n v="10"/>
    <s v="Fully Remote with Options to travel as and when needed"/>
    <s v="Employer who pushes your limits by enabling an learning environment, and rewards you at the end"/>
    <x v="13"/>
    <s v="Manager who sets targets and expects me to achieve it"/>
    <x v="3"/>
    <x v="1"/>
  </r>
  <r>
    <d v="2022-12-23T19:00:31"/>
    <s v="India"/>
    <n v="575007"/>
    <x v="1"/>
    <s v="My Parents"/>
    <s v="No I would not be pursuing Higher Education outside of India"/>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87"/>
    <s v="Manager who explains what is expected, sets a goal and helps achieve it"/>
    <x v="3"/>
    <x v="0"/>
  </r>
  <r>
    <d v="2022-12-23T19:05:40"/>
    <s v="India"/>
    <n v="385001"/>
    <x v="1"/>
    <s v="My Parents"/>
    <s v="Yes, I will earn and do that"/>
    <s v="Will work for 3 years or more"/>
    <s v="Yes"/>
    <s v="Will work for them"/>
    <n v="1"/>
    <s v="Every Day Office Environment"/>
    <s v="Employer who appreciates learning and enables that environment"/>
    <x v="27"/>
    <s v="Manager who clearly describes what she/he needs"/>
    <x v="7"/>
    <x v="1"/>
  </r>
  <r>
    <d v="2022-12-23T19:05:43"/>
    <s v="India"/>
    <n v="574141"/>
    <x v="1"/>
    <s v="My Parents"/>
    <s v="No I would not be pursuing Higher Education outside of India"/>
    <s v="Will work for 3 years or more"/>
    <s v="No"/>
    <s v="Will NOT work for them"/>
    <n v="5"/>
    <s v="Every Day Office Environment"/>
    <s v="Employer who pushes your limits by enabling an learning environment, and rewards you at the end"/>
    <x v="72"/>
    <s v="Manager who explains what is expected, sets a goal and helps achieve it"/>
    <x v="3"/>
    <x v="0"/>
  </r>
  <r>
    <d v="2022-12-23T19:06:54"/>
    <s v="India"/>
    <n v="385001"/>
    <x v="0"/>
    <s v="My Parents"/>
    <s v="Yes, I will earn and do that"/>
    <s v="Will work for 3 years or more"/>
    <s v="Yes"/>
    <s v="Will work for them"/>
    <n v="4"/>
    <s v="Every Day Office Environment"/>
    <s v="Employer who pushes your limits by enabling an learning environment, and rewards you at the end"/>
    <x v="48"/>
    <s v="Manager who sets goal and helps me achieve it"/>
    <x v="0"/>
    <x v="2"/>
  </r>
  <r>
    <d v="2022-12-23T19:07:56"/>
    <s v="India"/>
    <n v="576221"/>
    <x v="1"/>
    <s v="People who have changed the world for better"/>
    <s v="No I would not be pursuing Higher Education outside of India"/>
    <s v="This will be hard to do, but if it is the right company I would try"/>
    <s v="No"/>
    <s v="Will NOT work for them"/>
    <n v="3"/>
    <s v="Every Day Office Environment"/>
    <s v="Employer who appreciates learning and enables that environment"/>
    <x v="16"/>
    <s v="Manager who explains what is expected, sets a goal and helps achieve it"/>
    <x v="4"/>
    <x v="0"/>
  </r>
  <r>
    <d v="2022-12-23T19:09:40"/>
    <s v="India"/>
    <n v="385001"/>
    <x v="0"/>
    <s v="People who have changed the world for better"/>
    <s v="Yes, I will earn and do that"/>
    <s v="This will be hard to do, but if it is the right company I would try"/>
    <s v="No"/>
    <s v="Will NOT work for them"/>
    <n v="10"/>
    <s v="Every Day Office Environment"/>
    <s v="Employer who pushes your limits by enabling an learning environment, and rewards you at the end"/>
    <x v="66"/>
    <s v="Manager who explains what is expected, sets a goal and helps achieve it"/>
    <x v="3"/>
    <x v="0"/>
  </r>
  <r>
    <d v="2022-12-23T19:10:38"/>
    <s v="India"/>
    <n v="574227"/>
    <x v="0"/>
    <s v="My Parents"/>
    <s v="No, But if someone could bare the cost I will"/>
    <s v="This will be hard to do, but if it is the right company I would try"/>
    <s v="Yes"/>
    <s v="Will NOT work for them"/>
    <n v="2"/>
    <s v="Fully Remote with Options to travel as and when needed"/>
    <s v="Employer who pushes your limits by enabling an learning environment, and rewards you at the end"/>
    <x v="7"/>
    <s v="Manager who sets goal and helps me achieve it"/>
    <x v="8"/>
    <x v="0"/>
  </r>
  <r>
    <d v="2022-12-23T19:14:15"/>
    <s v="India"/>
    <n v="385001"/>
    <x v="1"/>
    <s v="My Parent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65"/>
    <s v="Manager who explains what is expected, sets a goal and helps achieve it"/>
    <x v="1"/>
    <x v="2"/>
  </r>
  <r>
    <d v="2022-12-23T19:18:08"/>
    <s v="India"/>
    <n v="576106"/>
    <x v="0"/>
    <s v="My Parents"/>
    <s v="No I would not be pursuing Higher Education outside of India"/>
    <s v="Will work for 3 years or more"/>
    <s v="No"/>
    <s v="Will NOT work for them"/>
    <n v="1"/>
    <s v="Fully Remote with Options to travel as and when needed"/>
    <s v="Employer who appreciates learning and enables that environment"/>
    <x v="57"/>
    <s v="Manager who sets goal and helps me achieve it"/>
    <x v="7"/>
    <x v="1"/>
  </r>
  <r>
    <d v="2022-12-23T19:18:21"/>
    <s v="United Arab Emirates"/>
    <n v="420"/>
    <x v="1"/>
    <s v="People who have changed the world for better"/>
    <s v="No I would not be pursuing Higher Education outside of India"/>
    <s v="No way, 3 years with one employer is crazy"/>
    <s v="No"/>
    <s v="Will NOT work for them"/>
    <n v="1"/>
    <s v="Fully Remote with No option to visit offices"/>
    <s v="Employers who appreciates learning but doesn't enables an learning environment"/>
    <x v="88"/>
    <s v="Manager who sets unrealistic targets"/>
    <x v="6"/>
    <x v="2"/>
  </r>
  <r>
    <d v="2022-12-23T19:25:52"/>
    <s v="India"/>
    <n v="576213"/>
    <x v="1"/>
    <s v="People from my circle, but not family members"/>
    <s v="No I would not be pursuing Higher Education outside of India"/>
    <s v="This will be hard to do, but if it is the right company I would try"/>
    <s v="Yes"/>
    <s v="Will NOT work for them"/>
    <n v="8"/>
    <s v="Hybrid Working Environment with less than 10 days a month at office"/>
    <s v="Employer who appreciates learning and enables that environment"/>
    <x v="63"/>
    <s v="Manager who explains what is expected, sets a goal and helps achieve it"/>
    <x v="4"/>
    <x v="0"/>
  </r>
  <r>
    <d v="2022-12-23T19:34:41"/>
    <s v="India"/>
    <n v="576210"/>
    <x v="1"/>
    <s v="My Parents"/>
    <s v="Yes, I will earn and do that"/>
    <s v="Will work for 3 years or more"/>
    <s v="No"/>
    <s v="Will NOT work for them"/>
    <n v="5"/>
    <s v="Every Day Office Environment"/>
    <s v="Employer who appreciates learning and enables that environment"/>
    <x v="1"/>
    <s v="Manager who clearly describes what she/he needs"/>
    <x v="7"/>
    <x v="1"/>
  </r>
  <r>
    <d v="2022-12-23T19:37:33"/>
    <s v="India"/>
    <n v="385001"/>
    <x v="1"/>
    <s v="My Parents"/>
    <s v="No I would not be pursuing Higher Education outside of India"/>
    <s v="This will be hard to do, but if it is the right company I would try"/>
    <s v="No"/>
    <s v="Will NOT work for them"/>
    <n v="3"/>
    <s v="Every Day Office Environment"/>
    <s v="Employer who appreciates learning and enables that environment"/>
    <x v="89"/>
    <s v="Manager who clearly describes what she/he needs"/>
    <x v="7"/>
    <x v="1"/>
  </r>
  <r>
    <d v="2022-12-23T19:44:41"/>
    <s v="India"/>
    <n v="385001"/>
    <x v="1"/>
    <s v="My Parents"/>
    <s v="No I would not be pursuing Higher Education outside of India"/>
    <s v="This will be hard to do, but if it is the right company I would try"/>
    <s v="Yes"/>
    <s v="Will work for them"/>
    <n v="9"/>
    <s v="Every Day Office Environment"/>
    <s v="Employer who pushes your limits and doesn't enables learning environment and never rewards you"/>
    <x v="35"/>
    <s v="Manager who explains what is expected, sets a goal and helps achieve it"/>
    <x v="4"/>
    <x v="1"/>
  </r>
  <r>
    <d v="2022-12-23T19:57:32"/>
    <s v="India"/>
    <n v="574102"/>
    <x v="0"/>
    <s v="People from my circle, but not family members"/>
    <s v="Yes, I will earn and do that"/>
    <s v="Will work for 3 years or more"/>
    <s v="Yes"/>
    <s v="Will NOT work for them"/>
    <n v="9"/>
    <s v="Fully Remote with Options to travel as and when needed"/>
    <s v="Employer who rewards learning and enables that environment"/>
    <x v="15"/>
    <s v="Manager who explains what is expected, sets a goal and helps achieve it"/>
    <x v="1"/>
    <x v="0"/>
  </r>
  <r>
    <d v="2022-12-23T20:13:18"/>
    <s v="India"/>
    <n v="576221"/>
    <x v="1"/>
    <s v="My Parents"/>
    <s v="No I would not be pursuing Higher Education outside of India"/>
    <s v="This will be hard to do, but if it is the right company I would try"/>
    <s v="Yes"/>
    <s v="Will NOT work for them"/>
    <n v="4"/>
    <s v="Every Day Office Environment"/>
    <s v="Employer who rewards learning and enables that environment"/>
    <x v="63"/>
    <s v="Manager who sets goal and helps me achieve it"/>
    <x v="1"/>
    <x v="0"/>
  </r>
  <r>
    <d v="2022-12-23T21:36:47"/>
    <s v="India"/>
    <n v="605008"/>
    <x v="1"/>
    <s v="Social Media like LinkedIn"/>
    <s v="Yes, I will earn and do that"/>
    <s v="Will work for 3 years or more"/>
    <s v="Yes"/>
    <s v="Will work for them"/>
    <n v="5"/>
    <s v="Every Day Office Environment"/>
    <s v="Employer who rewards learning and enables that environment"/>
    <x v="33"/>
    <s v="Manager who explains what is expected, sets a goal and helps achieve it"/>
    <x v="1"/>
    <x v="1"/>
  </r>
  <r>
    <d v="2022-12-23T21:39:28"/>
    <s v="India"/>
    <n v="385120"/>
    <x v="0"/>
    <s v="My Parents"/>
    <s v="No I would not be pursuing Higher Education outside of India"/>
    <s v="Will work for 3 years or more"/>
    <s v="No"/>
    <s v="Will NOT work for them"/>
    <n v="1"/>
    <s v="Every Day Office Environment"/>
    <s v="Employer who appreciates learning and enables that environment"/>
    <x v="33"/>
    <s v="Manager who explains what is expected, sets a goal and helps achieve it"/>
    <x v="1"/>
    <x v="0"/>
  </r>
  <r>
    <d v="2022-12-23T21:41:13"/>
    <s v="India"/>
    <n v="605601"/>
    <x v="0"/>
    <s v="My Parents"/>
    <s v="No I would not be pursuing Higher Education outside of India"/>
    <s v="Will work for 3 years or more"/>
    <s v="Yes"/>
    <s v="Will work for them"/>
    <n v="1"/>
    <s v="Hybrid Working Environment with less than 3 days a month at office"/>
    <s v="Employer who rewards learning and enables that environment"/>
    <x v="89"/>
    <s v="Manager who explains what is expected, sets a goal and helps achieve it"/>
    <x v="6"/>
    <x v="1"/>
  </r>
  <r>
    <d v="2022-12-23T21:54:00"/>
    <s v="India"/>
    <n v="385001"/>
    <x v="1"/>
    <s v="My Parents"/>
    <s v="No, But if someone could bare the cost I will"/>
    <s v="This will be hard to do, but if it is the right company I would try"/>
    <s v="No"/>
    <s v="Will NOT work for them"/>
    <n v="5"/>
    <s v="Every Day Office Environment"/>
    <s v="Employer who rewards learning and enables that environment"/>
    <x v="27"/>
    <s v="Manager who explains what is expected, sets a goal and helps achieve it"/>
    <x v="3"/>
    <x v="1"/>
  </r>
  <r>
    <d v="2022-12-23T21:54:31"/>
    <s v="India"/>
    <n v="607301"/>
    <x v="0"/>
    <s v="My Parents"/>
    <s v="Yes, I will earn and do that"/>
    <s v="Will work for 3 years or more"/>
    <s v="No"/>
    <s v="Will NOT work for them"/>
    <n v="5"/>
    <s v="Fully Remote with Options to travel as and when needed"/>
    <s v="Employer who appreciates learning and enables that environment"/>
    <x v="0"/>
    <s v="Manager who sets goal and helps me achieve it"/>
    <x v="6"/>
    <x v="1"/>
  </r>
  <r>
    <d v="2022-12-23T22:08:51"/>
    <s v="India"/>
    <n v="576229"/>
    <x v="1"/>
    <s v="My Parents"/>
    <s v="No I would not be pursuing Higher Education outside of India"/>
    <s v="This will be hard to do, but if it is the right company I would try"/>
    <s v="No"/>
    <s v="Will NOT work for them"/>
    <n v="3"/>
    <s v="Hybrid Working Environment with less than 15 days a month at office"/>
    <s v="Employer who pushes your limits by enabling an learning environment, and rewards you at the end"/>
    <x v="54"/>
    <s v="Manager who explains what is expected, sets a goal and helps achieve it"/>
    <x v="1"/>
    <x v="0"/>
  </r>
  <r>
    <d v="2022-12-23T22:59:43"/>
    <s v="India"/>
    <n v="385001"/>
    <x v="0"/>
    <s v="My Parents"/>
    <s v="Yes, I will earn and do that"/>
    <s v="This will be hard to do, but if it is the right company I would try"/>
    <s v="No"/>
    <s v="Will NOT work for them"/>
    <n v="7"/>
    <s v="Fully Remote with Options to travel as and when needed"/>
    <s v="Employer who pushes your limits by enabling an learning environment, and rewards you at the end"/>
    <x v="15"/>
    <s v="Manager who explains what is expected, sets a goal and helps achieve it"/>
    <x v="7"/>
    <x v="0"/>
  </r>
  <r>
    <d v="2022-12-23T23:28:32"/>
    <s v="India"/>
    <n v="385001"/>
    <x v="1"/>
    <s v="People who have changed the world for better"/>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22"/>
    <s v="Manager who clearly describes what she/he needs"/>
    <x v="3"/>
    <x v="0"/>
  </r>
  <r>
    <d v="2022-12-24T06:23:12"/>
    <s v="India"/>
    <n v="385210"/>
    <x v="0"/>
    <s v="My Parents"/>
    <s v="No, But if someone could bare the cost I will"/>
    <s v="This will be hard to do, but if it is the right company I would try"/>
    <s v="Yes"/>
    <s v="Will work for them"/>
    <n v="4"/>
    <s v="Hybrid Working Environment with less than 15 days a month at office"/>
    <s v="Employer who pushes your limits by enabling an learning environment, and rewards you at the end"/>
    <x v="4"/>
    <s v="Manager who clearly describes what she/he needs"/>
    <x v="6"/>
    <x v="0"/>
  </r>
  <r>
    <d v="2022-12-24T09:15:26"/>
    <s v="India"/>
    <n v="574611"/>
    <x v="1"/>
    <s v="Influencers who had successful careers"/>
    <s v="No I would not be pursuing Higher Education outside of India"/>
    <s v="Will work for 3 years or more"/>
    <s v="No"/>
    <s v="Will NOT work for them"/>
    <n v="6"/>
    <s v="Every Day Office Environment"/>
    <s v="Employer who appreciates learning and enables that environment"/>
    <x v="72"/>
    <s v="Manager who clearly describes what she/he needs"/>
    <x v="1"/>
    <x v="0"/>
  </r>
  <r>
    <d v="2022-12-24T09:39:47"/>
    <s v="India"/>
    <n v="574103"/>
    <x v="0"/>
    <s v="People who have changed the world for better"/>
    <s v="Yes, I will earn and do that"/>
    <s v="Will work for 3 years or more"/>
    <s v="Yes"/>
    <s v="Will NOT work for them"/>
    <n v="7"/>
    <s v="Hybrid Working Environment with less than 10 days a month at office"/>
    <s v="Employer who pushes your limits by enabling an learning environment, and rewards you at the end"/>
    <x v="27"/>
    <s v="Manager who explains what is expected, sets a goal and helps achieve it"/>
    <x v="16"/>
    <x v="0"/>
  </r>
  <r>
    <d v="2022-12-24T09:45:50"/>
    <s v="India"/>
    <n v="574111"/>
    <x v="1"/>
    <s v="Influencers who had successful careers"/>
    <s v="No, But if someone could bare the cost I will"/>
    <s v="This will be hard to do, but if it is the right company I would try"/>
    <s v="No"/>
    <s v="Will NOT work for them"/>
    <n v="8"/>
    <s v="Fully Remote with Options to travel as and when needed"/>
    <s v="Employer who pushes your limits by enabling an learning environment, and rewards you at the end"/>
    <x v="32"/>
    <s v="Manager who explains what is expected, sets a goal and helps achieve it"/>
    <x v="11"/>
    <x v="0"/>
  </r>
  <r>
    <d v="2022-12-24T11:02:44"/>
    <s v="India"/>
    <n v="385520"/>
    <x v="0"/>
    <s v="People who have changed the world for better"/>
    <s v="No I would not be pursuing Higher Education outside of India"/>
    <s v="Will work for 3 years or more"/>
    <s v="No"/>
    <s v="Will NOT work for them"/>
    <n v="3"/>
    <s v="Fully Remote with Options to travel as and when needed"/>
    <s v="Employer who pushes your limits by enabling an learning environment, and rewards you at the end"/>
    <x v="63"/>
    <s v="Manager who explains what is expected, sets a goal and helps achieve it"/>
    <x v="3"/>
    <x v="1"/>
  </r>
  <r>
    <d v="2022-12-24T11:09:59"/>
    <s v="India"/>
    <n v="576213"/>
    <x v="1"/>
    <s v="People who have changed the world for better"/>
    <s v="Yes, I will earn and do that"/>
    <s v="This will be hard to do, but if it is the right company I would try"/>
    <s v="No"/>
    <s v="Will NOT work for them"/>
    <n v="3"/>
    <s v="Fully Remote with Options to travel as and when needed"/>
    <s v="Employer who appreciates learning and enables that environment"/>
    <x v="24"/>
    <s v="Manager who sets goal and helps me achieve it"/>
    <x v="3"/>
    <x v="0"/>
  </r>
  <r>
    <d v="2022-12-24T14:25:49"/>
    <s v="India"/>
    <n v="385520"/>
    <x v="1"/>
    <s v="Influencers who had successful careers"/>
    <s v="Yes, I will earn and do that"/>
    <s v="This will be hard to do, but if it is the right company I would try"/>
    <s v="Yes"/>
    <s v="Will work for them"/>
    <n v="5"/>
    <s v="Hybrid Working Environment with less than 10 days a month at office"/>
    <s v="Employer who appreciates learning and enables that environment"/>
    <x v="9"/>
    <s v="Manager who explains what is expected, sets a goal and helps achieve it"/>
    <x v="1"/>
    <x v="0"/>
  </r>
  <r>
    <d v="2022-12-24T14:46:17"/>
    <s v="India"/>
    <n v="442401"/>
    <x v="0"/>
    <s v="My Parents"/>
    <s v="No, But if someone could bare the cost I will"/>
    <s v="This will be hard to do, but if it is the right company I would try"/>
    <s v="No"/>
    <s v="Will NOT work for them"/>
    <n v="7"/>
    <s v="Fully Remote with Options to travel as and when needed"/>
    <s v="Employer who rewards learning and enables that environment"/>
    <x v="90"/>
    <s v="Manager who explains what is expected, sets a goal and helps achieve it"/>
    <x v="1"/>
    <x v="0"/>
  </r>
  <r>
    <d v="2022-12-24T14:49:19"/>
    <s v="India"/>
    <n v="576215"/>
    <x v="1"/>
    <s v="My Parents"/>
    <s v="No I would not be pursuing Higher Education outside of India"/>
    <s v="This will be hard to do, but if it is the right company I would try"/>
    <s v="No"/>
    <s v="Will NOT work for them"/>
    <n v="4"/>
    <s v="Hybrid Working Environment with less than 15 days a month at office"/>
    <s v="Employer who appreciates learning and enables that environment"/>
    <x v="12"/>
    <s v="Manager who explains what is expected, sets a goal and helps achieve it"/>
    <x v="1"/>
    <x v="2"/>
  </r>
  <r>
    <d v="2022-12-24T15:09:08"/>
    <s v="India"/>
    <n v="401107"/>
    <x v="1"/>
    <s v="Social Media like LinkedIn"/>
    <s v="Yes, I will earn and do that"/>
    <s v="Will work for 3 years or more"/>
    <s v="No"/>
    <s v="Will NOT work for them"/>
    <n v="9"/>
    <s v="Hybrid Working Environment with less than 3 days a month at office"/>
    <s v="Employer who rewards learning and enables that environment"/>
    <x v="91"/>
    <s v="Manager who clearly describes what she/he needs"/>
    <x v="10"/>
    <x v="1"/>
  </r>
  <r>
    <d v="2022-12-24T15:35:54"/>
    <s v="India"/>
    <n v="400101"/>
    <x v="0"/>
    <s v="People from my circle, but not family members"/>
    <s v="No I would not be pursuing Higher Education outside of India"/>
    <s v="This will be hard to do, but if it is the right company I would try"/>
    <s v="Yes"/>
    <s v="Will NOT work for them"/>
    <n v="3"/>
    <s v="Fully Remote with Options to travel as and when needed"/>
    <s v="Employer who pushes your limits by enabling an learning environment, and rewards you at the end"/>
    <x v="33"/>
    <s v="Manager who explains what is expected, sets a goal and helps achieve it"/>
    <x v="11"/>
    <x v="1"/>
  </r>
  <r>
    <d v="2022-12-24T15:35:59"/>
    <s v="India"/>
    <n v="400101"/>
    <x v="0"/>
    <s v="My Parents"/>
    <s v="No, But if someone could bare the cost I will"/>
    <s v="Will work for 3 years or more"/>
    <s v="Yes"/>
    <s v="Will work for them"/>
    <n v="1"/>
    <s v="Every Day Office Environment"/>
    <s v="Employer who appreciates learning and enables that environment"/>
    <x v="41"/>
    <s v="Manager who clearly describes what she/he needs"/>
    <x v="6"/>
    <x v="1"/>
  </r>
  <r>
    <d v="2022-12-24T15:54:33"/>
    <s v="India"/>
    <n v="385001"/>
    <x v="1"/>
    <s v="My Parents"/>
    <s v="Yes, I will earn and do that"/>
    <s v="No way, 3 years with one employer is crazy"/>
    <s v="Yes"/>
    <s v="Will work for them"/>
    <n v="2"/>
    <s v="Every Day Office Environment"/>
    <s v="Employer who rewards learning and enables that environment"/>
    <x v="21"/>
    <s v="Manager who sets targets and expects me to achieve it"/>
    <x v="3"/>
    <x v="1"/>
  </r>
  <r>
    <d v="2022-12-24T15:57:06"/>
    <s v="India"/>
    <n v="576213"/>
    <x v="1"/>
    <s v="My Parents"/>
    <s v="No, But if someone could bare the cost I will"/>
    <s v="This will be hard to do, but if it is the right company I would try"/>
    <s v="No"/>
    <s v="Will NOT work for them"/>
    <n v="5"/>
    <s v="Fully Remote with Options to travel as and when needed"/>
    <s v="Employer who rewards learning and enables that environment"/>
    <x v="37"/>
    <s v="Manager who clearly describes what she/he needs"/>
    <x v="4"/>
    <x v="1"/>
  </r>
  <r>
    <d v="2022-12-24T16:07:09"/>
    <s v="India"/>
    <n v="400101"/>
    <x v="0"/>
    <s v="People from my circle, but not family members"/>
    <s v="No I would not be pursuing Higher Education outside of India"/>
    <s v="This will be hard to do, but if it is the right company I would try"/>
    <s v="No"/>
    <s v="Will NOT work for them"/>
    <n v="1"/>
    <s v="Hybrid Working Environment with less than 15 days a month at office"/>
    <s v="Employer who rewards learning and enables that environment"/>
    <x v="27"/>
    <s v="Manager who clearly describes what she/he needs"/>
    <x v="6"/>
    <x v="2"/>
  </r>
  <r>
    <d v="2022-12-24T16:08:53"/>
    <s v="India"/>
    <n v="400028"/>
    <x v="1"/>
    <s v="People who have changed the world for better"/>
    <s v="Yes, I will earn and do that"/>
    <s v="This will be hard to do, but if it is the right company I would try"/>
    <s v="Yes"/>
    <s v="Will NOT work for them"/>
    <n v="8"/>
    <s v="Fully Remote with No option to visit offices"/>
    <s v="Employer who appreciates learning and enables that environment"/>
    <x v="5"/>
    <s v="Manager who sets targets and expects me to achieve it"/>
    <x v="6"/>
    <x v="1"/>
  </r>
  <r>
    <d v="2022-12-24T16:59:39"/>
    <s v="India"/>
    <n v="574214"/>
    <x v="1"/>
    <s v="My Parents"/>
    <s v="No, But if someone could bare the cost I will"/>
    <s v="This will be hard to do, but if it is the right company I would try"/>
    <s v="No"/>
    <s v="Will NOT work for them"/>
    <n v="5"/>
    <s v="Fully Remote with Options to travel as and when needed"/>
    <s v="Employer who rewards learning and enables that environment"/>
    <x v="63"/>
    <s v="Manager who explains what is expected, sets a goal and helps achieve it"/>
    <x v="3"/>
    <x v="1"/>
  </r>
  <r>
    <d v="2022-12-24T17:26:00"/>
    <s v="India"/>
    <n v="576101"/>
    <x v="1"/>
    <s v="Influencers who had successful careers"/>
    <s v="No, But if someone could bare the cost I will"/>
    <s v="This will be hard to do, but if it is the right company I would try"/>
    <s v="No"/>
    <s v="Will NOT work for them"/>
    <n v="2"/>
    <s v="Hybrid Working Environment with less than 15 days a month at office"/>
    <s v="Employer who pushes your limits by enabling an learning environment, and rewards you at the end"/>
    <x v="7"/>
    <s v="Manager who explains what is expected, sets a goal and helps achieve it"/>
    <x v="9"/>
    <x v="1"/>
  </r>
  <r>
    <d v="2022-12-24T17:44:34"/>
    <s v="India"/>
    <n v="385001"/>
    <x v="1"/>
    <s v="Social Media like LinkedIn"/>
    <s v="Yes, I will earn and do that"/>
    <s v="No way, 3 years with one employer is crazy"/>
    <s v="Yes"/>
    <s v="Will NOT work for them"/>
    <n v="10"/>
    <s v="Fully Remote with No option to visit offices"/>
    <s v="Employer who rewards learning and enables that environment"/>
    <x v="16"/>
    <s v="Manager who sets targets and expects me to achieve it"/>
    <x v="7"/>
    <x v="2"/>
  </r>
  <r>
    <d v="2022-12-24T23:15:49"/>
    <s v="India"/>
    <n v="574227"/>
    <x v="1"/>
    <s v="Influencers who had successful careers"/>
    <s v="No I would not be pursuing Higher Education outside of India"/>
    <s v="Will work for 3 years or more"/>
    <s v="No"/>
    <s v="Will NOT work for them"/>
    <n v="5"/>
    <s v="Hybrid Working Environment with less than 10 days a month at office"/>
    <s v="Employer who pushes your limits by enabling an learning environment, and rewards you at the end"/>
    <x v="5"/>
    <s v="Manager who explains what is expected, sets a goal and helps achieve it"/>
    <x v="4"/>
    <x v="0"/>
  </r>
  <r>
    <d v="2022-12-25T16:06:35"/>
    <s v="India"/>
    <n v="210424"/>
    <x v="0"/>
    <s v="People from my circle, but not family members"/>
    <s v="No I would not be pursuing Higher Education outside of India"/>
    <s v="Will work for 3 years or more"/>
    <s v="No"/>
    <s v="Will NOT work for them"/>
    <n v="5"/>
    <s v="Hybrid Working Environment with less than 10 days a month at office"/>
    <s v="Employer who appreciates learning and enables that environment"/>
    <x v="63"/>
    <s v="Manager who sets goal and helps me achieve it"/>
    <x v="3"/>
    <x v="0"/>
  </r>
  <r>
    <d v="2022-12-25T16:07:50"/>
    <s v="India"/>
    <n v="600100"/>
    <x v="1"/>
    <s v="My Parents"/>
    <s v="No, But if someone could bare the cost I will"/>
    <s v="This will be hard to do, but if it is the right company I would try"/>
    <s v="No"/>
    <s v="Will NOT work for them"/>
    <n v="9"/>
    <s v="Hybrid Working Environment with less than 15 days a month at office"/>
    <s v="Employer who pushes your limits by enabling an learning environment, and rewards you at the end"/>
    <x v="72"/>
    <s v="Manager who clearly describes what she/he needs"/>
    <x v="1"/>
    <x v="1"/>
  </r>
  <r>
    <d v="2022-12-25T16:16:59"/>
    <s v="India"/>
    <n v="210427"/>
    <x v="0"/>
    <s v="Social Media like LinkedIn"/>
    <s v="Yes, I will earn and do that"/>
    <s v="This will be hard to do, but if it is the right company I would try"/>
    <s v="No"/>
    <s v="Will NOT work for them"/>
    <n v="8"/>
    <s v="Hybrid Working Environment with less than 3 days a month at office"/>
    <s v="Employer who pushes your limits by enabling an learning environment, and rewards you at the end"/>
    <x v="30"/>
    <s v="Manager who explains what is expected, sets a goal and helps achieve it"/>
    <x v="6"/>
    <x v="1"/>
  </r>
  <r>
    <d v="2022-12-25T17:27:36"/>
    <s v="India"/>
    <n v="210424"/>
    <x v="0"/>
    <s v="My Parents"/>
    <s v="No I would not be pursuing Higher Education outside of India"/>
    <s v="This will be hard to do, but if it is the right company I would try"/>
    <s v="No"/>
    <s v="Will NOT work for them"/>
    <n v="5"/>
    <s v="Fully Remote with Options to travel as and when needed"/>
    <s v="Employer who appreciates learning and enables that environment"/>
    <x v="72"/>
    <s v="Manager who sets goal and helps me achieve it"/>
    <x v="6"/>
    <x v="1"/>
  </r>
  <r>
    <d v="2022-12-26T05:45:33"/>
    <s v="India"/>
    <n v="828120"/>
    <x v="1"/>
    <s v="People who have changed the world for better"/>
    <s v="No I would not be pursuing Higher Education outside of India"/>
    <s v="This will be hard to do, but if it is the right company I would try"/>
    <s v="No"/>
    <s v="Will NOT work for them"/>
    <n v="5"/>
    <s v="Fully Remote with No option to visit offices"/>
    <s v="Employer who appreciates learning and enables that environment"/>
    <x v="11"/>
    <s v="Manager who sets goal and helps me achieve it"/>
    <x v="1"/>
    <x v="0"/>
  </r>
  <r>
    <d v="2022-12-27T09:50:41"/>
    <s v="India"/>
    <n v="743127"/>
    <x v="0"/>
    <s v="People who have changed the world for better"/>
    <s v="Yes, I will earn and do that"/>
    <s v="Will work for 3 years or more"/>
    <s v="No"/>
    <s v="Will NOT work for them"/>
    <n v="2"/>
    <s v="Fully Remote with Options to travel as and when needed"/>
    <s v="Employer who pushes your limits by enabling an learning environment, and rewards you at the end"/>
    <x v="0"/>
    <s v="Manager who explains what is expected, sets a goal and helps achieve it"/>
    <x v="7"/>
    <x v="1"/>
  </r>
  <r>
    <d v="2022-12-30T05:21:49"/>
    <s v="Canada"/>
    <s v="N9B2K9"/>
    <x v="0"/>
    <s v="Social Media like LinkedIn"/>
    <s v="Yes, I will earn and do that"/>
    <s v="Will work for 3 years or more"/>
    <s v="No"/>
    <s v="Will NOT work for them"/>
    <n v="5"/>
    <s v="Fully Remote with Options to travel as and when needed"/>
    <s v="Employer who appreciates learning and enables that environment"/>
    <x v="1"/>
    <s v="Manager who sets goal and helps me achieve it"/>
    <x v="7"/>
    <x v="1"/>
  </r>
  <r>
    <d v="2022-12-30T08:11:59"/>
    <s v="India"/>
    <n v="560064"/>
    <x v="1"/>
    <s v="My Parents"/>
    <s v="Yes, I will earn and do that"/>
    <s v="Will work for 3 years or more"/>
    <s v="No"/>
    <s v="Will NOT work for them"/>
    <n v="5"/>
    <s v="Every Day Office Environment"/>
    <s v="Employer who pushes your limits by enabling an learning environment, and rewards you at the end"/>
    <x v="3"/>
    <s v="Manager who explains what is expected, sets a goal and helps achieve it"/>
    <x v="3"/>
    <x v="1"/>
  </r>
  <r>
    <d v="2022-12-30T11:41:06"/>
    <s v="India"/>
    <n v="814112"/>
    <x v="0"/>
    <s v="People who have changed the world for better"/>
    <s v="No, But if someone could bare the cost I will"/>
    <s v="This will be hard to do, but if it is the right company I would try"/>
    <s v="No"/>
    <s v="Will NOT work for them"/>
    <n v="8"/>
    <s v="Fully Remote with Options to travel as and when needed"/>
    <s v="Employer who rewards learning and enables that environment"/>
    <x v="63"/>
    <s v="Manager who explains what is expected, sets a goal and helps achieve it"/>
    <x v="3"/>
    <x v="0"/>
  </r>
  <r>
    <d v="2022-12-31T14:07:53"/>
    <s v="India"/>
    <n v="147001"/>
    <x v="1"/>
    <s v="People who have changed the world for better"/>
    <s v="No, But if someone could bare the cost I will"/>
    <s v="This will be hard to do, but if it is the right company I would try"/>
    <s v="Yes"/>
    <s v="Will NOT work for them"/>
    <n v="7"/>
    <s v="Fully Remote with Options to travel as and when needed"/>
    <s v="Employer who pushes your limits by enabling an learning environment, and rewards you at the end"/>
    <x v="24"/>
    <s v="Manager who explains what is expected, sets a goal and helps achieve it"/>
    <x v="3"/>
    <x v="2"/>
  </r>
  <r>
    <d v="2022-12-31T15:34:58"/>
    <s v="Canada"/>
    <s v="S4s6a6"/>
    <x v="1"/>
    <s v="Influencers who had successful careers"/>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1"/>
    <s v="Manager who explains what is expected, sets a goal and helps achieve it"/>
    <x v="7"/>
    <x v="1"/>
  </r>
  <r>
    <d v="2022-12-31T18:00:52"/>
    <s v="India"/>
    <n v="431601"/>
    <x v="0"/>
    <s v="Influencers who had successful careers"/>
    <s v="Yes, I will earn and do that"/>
    <s v="Will work for 3 years or more"/>
    <s v="Yes"/>
    <s v="Will work for them"/>
    <n v="4"/>
    <s v="Hybrid Working Environment with less than 10 days a month at office"/>
    <s v="Employer who pushes your limits by enabling an learning environment, and rewards you at the end"/>
    <x v="1"/>
    <s v="Manager who sets targets and expects me to achieve it"/>
    <x v="1"/>
    <x v="0"/>
  </r>
  <r>
    <d v="2022-12-31T19:59:55"/>
    <s v="India"/>
    <n v="147001"/>
    <x v="1"/>
    <s v="My Parents"/>
    <s v="No I would not be pursuing Higher Education outside of India"/>
    <s v="Will work for 3 years or more"/>
    <s v="No"/>
    <s v="Will NOT work for them"/>
    <n v="1"/>
    <s v="Fully Remote with No option to visit offices"/>
    <s v="Employer who pushes your limits by enabling an learning environment, and rewards you at the end"/>
    <x v="92"/>
    <s v="Manager who sets goal and helps me achieve it"/>
    <x v="1"/>
    <x v="0"/>
  </r>
  <r>
    <d v="2022-12-31T21:05:54"/>
    <s v="India"/>
    <n v="412308"/>
    <x v="0"/>
    <s v="My Parents"/>
    <s v="No I would not be pursuing Higher Education outside of India"/>
    <s v="No way, 3 years with one employer is crazy"/>
    <s v="Yes"/>
    <s v="Will work for them"/>
    <n v="5"/>
    <s v="Hybrid Working Environment with less than 3 days a month at office"/>
    <s v="Employer who pushes your limits by enabling an learning environment, and rewards you at the end"/>
    <x v="27"/>
    <s v="Manager who explains what is expected, sets a goal and helps achieve it"/>
    <x v="1"/>
    <x v="1"/>
  </r>
  <r>
    <d v="2023-01-02T23:16:50"/>
    <s v="India"/>
    <n v="627004"/>
    <x v="0"/>
    <s v="Influencers who had successful careers"/>
    <s v="No I would not be pursuing Higher Education outside of India"/>
    <s v="Will work for 3 years or more"/>
    <s v="Yes"/>
    <s v="Will NOT work for them"/>
    <n v="3"/>
    <s v="Hybrid Working Environment with less than 15 days a month at office"/>
    <s v="Employer who appreciates learning and enables that environment"/>
    <x v="5"/>
    <s v="Manager who sets goal and helps me achieve it"/>
    <x v="1"/>
    <x v="0"/>
  </r>
  <r>
    <d v="2023-01-03T21:46:43"/>
    <s v="India"/>
    <n v="457001"/>
    <x v="1"/>
    <s v="Influencers who had successful careers"/>
    <s v="Yes, I will earn and do that"/>
    <s v="Will work for 3 years or more"/>
    <s v="No"/>
    <s v="Will work for them"/>
    <n v="3"/>
    <s v="Hybrid Working Environment with less than 10 days a month at office"/>
    <s v="Employer who appreciates learning and enables that environment"/>
    <x v="93"/>
    <s v="Manager who clearly describes what she/he needs"/>
    <x v="3"/>
    <x v="1"/>
  </r>
  <r>
    <d v="2023-01-08T12:31:37"/>
    <s v="India"/>
    <n v="400016"/>
    <x v="0"/>
    <s v="My Parents"/>
    <s v="Yes, I will earn and do that"/>
    <s v="This will be hard to do, but if it is the right company I would try"/>
    <s v="No"/>
    <s v="Will NOT work for them"/>
    <n v="7"/>
    <s v="Hybrid Working Environment with less than 10 days a month at office"/>
    <s v="Employer who appreciates learning and enables that environment"/>
    <x v="30"/>
    <s v="Manager who explains what is expected, sets a goal and helps achieve it"/>
    <x v="3"/>
    <x v="1"/>
  </r>
  <r>
    <d v="2023-01-08T18:38:30"/>
    <s v="India"/>
    <n v="600069"/>
    <x v="0"/>
    <s v="People who have changed the world for better"/>
    <s v="Yes, I will earn and do that"/>
    <s v="This will be hard to do, but if it is the right company I would try"/>
    <s v="Yes"/>
    <s v="Will work for them"/>
    <n v="6"/>
    <s v="Hybrid Working Environment with less than 15 days a month at office"/>
    <s v="Employer who appreciates learning and enables that environment"/>
    <x v="1"/>
    <s v="Manager who explains what is expected, sets a goal and helps achieve it"/>
    <x v="1"/>
    <x v="2"/>
  </r>
  <r>
    <d v="2023-01-08T20:39:10"/>
    <s v="India"/>
    <n v="342005"/>
    <x v="0"/>
    <s v="Social Media like LinkedIn"/>
    <s v="No I would not be pursuing Higher Education outside of India"/>
    <s v="This will be hard to do, but if it is the right company I would try"/>
    <s v="No"/>
    <s v="Will NOT work for them"/>
    <n v="6"/>
    <s v="Fully Remote with Options to travel as and when needed"/>
    <s v="Employer who pushes your limits by enabling an learning environment, and rewards you at the end"/>
    <x v="3"/>
    <s v="Manager who explains what is expected, sets a goal and helps achieve it"/>
    <x v="1"/>
    <x v="0"/>
  </r>
  <r>
    <d v="2023-01-09T00:39:37"/>
    <s v="India"/>
    <n v="851101"/>
    <x v="0"/>
    <s v="People who have changed the world for better"/>
    <s v="Yes, I will earn and do that"/>
    <s v="This will be hard to do, but if it is the right company I would try"/>
    <s v="Yes"/>
    <s v="Will work for them"/>
    <n v="7"/>
    <s v="Hybrid Working Environment with less than 15 days a month at office"/>
    <s v="Employer who pushes your limits by enabling an learning environment, and rewards you at the end"/>
    <x v="38"/>
    <s v="Manager who explains what is expected, sets a goal and helps achieve it"/>
    <x v="1"/>
    <x v="0"/>
  </r>
  <r>
    <d v="2023-01-09T07:23:41"/>
    <s v="India"/>
    <n v="636701"/>
    <x v="0"/>
    <s v="Influencers who had successful careers"/>
    <s v="No I would not be pursuing Higher Education outside of India"/>
    <s v="This will be hard to do, but if it is the right company I would try"/>
    <s v="No"/>
    <s v="Will NOT work for them"/>
    <n v="5"/>
    <s v="Hybrid Working Environment with less than 10 days a month at office"/>
    <s v="Employer who pushes your limits by enabling an learning environment, and rewards you at the end"/>
    <x v="30"/>
    <s v="Manager who sets goal and helps me achieve it"/>
    <x v="1"/>
    <x v="1"/>
  </r>
  <r>
    <d v="2023-01-09T11:33:46"/>
    <s v="India"/>
    <n v="600007"/>
    <x v="0"/>
    <s v="People who have changed the world for better"/>
    <s v="Yes, I will earn and do that"/>
    <s v="Will work for 3 years or more"/>
    <s v="No"/>
    <s v="Will work for them"/>
    <n v="8"/>
    <s v="Hybrid Working Environment with less than 15 days a month at office"/>
    <s v="Employer who pushes your limits by enabling an learning environment, and rewards you at the end"/>
    <x v="18"/>
    <s v="Manager who explains what is expected, sets a goal and helps achieve it"/>
    <x v="13"/>
    <x v="1"/>
  </r>
  <r>
    <d v="2023-01-09T12:43:08"/>
    <s v="India"/>
    <n v="400070"/>
    <x v="0"/>
    <s v="Influencers who had successful careers"/>
    <s v="Yes, I will earn and do that"/>
    <s v="This will be hard to do, but if it is the right company I would try"/>
    <s v="No"/>
    <s v="Will NOT work for them"/>
    <n v="10"/>
    <s v="Hybrid Working Environment with less than 10 days a month at office"/>
    <s v="Employer who appreciates learning and enables that environment"/>
    <x v="41"/>
    <s v="Manager who sets goal and helps me achieve it"/>
    <x v="4"/>
    <x v="0"/>
  </r>
  <r>
    <d v="2023-01-09T13:32:01"/>
    <s v="India"/>
    <n v="521001"/>
    <x v="0"/>
    <s v="Social Media like LinkedIn"/>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42"/>
    <s v="Manager who explains what is expected, sets a goal and helps achieve it"/>
    <x v="2"/>
    <x v="1"/>
  </r>
  <r>
    <d v="2023-01-09T16:55:27"/>
    <s v="India"/>
    <n v="411033"/>
    <x v="1"/>
    <s v="My Parents"/>
    <s v="No I would not be pursuing Higher Education outside of India"/>
    <s v="This will be hard to do, but if it is the right company I would try"/>
    <s v="No"/>
    <s v="Will NOT work for them"/>
    <n v="5"/>
    <s v="Every Day Office Environment"/>
    <s v="Employer who pushes your limits by enabling an learning environment, and rewards you at the end"/>
    <x v="63"/>
    <s v="Manager who explains what is expected, sets a goal and helps achieve it"/>
    <x v="3"/>
    <x v="1"/>
  </r>
  <r>
    <d v="2023-01-09T18:20:12"/>
    <s v="India"/>
    <n v="263153"/>
    <x v="1"/>
    <s v="Influencers who had successful careers"/>
    <s v="No I would not be pursuing Higher Education outside of India"/>
    <s v="This will be hard to do, but if it is the right company I would try"/>
    <s v="Yes"/>
    <s v="Will NOT work for them"/>
    <n v="5"/>
    <s v="Fully Remote with No option to visit offices"/>
    <s v="Employer who pushes your limits by enabling an learning environment, and rewards you at the end"/>
    <x v="30"/>
    <s v="Manager who explains what is expected, sets a goal and helps achieve it"/>
    <x v="1"/>
    <x v="0"/>
  </r>
  <r>
    <d v="2023-01-09T20:06:46"/>
    <s v="India"/>
    <n v="465674"/>
    <x v="1"/>
    <s v="My Parents"/>
    <s v="Yes, I will earn and do that"/>
    <s v="Will work for 3 years or more"/>
    <s v="No"/>
    <s v="Will NOT work for them"/>
    <n v="1"/>
    <s v="Hybrid Working Environment with less than 15 days a month at office"/>
    <s v="Employer who appreciates learning and enables that environment"/>
    <x v="25"/>
    <s v="Manager who explains what is expected, sets a goal and helps achieve it"/>
    <x v="4"/>
    <x v="1"/>
  </r>
  <r>
    <d v="2023-01-10T00:44:37"/>
    <s v="India"/>
    <n v="110027"/>
    <x v="0"/>
    <s v="People from my circle, but not family members"/>
    <s v="No I would not be pursuing Higher Education outside of India"/>
    <s v="Will work for 3 years or more"/>
    <s v="No"/>
    <s v="Will NOT work for them"/>
    <n v="6"/>
    <s v="Hybrid Working Environment with less than 15 days a month at office"/>
    <s v="Employer who pushes your limits by enabling an learning environment, and rewards you at the end"/>
    <x v="30"/>
    <s v="Manager who explains what is expected, sets a goal and helps achieve it"/>
    <x v="5"/>
    <x v="0"/>
  </r>
  <r>
    <d v="2023-01-10T12:16:20"/>
    <s v="India"/>
    <n v="145001"/>
    <x v="0"/>
    <s v="Influencers who had successful careers"/>
    <s v="No, But if someone could bare the cost I will"/>
    <s v="This will be hard to do, but if it is the right company I would try"/>
    <s v="No"/>
    <s v="Will NOT work for them"/>
    <n v="1"/>
    <s v="Fully Remote with Options to travel as and when needed"/>
    <s v="Employer who pushes your limits by enabling an learning environment, and rewards you at the end"/>
    <x v="38"/>
    <s v="Manager who explains what is expected, sets a goal and helps achieve it"/>
    <x v="3"/>
    <x v="0"/>
  </r>
  <r>
    <d v="2023-01-10T16:19:14"/>
    <s v="India"/>
    <n v="431001"/>
    <x v="0"/>
    <s v="Influencers who had successful careers"/>
    <s v="Yes, I will earn and do that"/>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3"/>
    <s v="Manager who explains what is expected, sets a goal and helps achieve it"/>
    <x v="4"/>
    <x v="1"/>
  </r>
  <r>
    <d v="2023-01-10T16:54:41"/>
    <s v="India"/>
    <n v="457001"/>
    <x v="1"/>
    <s v="Influencers who had successful careers"/>
    <s v="No I would not be pursuing Higher Education outside of India"/>
    <s v="This will be hard to do, but if it is the right company I would try"/>
    <s v="No"/>
    <s v="Will NOT work for them"/>
    <n v="5"/>
    <s v="Hybrid Working Environment with less than 3 days a month at office"/>
    <s v="Employer who rewards learning and enables that environment"/>
    <x v="64"/>
    <s v="Manager who clearly describes what she/he needs"/>
    <x v="5"/>
    <x v="1"/>
  </r>
  <r>
    <d v="2023-01-11T09:22:48"/>
    <s v="India"/>
    <n v="520013"/>
    <x v="1"/>
    <s v="People from my circle, but not family members"/>
    <s v="No, But if someone could bare the cost I will"/>
    <s v="No way, 3 years with one employer is crazy"/>
    <s v="No"/>
    <s v="Will NOT work for them"/>
    <n v="5"/>
    <s v="Hybrid Working Environment with less than 3 days a month at office"/>
    <s v="Employer who pushes your limits by enabling an learning environment, and rewards you at the end"/>
    <x v="51"/>
    <s v="Manager who explains what is expected, sets a goal and helps achieve it"/>
    <x v="7"/>
    <x v="0"/>
  </r>
  <r>
    <d v="2023-01-11T12:01:32"/>
    <s v="Nigeria"/>
    <s v="UTC+01"/>
    <x v="0"/>
    <s v="Influencers who had successful careers"/>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24"/>
    <s v="Manager who explains what is expected, sets a goal and helps achieve it"/>
    <x v="7"/>
    <x v="0"/>
  </r>
  <r>
    <d v="2023-01-11T15:55:00"/>
    <s v="India"/>
    <n v="201304"/>
    <x v="1"/>
    <s v="Influencers who had successful careers"/>
    <s v="No I would not be pursuing Higher Education outside of India"/>
    <s v="This will be hard to do, but if it is the right company I would try"/>
    <s v="No"/>
    <s v="Will NOT work for them"/>
    <n v="2"/>
    <s v="Hybrid Working Environment with less than 15 days a month at office"/>
    <s v="Employer who pushes your limits by enabling an learning environment, and rewards you at the end"/>
    <x v="11"/>
    <s v="Manager who clearly describes what she/he needs"/>
    <x v="1"/>
    <x v="0"/>
  </r>
  <r>
    <d v="2023-01-11T17:13:47"/>
    <s v="India"/>
    <n v="383007"/>
    <x v="0"/>
    <s v="People from my circle, but not family members"/>
    <s v="No, But if someone could bare the cost I will"/>
    <s v="This will be hard to do, but if it is the right company I would try"/>
    <s v="No"/>
    <s v="Will NOT work for them"/>
    <n v="8"/>
    <s v="Hybrid Working Environment with less than 10 days a month at office"/>
    <s v="Employer who pushes your limits by enabling an learning environment, and rewards you at the end"/>
    <x v="5"/>
    <s v="Manager who sets goal and helps me achieve it"/>
    <x v="3"/>
    <x v="2"/>
  </r>
  <r>
    <d v="2023-01-11T18:05:24"/>
    <s v="India"/>
    <n v="638012"/>
    <x v="0"/>
    <s v="Influencers who had successful careers"/>
    <s v="Yes, I will earn and do that"/>
    <s v="This will be hard to do, but if it is the right company I would try"/>
    <s v="No"/>
    <s v="Will NOT work for them"/>
    <n v="5"/>
    <s v="Hybrid Working Environment with less than 15 days a month at office"/>
    <s v="Employer who pushes your limits by enabling an learning environment, and rewards you at the end"/>
    <x v="3"/>
    <s v="Manager who explains what is expected, sets a goal and helps achieve it"/>
    <x v="1"/>
    <x v="1"/>
  </r>
  <r>
    <d v="2023-01-11T18:11:36"/>
    <s v="India"/>
    <n v="457001"/>
    <x v="0"/>
    <s v="People who have changed the world for better"/>
    <s v="Yes, I will earn and do that"/>
    <s v="Will work for 3 years or more"/>
    <s v="Yes"/>
    <s v="Will work for them"/>
    <n v="5"/>
    <s v="Fully Remote with Options to travel as and when needed"/>
    <s v="Employer who appreciates learning and enables that environment"/>
    <x v="72"/>
    <s v="Manager who sets goal and helps me achieve it"/>
    <x v="7"/>
    <x v="1"/>
  </r>
  <r>
    <d v="2023-01-11T21:23:22"/>
    <s v="India"/>
    <n v="560010"/>
    <x v="1"/>
    <s v="My Parents"/>
    <s v="No I would not be pursuing Higher Education outside of India"/>
    <s v="This will be hard to do, but if it is the right company I would try"/>
    <s v="No"/>
    <s v="Will NOT work for them"/>
    <n v="8"/>
    <s v="Every Day Office Environment"/>
    <s v="Employer who appreciates learning and enables that environment"/>
    <x v="3"/>
    <s v="Manager who sets goal and helps me achieve it"/>
    <x v="1"/>
    <x v="0"/>
  </r>
  <r>
    <d v="2023-01-11T21:24:28"/>
    <s v="India"/>
    <n v="411048"/>
    <x v="0"/>
    <s v="Social Media like LinkedIn"/>
    <s v="No, But if someone could bare the cost I will"/>
    <s v="This will be hard to do, but if it is the right company I would try"/>
    <s v="No"/>
    <s v="Will NOT work for them"/>
    <n v="7"/>
    <s v="Hybrid Working Environment with less than 3 days a month at office"/>
    <s v="Employer who pushes your limits by enabling an learning environment, and rewards you at the end"/>
    <x v="24"/>
    <s v="Manager who explains what is expected, sets a goal and helps achieve it"/>
    <x v="7"/>
    <x v="0"/>
  </r>
  <r>
    <d v="2023-01-12T01:17:31"/>
    <s v="India"/>
    <n v="283203"/>
    <x v="1"/>
    <s v="My Parents"/>
    <s v="Yes, I will earn and do that"/>
    <s v="This will be hard to do, but if it is the right company I would try"/>
    <s v="Yes"/>
    <s v="Will NOT work for them"/>
    <n v="8"/>
    <s v="Hybrid Working Environment with less than 10 days a month at office"/>
    <s v="Employer who pushes your limits by enabling an learning environment, and rewards you at the end"/>
    <x v="24"/>
    <s v="Manager who explains what is expected, sets a goal and helps achieve it"/>
    <x v="1"/>
    <x v="0"/>
  </r>
  <r>
    <d v="2023-01-12T09:43:23"/>
    <s v="India"/>
    <n v="206001"/>
    <x v="0"/>
    <s v="Influencers who had successful careers"/>
    <s v="Yes, I will earn and do that"/>
    <s v="This will be hard to do, but if it is the right company I would try"/>
    <s v="No"/>
    <s v="Will NOT work for them"/>
    <n v="6"/>
    <s v="Fully Remote with Options to travel as and when needed"/>
    <s v="Employer who pushes your limits by enabling an learning environment, and rewards you at the end"/>
    <x v="5"/>
    <s v="Manager who explains what is expected, sets a goal and helps achieve it"/>
    <x v="1"/>
    <x v="0"/>
  </r>
  <r>
    <d v="2023-01-12T19:44:39"/>
    <s v="India"/>
    <n v="412308"/>
    <x v="0"/>
    <s v="Influencers who had successful careers"/>
    <s v="Yes, I will earn and do that"/>
    <s v="Will work for 3 years or more"/>
    <s v="No"/>
    <s v="Will NOT work for them"/>
    <n v="10"/>
    <s v="Hybrid Working Environment with less than 10 days a month at office"/>
    <s v="Employer who pushes your limits by enabling an learning environment, and rewards you at the end"/>
    <x v="20"/>
    <s v="Manager who explains what is expected, sets a goal and helps achieve it"/>
    <x v="1"/>
    <x v="1"/>
  </r>
  <r>
    <d v="2023-01-12T20:00:55"/>
    <s v="India"/>
    <n v="457001"/>
    <x v="1"/>
    <s v="Influencers who had successful careers"/>
    <s v="No I would not be pursuing Higher Education outside of India"/>
    <s v="This will be hard to do, but if it is the right company I would try"/>
    <s v="No"/>
    <s v="Will NOT work for them"/>
    <n v="4"/>
    <s v="Hybrid Working Environment with less than 10 days a month at office"/>
    <s v="Employer who pushes your limits by enabling an learning environment, and rewards you at the end"/>
    <x v="16"/>
    <s v="Manager who explains what is expected, sets a goal and helps achieve it"/>
    <x v="3"/>
    <x v="1"/>
  </r>
  <r>
    <d v="2023-01-12T20:28:40"/>
    <s v="India"/>
    <n v="560067"/>
    <x v="0"/>
    <s v="People from my circle, but not family members"/>
    <s v="No I would not be pursuing Higher Education outside of India"/>
    <s v="Will work for 3 years or more"/>
    <s v="No"/>
    <s v="Will NOT work for them"/>
    <n v="5"/>
    <s v="Fully Remote with Options to travel as and when needed"/>
    <s v="Employer who pushes your limits by enabling an learning environment, and rewards you at the end"/>
    <x v="30"/>
    <s v="Manager who explains what is expected, sets a goal and helps achieve it"/>
    <x v="12"/>
    <x v="1"/>
  </r>
  <r>
    <d v="2023-01-12T21:39:58"/>
    <s v="India"/>
    <n v="560010"/>
    <x v="0"/>
    <s v="My Parents"/>
    <s v="No, But if someone could bare the cost I will"/>
    <s v="Will work for 3 years or more"/>
    <s v="No"/>
    <s v="Will work for them"/>
    <n v="6"/>
    <s v="Hybrid Working Environment with less than 3 days a month at office"/>
    <s v="Employer who appreciates learning and enables that environment"/>
    <x v="15"/>
    <s v="Manager who sets goal and helps me achieve it"/>
    <x v="1"/>
    <x v="1"/>
  </r>
  <r>
    <d v="2023-01-13T09:15:33"/>
    <s v="India"/>
    <n v="641602"/>
    <x v="0"/>
    <s v="People who have changed the world for better"/>
    <s v="No I would not be pursuing Higher Education outside of India"/>
    <s v="This will be hard to do, but if it is the right company I would try"/>
    <s v="No"/>
    <s v="Will NOT work for them"/>
    <n v="8"/>
    <s v="Hybrid Working Environment with less than 15 days a month at office"/>
    <s v="Employer who rewards learning and enables that environment"/>
    <x v="10"/>
    <s v="Manager who sets goal and helps me achieve it"/>
    <x v="15"/>
    <x v="1"/>
  </r>
  <r>
    <d v="2023-01-13T09:57:45"/>
    <s v="India"/>
    <n v="457001"/>
    <x v="0"/>
    <s v="Social Media like LinkedIn"/>
    <s v="Yes, I will earn and do that"/>
    <s v="This will be hard to do, but if it is the right company I would try"/>
    <s v="No"/>
    <s v="Will NOT work for them"/>
    <n v="4"/>
    <s v="Hybrid Working Environment with less than 15 days a month at office"/>
    <s v="Employer who pushes your limits by enabling an learning environment, and rewards you at the end"/>
    <x v="18"/>
    <s v="Manager who explains what is expected, sets a goal and helps achieve it"/>
    <x v="2"/>
    <x v="0"/>
  </r>
  <r>
    <d v="2023-01-13T10:50:10"/>
    <s v="India"/>
    <n v="465614"/>
    <x v="0"/>
    <s v="Social Media like LinkedIn"/>
    <s v="Yes, I will earn and do that"/>
    <s v="This will be hard to do, but if it is the right company I would try"/>
    <s v="No"/>
    <s v="Will NOT work for them"/>
    <n v="1"/>
    <s v="Fully Remote with Options to travel as and when needed"/>
    <s v="Employer who appreciates learning and enables that environment"/>
    <x v="0"/>
    <s v="Manager who clearly describes what she/he needs"/>
    <x v="7"/>
    <x v="1"/>
  </r>
  <r>
    <d v="2023-01-13T10:56:12"/>
    <s v="India"/>
    <n v="560010"/>
    <x v="0"/>
    <s v="People who have changed the world for better"/>
    <s v="No I would not be pursuing Higher Education outside of India"/>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56"/>
    <s v="Manager who explains what is expected, sets a goal and helps achieve it"/>
    <x v="15"/>
    <x v="0"/>
  </r>
  <r>
    <d v="2023-01-13T12:32:46"/>
    <s v="India"/>
    <n v="560015"/>
    <x v="0"/>
    <s v="People from my circle, but not family members"/>
    <s v="No I would not be pursuing Higher Education outside of India"/>
    <s v="This will be hard to do, but if it is the right company I would try"/>
    <s v="No"/>
    <s v="Will NOT work for them"/>
    <n v="1"/>
    <s v="Hybrid Working Environment with less than 10 days a month at office"/>
    <s v="Employer who rewards learning and enables that environment"/>
    <x v="81"/>
    <s v="Manager who explains what is expected, sets a goal and helps achieve it"/>
    <x v="3"/>
    <x v="1"/>
  </r>
  <r>
    <d v="2023-01-13T13:44:01"/>
    <s v="India"/>
    <n v="560077"/>
    <x v="0"/>
    <s v="My Parents"/>
    <s v="No, But if someone could bare the cost I will"/>
    <s v="Will work for 3 years or more"/>
    <s v="Yes"/>
    <s v="Will work for them"/>
    <n v="4"/>
    <s v="Hybrid Working Environment with less than 15 days a month at office"/>
    <s v="Employer who rewards learning and enables that environment"/>
    <x v="7"/>
    <s v="Manager who explains what is expected, sets a goal and helps achieve it"/>
    <x v="15"/>
    <x v="2"/>
  </r>
  <r>
    <d v="2023-01-13T19:27:50"/>
    <s v="India"/>
    <n v="401105"/>
    <x v="0"/>
    <s v="People who have changed the world for better"/>
    <s v="No, But if someone could bare the cost I will"/>
    <s v="This will be hard to do, but if it is the right company I would try"/>
    <s v="No"/>
    <s v="Will NOT work for them"/>
    <n v="5"/>
    <s v="Hybrid Working Environment with less than 10 days a month at office"/>
    <s v="Employer who pushes your limits by enabling an learning environment, and rewards you at the end"/>
    <x v="33"/>
    <s v="Manager who explains what is expected, sets a goal and helps achieve it"/>
    <x v="1"/>
    <x v="2"/>
  </r>
  <r>
    <d v="2023-01-13T22:57:06"/>
    <s v="India"/>
    <n v="500010"/>
    <x v="0"/>
    <s v="Social Media like LinkedIn"/>
    <s v="No I would not be pursuing Higher Education outside of India"/>
    <s v="This will be hard to do, but if it is the right company I would try"/>
    <s v="Yes"/>
    <s v="Will work for them"/>
    <n v="6"/>
    <s v="Every Day Office Environment"/>
    <s v="Employer who pushes your limits by enabling an learning environment, and rewards you at the end"/>
    <x v="38"/>
    <s v="Manager who explains what is expected, sets a goal and helps achieve it"/>
    <x v="2"/>
    <x v="0"/>
  </r>
  <r>
    <d v="2023-01-14T12:07:12"/>
    <s v="India"/>
    <n v="534003"/>
    <x v="1"/>
    <s v="Influencers who had successful careers"/>
    <s v="No I would not be pursuing Higher Education outside of India"/>
    <s v="This will be hard to do, but if it is the right company I would try"/>
    <s v="No"/>
    <s v="Will NOT work for them"/>
    <n v="5"/>
    <s v="Fully Remote with No option to visit offices"/>
    <s v="Employer who pushes your limits by enabling an learning environment, and rewards you at the end"/>
    <x v="9"/>
    <s v="Manager who sets goal and helps me achieve it"/>
    <x v="1"/>
    <x v="0"/>
  </r>
  <r>
    <d v="2023-01-14T12:09:07"/>
    <s v="India"/>
    <n v="534001"/>
    <x v="0"/>
    <s v="Influencers who had successful careers"/>
    <s v="No I would not be pursuing Higher Education outside of India"/>
    <s v="This will be hard to do, but if it is the right company I would try"/>
    <s v="No"/>
    <s v="Will NOT work for them"/>
    <n v="6"/>
    <s v="Fully Remote with No option to visit offices"/>
    <s v="Employer who appreciates learning and enables that environment"/>
    <x v="18"/>
    <s v="Manager who explains what is expected, sets a goal and helps achieve it"/>
    <x v="2"/>
    <x v="1"/>
  </r>
  <r>
    <d v="2023-01-14T12:19:13"/>
    <s v="India"/>
    <n v="534462"/>
    <x v="1"/>
    <s v="My Parents"/>
    <s v="Yes, I will earn and do that"/>
    <s v="This will be hard to do, but if it is the right company I would try"/>
    <s v="No"/>
    <s v="Will work for them"/>
    <n v="8"/>
    <s v="Hybrid Working Environment with less than 3 days a month at office"/>
    <s v="Employer who rewards learning and enables that environment"/>
    <x v="70"/>
    <s v="Manager who clearly describes what she/he needs"/>
    <x v="3"/>
    <x v="1"/>
  </r>
  <r>
    <d v="2023-01-14T12:21:51"/>
    <s v="India"/>
    <n v="503003"/>
    <x v="1"/>
    <s v="People who have changed the world for better"/>
    <s v="Yes, I will earn and do that"/>
    <s v="This will be hard to do, but if it is the right company I would try"/>
    <s v="No"/>
    <s v="Will NOT work for them"/>
    <n v="4"/>
    <s v="Every Day Office Environment"/>
    <s v="Employer who pushes your limits by enabling an learning environment, and rewards you at the end"/>
    <x v="10"/>
    <s v="Manager who explains what is expected, sets a goal and helps achieve it"/>
    <x v="7"/>
    <x v="1"/>
  </r>
  <r>
    <d v="2023-01-14T12:32:53"/>
    <s v="India"/>
    <n v="534001"/>
    <x v="0"/>
    <s v="People who have changed the world for better"/>
    <s v="No I would not be pursuing Higher Education outside of India"/>
    <s v="This will be hard to do, but if it is the right company I would try"/>
    <s v="No"/>
    <s v="Will NOT work for them"/>
    <n v="8"/>
    <s v="Hybrid Working Environment with less than 15 days a month at office"/>
    <s v="Employer who pushes your limits by enabling an learning environment, and rewards you at the end"/>
    <x v="71"/>
    <s v="Manager who sets goal and helps me achieve it"/>
    <x v="2"/>
    <x v="0"/>
  </r>
  <r>
    <d v="2023-01-14T12:35:43"/>
    <s v="India"/>
    <n v="516401"/>
    <x v="0"/>
    <s v="Influencers who had successful careers"/>
    <s v="Yes, I will earn and do that"/>
    <s v="Will work for 3 years or more"/>
    <s v="No"/>
    <s v="Will NOT work for them"/>
    <n v="10"/>
    <s v="Every Day Office Environment"/>
    <s v="Employer who pushes your limits by enabling an learning environment, and rewards you at the end"/>
    <x v="17"/>
    <s v="Manager who explains what is expected, sets a goal and helps achieve it"/>
    <x v="1"/>
    <x v="0"/>
  </r>
  <r>
    <d v="2023-01-14T12:44:51"/>
    <s v="India"/>
    <n v="473551"/>
    <x v="0"/>
    <s v="My Parents"/>
    <s v="No I would not be pursuing Higher Education outside of India"/>
    <s v="This will be hard to do, but if it is the right company I would try"/>
    <s v="Yes"/>
    <s v="Will NOT work for them"/>
    <n v="5"/>
    <s v="Fully Remote with Options to travel as and when needed"/>
    <s v="Employer who appreciates learning and enables that environment"/>
    <x v="5"/>
    <s v="Manager who explains what is expected, sets a goal and helps achieve it"/>
    <x v="18"/>
    <x v="0"/>
  </r>
  <r>
    <d v="2023-01-14T14:54:35"/>
    <s v="India"/>
    <n v="522647"/>
    <x v="1"/>
    <s v="People from my circle, but not family members"/>
    <s v="Yes, I will earn and do that"/>
    <s v="This will be hard to do, but if it is the right company I would try"/>
    <s v="Yes"/>
    <s v="Will work for them"/>
    <n v="2"/>
    <s v="Hybrid Working Environment with less than 3 days a month at office"/>
    <s v="Employer who appreciates learning and enables that environment"/>
    <x v="21"/>
    <s v="Manager who clearly describes what she/he needs"/>
    <x v="2"/>
    <x v="1"/>
  </r>
  <r>
    <d v="2023-01-14T14:57:29"/>
    <s v="India"/>
    <n v="500083"/>
    <x v="1"/>
    <s v="People from my circle, but not family members"/>
    <s v="Yes, I will earn and do that"/>
    <s v="This will be hard to do, but if it is the right company I would try"/>
    <s v="No"/>
    <s v="Will work for them"/>
    <n v="9"/>
    <s v="Hybrid Working Environment with less than 3 days a month at office"/>
    <s v="Employer who rewards learning and enables that environment"/>
    <x v="1"/>
    <s v="Manager who explains what is expected, sets a goal and helps achieve it"/>
    <x v="2"/>
    <x v="1"/>
  </r>
  <r>
    <d v="2023-01-14T16:55:53"/>
    <s v="India"/>
    <n v="305001"/>
    <x v="1"/>
    <s v="Influencers who had successful careers"/>
    <s v="No I would not be pursuing Higher Education outside of India"/>
    <s v="This will be hard to do, but if it is the right company I would try"/>
    <s v="No"/>
    <s v="Will NOT work for them"/>
    <n v="6"/>
    <s v="Fully Remote with Options to travel as and when needed"/>
    <s v="Employer who pushes your limits by enabling an learning environment, and rewards you at the end"/>
    <x v="7"/>
    <s v="Manager who explains what is expected, sets a goal and helps achieve it"/>
    <x v="3"/>
    <x v="0"/>
  </r>
  <r>
    <d v="2023-01-14T23:19:00"/>
    <s v="India"/>
    <n v="110034"/>
    <x v="0"/>
    <s v="Social Media like LinkedIn"/>
    <s v="Yes, I will earn and do that"/>
    <s v="Will work for 3 years or more"/>
    <s v="No"/>
    <s v="Will NOT work for them"/>
    <n v="5"/>
    <s v="Hybrid Working Environment with less than 3 days a month at office"/>
    <s v="Employer who rewards learning and enables that environment"/>
    <x v="5"/>
    <s v="Manager who sets targets and expects me to achieve it"/>
    <x v="15"/>
    <x v="1"/>
  </r>
  <r>
    <d v="2023-01-18T09:23:16"/>
    <s v="India"/>
    <n v="760009"/>
    <x v="0"/>
    <s v="People who have changed the world for better"/>
    <s v="No I would not be pursuing Higher Education outside of India"/>
    <s v="This will be hard to do, but if it is the right company I would try"/>
    <s v="No"/>
    <s v="Will work for them"/>
    <n v="5"/>
    <s v="Hybrid Working Environment with less than 15 days a month at office"/>
    <s v="Employer who appreciates learning and enables that environment"/>
    <x v="5"/>
    <s v="Manager who explains what is expected, sets a goal and helps achieve it"/>
    <x v="7"/>
    <x v="0"/>
  </r>
  <r>
    <d v="2023-01-18T10:18:58"/>
    <s v="India"/>
    <n v="500062"/>
    <x v="1"/>
    <s v="My Parents"/>
    <s v="Yes, I will earn and do that"/>
    <s v="Will work for 3 years or more"/>
    <s v="No"/>
    <s v="Will NOT work for them"/>
    <n v="5"/>
    <s v="Every Day Office Environment"/>
    <s v="Employer who appreciates learning and enables that environment"/>
    <x v="35"/>
    <s v="Manager who sets goal and helps me achieve it"/>
    <x v="1"/>
    <x v="1"/>
  </r>
  <r>
    <d v="2023-01-18T21:38:53"/>
    <s v="India"/>
    <n v="560100"/>
    <x v="1"/>
    <s v="People who have changed the world for better"/>
    <s v="Yes, I will earn and do that"/>
    <s v="This will be hard to do, but if it is the right company I would try"/>
    <s v="Yes"/>
    <s v="Will NOT work for them"/>
    <n v="6"/>
    <s v="Hybrid Working Environment with less than 10 days a month at office"/>
    <s v="Employer who pushes your limits by enabling an learning environment, and rewards you at the end"/>
    <x v="23"/>
    <s v="Manager who explains what is expected, sets a goal and helps achieve it"/>
    <x v="1"/>
    <x v="0"/>
  </r>
  <r>
    <d v="2023-01-19T16:57:49"/>
    <s v="India"/>
    <n v="490006"/>
    <x v="1"/>
    <s v="My Parents"/>
    <s v="No I would not be pursuing Higher Education outside of India"/>
    <s v="This will be hard to do, but if it is the right company I would try"/>
    <s v="No"/>
    <s v="Will NOT work for them"/>
    <n v="7"/>
    <s v="Hybrid Working Environment with less than 15 days a month at office"/>
    <s v="Employer who pushes your limits by enabling an learning environment, and rewards you at the end"/>
    <x v="5"/>
    <s v="Manager who clearly describes what she/he needs"/>
    <x v="1"/>
    <x v="0"/>
  </r>
  <r>
    <d v="2023-01-20T20:43:49"/>
    <s v="India"/>
    <n v="834001"/>
    <x v="0"/>
    <s v="Influencers who had successful careers"/>
    <s v="No, But if someone could bare the cost I will"/>
    <s v="This will be hard to do, but if it is the right company I would try"/>
    <s v="Yes"/>
    <s v="Will NOT work for them"/>
    <n v="7"/>
    <s v="Hybrid Working Environment with less than 15 days a month at office"/>
    <s v="Employer who pushes your limits by enabling an learning environment, and rewards you at the end"/>
    <x v="7"/>
    <s v="Manager who explains what is expected, sets a goal and helps achieve it"/>
    <x v="1"/>
    <x v="0"/>
  </r>
  <r>
    <d v="2023-01-25T15:02:52"/>
    <s v="India"/>
    <n v="441111"/>
    <x v="1"/>
    <s v="Influencers who had successful careers"/>
    <s v="Yes, I will earn and do that"/>
    <s v="This will be hard to do, but if it is the right company I would try"/>
    <s v="No"/>
    <s v="Will NOT work for them"/>
    <n v="1"/>
    <s v="Every Day Office Environment"/>
    <s v="Employer who pushes your limits by enabling an learning environment, and rewards you at the end"/>
    <x v="3"/>
    <s v="Manager who explains what is expected, sets a goal and helps achieve it"/>
    <x v="7"/>
    <x v="0"/>
  </r>
  <r>
    <d v="2023-01-26T17:15:36"/>
    <s v="India"/>
    <n v="631052"/>
    <x v="1"/>
    <s v="My Parents"/>
    <s v="Yes, I will earn and do that"/>
    <s v="This will be hard to do, but if it is the right company I would try"/>
    <s v="No"/>
    <s v="Will NOT work for them"/>
    <n v="2"/>
    <s v="Hybrid Working Environment with less than 15 days a month at office"/>
    <s v="Employer who appreciates learning and enables that environment"/>
    <x v="9"/>
    <s v="Manager who explains what is expected, sets a goal and helps achieve it"/>
    <x v="4"/>
    <x v="1"/>
  </r>
  <r>
    <d v="2023-01-26T22:41:51"/>
    <s v="India"/>
    <n v="416520"/>
    <x v="1"/>
    <s v="My Parents"/>
    <s v="No I would not be pursuing Higher Education outside of India"/>
    <s v="Will work for 3 years or more"/>
    <s v="Yes"/>
    <s v="Will work for them"/>
    <n v="2"/>
    <s v="Fully Remote with Options to travel as and when needed"/>
    <s v="Employer who pushes your limits by enabling an learning environment, and rewards you at the end"/>
    <x v="1"/>
    <s v="Manager who explains what is expected, sets a goal and helps achieve it"/>
    <x v="1"/>
    <x v="2"/>
  </r>
  <r>
    <d v="2023-01-28T11:37:20"/>
    <s v="India"/>
    <n v="560100"/>
    <x v="0"/>
    <s v="Influencers who had successful careers"/>
    <s v="No I would not be pursuing Higher Education outside of India"/>
    <s v="Will work for 3 years or more"/>
    <s v="No"/>
    <s v="Will NOT work for them"/>
    <n v="10"/>
    <s v="Every Day Office Environment"/>
    <s v="Employer who appreciates learning and enables that environment"/>
    <x v="28"/>
    <s v="Manager who sets goal and helps me achieve it"/>
    <x v="7"/>
    <x v="0"/>
  </r>
  <r>
    <d v="2023-01-28T11:37:23"/>
    <s v="India"/>
    <n v="632301"/>
    <x v="1"/>
    <s v="Influencers who had successful careers"/>
    <s v="No I would not be pursuing Higher Education outside of India"/>
    <s v="This will be hard to do, but if it is the right company I would try"/>
    <s v="Yes"/>
    <s v="Will work for them"/>
    <n v="5"/>
    <s v="Every Day Office Environment"/>
    <s v="Employer who appreciates learning and enables that environment"/>
    <x v="13"/>
    <s v="Manager who explains what is expected, sets a goal and helps achieve it"/>
    <x v="1"/>
    <x v="1"/>
  </r>
  <r>
    <d v="2023-02-20T21:04:17"/>
    <s v="India"/>
    <n v="641046"/>
    <x v="0"/>
    <s v="People who have changed the world for better"/>
    <s v="Yes, I will earn and do that"/>
    <s v="This will be hard to do, but if it is the right company I would try"/>
    <s v="Yes"/>
    <s v="Will NOT work for them"/>
    <n v="6"/>
    <s v="Every Day Office Environment"/>
    <s v="Employer who appreciates learning and enables that environment"/>
    <x v="72"/>
    <s v="Manager who explains what is expected, sets a goal and helps achieve it"/>
    <x v="16"/>
    <x v="0"/>
  </r>
  <r>
    <d v="2023-02-22T12:15:03"/>
    <s v="India"/>
    <n v="394230"/>
    <x v="0"/>
    <s v="My Parents"/>
    <s v="No, But if someone could bare the cost I will"/>
    <s v="This will be hard to do, but if it is the right company I would try"/>
    <s v="Yes"/>
    <s v="Will work for them"/>
    <n v="10"/>
    <s v="Every Day Office Environment"/>
    <s v="Employer who pushes your limits by enabling an learning environment, and rewards you at the end"/>
    <x v="83"/>
    <s v="Manager who explains what is expected, sets a goal and helps achieve it"/>
    <x v="1"/>
    <x v="0"/>
  </r>
  <r>
    <d v="2023-02-28T19:40:43"/>
    <s v="India"/>
    <n v="44023"/>
    <x v="0"/>
    <s v="My Parents"/>
    <s v="No I would not be pursuing Higher Education outside of India"/>
    <s v="This will be hard to do, but if it is the right company I would try"/>
    <s v="Yes"/>
    <s v="Will work for them"/>
    <n v="5"/>
    <s v="Hybrid Working Environment with less than 10 days a month at office"/>
    <s v="Employer who rewards learning and enables that environment"/>
    <x v="42"/>
    <s v="Manager who sets goal and helps me achieve it"/>
    <x v="7"/>
    <x v="0"/>
  </r>
  <r>
    <d v="2023-03-27T15:56:38"/>
    <s v="India"/>
    <n v="620017"/>
    <x v="1"/>
    <s v="People who have changed the world for better"/>
    <s v="No, But if someone could bare the cost I will"/>
    <s v="Will work for 3 years or more"/>
    <s v="No"/>
    <s v="Will NOT work for them"/>
    <n v="5"/>
    <s v="Hybrid Working Environment with less than 15 days a month at office"/>
    <s v="Employer who appreciates learning and enables that environment"/>
    <x v="24"/>
    <s v="Manager who explains what is expected, sets a goal and helps achieve it"/>
    <x v="12"/>
    <x v="1"/>
  </r>
  <r>
    <d v="2023-04-04T21:03:24"/>
    <s v="India"/>
    <n v="500032"/>
    <x v="0"/>
    <s v="People who have changed the world for better"/>
    <s v="No I would not be pursuing Higher Education outside of India"/>
    <s v="Will work for 3 years or more"/>
    <s v="No"/>
    <s v="Will NOT work for them"/>
    <n v="5"/>
    <s v="Fully Remote with Options to travel as and when needed"/>
    <s v="Employer who pushes your limits by enabling an learning environment, and rewards you at the end"/>
    <x v="58"/>
    <s v="Manager who explains what is expected, sets a goal and helps achieve it"/>
    <x v="19"/>
    <x v="0"/>
  </r>
  <r>
    <d v="2023-04-04T21:04:46"/>
    <s v="India"/>
    <n v="600083"/>
    <x v="1"/>
    <s v="People from my circle, but not family members"/>
    <s v="Yes, I will earn and do that"/>
    <s v="No way, 3 years with one employer is crazy"/>
    <s v="No"/>
    <s v="Will NOT work for them"/>
    <n v="3"/>
    <s v="Fully Remote with Options to travel as and when needed"/>
    <s v="Employer who pushes your limits by enabling an learning environment, and rewards you at the end"/>
    <x v="5"/>
    <s v="Manager who explains what is expected, sets a goal and helps achieve it"/>
    <x v="11"/>
    <x v="1"/>
  </r>
  <r>
    <d v="2023-04-04T21:13:36"/>
    <s v="India"/>
    <n v="560016"/>
    <x v="0"/>
    <s v="Influencers who had successful careers"/>
    <s v="No, But if someone could bare the cost I will"/>
    <s v="This will be hard to do, but if it is the right company I would try"/>
    <s v="No"/>
    <s v="Will work for them"/>
    <n v="5"/>
    <s v="Fully Remote with Options to travel as and when needed"/>
    <s v="Employer who appreciates learning and enables that environment"/>
    <x v="94"/>
    <s v="Manager who explains what is expected, sets a goal and helps achieve it"/>
    <x v="7"/>
    <x v="0"/>
  </r>
  <r>
    <d v="2023-04-04T21:14:17"/>
    <s v="India"/>
    <n v="560083"/>
    <x v="0"/>
    <s v="People from my circle, but not family members"/>
    <s v="No I would not be pursuing Higher Education outside of India"/>
    <s v="Will work for 3 years or more"/>
    <s v="No"/>
    <s v="Will NOT work for them"/>
    <n v="1"/>
    <s v="Hybrid Working Environment with less than 3 days a month at office"/>
    <s v="Employer who pushes your limits by enabling an learning environment, and rewards you at the end"/>
    <x v="95"/>
    <s v="Manager who explains what is expected, sets a goal and helps achieve it"/>
    <x v="1"/>
    <x v="1"/>
  </r>
  <r>
    <d v="2023-04-04T21:15:02"/>
    <s v="India"/>
    <n v="250001"/>
    <x v="0"/>
    <s v="People who have changed the world for better"/>
    <s v="Yes, I will earn and do that"/>
    <s v="This will be hard to do, but if it is the right company I would try"/>
    <s v="No"/>
    <s v="Will NOT work for them"/>
    <n v="6"/>
    <s v="Hybrid Working Environment with less than 3 days a month at office"/>
    <s v="Employer who rewards learning and enables that environment"/>
    <x v="96"/>
    <s v="Manager who sets goal and helps me achieve it"/>
    <x v="3"/>
    <x v="1"/>
  </r>
  <r>
    <d v="2023-04-04T21:20:22"/>
    <s v="India"/>
    <n v="560034"/>
    <x v="0"/>
    <s v="People who have changed the world for better"/>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97"/>
    <s v="Manager who explains what is expected, sets a goal and helps achieve it"/>
    <x v="5"/>
    <x v="0"/>
  </r>
  <r>
    <d v="2023-04-04T21:30:33"/>
    <s v="India"/>
    <n v="641004"/>
    <x v="0"/>
    <s v="Social Media like LinkedIn"/>
    <s v="Yes, I will earn and do that"/>
    <s v="Will work for 3 years or more"/>
    <s v="Yes"/>
    <s v="Will NOT work for them"/>
    <n v="8"/>
    <s v="Fully Remote with No option to visit offices"/>
    <s v="Employer who appreciates learning and enables that environment"/>
    <x v="98"/>
    <s v="Manager who sets goal and helps me achieve it"/>
    <x v="2"/>
    <x v="3"/>
  </r>
  <r>
    <d v="2023-04-04T21:41:58"/>
    <s v="India"/>
    <n v="452003"/>
    <x v="0"/>
    <s v="People who have changed the world for better"/>
    <s v="Yes, I will earn and do that"/>
    <s v="This will be hard to do, but if it is the right company I would try"/>
    <s v="No"/>
    <s v="Will NOT work for them"/>
    <n v="4"/>
    <s v="Fully Remote with Options to travel as and when needed"/>
    <s v="Employer who pushes your limits by enabling an learning environment, and rewards you at the end"/>
    <x v="99"/>
    <s v="Manager who sets targets and expects me to achieve it"/>
    <x v="3"/>
    <x v="0"/>
  </r>
  <r>
    <d v="2023-04-04T21:45:32"/>
    <s v="India"/>
    <n v="560049"/>
    <x v="0"/>
    <s v="My Parents"/>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00"/>
    <s v="Manager who explains what is expected, sets a goal and helps achieve it"/>
    <x v="2"/>
    <x v="0"/>
  </r>
  <r>
    <d v="2023-04-04T22:44:43"/>
    <s v="India"/>
    <n v="335526"/>
    <x v="1"/>
    <s v="People who have changed the world for better"/>
    <s v="Yes, I will earn and do that"/>
    <s v="This will be hard to do, but if it is the right company I would try"/>
    <s v="No"/>
    <s v="Will NOT work for them"/>
    <n v="5"/>
    <s v="Fully Remote with Options to travel as and when needed"/>
    <s v="Employer who appreciates learning and enables that environment"/>
    <x v="101"/>
    <s v="Manager who sets goal and helps me achieve it"/>
    <x v="4"/>
    <x v="0"/>
  </r>
  <r>
    <d v="2023-04-04T22:49:42"/>
    <s v="India"/>
    <n v="58000"/>
    <x v="1"/>
    <s v="Influencers who had successful careers"/>
    <s v="Yes, I will earn and do that"/>
    <s v="Will work for 3 years or more"/>
    <s v="Yes"/>
    <s v="Will NOT work for them"/>
    <n v="5"/>
    <s v="Fully Remote with Options to travel as and when needed"/>
    <s v="Employer who rewards learning and enables that environment"/>
    <x v="102"/>
    <s v="Manager who explains what is expected, sets a goal and helps achieve it"/>
    <x v="4"/>
    <x v="3"/>
  </r>
  <r>
    <d v="2023-04-05T00:08:44"/>
    <s v="India"/>
    <n v="400078"/>
    <x v="0"/>
    <s v="People who have changed the world for better"/>
    <s v="Yes, I will earn and do that"/>
    <s v="No way"/>
    <s v="Yes"/>
    <s v="Will NOT work for them"/>
    <n v="7"/>
    <s v="Hybrid Working Environment with less than 3 days a month at office"/>
    <s v="Employer who pushes your limits by enabling an learning environment, and rewards you at the end"/>
    <x v="103"/>
    <s v="Manager who explains what is expected, sets a goal and helps achieve it"/>
    <x v="7"/>
    <x v="3"/>
  </r>
  <r>
    <d v="2023-04-05T00:12:34"/>
    <s v="India"/>
    <n v="411028"/>
    <x v="0"/>
    <s v="People who have changed the world for better"/>
    <s v="Yes, I will earn and do that"/>
    <s v="This will be hard to do, but if it is the right company I would try"/>
    <s v="Yes"/>
    <s v="Will NOT work for them"/>
    <n v="7"/>
    <s v="Fully Remote with Options to travel as and when needed"/>
    <s v="Employer who pushes your limits by enabling an learning environment, and rewards you at the end"/>
    <x v="104"/>
    <s v="Manager who explains what is expected, sets a goal and helps achieve it"/>
    <x v="7"/>
    <x v="3"/>
  </r>
  <r>
    <d v="2023-04-05T00:19:17"/>
    <s v="Canada"/>
    <n v="132001"/>
    <x v="1"/>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105"/>
    <s v="Manager who explains what is expected, sets a goal and helps achieve it"/>
    <x v="1"/>
    <x v="3"/>
  </r>
  <r>
    <d v="2023-04-05T00:30:25"/>
    <s v="India"/>
    <n v="440002"/>
    <x v="0"/>
    <s v="My Parents"/>
    <s v="No, But if someone could bare the cost I will"/>
    <s v="This will be hard to do, but if it is the right company I would try"/>
    <s v="No"/>
    <s v="Will NOT work for them"/>
    <n v="4"/>
    <s v="Hybrid Working Environment with more than 15 days a month at office"/>
    <s v="Employer who rewards learning and enables that environment"/>
    <x v="106"/>
    <s v="Manager who sets goal and helps me achieve it"/>
    <x v="7"/>
    <x v="3"/>
  </r>
  <r>
    <d v="2023-04-05T00:36:02"/>
    <s v="India"/>
    <n v="624005"/>
    <x v="1"/>
    <s v="People who have changed the world for better"/>
    <s v="No I would not be pursuing Higher Education outside of India"/>
    <s v="Will work for 3 years or more"/>
    <s v="No"/>
    <s v="Will NOT work for them"/>
    <n v="1"/>
    <s v="Hybrid Working Environment with more than 15 days a month at office"/>
    <s v="Employer who appreciates learning and enables that environment"/>
    <x v="107"/>
    <s v="Manager who explains what is expected, sets a goal and helps achieve it"/>
    <x v="1"/>
    <x v="0"/>
  </r>
  <r>
    <d v="2023-04-05T00:47:54"/>
    <s v="India"/>
    <n v="382424"/>
    <x v="0"/>
    <s v="People from my circle, but not family members"/>
    <s v="No I would not be pursuing Higher Education outside of India"/>
    <s v="Will work for 3 years or more"/>
    <s v="No"/>
    <s v="Will NOT work for them"/>
    <n v="6"/>
    <s v="Fully Remote with Options to travel as and when needed"/>
    <s v="Employer who pushes your limits by enabling an learning environment, and rewards you at the end"/>
    <x v="108"/>
    <s v="Manager who sets unrealistic targets"/>
    <x v="1"/>
    <x v="0"/>
  </r>
  <r>
    <d v="2023-04-05T00:48:27"/>
    <s v="Canada"/>
    <n v="226016"/>
    <x v="1"/>
    <s v="People from my circle, but not family members"/>
    <s v="No, But if someone could bare the cost I will"/>
    <s v="Will work for 3 years or more"/>
    <s v="No"/>
    <s v="Will NOT work for them"/>
    <n v="8"/>
    <s v="Hybrid Working Environment with less than 3 days a month at office"/>
    <s v="Employer who appreciates learning and enables that environment"/>
    <x v="109"/>
    <s v="Manager who sets goal and helps me achieve it"/>
    <x v="3"/>
    <x v="3"/>
  </r>
  <r>
    <d v="2023-04-05T00:50:50"/>
    <s v="India"/>
    <n v="110077"/>
    <x v="0"/>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10"/>
    <s v="Manager who explains what is expected, sets a goal and helps achieve it"/>
    <x v="9"/>
    <x v="0"/>
  </r>
  <r>
    <d v="2023-04-05T01:00:42"/>
    <s v="India"/>
    <n v="442902"/>
    <x v="0"/>
    <s v="Influencers who had successful career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05"/>
    <s v="Manager who explains what is expected, sets a goal and helps achieve it"/>
    <x v="19"/>
    <x v="3"/>
  </r>
  <r>
    <d v="2023-04-05T01:08:58"/>
    <s v="India"/>
    <n v="530032"/>
    <x v="0"/>
    <s v="People from my circle, but not family members"/>
    <s v="No I would not be pursuing Higher Education outside of India"/>
    <s v="This will be hard to do, but if it is the right company I would try"/>
    <s v="No"/>
    <s v="Will work for them"/>
    <n v="8"/>
    <s v="Fully Remote with Options to travel as and when needed"/>
    <s v="Employer who rewards learning and enables that environment"/>
    <x v="111"/>
    <s v="Manager who clearly describes what she/he needs"/>
    <x v="11"/>
    <x v="3"/>
  </r>
  <r>
    <d v="2023-04-05T01:46:02"/>
    <s v="India"/>
    <n v="412207"/>
    <x v="0"/>
    <s v="People who have changed the world for better"/>
    <s v="No I would not be pursuing Higher Education outside of India"/>
    <s v="This will be hard to do, but if it is the right company I would try"/>
    <s v="Yes"/>
    <s v="Will NOT work for them"/>
    <n v="4"/>
    <s v="Every Day Office Environment"/>
    <s v="Employer who appreciates learning and enables that environment"/>
    <x v="112"/>
    <s v="Manager who explains what is expected, sets a goal and helps achieve it"/>
    <x v="1"/>
    <x v="3"/>
  </r>
  <r>
    <d v="2023-04-05T07:18:30"/>
    <s v="India"/>
    <n v="110059"/>
    <x v="0"/>
    <s v="My Parents"/>
    <s v="Yes, I will earn and do that"/>
    <s v="This will be hard to do, but if it is the right company I would try"/>
    <s v="No"/>
    <s v="Will NOT work for them"/>
    <n v="8"/>
    <s v="Hybrid Working Environment with more than 15 days a month at office"/>
    <s v="Employer who appreciates learning and enables that environment"/>
    <x v="113"/>
    <s v="Manager who sets goal and helps me achieve it"/>
    <x v="4"/>
    <x v="0"/>
  </r>
  <r>
    <d v="2023-04-05T07:27:27"/>
    <s v="India"/>
    <n v="627002"/>
    <x v="0"/>
    <s v="My Parents"/>
    <s v="No, But if someone could bare the cost I will"/>
    <s v="Will work for 3 years or more"/>
    <s v="No"/>
    <s v="Will NOT work for them"/>
    <n v="6"/>
    <s v="Hybrid Working Environment with more than 15 days a month at office"/>
    <s v="Employer who pushes your limits by enabling an learning environment, and rewards you at the end"/>
    <x v="111"/>
    <s v="Manager who explains what is expected, sets a goal and helps achieve it"/>
    <x v="1"/>
    <x v="3"/>
  </r>
  <r>
    <d v="2023-04-05T07:37:24"/>
    <s v="India"/>
    <n v="250001"/>
    <x v="0"/>
    <s v="People from my circle, but not family members"/>
    <s v="Yes, I will earn and do that"/>
    <s v="This will be hard to do, but if it is the right company I would try"/>
    <s v="No"/>
    <s v="Will NOT work for them"/>
    <n v="6"/>
    <s v="Fully Remote with Options to travel as and when needed"/>
    <s v="Employer who pushes your limits by enabling an learning environment, and rewards you at the end"/>
    <x v="114"/>
    <s v="Manager who clearly describes what she/he needs"/>
    <x v="11"/>
    <x v="3"/>
  </r>
  <r>
    <d v="2023-04-05T09:06:13"/>
    <s v="India"/>
    <n v="721506"/>
    <x v="1"/>
    <s v="Influencers who had successful careers"/>
    <s v="Yes, I will earn and do that"/>
    <s v="Will work for 3 years or more"/>
    <s v="Yes"/>
    <s v="Will NOT work for them"/>
    <n v="9"/>
    <s v="Every Day Office Environment"/>
    <s v="Employer who pushes your limits by enabling an learning environment, and rewards you at the end"/>
    <x v="111"/>
    <s v="Manager who explains what is expected, sets a goal and helps achieve it"/>
    <x v="15"/>
    <x v="3"/>
  </r>
  <r>
    <d v="2023-04-05T09:17:37"/>
    <s v="India"/>
    <n v="600091"/>
    <x v="0"/>
    <s v="Influencers who had successful careers"/>
    <s v="Yes, I will earn and do that"/>
    <s v="This will be hard to do, but if it is the right company I would try"/>
    <s v="No"/>
    <s v="Will NOT work for them"/>
    <n v="3"/>
    <s v="Fully Remote with Options to travel as and when needed"/>
    <s v="Employer who appreciates learning and enables that environment"/>
    <x v="115"/>
    <s v="Manager who explains what is expected, sets a goal and helps achieve it"/>
    <x v="4"/>
    <x v="3"/>
  </r>
  <r>
    <d v="2023-04-05T09:31:12"/>
    <s v="India"/>
    <n v="600129"/>
    <x v="0"/>
    <s v="My Parents"/>
    <s v="No I would not be pursuing Higher Education outside of India"/>
    <s v="Will work for 3 years or more"/>
    <s v="No"/>
    <s v="Will work for them"/>
    <n v="7"/>
    <s v="Every Day Office Environment"/>
    <s v="Employer who appreciates learning and enables that environment"/>
    <x v="116"/>
    <s v="Manager who explains what is expected, sets a goal and helps achieve it"/>
    <x v="1"/>
    <x v="2"/>
  </r>
  <r>
    <d v="2023-04-05T09:33:56"/>
    <s v="India"/>
    <n v="834001"/>
    <x v="1"/>
    <s v="Social Media like LinkedIn"/>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17"/>
    <s v="Manager who explains what is expected, sets a goal and helps achieve it"/>
    <x v="16"/>
    <x v="3"/>
  </r>
  <r>
    <d v="2023-04-05T09:36:45"/>
    <s v="India"/>
    <n v="641028"/>
    <x v="0"/>
    <s v="People who have changed the world for better"/>
    <s v="Yes, I will earn and do that"/>
    <s v="This will be hard to do, but if it is the right company I would try"/>
    <s v="Yes"/>
    <s v="Will work for them"/>
    <n v="6"/>
    <s v="Hybrid Working Environment with more than 15 days a month at office"/>
    <s v="Employer who pushes your limits by enabling an learning environment, and rewards you at the end"/>
    <x v="118"/>
    <s v="Manager who explains what is expected, sets a goal and helps achieve it"/>
    <x v="5"/>
    <x v="3"/>
  </r>
  <r>
    <d v="2023-04-05T09:45:29"/>
    <s v="India"/>
    <s v="+91"/>
    <x v="0"/>
    <s v="Social Media like LinkedIn"/>
    <s v="Yes, I will earn and do that"/>
    <s v="Will work for 3 years or more"/>
    <s v="Yes"/>
    <s v="Will NOT work for them"/>
    <n v="8"/>
    <s v="Hybrid Working Environment with more than 15 days a month at office"/>
    <s v="Employer who pushes your limits by enabling an learning environment, and rewards you at the end"/>
    <x v="119"/>
    <s v="Manager who clearly describes what she/he needs"/>
    <x v="7"/>
    <x v="0"/>
  </r>
  <r>
    <d v="2023-04-05T10:00:10"/>
    <s v="India"/>
    <n v="600014"/>
    <x v="0"/>
    <s v="Social Media like LinkedIn"/>
    <s v="No I would not be pursuing Higher Education outside of India"/>
    <s v="This will be hard to do, but if it is the right company I would try"/>
    <s v="No"/>
    <s v="Will NOT work for them"/>
    <n v="5"/>
    <s v="Hybrid Working Environment with less than 3 days a month at office"/>
    <s v="Employer who appreciates learning and enables that environment"/>
    <x v="109"/>
    <s v="Manager who explains what is expected, sets a goal and helps achieve it"/>
    <x v="3"/>
    <x v="3"/>
  </r>
  <r>
    <d v="2023-04-05T10:12:37"/>
    <s v="India"/>
    <n v="671315"/>
    <x v="0"/>
    <s v="Social Media like LinkedIn"/>
    <s v="No, But if someone could bare the cost I will"/>
    <s v="This will be hard to do, but if it is the right company I would try"/>
    <s v="Yes"/>
    <s v="Will work for them"/>
    <n v="4"/>
    <s v="Hybrid Working Environment with less than 3 days a month at office"/>
    <s v="Employer who pushes your limits by enabling an learning environment, and rewards you at the end"/>
    <x v="120"/>
    <s v="Manager who explains what is expected, sets a goal and helps achieve it"/>
    <x v="2"/>
    <x v="3"/>
  </r>
  <r>
    <d v="2023-04-05T10:29:08"/>
    <s v="India"/>
    <n v="500079"/>
    <x v="0"/>
    <s v="Influencers who had successful careers"/>
    <s v="Yes, I will earn and do that"/>
    <s v="This will be hard to do, but if it is the right company I would try"/>
    <s v="No"/>
    <s v="Will NOT work for them"/>
    <n v="4"/>
    <s v="Fully Remote with Options to travel as and when needed"/>
    <s v="Employer who appreciates learning and enables that environment"/>
    <x v="98"/>
    <s v="Manager who explains what is expected, sets a goal and helps achieve it"/>
    <x v="1"/>
    <x v="0"/>
  </r>
  <r>
    <d v="2023-04-05T10:29:15"/>
    <s v="Others"/>
    <n v="2151"/>
    <x v="0"/>
    <s v="People from my circle, but not family members"/>
    <s v="Yes, I will earn and do that"/>
    <s v="Will work for 3 years or more"/>
    <s v="Yes"/>
    <s v="Will work for them"/>
    <n v="10"/>
    <s v="Every Day Office Environment"/>
    <s v="Employer who appreciates learning and enables that environment"/>
    <x v="121"/>
    <s v="Manager who explains what is expected, sets a goal and helps achieve it"/>
    <x v="7"/>
    <x v="2"/>
  </r>
  <r>
    <d v="2023-04-05T10:30:56"/>
    <s v="India"/>
    <n v="670014"/>
    <x v="0"/>
    <s v="People from my circle, but not family members"/>
    <s v="Yes, I will earn and do that"/>
    <s v="Will work for 3 years or more"/>
    <s v="Yes"/>
    <s v="Will work for them"/>
    <n v="6"/>
    <s v="Hybrid Working Environment with more than 15 days a month at office"/>
    <s v="Employer who pushes your limits by enabling an learning environment, and rewards you at the end"/>
    <x v="122"/>
    <s v="Manager who explains what is expected, sets a goal and helps achieve it"/>
    <x v="1"/>
    <x v="3"/>
  </r>
  <r>
    <d v="2023-04-05T10:33:20"/>
    <s v="India"/>
    <n v="390009"/>
    <x v="0"/>
    <s v="Influencers who had successful careers"/>
    <s v="Yes, I will earn and do that"/>
    <s v="This will be hard to do, but if it is the right company I would try"/>
    <s v="No"/>
    <s v="Will NOT work for them"/>
    <n v="1"/>
    <s v="Every Day Office Environment"/>
    <s v="Employer who pushes your limits by enabling an learning environment, and rewards you at the end"/>
    <x v="118"/>
    <s v="Manager who explains what is expected, sets a goal and helps achieve it"/>
    <x v="7"/>
    <x v="0"/>
  </r>
  <r>
    <d v="2023-04-05T10:37:24"/>
    <s v="India"/>
    <n v="500079"/>
    <x v="0"/>
    <s v="Influencers who had successful careers"/>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23"/>
    <s v="Manager who explains what is expected, sets a goal and helps achieve it"/>
    <x v="1"/>
    <x v="3"/>
  </r>
  <r>
    <d v="2023-04-05T10:37:42"/>
    <s v="India"/>
    <n v="560066"/>
    <x v="0"/>
    <s v="People who have changed the world for better"/>
    <s v="Yes, I will earn and do that"/>
    <s v="Will work for 3 years or more"/>
    <s v="Yes"/>
    <s v="Will NOT work for them"/>
    <n v="7"/>
    <s v="Hybrid Working Environment with more than 15 days a month at office"/>
    <s v="Employer who pushes your limits by enabling an learning environment, and rewards you at the end"/>
    <x v="124"/>
    <s v="Manager who explains what is expected, sets a goal and helps achieve it"/>
    <x v="9"/>
    <x v="3"/>
  </r>
  <r>
    <d v="2023-04-05T10:37:58"/>
    <s v="India"/>
    <n v="421301"/>
    <x v="0"/>
    <s v="People who have changed the world for better"/>
    <s v="No I would not be pursuing Higher Education outside of India"/>
    <s v="Will work for 3 years or more"/>
    <s v="Yes"/>
    <s v="Will NOT work for them"/>
    <n v="5"/>
    <s v="Fully Remote with Options to travel as and when needed"/>
    <s v="Employer who pushes your limits by enabling an learning environment, and rewards you at the end"/>
    <x v="125"/>
    <s v="Manager who clearly describes what she/he needs"/>
    <x v="4"/>
    <x v="3"/>
  </r>
  <r>
    <d v="2023-04-05T10:39:37"/>
    <s v="Others"/>
    <s v="02-414"/>
    <x v="0"/>
    <s v="People from my circle, but not family members"/>
    <s v="Yes, I will earn and do that"/>
    <s v="This will be hard to do, but if it is the right company I would try"/>
    <s v="Yes"/>
    <s v="Will work for them"/>
    <n v="6"/>
    <s v="Hybrid Working Environment with less than 3 days a month at office"/>
    <s v="Employer who pushes your limits by enabling an learning environment, and rewards you at the end"/>
    <x v="126"/>
    <s v="Manager who explains what is expected, sets a goal and helps achieve it"/>
    <x v="2"/>
    <x v="3"/>
  </r>
  <r>
    <d v="2023-04-05T10:40:25"/>
    <s v="India"/>
    <n v="500008"/>
    <x v="0"/>
    <s v="People who have changed the world for better"/>
    <s v="No, But if someone could bare the cost I will"/>
    <s v="This will be hard to do, but if it is the right company I would try"/>
    <s v="Yes"/>
    <s v="Will work for them"/>
    <n v="5"/>
    <s v="Fully Remote with Options to travel as and when needed"/>
    <s v="Employer who appreciates learning and enables that environment"/>
    <x v="124"/>
    <s v="Manager who sets goal and helps me achieve it"/>
    <x v="6"/>
    <x v="3"/>
  </r>
  <r>
    <d v="2023-04-05T10:42:07"/>
    <s v="India"/>
    <n v="400083"/>
    <x v="0"/>
    <s v="Social Media like LinkedIn"/>
    <s v="No I would not be pursuing Higher Education outside of India"/>
    <s v="This will be hard to do, but if it is the right company I would try"/>
    <s v="Yes"/>
    <s v="Will work for them"/>
    <n v="10"/>
    <s v="Hybrid Working Environment with less than 3 days a month at office"/>
    <s v="Employer who appreciates learning and enables that environment"/>
    <x v="97"/>
    <s v="Manager who clearly describes what she/he needs"/>
    <x v="3"/>
    <x v="0"/>
  </r>
  <r>
    <d v="2023-04-05T10:46:43"/>
    <s v="India"/>
    <n v="627357"/>
    <x v="0"/>
    <s v="People who have changed the world for better"/>
    <s v="Yes, I will earn and do that"/>
    <s v="This will be hard to do, but if it is the right company I would try"/>
    <s v="Yes"/>
    <s v="Will work for them"/>
    <n v="8"/>
    <s v="Every Day Office Environment"/>
    <s v="Employer who pushes your limits by enabling an learning environment, and rewards you at the end"/>
    <x v="127"/>
    <s v="Manager who explains what is expected, sets a goal and helps achieve it"/>
    <x v="1"/>
    <x v="0"/>
  </r>
  <r>
    <d v="2023-04-05T10:48:14"/>
    <s v="India"/>
    <n v="500036"/>
    <x v="0"/>
    <s v="My Parents"/>
    <s v="Yes, I will earn and do that"/>
    <s v="This will be hard to do, but if it is the right company I would try"/>
    <s v="No"/>
    <s v="Will NOT work for them"/>
    <n v="3"/>
    <s v="Hybrid Working Environment with more than 15 days a month at office"/>
    <s v="Employer who appreciates learning and enables that environment"/>
    <x v="128"/>
    <s v="Manager who clearly describes what she/he needs"/>
    <x v="3"/>
    <x v="3"/>
  </r>
  <r>
    <d v="2023-04-05T10:48:18"/>
    <s v="India"/>
    <n v="500079"/>
    <x v="1"/>
    <s v="People who have changed the world for better"/>
    <s v="No, But if someone could bare the cost I will"/>
    <s v="This will be hard to do, but if it is the right company I would try"/>
    <s v="No"/>
    <s v="Will NOT work for them"/>
    <n v="7"/>
    <s v="Fully Remote with Options to travel as and when needed"/>
    <s v="Employer who pushes your limits by enabling an learning environment, and rewards you at the end"/>
    <x v="129"/>
    <s v="Manager who explains what is expected, sets a goal and helps achieve it"/>
    <x v="4"/>
    <x v="0"/>
  </r>
  <r>
    <d v="2023-04-05T10:49:53"/>
    <s v="India"/>
    <n v="440036"/>
    <x v="1"/>
    <s v="My Parents"/>
    <s v="Yes, I will earn and do that"/>
    <s v="This will be hard to do, but if it is the right company I would try"/>
    <s v="Yes"/>
    <s v="Will NOT work for them"/>
    <n v="3"/>
    <s v="Fully Remote with Options to travel as and when needed"/>
    <s v="Employer who pushes your limits by enabling an learning environment, and rewards you at the end"/>
    <x v="130"/>
    <s v="Manager who explains what is expected, sets a goal and helps achieve it"/>
    <x v="3"/>
    <x v="0"/>
  </r>
  <r>
    <d v="2023-04-05T10:51:08"/>
    <s v="India"/>
    <n v="500060"/>
    <x v="0"/>
    <s v="People who have changed the world for better"/>
    <s v="No I would not be pursuing Higher Education outside of India"/>
    <s v="No way"/>
    <s v="No"/>
    <s v="Will NOT work for them"/>
    <n v="1"/>
    <s v="Hybrid Working Environment with less than 3 days a month at office"/>
    <s v="Employer who pushes your limits and doesn't enables learning environment and never rewards you"/>
    <x v="131"/>
    <s v="Manager who clearly describes what she/he needs"/>
    <x v="1"/>
    <x v="0"/>
  </r>
  <r>
    <d v="2023-04-05T10:53:16"/>
    <s v="India"/>
    <n v="560076"/>
    <x v="0"/>
    <s v="Influencers who had successful careers"/>
    <s v="Yes, I will earn and do that"/>
    <s v="This will be hard to do, but if it is the right company I would try"/>
    <s v="No"/>
    <s v="Will NOT work for them"/>
    <n v="2"/>
    <s v="Hybrid Working Environment with less than 3 days a month at office"/>
    <s v="Employer who pushes your limits by enabling an learning environment, and rewards you at the end"/>
    <x v="113"/>
    <s v="Manager who explains what is expected, sets a goal and helps achieve it"/>
    <x v="11"/>
    <x v="3"/>
  </r>
  <r>
    <d v="2023-04-05T10:55:51"/>
    <s v="India"/>
    <n v="500079"/>
    <x v="1"/>
    <s v="Influencers who had successful careers"/>
    <s v="No I would not be pursuing Higher Education outside of India"/>
    <s v="Will work for 3 years or more"/>
    <s v="No"/>
    <s v="Will NOT work for them"/>
    <n v="5"/>
    <s v="Hybrid Working Environment with more than 15 days a month at office"/>
    <s v="Employer who pushes your limits by enabling an learning environment, and rewards you at the end"/>
    <x v="132"/>
    <s v="Manager who sets goal and helps me achieve it"/>
    <x v="1"/>
    <x v="3"/>
  </r>
  <r>
    <d v="2023-04-05T10:56:07"/>
    <s v="India"/>
    <n v="560003"/>
    <x v="1"/>
    <s v="People who have changed the world for better"/>
    <s v="No I would not be pursuing Higher Education outside of India"/>
    <s v="Will work for 3 years or more"/>
    <s v="No"/>
    <s v="Will NOT work for them"/>
    <n v="3"/>
    <s v="Hybrid Working Environment with less than 3 days a month at office"/>
    <s v="Employer who pushes your limits by enabling an learning environment, and rewards you at the end"/>
    <x v="113"/>
    <s v="Manager who explains what is expected, sets a goal and helps achieve it"/>
    <x v="1"/>
    <x v="3"/>
  </r>
  <r>
    <d v="2023-04-05T10:57:04"/>
    <s v="India"/>
    <n v="560100"/>
    <x v="0"/>
    <s v="People who have changed the world for better"/>
    <s v="No, But if someone could bare the cost I will"/>
    <s v="This will be hard to do, but if it is the right company I would try"/>
    <s v="No"/>
    <s v="Will NOT work for them"/>
    <n v="5"/>
    <s v="Fully Remote with Options to travel as and when needed"/>
    <s v="Employer who appreciates learning and enables that environment"/>
    <x v="133"/>
    <s v="Manager who clearly describes what she/he needs"/>
    <x v="3"/>
    <x v="3"/>
  </r>
  <r>
    <d v="2023-04-05T10:58:16"/>
    <s v="India"/>
    <n v="400042"/>
    <x v="0"/>
    <s v="Influencers who had successful careers"/>
    <s v="Yes, I will earn and do that"/>
    <s v="This will be hard to do, but if it is the right company I would try"/>
    <s v="No"/>
    <s v="Will NOT work for them"/>
    <n v="1"/>
    <s v="Every Day Office Environment"/>
    <s v="Employer who rewards learning and enables that environment"/>
    <x v="134"/>
    <s v="Manager who explains what is expected, sets a goal and helps achieve it"/>
    <x v="14"/>
    <x v="0"/>
  </r>
  <r>
    <d v="2023-04-05T11:06:59"/>
    <s v="India"/>
    <n v="500079"/>
    <x v="0"/>
    <s v="Influencers who had successful careers"/>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35"/>
    <s v="Manager who sets goal and helps me achieve it"/>
    <x v="7"/>
    <x v="3"/>
  </r>
  <r>
    <d v="2023-04-05T11:08:22"/>
    <s v="India"/>
    <n v="641005"/>
    <x v="1"/>
    <s v="People from my circle, but not family members"/>
    <s v="No I would not be pursuing Higher Education outside of India"/>
    <s v="This will be hard to do, but if it is the right company I would try"/>
    <s v="No"/>
    <s v="Will NOT work for them"/>
    <n v="4"/>
    <s v="Fully Remote with No option to visit offices"/>
    <s v="Employer who rewards learning and enables that environment"/>
    <x v="136"/>
    <s v="Manager who explains what is expected, sets a goal and helps achieve it"/>
    <x v="3"/>
    <x v="0"/>
  </r>
  <r>
    <d v="2023-04-05T11:11:10"/>
    <s v="India"/>
    <n v="201305"/>
    <x v="1"/>
    <s v="My Parents"/>
    <s v="Yes, I will earn and do that"/>
    <s v="Will work for 3 years or more"/>
    <s v="No"/>
    <s v="Will NOT work for them"/>
    <n v="1"/>
    <s v="Every Day Office Environment"/>
    <s v="Employer who pushes your limits by enabling an learning environment, and rewards you at the end"/>
    <x v="137"/>
    <s v="Manager who clearly describes what she/he needs"/>
    <x v="7"/>
    <x v="0"/>
  </r>
  <r>
    <d v="2023-04-05T11:13:59"/>
    <s v="India"/>
    <n v="509209"/>
    <x v="1"/>
    <s v="My Parents"/>
    <s v="Yes, I will earn and do that"/>
    <s v="This will be hard to do, but if it is the right company I would try"/>
    <s v="No"/>
    <s v="Will NOT work for them"/>
    <n v="1"/>
    <s v="Fully Remote with Options to travel as and when needed"/>
    <s v="Employer who appreciates learning and enables that environment"/>
    <x v="138"/>
    <s v="Manager who clearly describes what she/he needs"/>
    <x v="3"/>
    <x v="2"/>
  </r>
  <r>
    <d v="2023-04-05T11:16:38"/>
    <s v="India"/>
    <n v="501505"/>
    <x v="0"/>
    <s v="My Parents"/>
    <s v="Yes, I will earn and do that"/>
    <s v="Will work for 3 years or more"/>
    <s v="No"/>
    <s v="Will NOT work for them"/>
    <n v="5"/>
    <s v="Hybrid Working Environment with more than 15 days a month at office"/>
    <s v="Employer who pushes your limits by enabling an learning environment, and rewards you at the end"/>
    <x v="139"/>
    <s v="Manager who sets goal and helps me achieve it"/>
    <x v="1"/>
    <x v="0"/>
  </r>
  <r>
    <d v="2023-04-05T11:20:43"/>
    <s v="India"/>
    <n v="442906"/>
    <x v="0"/>
    <s v="People from my circle, but not family members"/>
    <s v="No, But if someone could bare the cost I will"/>
    <s v="Will work for 3 years or more"/>
    <s v="Yes"/>
    <s v="Will work for them"/>
    <n v="4"/>
    <s v="Hybrid Working Environment with more than 15 days a month at office"/>
    <s v="Employer who pushes your limits by enabling an learning environment, and rewards you at the end"/>
    <x v="140"/>
    <s v="Manager who explains what is expected, sets a goal and helps achieve it"/>
    <x v="1"/>
    <x v="3"/>
  </r>
  <r>
    <d v="2023-04-05T11:21:00"/>
    <s v="Canada"/>
    <n v="508213"/>
    <x v="0"/>
    <s v="Influencers who had successful careers"/>
    <s v="Yes, I will earn and do that"/>
    <s v="Will work for 3 years or more"/>
    <s v="Yes"/>
    <s v="Will work for them"/>
    <n v="3"/>
    <s v="Fully Remote with Options to travel as and when needed"/>
    <s v="Employer who pushes your limits by enabling an learning environment, and rewards you at the end"/>
    <x v="132"/>
    <s v="Manager who explains what is expected, sets a goal and helps achieve it"/>
    <x v="16"/>
    <x v="3"/>
  </r>
  <r>
    <d v="2023-04-05T11:21:05"/>
    <s v="India"/>
    <n v="500079"/>
    <x v="1"/>
    <s v="People who have changed the world for better"/>
    <s v="No I would not be pursuing Higher Education outside of India"/>
    <s v="Will work for 3 years or more"/>
    <s v="No"/>
    <s v="Will NOT work for them"/>
    <n v="1"/>
    <s v="Hybrid Working Environment with less than 3 days a month at office"/>
    <s v="Employer who appreciates learning and enables that environment"/>
    <x v="141"/>
    <s v="Manager who explains what is expected, sets a goal and helps achieve it"/>
    <x v="6"/>
    <x v="3"/>
  </r>
  <r>
    <d v="2023-04-05T11:21:24"/>
    <s v="India"/>
    <n v="500070"/>
    <x v="1"/>
    <s v="My Parents"/>
    <s v="No, But if someone could bare the cost I will"/>
    <s v="This will be hard to do, but if it is the right company I would try"/>
    <s v="No"/>
    <s v="Will NOT work for them"/>
    <n v="2"/>
    <s v="Fully Remote with Options to travel as and when needed"/>
    <s v="Employer who appreciates learning and enables that environment"/>
    <x v="142"/>
    <s v="Manager who explains what is expected, sets a goal and helps achieve it"/>
    <x v="3"/>
    <x v="0"/>
  </r>
  <r>
    <d v="2023-04-05T11:22:28"/>
    <s v="India"/>
    <n v="509209"/>
    <x v="1"/>
    <s v="My Parents"/>
    <s v="No I would not be pursuing Higher Education outside of India"/>
    <s v="This will be hard to do, but if it is the right company I would try"/>
    <s v="No"/>
    <s v="Will NOT work for them"/>
    <n v="6"/>
    <s v="Fully Remote with Options to travel as and when needed"/>
    <s v="Employer who pushes your limits by enabling an learning environment, and rewards you at the end"/>
    <x v="143"/>
    <s v="Manager who explains what is expected, sets a goal and helps achieve it"/>
    <x v="2"/>
    <x v="3"/>
  </r>
  <r>
    <d v="2023-04-05T11:23:10"/>
    <s v="India"/>
    <n v="600056"/>
    <x v="0"/>
    <s v="My Parents"/>
    <s v="No I would not be pursuing Higher Education outside of India"/>
    <s v="Will work for 3 years or more"/>
    <s v="No"/>
    <s v="Will NOT work for them"/>
    <n v="9"/>
    <s v="Hybrid Working Environment with more than 15 days a month at office"/>
    <s v="Employer who rewards learning and enables that environment"/>
    <x v="144"/>
    <s v="Manager who clearly describes what she/he needs"/>
    <x v="3"/>
    <x v="3"/>
  </r>
  <r>
    <d v="2023-04-05T11:24:52"/>
    <s v="Others"/>
    <n v="312"/>
    <x v="0"/>
    <s v="People who have changed the world for better"/>
    <s v="No, But if someone could bare the cost I will"/>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45"/>
    <s v="Manager who sets goal and helps me achieve it"/>
    <x v="7"/>
    <x v="3"/>
  </r>
  <r>
    <d v="2023-04-05T11:25:17"/>
    <s v="India"/>
    <n v="500078"/>
    <x v="0"/>
    <s v="People from my circle, but not family members"/>
    <s v="No, But if someone could bare the cost I will"/>
    <s v="This will be hard to do, but if it is the right company I would try"/>
    <s v="No"/>
    <s v="Will NOT work for them"/>
    <n v="1"/>
    <s v="Hybrid Working Environment with more than 15 days a month at office"/>
    <s v="Employer who appreciates learning and enables that environment"/>
    <x v="116"/>
    <s v="Manager who sets goal and helps me achieve it"/>
    <x v="3"/>
    <x v="0"/>
  </r>
  <r>
    <d v="2023-04-05T11:25:51"/>
    <s v="India"/>
    <n v="500068"/>
    <x v="0"/>
    <s v="My Parents"/>
    <s v="Yes, I will earn and do that"/>
    <s v="This will be hard to do, but if it is the right company I would try"/>
    <s v="No"/>
    <s v="Will work for them"/>
    <n v="4"/>
    <s v="Fully Remote with Options to travel as and when needed"/>
    <s v="Employer who pushes your limits by enabling an learning environment, and rewards you at the end"/>
    <x v="146"/>
    <s v="Manager who explains what is expected, sets a goal and helps achieve it"/>
    <x v="3"/>
    <x v="2"/>
  </r>
  <r>
    <d v="2023-04-05T11:27:38"/>
    <s v="India"/>
    <n v="500097"/>
    <x v="1"/>
    <s v="Social Media like LinkedIn"/>
    <s v="No I would not be pursuing Higher Education outside of India"/>
    <s v="Will work for 3 years or more"/>
    <s v="Yes"/>
    <s v="Will NOT work for them"/>
    <n v="9"/>
    <s v="Every Day Office Environment"/>
    <s v="Employer who pushes your limits by enabling an learning environment, and rewards you at the end"/>
    <x v="147"/>
    <s v="Manager who explains what is expected, sets a goal and helps achieve it"/>
    <x v="1"/>
    <x v="3"/>
  </r>
  <r>
    <d v="2023-04-05T11:32:00"/>
    <s v="India"/>
    <n v="400043"/>
    <x v="1"/>
    <s v="Influencers who had successful careers"/>
    <s v="Yes, I will earn and do that"/>
    <s v="This will be hard to do, but if it is the right company I would try"/>
    <s v="No"/>
    <s v="Will NOT work for them"/>
    <n v="8"/>
    <s v="Hybrid Working Environment with more than 15 days a month at office"/>
    <s v="Employer who rewards learning and enables that environment"/>
    <x v="148"/>
    <s v="Manager who explains what is expected, sets a goal and helps achieve it"/>
    <x v="3"/>
    <x v="3"/>
  </r>
  <r>
    <d v="2023-04-05T11:32:36"/>
    <s v="India"/>
    <n v="500048"/>
    <x v="1"/>
    <s v="People who have changed the world for better"/>
    <s v="Yes, I will earn and do that"/>
    <s v="Will work for 3 years or more"/>
    <s v="No"/>
    <s v="Will NOT work for them"/>
    <n v="5"/>
    <s v="Every Day Office Environment"/>
    <s v="Employer who appreciates learning and enables that environment"/>
    <x v="139"/>
    <s v="Manager who explains what is expected, sets a goal and helps achieve it"/>
    <x v="12"/>
    <x v="3"/>
  </r>
  <r>
    <d v="2023-04-05T11:34:20"/>
    <s v="India"/>
    <n v="600125"/>
    <x v="0"/>
    <s v="People who have changed the world for better"/>
    <s v="No I would not be pursuing Higher Education outside of India"/>
    <s v="Will work for 3 years or more"/>
    <s v="No"/>
    <s v="Will work for them"/>
    <n v="9"/>
    <s v="Hybrid Working Environment with less than 3 days a month at office"/>
    <s v="Employer who pushes your limits by enabling an learning environment, and rewards you at the end"/>
    <x v="149"/>
    <s v="Manager who clearly describes what she/he needs"/>
    <x v="3"/>
    <x v="3"/>
  </r>
  <r>
    <d v="2023-04-05T11:34:31"/>
    <s v="India"/>
    <n v="131028"/>
    <x v="1"/>
    <s v="People who have changed the world for better"/>
    <s v="No I would not be pursuing Higher Education outside of India"/>
    <s v="Will work for 3 years or more"/>
    <s v="No"/>
    <s v="Will NOT work for them"/>
    <n v="8"/>
    <s v="Hybrid Working Environment with more than 15 days a month at office"/>
    <s v="Employer who pushes your limits by enabling an learning environment, and rewards you at the end"/>
    <x v="150"/>
    <s v="Manager who clearly describes what she/he needs"/>
    <x v="1"/>
    <x v="3"/>
  </r>
  <r>
    <d v="2023-04-05T11:36:48"/>
    <s v="India"/>
    <n v="560092"/>
    <x v="0"/>
    <s v="People who have changed the world for better"/>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51"/>
    <s v="Manager who sets goal and helps me achieve it"/>
    <x v="7"/>
    <x v="2"/>
  </r>
  <r>
    <d v="2023-04-05T11:37:14"/>
    <s v="India"/>
    <n v="500036"/>
    <x v="1"/>
    <s v="Influencers who had successful careers"/>
    <s v="Yes, I will earn and do that"/>
    <s v="Will work for 3 years or more"/>
    <s v="Yes"/>
    <s v="Will NOT work for them"/>
    <n v="2"/>
    <s v="Fully Remote with Options to travel as and when needed"/>
    <s v="Employer who appreciates learning and enables that environment"/>
    <x v="152"/>
    <s v="Manager who sets targets and expects me to achieve it"/>
    <x v="3"/>
    <x v="3"/>
  </r>
  <r>
    <d v="2023-04-05T11:38:14"/>
    <s v="India"/>
    <n v="603210"/>
    <x v="0"/>
    <s v="People who have changed the world for better"/>
    <s v="Yes, I will earn and do that"/>
    <s v="This will be hard to do, but if it is the right company I would try"/>
    <s v="Yes"/>
    <s v="Will NOT work for them"/>
    <n v="3"/>
    <s v="Hybrid Working Environment with less than 3 days a month at office"/>
    <s v="Employer who pushes your limits by enabling an learning environment, and rewards you at the end"/>
    <x v="153"/>
    <s v="Manager who clearly describes what she/he needs"/>
    <x v="7"/>
    <x v="3"/>
  </r>
  <r>
    <d v="2023-04-05T11:38:57"/>
    <s v="India"/>
    <n v="500079"/>
    <x v="0"/>
    <s v="People who have changed the world for better"/>
    <s v="No, But if someone could bare the cost I will"/>
    <s v="Will work for 3 years or more"/>
    <s v="No"/>
    <s v="Will NOT work for them"/>
    <n v="5"/>
    <s v="Hybrid Working Environment with less than 3 days a month at office"/>
    <s v="Employer who pushes your limits by enabling an learning environment, and rewards you at the end"/>
    <x v="154"/>
    <s v="Manager who clearly describes what she/he needs"/>
    <x v="8"/>
    <x v="3"/>
  </r>
  <r>
    <d v="2023-04-05T11:39:27"/>
    <s v="India"/>
    <n v="501510"/>
    <x v="0"/>
    <s v="My Parents"/>
    <s v="No, But if someone could bare the cost I will"/>
    <s v="Will work for 3 years or more"/>
    <s v="No"/>
    <s v="Will NOT work for them"/>
    <n v="5"/>
    <s v="Hybrid Working Environment with more than 15 days a month at office"/>
    <s v="Employer who rewards learning and enables that environment"/>
    <x v="155"/>
    <s v="Manager who sets goal and helps me achieve it"/>
    <x v="3"/>
    <x v="3"/>
  </r>
  <r>
    <d v="2023-04-05T11:40:45"/>
    <s v="India"/>
    <n v="641017"/>
    <x v="1"/>
    <s v="Social Media like LinkedIn"/>
    <s v="No I would not be pursuing Higher Education outside of India"/>
    <s v="This will be hard to do, but if it is the right company I would try"/>
    <s v="No"/>
    <s v="Will NOT work for them"/>
    <n v="3"/>
    <s v="Hybrid Working Environment with more than 15 days a month at office"/>
    <s v="Employer who appreciates learning and enables that environment"/>
    <x v="156"/>
    <s v="Manager who explains what is expected, sets a goal and helps achieve it"/>
    <x v="4"/>
    <x v="3"/>
  </r>
  <r>
    <d v="2023-04-05T11:40:47"/>
    <s v="India"/>
    <n v="400043"/>
    <x v="1"/>
    <s v="Influencers who had successful careers"/>
    <s v="Yes, I will earn and do that"/>
    <s v="No way"/>
    <s v="No"/>
    <s v="Will NOT work for them"/>
    <n v="7"/>
    <s v="Fully Remote with Options to travel as and when needed"/>
    <s v="Employer who pushes your limits by enabling an learning environment, and rewards you at the end"/>
    <x v="148"/>
    <s v="Manager who explains what is expected, sets a goal and helps achieve it"/>
    <x v="11"/>
    <x v="2"/>
  </r>
  <r>
    <d v="2023-04-05T11:41:39"/>
    <s v="India"/>
    <n v="71"/>
    <x v="0"/>
    <s v="People who have changed the world for better"/>
    <s v="No I would not be pursuing Higher Education outside of India"/>
    <s v="No way"/>
    <s v="No"/>
    <s v="Will NOT work for them"/>
    <n v="1"/>
    <s v="Fully Remote with Options to travel as and when needed"/>
    <s v="Employer who appreciates learning and enables that environment"/>
    <x v="157"/>
    <s v="Manager who sets unrealistic targets"/>
    <x v="3"/>
    <x v="3"/>
  </r>
  <r>
    <d v="2023-04-05T11:42:52"/>
    <s v="India"/>
    <n v="602105"/>
    <x v="0"/>
    <s v="People from my circle, but not family members"/>
    <s v="No I would not be pursuing Higher Education outside of India"/>
    <s v="Will work for 3 years or more"/>
    <s v="Yes"/>
    <s v="Will work for them"/>
    <n v="8"/>
    <s v="Fully Remote with Options to travel as and when needed"/>
    <s v="Employer who appreciates learning and enables that environment"/>
    <x v="158"/>
    <s v="Manager who clearly describes what she/he needs"/>
    <x v="7"/>
    <x v="3"/>
  </r>
  <r>
    <d v="2023-04-05T11:43:08"/>
    <s v="India"/>
    <n v="600056"/>
    <x v="0"/>
    <s v="My Parents"/>
    <s v="No I would not be pursuing Higher Education outside of India"/>
    <s v="Will work for 3 years or more"/>
    <s v="Yes"/>
    <s v="Will work for them"/>
    <n v="3"/>
    <s v="Every Day Office Environment"/>
    <s v="Employer who appreciates learning and enables that environment"/>
    <x v="159"/>
    <s v="Manager who clearly describes what she/he needs"/>
    <x v="6"/>
    <x v="3"/>
  </r>
  <r>
    <d v="2023-04-05T11:43:21"/>
    <s v="India"/>
    <n v="682027"/>
    <x v="0"/>
    <s v="Influencers who had successful careers"/>
    <s v="No, But if someone could bare the cost I will"/>
    <s v="This will be hard to do, but if it is the right company I would try"/>
    <s v="No"/>
    <s v="Will NOT work for them"/>
    <n v="7"/>
    <s v="Fully Remote with Options to travel as and when needed"/>
    <s v="Employer who pushes your limits by enabling an learning environment, and rewards you at the end"/>
    <x v="122"/>
    <s v="Manager who explains what is expected, sets a goal and helps achieve it"/>
    <x v="1"/>
    <x v="0"/>
  </r>
  <r>
    <d v="2023-04-05T11:45:22"/>
    <s v="India"/>
    <n v="442902"/>
    <x v="1"/>
    <s v="My Parents"/>
    <s v="No, But if someone could bare the cost I will"/>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60"/>
    <s v="Manager who explains what is expected, sets a goal and helps achieve it"/>
    <x v="3"/>
    <x v="0"/>
  </r>
  <r>
    <d v="2023-04-05T11:46:53"/>
    <s v="India"/>
    <n v="500078"/>
    <x v="1"/>
    <s v="Influencers who had successful careers"/>
    <s v="Yes, I will earn and do that"/>
    <s v="This will be hard to do, but if it is the right company I would try"/>
    <s v="Yes"/>
    <s v="Will work for them"/>
    <n v="8"/>
    <s v="Every Day Office Environment"/>
    <s v="Employer who appreciates learning and enables that environment"/>
    <x v="161"/>
    <s v="Manager who sets goal and helps me achieve it"/>
    <x v="4"/>
    <x v="2"/>
  </r>
  <r>
    <d v="2023-04-05T11:49:29"/>
    <s v="India"/>
    <n v="500035"/>
    <x v="1"/>
    <s v="My Parents"/>
    <s v="No, But if someone could bare the cost I will"/>
    <s v="Will work for 3 years or more"/>
    <s v="No"/>
    <s v="Will NOT work for them"/>
    <n v="5"/>
    <s v="Hybrid Working Environment with more than 15 days a month at office"/>
    <s v="Employer who pushes your limits by enabling an learning environment, and rewards you at the end"/>
    <x v="132"/>
    <s v="Manager who explains what is expected, sets a goal and helps achieve it"/>
    <x v="0"/>
    <x v="3"/>
  </r>
  <r>
    <d v="2023-04-05T11:50:16"/>
    <s v="India"/>
    <n v="500070"/>
    <x v="1"/>
    <s v="My Parents"/>
    <s v="Yes, I will earn and do that"/>
    <s v="This will be hard to do, but if it is the right company I would try"/>
    <s v="Yes"/>
    <s v="Will NOT work for them"/>
    <n v="5"/>
    <s v="Hybrid Working Environment with more than 15 days a month at office"/>
    <s v="Employer who appreciates learning and enables that environment"/>
    <x v="162"/>
    <s v="Manager who explains what is expected, sets a goal and helps achieve it"/>
    <x v="2"/>
    <x v="3"/>
  </r>
  <r>
    <d v="2023-04-05T11:52:27"/>
    <s v="India"/>
    <n v="500070"/>
    <x v="1"/>
    <s v="My Parents"/>
    <s v="No I would not be pursuing Higher Education outside of India"/>
    <s v="This will be hard to do, but if it is the right company I would try"/>
    <s v="No"/>
    <s v="Will NOT work for them"/>
    <n v="6"/>
    <s v="Fully Remote with No option to visit offices"/>
    <s v="Employer who appreciates learning and enables that environment"/>
    <x v="134"/>
    <s v="Manager who explains what is expected, sets a goal and helps achieve it"/>
    <x v="1"/>
    <x v="3"/>
  </r>
  <r>
    <d v="2023-04-05T11:52:28"/>
    <s v="India"/>
    <n v="500070"/>
    <x v="1"/>
    <s v="My Parents"/>
    <s v="No I would not be pursuing Higher Education outside of India"/>
    <s v="This will be hard to do, but if it is the right company I would try"/>
    <s v="No"/>
    <s v="Will NOT work for them"/>
    <n v="6"/>
    <s v="Fully Remote with No option to visit offices"/>
    <s v="Employer who appreciates learning and enables that environment"/>
    <x v="134"/>
    <s v="Manager who explains what is expected, sets a goal and helps achieve it"/>
    <x v="1"/>
    <x v="3"/>
  </r>
  <r>
    <d v="2023-04-05T11:53:39"/>
    <s v="India"/>
    <n v="624601"/>
    <x v="0"/>
    <s v="People from my circle, but not family members"/>
    <s v="No, But if someone could bare the cost I will"/>
    <s v="Will work for 3 years or more"/>
    <s v="Yes"/>
    <s v="Will work for them"/>
    <n v="6"/>
    <s v="Fully Remote with No option to visit offices"/>
    <s v="Employers who appreciates learning but doesn't enables an learning environment"/>
    <x v="163"/>
    <s v="Manager who clearly describes what she/he needs"/>
    <x v="11"/>
    <x v="3"/>
  </r>
  <r>
    <d v="2023-04-05T11:54:14"/>
    <s v="India"/>
    <n v="516003"/>
    <x v="1"/>
    <s v="My Parents"/>
    <s v="No I would not be pursuing Higher Education outside of India"/>
    <s v="Will work for 3 years or more"/>
    <s v="Yes"/>
    <s v="Will work for them"/>
    <n v="4"/>
    <s v="Hybrid Working Environment with less than 3 days a month at office"/>
    <s v="Employer who pushes your limits by enabling an learning environment, and rewards you at the end"/>
    <x v="164"/>
    <s v="Manager who sets targets and expects me to achieve it"/>
    <x v="3"/>
    <x v="4"/>
  </r>
  <r>
    <d v="2023-04-05T11:56:11"/>
    <s v="India"/>
    <n v="500080"/>
    <x v="0"/>
    <s v="People who have changed the world for better"/>
    <s v="Yes, I will earn and do that"/>
    <s v="Will work for 3 years or more"/>
    <s v="No"/>
    <s v="Will NOT work for them"/>
    <n v="5"/>
    <s v="Hybrid Working Environment with more than 15 days a month at office"/>
    <s v="Employer who rewards learning and enables that environment"/>
    <x v="134"/>
    <s v="Manager who explains what is expected, sets a goal and helps achieve it"/>
    <x v="4"/>
    <x v="3"/>
  </r>
  <r>
    <d v="2023-04-05T11:56:51"/>
    <s v="India"/>
    <n v="516003"/>
    <x v="1"/>
    <s v="My Parents"/>
    <s v="Yes, I will earn and do that"/>
    <s v="Will work for 3 years or more"/>
    <s v="Yes"/>
    <s v="Will NOT work for them"/>
    <n v="2"/>
    <s v="Every Day Office Environment"/>
    <s v="Employer who rewards learning and enables that environment"/>
    <x v="165"/>
    <s v="Manager who sets targets and expects me to achieve it"/>
    <x v="1"/>
    <x v="3"/>
  </r>
  <r>
    <d v="2023-04-05T12:01:14"/>
    <s v="India"/>
    <n v="500037"/>
    <x v="1"/>
    <s v="My Parents"/>
    <s v="No I would not be pursuing Higher Education outside of India"/>
    <s v="Will work for 3 years or more"/>
    <s v="Yes"/>
    <s v="Will NOT work for them"/>
    <n v="5"/>
    <s v="Every Day Office Environment"/>
    <s v="Employer who appreciates learning and enables that environment"/>
    <x v="166"/>
    <s v="Manager who clearly describes what she/he needs"/>
    <x v="2"/>
    <x v="3"/>
  </r>
  <r>
    <d v="2023-04-05T12:01:46"/>
    <s v="India"/>
    <n v="560064"/>
    <x v="0"/>
    <s v="My Parents"/>
    <s v="Yes, I will earn and do that"/>
    <s v="Will work for 3 years or more"/>
    <s v="Yes"/>
    <s v="Will work for them"/>
    <n v="8"/>
    <s v="Hybrid Working Environment with more than 15 days a month at office"/>
    <s v="Employer who rewards learning and enables that environment"/>
    <x v="98"/>
    <s v="Manager who explains what is expected, sets a goal and helps achieve it"/>
    <x v="3"/>
    <x v="3"/>
  </r>
  <r>
    <d v="2023-04-05T12:08:22"/>
    <s v="India"/>
    <n v="600014"/>
    <x v="0"/>
    <s v="My Parents"/>
    <s v="Yes, I will earn and do that"/>
    <s v="This will be hard to do, but if it is the right company I would try"/>
    <s v="Yes"/>
    <s v="Will work for them"/>
    <n v="7"/>
    <s v="Fully Remote with Options to travel as and when needed"/>
    <s v="Employer who pushes your limits and doesn't enables learning environment and never rewards you"/>
    <x v="161"/>
    <s v="Manager who sets unrealistic targets"/>
    <x v="3"/>
    <x v="3"/>
  </r>
  <r>
    <d v="2023-04-05T12:13:24"/>
    <s v="India"/>
    <n v="560064"/>
    <x v="0"/>
    <s v="My Parents"/>
    <s v="Yes, I will earn and do that"/>
    <s v="This will be hard to do, but if it is the right company I would try"/>
    <s v="No"/>
    <s v="Will work for them"/>
    <n v="8"/>
    <s v="Hybrid Working Environment with more than 15 days a month at office"/>
    <s v="Employer who pushes your limits by enabling an learning environment, and rewards you at the end"/>
    <x v="147"/>
    <s v="Manager who sets targets and expects me to achieve it"/>
    <x v="5"/>
    <x v="0"/>
  </r>
  <r>
    <d v="2023-04-05T12:14:10"/>
    <s v="India"/>
    <n v="516003"/>
    <x v="0"/>
    <s v="Influencers who had successful careers"/>
    <s v="Yes, I will earn and do that"/>
    <s v="Will work for 3 years or more"/>
    <s v="Yes"/>
    <s v="Will work for them"/>
    <n v="2"/>
    <s v="Every Day Office Environment"/>
    <s v="Employer who appreciates learning and enables that environment"/>
    <x v="167"/>
    <s v="Manager who sets goal and helps me achieve it"/>
    <x v="3"/>
    <x v="3"/>
  </r>
  <r>
    <d v="2023-04-05T12:15:45"/>
    <s v="India"/>
    <n v="500070"/>
    <x v="1"/>
    <s v="My Parents"/>
    <s v="Yes, I will earn and do that"/>
    <s v="This will be hard to do, but if it is the right company I would try"/>
    <s v="No"/>
    <s v="Will NOT work for them"/>
    <n v="5"/>
    <s v="Fully Remote with Options to travel as and when needed"/>
    <s v="Employer who appreciates learning and enables that environment"/>
    <x v="168"/>
    <s v="Manager who explains what is expected, sets a goal and helps achieve it"/>
    <x v="2"/>
    <x v="3"/>
  </r>
  <r>
    <d v="2023-04-05T12:19:04"/>
    <s v="India"/>
    <n v="400067"/>
    <x v="0"/>
    <s v="My Parents"/>
    <s v="No I would not be pursuing Higher Education outside of India"/>
    <s v="This will be hard to do, but if it is the right company I would try"/>
    <s v="No"/>
    <s v="Will NOT work for them"/>
    <n v="10"/>
    <s v="Hybrid Working Environment with more than 15 days a month at office"/>
    <s v="Employer who rewards learning and enables that environment"/>
    <x v="169"/>
    <s v="Manager who explains what is expected, sets a goal and helps achieve it"/>
    <x v="15"/>
    <x v="2"/>
  </r>
  <r>
    <d v="2023-04-05T12:21:36"/>
    <s v="India"/>
    <n v="50090"/>
    <x v="1"/>
    <s v="People from my circle, but not family members"/>
    <s v="Yes, I will earn and do that"/>
    <s v="This will be hard to do, but if it is the right company I would try"/>
    <s v="Yes"/>
    <s v="Will work for them"/>
    <n v="7"/>
    <s v="Hybrid Working Environment with less than 3 days a month at office"/>
    <s v="Employer who pushes your limits by enabling an learning environment, and rewards you at the end"/>
    <x v="149"/>
    <s v="Manager who sets targets and expects me to achieve it"/>
    <x v="1"/>
    <x v="0"/>
  </r>
  <r>
    <d v="2023-04-05T12:25:04"/>
    <s v="India"/>
    <n v="500045"/>
    <x v="1"/>
    <s v="Influencers who had successful careers"/>
    <s v="No, But if someone could bare the cost I will"/>
    <s v="This will be hard to do, but if it is the right company I would try"/>
    <s v="Yes"/>
    <s v="Will NOT work for them"/>
    <n v="6"/>
    <s v="Fully Remote with Options to travel as and when needed"/>
    <s v="Employer who appreciates learning and enables that environment"/>
    <x v="170"/>
    <s v="Manager who sets goal and helps me achieve it"/>
    <x v="0"/>
    <x v="3"/>
  </r>
  <r>
    <d v="2023-04-05T12:26:52"/>
    <s v="India"/>
    <n v="400037"/>
    <x v="0"/>
    <s v="Influencers who had successful careers"/>
    <s v="No, But if someone could bare the cost I will"/>
    <s v="No way"/>
    <s v="No"/>
    <s v="Will NOT work for them"/>
    <n v="3"/>
    <s v="Fully Remote with Options to travel as and when needed"/>
    <s v="Employer who pushes your limits by enabling an learning environment, and rewards you at the end"/>
    <x v="171"/>
    <s v="Manager who explains what is expected, sets a goal and helps achieve it"/>
    <x v="20"/>
    <x v="3"/>
  </r>
  <r>
    <d v="2023-04-05T12:26:56"/>
    <s v="India"/>
    <n v="500052"/>
    <x v="1"/>
    <s v="My Parents"/>
    <s v="No I would not be pursuing Higher Education outside of India"/>
    <s v="Will work for 3 years or more"/>
    <s v="No"/>
    <s v="Will NOT work for them"/>
    <n v="1"/>
    <s v="Fully Remote with Options to travel as and when needed"/>
    <s v="Employer who pushes your limits by enabling an learning environment, and rewards you at the end"/>
    <x v="172"/>
    <s v="Manager who sets targets and expects me to achieve it"/>
    <x v="1"/>
    <x v="0"/>
  </r>
  <r>
    <d v="2023-04-05T12:28:44"/>
    <s v="India"/>
    <n v="500090"/>
    <x v="1"/>
    <s v="People who have changed the world for better"/>
    <s v="No, But if someone could bare the cost I will"/>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173"/>
    <s v="Manager who explains what is expected, sets a goal and helps achieve it"/>
    <x v="1"/>
    <x v="3"/>
  </r>
  <r>
    <d v="2023-04-05T12:31:11"/>
    <s v="India"/>
    <n v="400077"/>
    <x v="0"/>
    <s v="My Parents"/>
    <s v="No I would not be pursuing Higher Education outside of India"/>
    <s v="This will be hard to do, but if it is the right company I would try"/>
    <s v="No"/>
    <s v="Will NOT work for them"/>
    <n v="5"/>
    <s v="Every Day Office Environment"/>
    <s v="Employer who pushes your limits by enabling an learning environment, and rewards you at the end"/>
    <x v="174"/>
    <s v="Manager who sets goal and helps me achieve it"/>
    <x v="3"/>
    <x v="3"/>
  </r>
  <r>
    <d v="2023-04-05T12:31:56"/>
    <s v="India"/>
    <n v="600123"/>
    <x v="0"/>
    <s v="People from my circle, but not family members"/>
    <s v="No I would not be pursuing Higher Education outside of India"/>
    <s v="Will work for 3 years or more"/>
    <s v="Yes"/>
    <s v="Will work for them"/>
    <n v="7"/>
    <s v="Every Day Office Environment"/>
    <s v="Employer who pushes your limits by enabling an learning environment, and rewards you at the end"/>
    <x v="175"/>
    <s v="Manager who sets targets and expects me to achieve it"/>
    <x v="6"/>
    <x v="2"/>
  </r>
  <r>
    <d v="2023-04-05T12:34:17"/>
    <s v="India"/>
    <n v="500070"/>
    <x v="1"/>
    <s v="Influencers who had successful careers"/>
    <s v="No I would not be pursuing Higher Education outside of India"/>
    <s v="This will be hard to do, but if it is the right company I would try"/>
    <s v="Yes"/>
    <s v="Will work for them"/>
    <n v="9"/>
    <s v="Fully Remote with No option to visit offices"/>
    <s v="Employer who rewards learning and enables that environment"/>
    <x v="176"/>
    <s v="Manager who clearly describes what she/he needs"/>
    <x v="1"/>
    <x v="3"/>
  </r>
  <r>
    <d v="2023-04-05T12:34:36"/>
    <s v="India"/>
    <n v="580031"/>
    <x v="0"/>
    <s v="My Parents"/>
    <s v="No I would not be pursuing Higher Education outside of India"/>
    <s v="This will be hard to do, but if it is the right company I would try"/>
    <s v="Yes"/>
    <s v="Will work for them"/>
    <n v="5"/>
    <s v="Hybrid Working Environment with less than 3 days a month at office"/>
    <s v="Employer who pushes your limits by enabling an learning environment, and rewards you at the end"/>
    <x v="177"/>
    <s v="Manager who explains what is expected, sets a goal and helps achieve it"/>
    <x v="3"/>
    <x v="3"/>
  </r>
  <r>
    <d v="2023-04-05T12:39:44"/>
    <s v="India"/>
    <n v="400067"/>
    <x v="1"/>
    <s v="My Parents"/>
    <s v="No I would not be pursuing Higher Education outside of India"/>
    <s v="This will be hard to do, but if it is the right company I would try"/>
    <s v="No"/>
    <s v="Will NOT work for them"/>
    <n v="7"/>
    <s v="Hybrid Working Environment with less than 3 days a month at office"/>
    <s v="Employer who pushes your limits by enabling an learning environment, and rewards you at the end"/>
    <x v="178"/>
    <s v="Manager who explains what is expected, sets a goal and helps achieve it"/>
    <x v="15"/>
    <x v="3"/>
  </r>
  <r>
    <d v="2023-04-05T12:41:10"/>
    <s v="India"/>
    <n v="560018"/>
    <x v="1"/>
    <s v="My Parents"/>
    <s v="No, But if someone could bare the cost I will"/>
    <s v="This will be hard to do, but if it is the right company I would try"/>
    <s v="No"/>
    <s v="Will work for them"/>
    <n v="7"/>
    <s v="Hybrid Working Environment with more than 15 days a month at office"/>
    <s v="Employer who pushes your limits by enabling an learning environment, and rewards you at the end"/>
    <x v="174"/>
    <s v="Manager who sets targets and expects me to achieve it"/>
    <x v="4"/>
    <x v="3"/>
  </r>
  <r>
    <d v="2023-04-05T12:47:44"/>
    <s v="India"/>
    <n v="641011"/>
    <x v="0"/>
    <s v="My Parents"/>
    <s v="No, But if someone could bare the cost I will"/>
    <s v="Will work for 3 years or more"/>
    <s v="Yes"/>
    <s v="Will work for them"/>
    <n v="7"/>
    <s v="Hybrid Working Environment with less than 3 days a month at office"/>
    <s v="Employer who appreciates learning and enables that environment"/>
    <x v="179"/>
    <s v="Manager who clearly describes what she/he needs"/>
    <x v="3"/>
    <x v="4"/>
  </r>
  <r>
    <d v="2023-04-05T12:48:55"/>
    <s v="India"/>
    <n v="500085"/>
    <x v="1"/>
    <s v="My Parents"/>
    <s v="Yes, I will earn and do that"/>
    <s v="This will be hard to do, but if it is the right company I would try"/>
    <s v="No"/>
    <s v="Will NOT work for them"/>
    <n v="1"/>
    <s v="Fully Remote with Options to travel as and when needed"/>
    <s v="Employer who appreciates learning and enables that environment"/>
    <x v="180"/>
    <s v="Manager who sets goal and helps me achieve it"/>
    <x v="3"/>
    <x v="3"/>
  </r>
  <r>
    <d v="2023-04-05T12:52:49"/>
    <s v="India"/>
    <n v="121012"/>
    <x v="1"/>
    <s v="Influencers who had successful careers"/>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181"/>
    <s v="Manager who explains what is expected, sets a goal and helps achieve it"/>
    <x v="1"/>
    <x v="0"/>
  </r>
  <r>
    <d v="2023-04-05T12:53:45"/>
    <s v="India"/>
    <n v="400097"/>
    <x v="0"/>
    <s v="My Parents"/>
    <s v="No, But if someone could bare the cost I will"/>
    <s v="Will work for 3 years or more"/>
    <s v="Yes"/>
    <s v="Will NOT work for them"/>
    <n v="8"/>
    <s v="Fully Remote with Options to travel as and when needed"/>
    <s v="Employer who pushes your limits by enabling an learning environment, and rewards you at the end"/>
    <x v="182"/>
    <s v="Manager who explains what is expected, sets a goal and helps achieve it"/>
    <x v="14"/>
    <x v="2"/>
  </r>
  <r>
    <d v="2023-04-05T12:58:21"/>
    <s v="India"/>
    <n v="201306"/>
    <x v="0"/>
    <s v="My Parents"/>
    <s v="No I would not be pursuing Higher Education outside of India"/>
    <s v="This will be hard to do, but if it is the right company I would try"/>
    <s v="No"/>
    <s v="Will NOT work for them"/>
    <n v="5"/>
    <s v="Fully Remote with Options to travel as and when needed"/>
    <s v="Employer who appreciates learning and enables that environment"/>
    <x v="183"/>
    <s v="Manager who clearly describes what she/he needs"/>
    <x v="6"/>
    <x v="0"/>
  </r>
  <r>
    <d v="2023-04-05T12:59:28"/>
    <s v="India"/>
    <n v="501023"/>
    <x v="1"/>
    <s v="People who have changed the world for better"/>
    <s v="Yes, I will earn and do that"/>
    <s v="Will work for 3 years or more"/>
    <s v="No"/>
    <s v="Will NOT work for them"/>
    <n v="7"/>
    <s v="Hybrid Working Environment with more than 15 days a month at office"/>
    <s v="Employer who pushes your limits by enabling an learning environment, and rewards you at the end"/>
    <x v="184"/>
    <s v="Manager who sets goal and helps me achieve it"/>
    <x v="1"/>
    <x v="3"/>
  </r>
  <r>
    <d v="2023-04-05T13:01:18"/>
    <s v="India"/>
    <n v="400067"/>
    <x v="0"/>
    <s v="Influencers who had successful careers"/>
    <s v="No I would not be pursuing Higher Education outside of India"/>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85"/>
    <s v="Manager who explains what is expected, sets a goal and helps achieve it"/>
    <x v="4"/>
    <x v="2"/>
  </r>
  <r>
    <d v="2023-04-05T13:04:47"/>
    <s v="India"/>
    <n v="500090"/>
    <x v="1"/>
    <s v="Influencers who had successful careers"/>
    <s v="Yes, I will earn and do that"/>
    <s v="Will work for 3 years or more"/>
    <s v="No"/>
    <s v="Will NOT work for them"/>
    <n v="4"/>
    <s v="Every Day Office Environment"/>
    <s v="Employer who pushes your limits by enabling an learning environment, and rewards you at the end"/>
    <x v="186"/>
    <s v="Manager who explains what is expected, sets a goal and helps achieve it"/>
    <x v="7"/>
    <x v="0"/>
  </r>
  <r>
    <d v="2023-04-05T13:07:22"/>
    <s v="India"/>
    <n v="500048"/>
    <x v="1"/>
    <s v="My Parents"/>
    <s v="Yes, I will earn and do that"/>
    <s v="This will be hard to do, but if it is the right company I would try"/>
    <s v="No"/>
    <s v="Will NOT work for them"/>
    <n v="7"/>
    <s v="Fully Remote with Options to travel as and when needed"/>
    <s v="Employer who pushes your limits by enabling an learning environment, and rewards you at the end"/>
    <x v="187"/>
    <s v="Manager who explains what is expected, sets a goal and helps achieve it"/>
    <x v="2"/>
    <x v="0"/>
  </r>
  <r>
    <d v="2023-04-05T13:07:29"/>
    <s v="India"/>
    <n v="110077"/>
    <x v="1"/>
    <s v="My Parents"/>
    <s v="No I would not be pursuing Higher Education outside of India"/>
    <s v="Will work for 3 years or more"/>
    <s v="Yes"/>
    <s v="Will NOT work for them"/>
    <n v="5"/>
    <s v="Every Day Office Environment"/>
    <s v="Employer who appreciates learning and enables that environment"/>
    <x v="188"/>
    <s v="Manager who sets goal and helps me achieve it"/>
    <x v="3"/>
    <x v="3"/>
  </r>
  <r>
    <d v="2023-04-05T13:12:21"/>
    <s v="India"/>
    <n v="209305"/>
    <x v="0"/>
    <s v="Social Media like LinkedIn"/>
    <s v="Yes, I will earn and do that"/>
    <s v="This will be hard to do, but if it is the right company I would try"/>
    <s v="Yes"/>
    <s v="Will work for them"/>
    <n v="9"/>
    <s v="Fully Remote with Options to travel as and when needed"/>
    <s v="Employer who pushes your limits by enabling an learning environment, and rewards you at the end"/>
    <x v="189"/>
    <s v="Manager who sets targets and expects me to achieve it"/>
    <x v="14"/>
    <x v="2"/>
  </r>
  <r>
    <d v="2023-04-05T13:12:48"/>
    <s v="India"/>
    <n v="400067"/>
    <x v="0"/>
    <s v="People who have changed the world for better"/>
    <s v="Yes, I will earn and do that"/>
    <s v="This will be hard to do, but if it is the right company I would try"/>
    <s v="No"/>
    <s v="Will NOT work for them"/>
    <n v="3"/>
    <s v="Fully Remote with Options to travel as and when needed"/>
    <s v="Employer who rewards learning and enables that environment"/>
    <x v="167"/>
    <s v="Manager who sets goal and helps me achieve it"/>
    <x v="1"/>
    <x v="2"/>
  </r>
  <r>
    <d v="2023-04-05T13:14:32"/>
    <s v="India"/>
    <n v="249407"/>
    <x v="0"/>
    <s v="People who have changed the world for better"/>
    <s v="No, But if someone could bare the cost I will"/>
    <s v="This will be hard to do, but if it is the right company I would try"/>
    <s v="No"/>
    <s v="Will NOT work for them"/>
    <n v="1"/>
    <s v="Fully Remote with Options to travel as and when needed"/>
    <s v="Employer who pushes your limits by enabling an learning environment, and rewards you at the end"/>
    <x v="190"/>
    <s v="Manager who sets targets and expects me to achieve it"/>
    <x v="7"/>
    <x v="3"/>
  </r>
  <r>
    <d v="2023-04-05T13:17:16"/>
    <s v="India"/>
    <n v="500060"/>
    <x v="0"/>
    <s v="Influencers who had successful careers"/>
    <s v="Yes, I will earn and do that"/>
    <s v="Will work for 3 years or more"/>
    <s v="No"/>
    <s v="Will NOT work for them"/>
    <n v="5"/>
    <s v="Hybrid Working Environment with less than 3 days a month at office"/>
    <s v="Employer who pushes your limits by enabling an learning environment, and rewards you at the end"/>
    <x v="191"/>
    <s v="Manager who explains what is expected, sets a goal and helps achieve it"/>
    <x v="0"/>
    <x v="3"/>
  </r>
  <r>
    <d v="2023-04-05T13:18:59"/>
    <s v="India"/>
    <n v="500019"/>
    <x v="1"/>
    <s v="My Parents"/>
    <s v="Yes, I will earn and do that"/>
    <s v="This will be hard to do, but if it is the right company I would try"/>
    <s v="No"/>
    <s v="Will NOT work for them"/>
    <n v="5"/>
    <s v="Hybrid Working Environment with more than 15 days a month at office"/>
    <s v="Employer who appreciates learning and enables that environment"/>
    <x v="192"/>
    <s v="Manager who explains what is expected, sets a goal and helps achieve it"/>
    <x v="5"/>
    <x v="3"/>
  </r>
  <r>
    <d v="2023-04-05T13:22:28"/>
    <s v="India"/>
    <n v="509375"/>
    <x v="1"/>
    <s v="Influencers who had successful careers"/>
    <s v="No I would not be pursuing Higher Education outside of India"/>
    <s v="This will be hard to do, but if it is the right company I would try"/>
    <s v="Yes"/>
    <s v="Will NOT work for them"/>
    <n v="6"/>
    <s v="Fully Remote with Options to travel as and when needed"/>
    <s v="Employer who appreciates learning and enables that environment"/>
    <x v="179"/>
    <s v="Manager who explains what is expected, sets a goal and helps achieve it"/>
    <x v="1"/>
    <x v="3"/>
  </r>
  <r>
    <d v="2023-04-05T13:28:14"/>
    <s v="India"/>
    <n v="641659"/>
    <x v="0"/>
    <s v="Social Media like LinkedIn"/>
    <s v="No I would not be pursuing Higher Education outside of India"/>
    <s v="This will be hard to do, but if it is the right company I would try"/>
    <s v="No"/>
    <s v="Will NOT work for them"/>
    <n v="7"/>
    <s v="Fully Remote with Options to travel as and when needed"/>
    <s v="Employer who pushes your limits by enabling an learning environment, and rewards you at the end"/>
    <x v="193"/>
    <s v="Manager who explains what is expected, sets a goal and helps achieve it"/>
    <x v="8"/>
    <x v="3"/>
  </r>
  <r>
    <d v="2023-04-05T13:33:44"/>
    <s v="India"/>
    <n v="50006"/>
    <x v="0"/>
    <s v="Social Media like LinkedIn"/>
    <s v="No, But if someone could bare the cost I will"/>
    <s v="Will work for 3 years or more"/>
    <s v="Yes"/>
    <s v="Will work for them"/>
    <n v="4"/>
    <s v="Hybrid Working Environment with less than 3 days a month at office"/>
    <s v="Employer who rewards learning and enables that environment"/>
    <x v="153"/>
    <s v="Manager who sets targets and expects me to achieve it"/>
    <x v="1"/>
    <x v="3"/>
  </r>
  <r>
    <d v="2023-04-05T13:35:25"/>
    <s v="India"/>
    <n v="110059"/>
    <x v="1"/>
    <s v="My Parents"/>
    <s v="No I would not be pursuing Higher Education outside of India"/>
    <s v="Will work for 3 years or more"/>
    <s v="Yes"/>
    <s v="Will NOT work for them"/>
    <n v="6"/>
    <s v="Fully Remote with Options to travel as and when needed"/>
    <s v="Employer who pushes your limits by enabling an learning environment, and rewards you at the end"/>
    <x v="194"/>
    <s v="Manager who explains what is expected, sets a goal and helps achieve it"/>
    <x v="3"/>
    <x v="3"/>
  </r>
  <r>
    <d v="2023-04-05T13:37:20"/>
    <s v="India"/>
    <n v="201009"/>
    <x v="0"/>
    <s v="People who have changed the world for better"/>
    <s v="Yes, I will earn and do that"/>
    <s v="Will work for 3 years or more"/>
    <s v="Yes"/>
    <s v="Will work for them"/>
    <n v="9"/>
    <s v="Hybrid Working Environment with more than 15 days a month at office"/>
    <s v="Employer who pushes your limits by enabling an learning environment, and rewards you at the end"/>
    <x v="195"/>
    <s v="Manager who explains what is expected, sets a goal and helps achieve it"/>
    <x v="21"/>
    <x v="4"/>
  </r>
  <r>
    <d v="2023-04-05T13:40:53"/>
    <s v="India"/>
    <n v="517101"/>
    <x v="0"/>
    <s v="Social Media like LinkedIn"/>
    <s v="No I would not be pursuing Higher Education outside of India"/>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96"/>
    <s v="Manager who explains what is expected, sets a goal and helps achieve it"/>
    <x v="5"/>
    <x v="3"/>
  </r>
  <r>
    <d v="2023-04-05T13:40:41"/>
    <s v="India"/>
    <n v="679101"/>
    <x v="0"/>
    <s v="People who have changed the world for better"/>
    <s v="Yes, I will earn and do that"/>
    <s v="This will be hard to do, but if it is the right company I would try"/>
    <s v="No"/>
    <s v="Will NOT work for them"/>
    <n v="9"/>
    <s v="Hybrid Working Environment with more than 15 days a month at office"/>
    <s v="Employer who pushes your limits by enabling an learning environment, and rewards you at the end"/>
    <x v="138"/>
    <s v="Manager who explains what is expected, sets a goal and helps achieve it"/>
    <x v="1"/>
    <x v="3"/>
  </r>
  <r>
    <d v="2023-04-05T13:47:23"/>
    <s v="India"/>
    <n v="517501"/>
    <x v="1"/>
    <s v="People who have changed the world for better"/>
    <s v="No, But if someone could bare the cost I will"/>
    <s v="This will be hard to do, but if it is the right company I would try"/>
    <s v="No"/>
    <s v="Will NOT work for them"/>
    <n v="1"/>
    <s v="Hybrid Working Environment with less than 3 days a month at office"/>
    <s v="Employer who pushes your limits by enabling an learning environment, and rewards you at the end"/>
    <x v="147"/>
    <s v="Manager who explains what is expected, sets a goal and helps achieve it"/>
    <x v="1"/>
    <x v="3"/>
  </r>
  <r>
    <d v="2023-04-05T13:58:51"/>
    <s v="India"/>
    <n v="517501"/>
    <x v="0"/>
    <s v="My Parents"/>
    <s v="No I would not be pursuing Higher Education outside of India"/>
    <s v="Will work for 3 years or more"/>
    <s v="Yes"/>
    <s v="Will work for them"/>
    <n v="10"/>
    <s v="Every Day Office Environment"/>
    <s v="Employer who pushes your limits by enabling an learning environment, and rewards you at the end"/>
    <x v="197"/>
    <s v="Manager who sets goal and helps me achieve it"/>
    <x v="8"/>
    <x v="3"/>
  </r>
  <r>
    <d v="2023-04-05T13:59:49"/>
    <s v="India"/>
    <s v="Bts "/>
    <x v="1"/>
    <s v="Influencers who had successful careers"/>
    <s v="Yes, I will earn and do that"/>
    <s v="This will be hard to do, but if it is the right company I would try"/>
    <s v="No"/>
    <s v="Will work for them"/>
    <n v="6"/>
    <s v="Fully Remote with Options to travel as and when needed"/>
    <s v="Employer who appreciates learning and enables that environment"/>
    <x v="198"/>
    <s v="Manager who sets goal and helps me achieve it"/>
    <x v="2"/>
    <x v="0"/>
  </r>
  <r>
    <d v="2023-04-05T14:13:48"/>
    <s v="India"/>
    <n v="518563"/>
    <x v="0"/>
    <s v="People from my circle, but not family members"/>
    <s v="No I would not be pursuing Higher Education outside of India"/>
    <s v="This will be hard to do, but if it is the right company I would try"/>
    <s v="No"/>
    <s v="Will NOT work for them"/>
    <n v="5"/>
    <s v="Fully Remote with Options to travel as and when needed"/>
    <s v="Employer who rewards learning and enables that environment"/>
    <x v="109"/>
    <s v="Manager who explains what is expected, sets a goal and helps achieve it"/>
    <x v="3"/>
    <x v="3"/>
  </r>
  <r>
    <d v="2023-04-05T14:14:05"/>
    <s v="India"/>
    <n v="600092"/>
    <x v="0"/>
    <s v="Influencers who had successful careers"/>
    <s v="No, But if someone could bare the cost I will"/>
    <s v="Will work for 3 years or more"/>
    <s v="No"/>
    <s v="Will NOT work for them"/>
    <n v="6"/>
    <s v="Every Day Office Environment"/>
    <s v="Employer who appreciates learning and enables that environment"/>
    <x v="140"/>
    <s v="Manager who clearly describes what she/he needs"/>
    <x v="4"/>
    <x v="3"/>
  </r>
  <r>
    <d v="2023-04-05T14:21:15"/>
    <s v="India"/>
    <n v="600056"/>
    <x v="0"/>
    <s v="My Parents"/>
    <s v="No I would not be pursuing Higher Education outside of India"/>
    <s v="Will work for 3 years or more"/>
    <s v="Yes"/>
    <s v="Will work for them"/>
    <n v="6"/>
    <s v="Hybrid Working Environment with more than 15 days a month at office"/>
    <s v="Employer who pushes your limits by enabling an learning environment, and rewards you at the end"/>
    <x v="199"/>
    <s v="Manager who sets goal and helps me achieve it"/>
    <x v="6"/>
    <x v="3"/>
  </r>
  <r>
    <d v="2023-04-05T14:25:51"/>
    <s v="India"/>
    <n v="453331"/>
    <x v="1"/>
    <s v="Social Media like LinkedIn"/>
    <s v="No, But if someone could bare the cost I will"/>
    <s v="No way"/>
    <s v="No"/>
    <s v="Will NOT work for them"/>
    <n v="7"/>
    <s v="Fully Remote with Options to travel as and when needed"/>
    <s v="Employer who rewards learning and enables that environment"/>
    <x v="105"/>
    <s v="Manager who explains what is expected, sets a goal and helps achieve it"/>
    <x v="11"/>
    <x v="3"/>
  </r>
  <r>
    <d v="2023-04-05T14:36:46"/>
    <s v="India"/>
    <n v="600127"/>
    <x v="1"/>
    <s v="People from my circle, but not family members"/>
    <s v="No, But if someone could bare the cost I will"/>
    <s v="Will work for 3 years or more"/>
    <s v="No"/>
    <s v="Will NOT work for them"/>
    <n v="8"/>
    <s v="Hybrid Working Environment with more than 15 days a month at office"/>
    <s v="Employer who pushes your limits by enabling an learning environment, and rewards you at the end"/>
    <x v="109"/>
    <s v="Manager who explains what is expected, sets a goal and helps achieve it"/>
    <x v="1"/>
    <x v="0"/>
  </r>
  <r>
    <d v="2023-04-05T14:43:17"/>
    <s v="India"/>
    <n v="560034"/>
    <x v="0"/>
    <s v="People from my circle, but not family members"/>
    <s v="No, But if someone could bare the cost I will"/>
    <s v="This will be hard to do, but if it is the right company I would try"/>
    <s v="No"/>
    <s v="Will work for them"/>
    <n v="5"/>
    <s v="Every Day Office Environment"/>
    <s v="Employer who pushes your limits by enabling an learning environment, and rewards you at the end"/>
    <x v="141"/>
    <s v="Manager who explains what is expected, sets a goal and helps achieve it"/>
    <x v="3"/>
    <x v="3"/>
  </r>
  <r>
    <d v="2023-04-05T14:45:08"/>
    <s v="India"/>
    <n v="470002"/>
    <x v="0"/>
    <s v="My Parents"/>
    <s v="Yes, I will earn and do that"/>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200"/>
    <s v="Manager who explains what is expected, sets a goal and helps achieve it"/>
    <x v="3"/>
    <x v="3"/>
  </r>
  <r>
    <d v="2023-04-05T14:49:26"/>
    <s v="India"/>
    <n v="560100"/>
    <x v="1"/>
    <s v="People from my circle, but not family members"/>
    <s v="No, But if someone could bare the cost I will"/>
    <s v="This will be hard to do, but if it is the right company I would try"/>
    <s v="No"/>
    <s v="Will NOT work for them"/>
    <n v="7"/>
    <s v="Every Day Office Environment"/>
    <s v="Employer who appreciates learning and enables that environment"/>
    <x v="201"/>
    <s v="Manager who explains what is expected, sets a goal and helps achieve it"/>
    <x v="3"/>
    <x v="3"/>
  </r>
  <r>
    <d v="2023-04-05T14:50:35"/>
    <s v="India"/>
    <n v="560078"/>
    <x v="0"/>
    <s v="Social Media like LinkedIn"/>
    <s v="No, But if someone could bare the cost I will"/>
    <s v="This will be hard to do, but if it is the right company I would try"/>
    <s v="No"/>
    <s v="Will NOT work for them"/>
    <n v="7"/>
    <s v="Hybrid Working Environment with less than 3 days a month at office"/>
    <s v="Employer who pushes your limits by enabling an learning environment, and rewards you at the end"/>
    <x v="111"/>
    <s v="Manager who explains what is expected, sets a goal and helps achieve it"/>
    <x v="3"/>
    <x v="2"/>
  </r>
  <r>
    <d v="2023-04-05T14:51:41"/>
    <s v="Others"/>
    <n v="122001"/>
    <x v="0"/>
    <s v="People who have changed the world for better"/>
    <s v="No, But if someone could bare the cost I will"/>
    <s v="This will be hard to do, but if it is the right company I would try"/>
    <s v="No"/>
    <s v="Will NOT work for them"/>
    <n v="8"/>
    <s v="Fully Remote with Options to travel as and when needed"/>
    <s v="Employer who pushes your limits by enabling an learning environment, and rewards you at the end"/>
    <x v="202"/>
    <s v="Manager who explains what is expected, sets a goal and helps achieve it"/>
    <x v="6"/>
    <x v="3"/>
  </r>
  <r>
    <d v="2023-04-05T14:58:09"/>
    <s v="India"/>
    <n v="400053"/>
    <x v="0"/>
    <s v="My Parents"/>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95"/>
    <s v="Manager who explains what is expected, sets a goal and helps achieve it"/>
    <x v="1"/>
    <x v="0"/>
  </r>
  <r>
    <d v="2023-04-05T15:08:24"/>
    <s v="India"/>
    <n v="517502"/>
    <x v="0"/>
    <s v="My Parents"/>
    <s v="No I would not be pursuing Higher Education outside of India"/>
    <s v="This will be hard to do, but if it is the right company I would try"/>
    <s v="Yes"/>
    <s v="Will work for them"/>
    <n v="3"/>
    <s v="Every Day Office Environment"/>
    <s v="Employer who pushes your limits and doesn't enables learning environment and never rewards you"/>
    <x v="203"/>
    <s v="Manager who explains what is expected, sets a goal and helps achieve it"/>
    <x v="4"/>
    <x v="4"/>
  </r>
  <r>
    <d v="2023-04-05T15:19:28"/>
    <s v="India"/>
    <n v="452013"/>
    <x v="0"/>
    <s v="My Parents"/>
    <s v="Yes, I will earn and do that"/>
    <s v="This will be hard to do, but if it is the right company I would try"/>
    <s v="No"/>
    <s v="Will NOT work for them"/>
    <n v="6"/>
    <s v="Every Day Office Environment"/>
    <s v="Employer who appreciates learning and enables that environment"/>
    <x v="204"/>
    <s v="Manager who explains what is expected, sets a goal and helps achieve it"/>
    <x v="0"/>
    <x v="3"/>
  </r>
  <r>
    <d v="2023-04-05T15:20:55"/>
    <s v="India"/>
    <n v="364001"/>
    <x v="0"/>
    <s v="People who have changed the world for better"/>
    <s v="Yes, I will earn and do that"/>
    <s v="No way"/>
    <s v="No"/>
    <s v="Will NOT work for them"/>
    <n v="1"/>
    <s v="Fully Remote with Options to travel as and when needed"/>
    <s v="Employer who pushes your limits by enabling an learning environment, and rewards you at the end"/>
    <x v="205"/>
    <s v="Manager who sets goal and helps me achieve it"/>
    <x v="3"/>
    <x v="3"/>
  </r>
  <r>
    <d v="2023-04-05T15:24:39"/>
    <s v="India"/>
    <n v="382340"/>
    <x v="1"/>
    <s v="Influencers who had successful careers"/>
    <s v="Yes, I will earn and do that"/>
    <s v="This will be hard to do, but if it is the right company I would try"/>
    <s v="No"/>
    <s v="Will NOT work for them"/>
    <n v="5"/>
    <s v="Fully Remote with Options to travel as and when needed"/>
    <s v="Employer who appreciates learning and enables that environment"/>
    <x v="140"/>
    <s v="Manager who explains what is expected, sets a goal and helps achieve it"/>
    <x v="7"/>
    <x v="3"/>
  </r>
  <r>
    <d v="2023-04-05T15:27:55"/>
    <s v="India"/>
    <n v="831015"/>
    <x v="1"/>
    <s v="Social Media like LinkedIn"/>
    <s v="No, But if someone could bare the cost I will"/>
    <s v="This will be hard to do, but if it is the right company I would try"/>
    <s v="No"/>
    <s v="Will work for them"/>
    <n v="9"/>
    <s v="Fully Remote with Options to travel as and when needed"/>
    <s v="Employer who rewards learning and enables that environment"/>
    <x v="206"/>
    <s v="Manager who clearly describes what she/he needs"/>
    <x v="1"/>
    <x v="0"/>
  </r>
  <r>
    <d v="2023-04-05T15:30:09"/>
    <s v="India"/>
    <n v="422003"/>
    <x v="0"/>
    <s v="People who have changed the world for better"/>
    <s v="No I would not be pursuing Higher Education outside of India"/>
    <s v="This will be hard to do, but if it is the right company I would try"/>
    <s v="No"/>
    <s v="Will NOT work for them"/>
    <n v="5"/>
    <s v="Every Day Office Environment"/>
    <s v="Employer who appreciates learning and enables that environment"/>
    <x v="109"/>
    <s v="Manager who explains what is expected, sets a goal and helps achieve it"/>
    <x v="3"/>
    <x v="0"/>
  </r>
  <r>
    <d v="2023-04-05T15:32:30"/>
    <s v="India"/>
    <n v="517501"/>
    <x v="0"/>
    <s v="My Parents"/>
    <s v="Yes, I will earn and do that"/>
    <s v="Will work for 3 years or more"/>
    <s v="No"/>
    <s v="Will NOT work for them"/>
    <n v="7"/>
    <s v="Every Day Office Environment"/>
    <s v="Employer who pushes your limits by enabling an learning environment, and rewards you at the end"/>
    <x v="109"/>
    <s v="Manager who explains what is expected, sets a goal and helps achieve it"/>
    <x v="1"/>
    <x v="3"/>
  </r>
  <r>
    <d v="2023-04-05T15:35:46"/>
    <s v="India"/>
    <n v="831015"/>
    <x v="0"/>
    <s v="Influencers who had successful careers"/>
    <s v="Yes, I will earn and do that"/>
    <s v="Will work for 3 years or more"/>
    <s v="Yes"/>
    <s v="Will work for them"/>
    <n v="10"/>
    <s v="Fully Remote with Options to travel as and when needed"/>
    <s v="Employer who appreciates learning and enables that environment"/>
    <x v="141"/>
    <s v="Manager who explains what is expected, sets a goal and helps achieve it"/>
    <x v="4"/>
    <x v="3"/>
  </r>
  <r>
    <d v="2023-04-05T15:41:29"/>
    <s v="India"/>
    <n v="831006"/>
    <x v="1"/>
    <s v="My Parents"/>
    <s v="Yes, I will earn and do that"/>
    <s v="This will be hard to do, but if it is the right company I would try"/>
    <s v="Yes"/>
    <s v="Will work for them"/>
    <n v="2"/>
    <s v="Fully Remote with Options to travel as and when needed"/>
    <s v="Employer who pushes your limits by enabling an learning environment, and rewards you at the end"/>
    <x v="161"/>
    <s v="Manager who clearly describes what she/he needs"/>
    <x v="3"/>
    <x v="0"/>
  </r>
  <r>
    <d v="2023-04-05T15:41:52"/>
    <s v="India"/>
    <n v="832110"/>
    <x v="0"/>
    <s v="My Parents"/>
    <s v="No I would not be pursuing Higher Education outside of India"/>
    <s v="This will be hard to do, but if it is the right company I would try"/>
    <s v="No"/>
    <s v="Will NOT work for them"/>
    <n v="10"/>
    <s v="Hybrid Working Environment with more than 15 days a month at office"/>
    <s v="Employer who pushes your limits by enabling an learning environment, and rewards you at the end"/>
    <x v="207"/>
    <s v="Manager who clearly describes what she/he needs"/>
    <x v="6"/>
    <x v="3"/>
  </r>
  <r>
    <d v="2023-04-05T15:42:13"/>
    <s v="India"/>
    <n v="831016"/>
    <x v="0"/>
    <s v="People from my circle, but not family members"/>
    <s v="Yes, I will earn and do that"/>
    <s v="No way"/>
    <s v="No"/>
    <s v="Will work for them"/>
    <n v="8"/>
    <s v="Hybrid Working Environment with more than 15 days a month at office"/>
    <s v="Employer who pushes your limits and doesn't enables learning environment and never rewards you"/>
    <x v="208"/>
    <s v="Manager who sets goal and helps me achieve it"/>
    <x v="1"/>
    <x v="0"/>
  </r>
  <r>
    <d v="2023-04-05T15:45:44"/>
    <s v="India"/>
    <n v="831001"/>
    <x v="1"/>
    <s v="My Parents"/>
    <s v="Yes, I will earn and do that"/>
    <s v="Will work for 3 years or more"/>
    <s v="Yes"/>
    <s v="Will NOT work for them"/>
    <n v="3"/>
    <s v="Fully Remote with Options to travel as and when needed"/>
    <s v="Employer who pushes your limits and doesn't enables learning environment and never rewards you"/>
    <x v="209"/>
    <s v="Manager who sets unrealistic targets"/>
    <x v="17"/>
    <x v="3"/>
  </r>
  <r>
    <d v="2023-04-05T15:46:03"/>
    <s v="India"/>
    <n v="831001"/>
    <x v="1"/>
    <s v="People from my circle, but not family members"/>
    <s v="Yes, I will earn and do that"/>
    <s v="This will be hard to do, but if it is the right company I would try"/>
    <s v="No"/>
    <s v="Will NOT work for them"/>
    <n v="4"/>
    <s v="Fully Remote with Options to travel as and when needed"/>
    <s v="Employers who appreciates learning but doesn't enables an learning environment"/>
    <x v="210"/>
    <s v="Manager who sets targets and expects me to achieve it"/>
    <x v="6"/>
    <x v="0"/>
  </r>
  <r>
    <d v="2023-04-05T15:46:06"/>
    <s v="India"/>
    <n v="442902"/>
    <x v="0"/>
    <s v="Influencers who had successful careers"/>
    <s v="Yes, I will earn and do that"/>
    <s v="This will be hard to do, but if it is the right company I would try"/>
    <s v="No"/>
    <s v="Will NOT work for them"/>
    <n v="2"/>
    <s v="Fully Remote with Options to travel as and when needed"/>
    <s v="Employer who pushes your limits by enabling an learning environment, and rewards you at the end"/>
    <x v="197"/>
    <s v="Manager who sets goal and helps me achieve it"/>
    <x v="3"/>
    <x v="3"/>
  </r>
  <r>
    <d v="2023-04-05T15:52:33"/>
    <s v="Others"/>
    <n v="414"/>
    <x v="0"/>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211"/>
    <s v="Manager who explains what is expected, sets a goal and helps achieve it"/>
    <x v="6"/>
    <x v="3"/>
  </r>
  <r>
    <d v="2023-04-05T15:53:10"/>
    <s v="India"/>
    <n v="452001"/>
    <x v="0"/>
    <s v="My Parents"/>
    <s v="Yes, I will earn and do that"/>
    <s v="This will be hard to do, but if it is the right company I would try"/>
    <s v="No"/>
    <s v="Will work for them"/>
    <n v="8"/>
    <s v="Every Day Office Environment"/>
    <s v="Employer who pushes your limits by enabling an learning environment, and rewards you at the end"/>
    <x v="212"/>
    <s v="Manager who sets goal and helps me achieve it"/>
    <x v="0"/>
    <x v="0"/>
  </r>
  <r>
    <d v="2023-04-05T15:54:52"/>
    <s v="India"/>
    <n v="382424"/>
    <x v="1"/>
    <s v="People from my circle, but not family members"/>
    <s v="No I would not be pursuing Higher Education outside of India"/>
    <s v="This will be hard to do, but if it is the right company I would try"/>
    <s v="No"/>
    <s v="Will NOT work for them"/>
    <n v="2"/>
    <s v="Fully Remote with Options to travel as and when needed"/>
    <s v="Employer who pushes your limits by enabling an learning environment, and rewards you at the end"/>
    <x v="213"/>
    <s v="Manager who explains what is expected, sets a goal and helps achieve it"/>
    <x v="1"/>
    <x v="0"/>
  </r>
  <r>
    <d v="2023-04-05T16:01:27"/>
    <s v="India"/>
    <n v="452012"/>
    <x v="1"/>
    <s v="Influencers who had successful careers"/>
    <s v="Yes, I will earn and do that"/>
    <s v="This will be hard to do, but if it is the right company I would try"/>
    <s v="No"/>
    <s v="Will work for them"/>
    <n v="6"/>
    <s v="Every Day Office Environment"/>
    <s v="Employer who pushes your limits by enabling an learning environment, and rewards you at the end"/>
    <x v="214"/>
    <s v="Manager who explains what is expected, sets a goal and helps achieve it"/>
    <x v="2"/>
    <x v="0"/>
  </r>
  <r>
    <d v="2023-04-05T16:03:03"/>
    <s v="India"/>
    <n v="621216"/>
    <x v="0"/>
    <s v="My Parents"/>
    <s v="No I would not be pursuing Higher Education outside of India"/>
    <s v="Will work for 3 years or more"/>
    <s v="Yes"/>
    <s v="Will NOT work for them"/>
    <n v="1"/>
    <s v="Hybrid Working Environment with less than 3 days a month at office"/>
    <s v="Employer who rewards learning and enables that environment"/>
    <x v="110"/>
    <s v="Manager who clearly describes what she/he needs"/>
    <x v="18"/>
    <x v="0"/>
  </r>
  <r>
    <d v="2023-04-05T16:07:24"/>
    <s v="India"/>
    <n v="620003"/>
    <x v="0"/>
    <s v="My Parents"/>
    <s v="No, But if someone could bare the cost I will"/>
    <s v="This will be hard to do, but if it is the right company I would try"/>
    <s v="Yes"/>
    <s v="Will work for them"/>
    <n v="5"/>
    <s v="Every Day Office Environment"/>
    <s v="Employer who appreciates learning and enables that environment"/>
    <x v="215"/>
    <s v="Manager who clearly describes what she/he needs"/>
    <x v="17"/>
    <x v="3"/>
  </r>
  <r>
    <d v="2023-04-05T16:08:33"/>
    <s v="India"/>
    <n v="625009"/>
    <x v="0"/>
    <s v="Social Media like LinkedIn"/>
    <s v="No I would not be pursuing Higher Education outside of India"/>
    <s v="Will work for 3 years or more"/>
    <s v="No"/>
    <s v="Will NOT work for them"/>
    <n v="6"/>
    <s v="Fully Remote with Options to travel as and when needed"/>
    <s v="Employer who appreciates learning and enables that environment"/>
    <x v="113"/>
    <s v="Manager who explains what is expected, sets a goal and helps achieve it"/>
    <x v="15"/>
    <x v="3"/>
  </r>
  <r>
    <d v="2023-04-05T16:09:05"/>
    <s v="India"/>
    <n v="452001"/>
    <x v="0"/>
    <s v="People from my circle, but not family members"/>
    <s v="No I would not be pursuing Higher Education outside of India"/>
    <s v="Will work for 3 years or more"/>
    <s v="Yes"/>
    <s v="Will work for them"/>
    <n v="8"/>
    <s v="Every Day Office Environment"/>
    <s v="Employer who pushes your limits by enabling an learning environment, and rewards you at the end"/>
    <x v="216"/>
    <s v="Manager who clearly describes what she/he needs"/>
    <x v="0"/>
    <x v="0"/>
  </r>
  <r>
    <d v="2023-04-05T16:13:09"/>
    <s v="India"/>
    <n v="670561"/>
    <x v="1"/>
    <s v="Social Media like LinkedIn"/>
    <s v="No, But if someone could bare the cost I will"/>
    <s v="This will be hard to do, but if it is the right company I would try"/>
    <s v="No"/>
    <s v="Will work for them"/>
    <n v="5"/>
    <s v="Fully Remote with No option to visit offices"/>
    <s v="Employer who rewards learning and enables that environment"/>
    <x v="217"/>
    <s v="Manager who explains what is expected, sets a goal and helps achieve it"/>
    <x v="15"/>
    <x v="0"/>
  </r>
  <r>
    <d v="2023-04-05T16:25:33"/>
    <s v="India"/>
    <n v="600044"/>
    <x v="0"/>
    <s v="People from my circle, but not family members"/>
    <s v="Yes, I will earn and do that"/>
    <s v="Will work for 3 years or more"/>
    <s v="No"/>
    <s v="Will NOT work for them"/>
    <n v="10"/>
    <s v="Every Day Office Environment"/>
    <s v="Employer who appreciates learning and enables that environment"/>
    <x v="197"/>
    <s v="Manager who explains what is expected, sets a goal and helps achieve it"/>
    <x v="7"/>
    <x v="3"/>
  </r>
  <r>
    <d v="2023-04-05T16:34:10"/>
    <s v="India"/>
    <n v="485001"/>
    <x v="0"/>
    <s v="People from my circle, but not family members"/>
    <s v="No, But if someone could bare the cost I will"/>
    <s v="This will be hard to do, but if it is the right company I would try"/>
    <s v="No"/>
    <s v="Will NOT work for them"/>
    <n v="1"/>
    <s v="Fully Remote with Options to travel as and when needed"/>
    <s v="Employer who appreciates learning and enables that environment"/>
    <x v="218"/>
    <s v="Manager who explains what is expected, sets a goal and helps achieve it"/>
    <x v="3"/>
    <x v="0"/>
  </r>
  <r>
    <d v="2023-04-05T16:39:24"/>
    <s v="India"/>
    <n v="635109"/>
    <x v="0"/>
    <s v="Social Media like LinkedIn"/>
    <s v="Yes, I will earn and do that"/>
    <s v="This will be hard to do, but if it is the right company I would try"/>
    <s v="Yes"/>
    <s v="Will work for them"/>
    <n v="9"/>
    <s v="Every Day Office Environment"/>
    <s v="Employer who pushes your limits by enabling an learning environment, and rewards you at the end"/>
    <x v="200"/>
    <s v="Manager who sets goal and helps me achieve it"/>
    <x v="4"/>
    <x v="0"/>
  </r>
  <r>
    <d v="2023-04-05T16:44:31"/>
    <s v="India"/>
    <n v="360001"/>
    <x v="0"/>
    <s v="My Parents"/>
    <s v="Yes, I will earn and do that"/>
    <s v="This will be hard to do, but if it is the right company I would try"/>
    <s v="No"/>
    <s v="Will NOT work for them"/>
    <n v="1"/>
    <s v="Every Day Office Environment"/>
    <s v="Employer who pushes your limits by enabling an learning environment, and rewards you at the end"/>
    <x v="219"/>
    <s v="Manager who clearly describes what she/he needs"/>
    <x v="4"/>
    <x v="3"/>
  </r>
  <r>
    <d v="2023-04-05T16:51:37"/>
    <s v="India"/>
    <n v="620008"/>
    <x v="1"/>
    <s v="My Parents"/>
    <s v="Yes, I will earn and do that"/>
    <s v="This will be hard to do, but if it is the right company I would try"/>
    <s v="Yes"/>
    <s v="Will NOT work for them"/>
    <n v="1"/>
    <s v="Hybrid Working Environment with less than 3 days a month at office"/>
    <s v="Employer who appreciates learning and enables that environment"/>
    <x v="220"/>
    <s v="Manager who sets goal and helps me achieve it"/>
    <x v="2"/>
    <x v="0"/>
  </r>
  <r>
    <d v="2023-04-05T16:53:54"/>
    <s v="India"/>
    <n v="122001"/>
    <x v="0"/>
    <s v="My Parents"/>
    <s v="Yes, I will earn and do that"/>
    <s v="Will work for 3 years or more"/>
    <s v="No"/>
    <s v="Will NOT work for them"/>
    <n v="5"/>
    <s v="Hybrid Working Environment with more than 15 days a month at office"/>
    <s v="Employer who pushes your limits by enabling an learning environment, and rewards you at the end"/>
    <x v="156"/>
    <s v="Manager who explains what is expected, sets a goal and helps achieve it"/>
    <x v="8"/>
    <x v="3"/>
  </r>
  <r>
    <d v="2023-04-05T16:55:04"/>
    <s v="India"/>
    <n v="626108"/>
    <x v="0"/>
    <s v="People from my circle, but not family members"/>
    <s v="No I would not be pursuing Higher Education outside of India"/>
    <s v="Will work for 3 years or more"/>
    <s v="No"/>
    <s v="Will NOT work for them"/>
    <n v="10"/>
    <s v="Hybrid Working Environment with less than 3 days a month at office"/>
    <s v="Employer who appreciates learning and enables that environment"/>
    <x v="201"/>
    <s v="Manager who sets goal and helps me achieve it"/>
    <x v="3"/>
    <x v="0"/>
  </r>
  <r>
    <d v="2023-04-05T16:56:13"/>
    <s v="India"/>
    <n v="641004"/>
    <x v="0"/>
    <s v="Influencers who had successful careers"/>
    <s v="Yes, I will earn and do that"/>
    <s v="This will be hard to do, but if it is the right company I would try"/>
    <s v="No"/>
    <s v="Will NOT work for them"/>
    <n v="3"/>
    <s v="Hybrid Working Environment with less than 3 days a month at office"/>
    <s v="Employer who appreciates learning and enables that environment"/>
    <x v="221"/>
    <s v="Manager who clearly describes what she/he needs"/>
    <x v="7"/>
    <x v="0"/>
  </r>
  <r>
    <d v="2023-04-05T16:58:19"/>
    <s v="India"/>
    <n v="110059"/>
    <x v="0"/>
    <s v="People from my circle, but not family members"/>
    <s v="No I would not be pursuing Higher Education outside of India"/>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222"/>
    <s v="Manager who sets goal and helps me achieve it"/>
    <x v="6"/>
    <x v="3"/>
  </r>
  <r>
    <d v="2023-04-05T17:01:38"/>
    <s v="India"/>
    <n v="380007"/>
    <x v="1"/>
    <s v="People who have changed the world for better"/>
    <s v="No I would not be pursuing Higher Education outside of India"/>
    <s v="This will be hard to do, but if it is the right company I would try"/>
    <s v="No"/>
    <s v="Will NOT work for them"/>
    <n v="2"/>
    <s v="Fully Remote with Options to travel as and when needed"/>
    <s v="Employer who pushes your limits by enabling an learning environment, and rewards you at the end"/>
    <x v="114"/>
    <s v="Manager who clearly describes what she/he needs"/>
    <x v="7"/>
    <x v="0"/>
  </r>
  <r>
    <d v="2023-04-05T17:03:39"/>
    <s v="India"/>
    <n v="631101"/>
    <x v="0"/>
    <s v="People who have changed the world for better"/>
    <s v="Yes, I will earn and do that"/>
    <s v="Will work for 3 years or more"/>
    <s v="No"/>
    <s v="Will NOT work for them"/>
    <n v="5"/>
    <s v="Hybrid Working Environment with less than 3 days a month at office"/>
    <s v="Employer who rewards learning and enables that environment"/>
    <x v="188"/>
    <s v="Manager who explains what is expected, sets a goal and helps achieve it"/>
    <x v="13"/>
    <x v="3"/>
  </r>
  <r>
    <d v="2023-04-05T17:03:43"/>
    <s v="India"/>
    <n v="626136"/>
    <x v="0"/>
    <s v="People from my circle, but not family members"/>
    <s v="No I would not be pursuing Higher Education outside of India"/>
    <s v="This will be hard to do, but if it is the right company I would try"/>
    <s v="Yes"/>
    <s v="Will work for them"/>
    <n v="7"/>
    <s v="Fully Remote with Options to travel as and when needed"/>
    <s v="Employer who pushes your limits by enabling an learning environment, and rewards you at the end"/>
    <x v="223"/>
    <s v="Manager who sets goal and helps me achieve it"/>
    <x v="1"/>
    <x v="0"/>
  </r>
  <r>
    <d v="2023-04-05T17:06:31"/>
    <s v="India"/>
    <n v="530024"/>
    <x v="0"/>
    <s v="My Parents"/>
    <s v="No, But if someone could bare the cost I will"/>
    <s v="Will work for 3 years or more"/>
    <s v="No"/>
    <s v="Will NOT work for them"/>
    <n v="7"/>
    <s v="Fully Remote with Options to travel as and when needed"/>
    <s v="Employer who pushes your limits by enabling an learning environment, and rewards you at the end"/>
    <x v="195"/>
    <s v="Manager who explains what is expected, sets a goal and helps achieve it"/>
    <x v="1"/>
    <x v="3"/>
  </r>
  <r>
    <d v="2023-04-05T17:07:04"/>
    <s v="India"/>
    <n v="606601"/>
    <x v="0"/>
    <s v="My Parents"/>
    <s v="Yes, I will earn and do that"/>
    <s v="Will work for 3 years or more"/>
    <s v="Yes"/>
    <s v="Will work for them"/>
    <n v="10"/>
    <s v="Fully Remote with Options to travel as and when needed"/>
    <s v="Employer who pushes your limits by enabling an learning environment, and rewards you at the end"/>
    <x v="216"/>
    <s v="Manager who explains what is expected, sets a goal and helps achieve it"/>
    <x v="7"/>
    <x v="3"/>
  </r>
  <r>
    <d v="2023-04-05T17:07:53"/>
    <s v="India"/>
    <n v="522006"/>
    <x v="0"/>
    <s v="My Parents"/>
    <s v="No I would not be pursuing Higher Education outside of India"/>
    <s v="This will be hard to do, but if it is the right company I would try"/>
    <s v="No"/>
    <s v="Will NOT work for them"/>
    <n v="1"/>
    <s v="Every Day Office Environment"/>
    <s v="Employer who appreciates learning and enables that environment"/>
    <x v="174"/>
    <s v="Manager who sets goal and helps me achieve it"/>
    <x v="11"/>
    <x v="3"/>
  </r>
  <r>
    <d v="2023-04-05T17:08:50"/>
    <s v="India"/>
    <n v="523301"/>
    <x v="1"/>
    <s v="My Parents"/>
    <s v="Yes, I will earn and do that"/>
    <s v="Will work for 3 years or more"/>
    <s v="Yes"/>
    <s v="Will work for them"/>
    <n v="6"/>
    <s v="Hybrid Working Environment with less than 3 days a month at office"/>
    <s v="Employer who pushes your limits by enabling an learning environment, and rewards you at the end"/>
    <x v="224"/>
    <s v="Manager who clearly describes what she/he needs"/>
    <x v="11"/>
    <x v="3"/>
  </r>
  <r>
    <d v="2023-04-05T17:09:00"/>
    <s v="India"/>
    <n v="500089"/>
    <x v="1"/>
    <s v="My Parents"/>
    <s v="Yes, I will earn and do that"/>
    <s v="This will be hard to do, but if it is the right company I would try"/>
    <s v="Yes"/>
    <s v="Will work for them"/>
    <n v="10"/>
    <s v="Hybrid Working Environment with less than 3 days a month at office"/>
    <s v="Employer who appreciates learning and enables that environment"/>
    <x v="161"/>
    <s v="Manager who clearly describes what she/he needs"/>
    <x v="3"/>
    <x v="3"/>
  </r>
  <r>
    <d v="2023-04-05T17:09:49"/>
    <s v="India"/>
    <n v="517583"/>
    <x v="0"/>
    <s v="People who have changed the world for better"/>
    <s v="No, But if someone could bare the cost I will"/>
    <s v="Will work for 3 years or more"/>
    <s v="No"/>
    <s v="Will NOT work for them"/>
    <n v="2"/>
    <s v="Every Day Office Environment"/>
    <s v="Employer who pushes your limits by enabling an learning environment, and rewards you at the end"/>
    <x v="225"/>
    <s v="Manager who clearly describes what she/he needs"/>
    <x v="1"/>
    <x v="3"/>
  </r>
  <r>
    <d v="2023-04-05T17:10:10"/>
    <s v="India"/>
    <n v="530024"/>
    <x v="0"/>
    <s v="Influencers who had successful careers"/>
    <s v="No I would not be pursuing Higher Education outside of India"/>
    <s v="This will be hard to do, but if it is the right company I would try"/>
    <s v="Yes"/>
    <s v="Will work for them"/>
    <n v="8"/>
    <s v="Fully Remote with Options to travel as and when needed"/>
    <s v="Employer who appreciates learning and enables that environment"/>
    <x v="226"/>
    <s v="Manager who sets goal and helps me achieve it"/>
    <x v="8"/>
    <x v="0"/>
  </r>
  <r>
    <d v="2023-04-05T17:11:45"/>
    <s v="India"/>
    <n v="641015"/>
    <x v="0"/>
    <s v="Social Media like LinkedIn"/>
    <s v="Yes, I will earn and do that"/>
    <s v="This will be hard to do, but if it is the right company I would try"/>
    <s v="No"/>
    <s v="Will NOT work for them"/>
    <n v="1"/>
    <s v="Hybrid Working Environment with less than 3 days a month at office"/>
    <s v="Employer who pushes your limits by enabling an learning environment, and rewards you at the end"/>
    <x v="197"/>
    <s v="Manager who explains what is expected, sets a goal and helps achieve it"/>
    <x v="9"/>
    <x v="0"/>
  </r>
  <r>
    <d v="2023-04-05T17:11:46"/>
    <s v="India"/>
    <n v="603203"/>
    <x v="0"/>
    <s v="Influencers who had successful careers"/>
    <s v="Yes, I will earn and do that"/>
    <s v="Will work for 3 years or more"/>
    <s v="Yes"/>
    <s v="Will NOT work for them"/>
    <n v="4"/>
    <s v="Hybrid Working Environment with less than 3 days a month at office"/>
    <s v="Employer who appreciates learning and enables that environment"/>
    <x v="227"/>
    <s v="Manager who sets goal and helps me achieve it"/>
    <x v="7"/>
    <x v="3"/>
  </r>
  <r>
    <d v="2023-04-05T17:13:12"/>
    <s v="India"/>
    <n v="630562"/>
    <x v="0"/>
    <s v="Influencers who had successful careers"/>
    <s v="Yes, I will earn and do that"/>
    <s v="This will be hard to do, but if it is the right company I would try"/>
    <s v="No"/>
    <s v="Will NOT work for them"/>
    <n v="5"/>
    <s v="Every Day Office Environment"/>
    <s v="Employer who pushes your limits by enabling an learning environment, and rewards you at the end"/>
    <x v="113"/>
    <s v="Manager who clearly describes what she/he needs"/>
    <x v="0"/>
    <x v="3"/>
  </r>
  <r>
    <d v="2023-04-05T17:14:36"/>
    <s v="India"/>
    <n v="577204"/>
    <x v="1"/>
    <s v="People from my circle, but not family members"/>
    <s v="Yes, I will earn and do that"/>
    <s v="This will be hard to do, but if it is the right company I would try"/>
    <s v="No"/>
    <s v="Will NOT work for them"/>
    <n v="4"/>
    <s v="Fully Remote with Options to travel as and when needed"/>
    <s v="Employer who appreciates learning and enables that environment"/>
    <x v="227"/>
    <s v="Manager who explains what is expected, sets a goal and helps achieve it"/>
    <x v="11"/>
    <x v="2"/>
  </r>
  <r>
    <d v="2023-04-05T17:17:27"/>
    <s v="India"/>
    <n v="442902"/>
    <x v="0"/>
    <s v="Influencers who had successful careers"/>
    <s v="No I would not be pursuing Higher Education outside of India"/>
    <s v="This will be hard to do, but if it is the right company I would try"/>
    <s v="Yes"/>
    <s v="Will work for them"/>
    <n v="8"/>
    <s v="Fully Remote with Options to travel as and when needed"/>
    <s v="Employer who pushes your limits by enabling an learning environment, and rewards you at the end"/>
    <x v="228"/>
    <s v="Manager who explains what is expected, sets a goal and helps achieve it"/>
    <x v="1"/>
    <x v="0"/>
  </r>
  <r>
    <d v="2023-04-05T17:18:04"/>
    <s v="India"/>
    <n v="641005"/>
    <x v="2"/>
    <s v="People who have changed the world for better"/>
    <s v="Yes, I will earn and do that"/>
    <s v="This will be hard to do, but if it is the right company I would try"/>
    <s v="No"/>
    <s v="Will NOT work for them"/>
    <n v="1"/>
    <s v="Every Day Office Environment"/>
    <s v="Employer who pushes your limits by enabling an learning environment, and rewards you at the end"/>
    <x v="196"/>
    <s v="Manager who clearly describes what she/he needs"/>
    <x v="2"/>
    <x v="0"/>
  </r>
  <r>
    <d v="2023-04-05T17:18:42"/>
    <s v="India"/>
    <n v="641062"/>
    <x v="0"/>
    <s v="Social Media like LinkedIn"/>
    <s v="No, But if someone could bare the cost I will"/>
    <s v="This will be hard to do, but if it is the right company I would try"/>
    <s v="No"/>
    <s v="Will NOT work for them"/>
    <n v="1"/>
    <s v="Fully Remote with Options to travel as and when needed"/>
    <s v="Employer who pushes your limits by enabling an learning environment, and rewards you at the end"/>
    <x v="229"/>
    <s v="Manager who explains what is expected, sets a goal and helps achieve it"/>
    <x v="3"/>
    <x v="3"/>
  </r>
  <r>
    <d v="2023-04-05T17:25:43"/>
    <s v="India"/>
    <n v="400097"/>
    <x v="0"/>
    <s v="My Parents"/>
    <s v="No, But if someone could bare the cost I will"/>
    <s v="This will be hard to do, but if it is the right company I would try"/>
    <s v="No"/>
    <s v="Will NOT work for them"/>
    <n v="3"/>
    <s v="Fully Remote with Options to travel as and when needed"/>
    <s v="Employer who appreciates learning and enables that environment"/>
    <x v="129"/>
    <s v="Manager who clearly describes what she/he needs"/>
    <x v="4"/>
    <x v="0"/>
  </r>
  <r>
    <d v="2023-04-05T17:26:05"/>
    <s v="India"/>
    <n v="442902"/>
    <x v="1"/>
    <s v="My Parents"/>
    <s v="No, But if someone could bare the cost I will"/>
    <s v="This will be hard to do, but if it is the right company I would try"/>
    <s v="No"/>
    <s v="Will NOT work for them"/>
    <n v="1"/>
    <s v="Every Day Office Environment"/>
    <s v="Employer who appreciates learning and enables that environment"/>
    <x v="230"/>
    <s v="Manager who explains what is expected, sets a goal and helps achieve it"/>
    <x v="3"/>
    <x v="3"/>
  </r>
  <r>
    <d v="2023-04-05T17:26:56"/>
    <s v="India"/>
    <n v="621218"/>
    <x v="1"/>
    <s v="My Parents"/>
    <s v="No, But if someone could bare the cost I will"/>
    <s v="This will be hard to do, but if it is the right company I would try"/>
    <s v="No"/>
    <s v="Will NOT work for them"/>
    <n v="2"/>
    <s v="Every Day Office Environment"/>
    <s v="Employer who appreciates learning and enables that environment"/>
    <x v="214"/>
    <s v="Manager who explains what is expected, sets a goal and helps achieve it"/>
    <x v="11"/>
    <x v="3"/>
  </r>
  <r>
    <d v="2023-04-05T17:28:32"/>
    <s v="India"/>
    <n v="560100"/>
    <x v="1"/>
    <s v="People from my circle, but not family members"/>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231"/>
    <s v="Manager who explains what is expected, sets a goal and helps achieve it"/>
    <x v="7"/>
    <x v="3"/>
  </r>
  <r>
    <d v="2023-04-05T17:32:45"/>
    <s v="India"/>
    <n v="364001"/>
    <x v="1"/>
    <s v="People who have changed the world for better"/>
    <s v="Yes, I will earn and do that"/>
    <s v="This will be hard to do, but if it is the right company I would try"/>
    <s v="No"/>
    <s v="Will NOT work for them"/>
    <n v="3"/>
    <s v="Every Day Office Environment"/>
    <s v="Employer who appreciates learning and enables that environment"/>
    <x v="160"/>
    <s v="Manager who explains what is expected, sets a goal and helps achieve it"/>
    <x v="7"/>
    <x v="3"/>
  </r>
  <r>
    <d v="2023-04-05T17:34:28"/>
    <s v="India"/>
    <n v="442501"/>
    <x v="1"/>
    <s v="People who have changed the world for better"/>
    <s v="Yes, I will earn and do that"/>
    <s v="This will be hard to do, but if it is the right company I would try"/>
    <s v="Yes"/>
    <s v="Will work for them"/>
    <n v="3"/>
    <s v="Every Day Office Environment"/>
    <s v="Employer who pushes your limits by enabling an learning environment, and rewards you at the end"/>
    <x v="134"/>
    <s v="Manager who sets targets and expects me to achieve it"/>
    <x v="1"/>
    <x v="3"/>
  </r>
  <r>
    <d v="2023-04-05T17:35:24"/>
    <s v="India"/>
    <n v="500083"/>
    <x v="0"/>
    <s v="My Parents"/>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34"/>
    <s v="Manager who explains what is expected, sets a goal and helps achieve it"/>
    <x v="6"/>
    <x v="2"/>
  </r>
  <r>
    <d v="2023-04-05T17:35:51"/>
    <s v="India"/>
    <n v="670301"/>
    <x v="0"/>
    <s v="My Parents"/>
    <s v="Yes, I will earn and do that"/>
    <s v="This will be hard to do, but if it is the right company I would try"/>
    <s v="No"/>
    <s v="Will NOT work for them"/>
    <n v="5"/>
    <s v="Every Day Office Environment"/>
    <s v="Employer who appreciates learning and enables that environment"/>
    <x v="232"/>
    <s v="Manager who explains what is expected, sets a goal and helps achieve it"/>
    <x v="6"/>
    <x v="3"/>
  </r>
  <r>
    <d v="2023-04-05T17:39:20"/>
    <s v="India"/>
    <n v="400607"/>
    <x v="0"/>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179"/>
    <s v="Manager who explains what is expected, sets a goal and helps achieve it"/>
    <x v="3"/>
    <x v="3"/>
  </r>
  <r>
    <d v="2023-04-05T17:40:05"/>
    <s v="India"/>
    <n v="632515"/>
    <x v="0"/>
    <s v="Social Media like LinkedIn"/>
    <s v="No I would not be pursuing Higher Education outside of India"/>
    <s v="This will be hard to do, but if it is the right company I would try"/>
    <s v="No"/>
    <s v="Will NOT work for them"/>
    <n v="5"/>
    <s v="Fully Remote with Options to travel as and when needed"/>
    <s v="Employer who rewards learning and enables that environment"/>
    <x v="233"/>
    <s v="Manager who explains what is expected, sets a goal and helps achieve it"/>
    <x v="0"/>
    <x v="3"/>
  </r>
  <r>
    <d v="2023-04-05T17:41:04"/>
    <s v="India"/>
    <n v="516329"/>
    <x v="1"/>
    <s v="My Parents"/>
    <s v="No, But if someone could bare the cost I will"/>
    <s v="Will work for 3 years or more"/>
    <s v="No"/>
    <s v="Will work for them"/>
    <n v="7"/>
    <s v="Fully Remote with Options to travel as and when needed"/>
    <s v="Employer who pushes your limits by enabling an learning environment, and rewards you at the end"/>
    <x v="234"/>
    <s v="Manager who explains what is expected, sets a goal and helps achieve it"/>
    <x v="2"/>
    <x v="2"/>
  </r>
  <r>
    <d v="2023-04-05T17:43:15"/>
    <s v="India"/>
    <n v="620001"/>
    <x v="1"/>
    <s v="People from my circle, but not family members"/>
    <s v="No, But if someone could bare the cost I will"/>
    <s v="Will work for 3 years or more"/>
    <s v="No"/>
    <s v="Will NOT work for them"/>
    <n v="6"/>
    <s v="Fully Remote with Options to travel as and when needed"/>
    <s v="Employer who pushes your limits by enabling an learning environment, and rewards you at the end"/>
    <x v="235"/>
    <s v="Manager who explains what is expected, sets a goal and helps achieve it"/>
    <x v="1"/>
    <x v="3"/>
  </r>
  <r>
    <d v="2023-04-05T17:43:53"/>
    <s v="India"/>
    <n v="600116"/>
    <x v="0"/>
    <s v="People from my circle, but not family members"/>
    <s v="No I would not be pursuing Higher Education outside of India"/>
    <s v="Will work for 3 years or more"/>
    <s v="No"/>
    <s v="Will work for them"/>
    <n v="4"/>
    <s v="Hybrid Working Environment with more than 15 days a month at office"/>
    <s v="Employer who appreciates learning and enables that environment"/>
    <x v="153"/>
    <s v="Manager who explains what is expected, sets a goal and helps achieve it"/>
    <x v="7"/>
    <x v="2"/>
  </r>
  <r>
    <d v="2023-04-05T17:44:22"/>
    <s v="India"/>
    <n v="560016"/>
    <x v="0"/>
    <s v="People from my circle, but not family members"/>
    <s v="Yes, I will earn and do that"/>
    <s v="This will be hard to do, but if it is the right company I would try"/>
    <s v="Yes"/>
    <s v="Will NOT work for them"/>
    <n v="8"/>
    <s v="Hybrid Working Environment with more than 15 days a month at office"/>
    <s v="Employer who pushes your limits by enabling an learning environment, and rewards you at the end"/>
    <x v="236"/>
    <s v="Manager who explains what is expected, sets a goal and helps achieve it"/>
    <x v="1"/>
    <x v="0"/>
  </r>
  <r>
    <d v="2023-04-05T17:44:32"/>
    <s v="India"/>
    <n v="641062"/>
    <x v="0"/>
    <s v="Influencers who had successful careers"/>
    <s v="No, But if someone could bare the cost I will"/>
    <s v="This will be hard to do, but if it is the right company I would try"/>
    <s v="No"/>
    <s v="Will NOT work for them"/>
    <n v="1"/>
    <s v="Hybrid Working Environment with less than 3 days a month at office"/>
    <s v="Employer who pushes your limits by enabling an learning environment, and rewards you at the end"/>
    <x v="237"/>
    <s v="Manager who explains what is expected, sets a goal and helps achieve it"/>
    <x v="3"/>
    <x v="3"/>
  </r>
  <r>
    <d v="2023-04-05T17:49:38"/>
    <s v="India"/>
    <n v="793002"/>
    <x v="0"/>
    <s v="People from my circle, but not family members"/>
    <s v="No I would not be pursuing Higher Education outside of India"/>
    <s v="This will be hard to do, but if it is the right company I would try"/>
    <s v="Yes"/>
    <s v="Will NOT work for them"/>
    <n v="4"/>
    <s v="Fully Remote with Options to travel as and when needed"/>
    <s v="Employer who pushes your limits by enabling an learning environment, and rewards you at the end"/>
    <x v="238"/>
    <s v="Manager who explains what is expected, sets a goal and helps achieve it"/>
    <x v="5"/>
    <x v="3"/>
  </r>
  <r>
    <d v="2023-04-05T17:52:58"/>
    <s v="India"/>
    <n v="122022"/>
    <x v="0"/>
    <s v="People from my circle, but not family members"/>
    <s v="No I would not be pursuing Higher Education outside of India"/>
    <s v="Will work for 3 years or more"/>
    <s v="No"/>
    <s v="Will NOT work for them"/>
    <n v="10"/>
    <s v="Hybrid Working Environment with less than 3 days a month at office"/>
    <s v="Employer who pushes your limits by enabling an learning environment, and rewards you at the end"/>
    <x v="161"/>
    <s v="Manager who clearly describes what she/he needs"/>
    <x v="7"/>
    <x v="0"/>
  </r>
  <r>
    <d v="2023-04-05T17:55:26"/>
    <s v="India"/>
    <n v="110059"/>
    <x v="0"/>
    <s v="People who have changed the world for better"/>
    <s v="No I would not be pursuing Higher Education outside of India"/>
    <s v="This will be hard to do, but if it is the right company I would try"/>
    <s v="No"/>
    <s v="Will NOT work for them"/>
    <n v="2"/>
    <s v="Fully Remote with Options to travel as and when needed"/>
    <s v="Employer who pushes your limits by enabling an learning environment, and rewards you at the end"/>
    <x v="239"/>
    <s v="Manager who explains what is expected, sets a goal and helps achieve it"/>
    <x v="1"/>
    <x v="3"/>
  </r>
  <r>
    <d v="2023-04-05T17:56:08"/>
    <s v="India"/>
    <n v="620002"/>
    <x v="0"/>
    <s v="Influencers who had successful careers"/>
    <s v="No I would not be pursuing Higher Education outside of India"/>
    <s v="This will be hard to do, but if it is the right company I would try"/>
    <s v="Yes"/>
    <s v="Will NOT work for them"/>
    <n v="5"/>
    <s v="Hybrid Working Environment with less than 3 days a month at office"/>
    <s v="Employer who pushes your limits by enabling an learning environment, and rewards you at the end"/>
    <x v="198"/>
    <s v="Manager who sets goal and helps me achieve it"/>
    <x v="4"/>
    <x v="3"/>
  </r>
  <r>
    <d v="2023-04-05T17:57:46"/>
    <s v="India"/>
    <n v="641028"/>
    <x v="0"/>
    <s v="People from my circle, but not family members"/>
    <s v="No I would not be pursuing Higher Education outside of India"/>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211"/>
    <s v="Manager who clearly describes what she/he needs"/>
    <x v="4"/>
    <x v="3"/>
  </r>
  <r>
    <d v="2023-04-05T17:58:22"/>
    <s v="India"/>
    <n v="632515"/>
    <x v="0"/>
    <s v="My Parents"/>
    <s v="Yes, I will earn and do that"/>
    <s v="No way"/>
    <s v="No"/>
    <s v="Will NOT work for them"/>
    <n v="4"/>
    <s v="Hybrid Working Environment with less than 3 days a month at office"/>
    <s v="Employer who rewards learning and enables that environment"/>
    <x v="240"/>
    <s v="Manager who sets goal and helps me achieve it"/>
    <x v="18"/>
    <x v="0"/>
  </r>
  <r>
    <d v="2023-04-05T18:04:05"/>
    <s v="India"/>
    <n v="620017"/>
    <x v="1"/>
    <s v="People who have changed the world for better"/>
    <s v="Yes, I will earn and do that"/>
    <s v="This will be hard to do, but if it is the right company I would try"/>
    <s v="No"/>
    <s v="Will NOT work for them"/>
    <n v="6"/>
    <s v="Hybrid Working Environment with more than 15 days a month at office"/>
    <s v="Employer who appreciates learning and enables that environment"/>
    <x v="132"/>
    <s v="Manager who sets targets and expects me to achieve it"/>
    <x v="15"/>
    <x v="3"/>
  </r>
  <r>
    <d v="2023-04-05T18:04:55"/>
    <s v="India"/>
    <n v="574106"/>
    <x v="1"/>
    <s v="Social Media like LinkedIn"/>
    <s v="Yes, I will earn and do that"/>
    <s v="Will work for 3 years or more"/>
    <s v="Yes"/>
    <s v="Will work for them"/>
    <n v="7"/>
    <s v="Fully Remote with Options to travel as and when needed"/>
    <s v="Employer who pushes your limits by enabling an learning environment, and rewards you at the end"/>
    <x v="241"/>
    <s v="Manager who explains what is expected, sets a goal and helps achieve it"/>
    <x v="3"/>
    <x v="3"/>
  </r>
  <r>
    <d v="2023-04-05T18:05:23"/>
    <s v="India"/>
    <n v="752050"/>
    <x v="0"/>
    <s v="People from my circle, but not family members"/>
    <s v="No I would not be pursuing Higher Education outside of India"/>
    <s v="This will be hard to do, but if it is the right company I would try"/>
    <s v="No"/>
    <s v="Will NOT work for them"/>
    <n v="8"/>
    <s v="Fully Remote with Options to travel as and when needed"/>
    <s v="Employer who rewards learning and enables that environment"/>
    <x v="118"/>
    <s v="Manager who sets targets and expects me to achieve it"/>
    <x v="1"/>
    <x v="3"/>
  </r>
  <r>
    <d v="2023-04-05T18:08:31"/>
    <s v="India"/>
    <n v="781015"/>
    <x v="0"/>
    <s v="My Parents"/>
    <s v="Yes, I will earn and do that"/>
    <s v="Will work for 3 years or more"/>
    <s v="Yes"/>
    <s v="Will work for them"/>
    <n v="1"/>
    <s v="Every Day Office Environment"/>
    <s v="Employer who appreciates learning and enables that environment"/>
    <x v="174"/>
    <s v="Manager who sets targets and expects me to achieve it"/>
    <x v="4"/>
    <x v="3"/>
  </r>
  <r>
    <d v="2023-04-05T18:27:59"/>
    <s v="India"/>
    <n v="380008"/>
    <x v="0"/>
    <s v="Influencers who had successful careers"/>
    <s v="Yes, I will earn and do that"/>
    <s v="Will work for 3 years or more"/>
    <s v="No"/>
    <s v="Will NOT work for them"/>
    <n v="6"/>
    <s v="Hybrid Working Environment with less than 3 days a month at office"/>
    <s v="Employer who pushes your limits by enabling an learning environment, and rewards you at the end"/>
    <x v="187"/>
    <s v="Manager who sets goal and helps me achieve it"/>
    <x v="3"/>
    <x v="3"/>
  </r>
  <r>
    <d v="2023-04-05T18:32:47"/>
    <s v="India"/>
    <n v="600073"/>
    <x v="0"/>
    <s v="People who have changed the world for better"/>
    <s v="No, But if someone could bare the cost I will"/>
    <s v="This will be hard to do, but if it is the right company I would try"/>
    <s v="No"/>
    <s v="Will NOT work for them"/>
    <n v="3"/>
    <s v="Fully Remote with Options to travel as and when needed"/>
    <s v="Employer who rewards learning and enables that environment"/>
    <x v="109"/>
    <s v="Manager who sets goal and helps me achieve it"/>
    <x v="4"/>
    <x v="3"/>
  </r>
  <r>
    <d v="2023-04-05T18:44:17"/>
    <s v="India"/>
    <n v="620001"/>
    <x v="0"/>
    <s v="Influencers who had successful careers"/>
    <s v="Yes, I will earn and do that"/>
    <s v="Will work for 3 years or more"/>
    <s v="No"/>
    <s v="Will NOT work for them"/>
    <n v="10"/>
    <s v="Every Day Office Environment"/>
    <s v="Employer who appreciates learning and enables that environment"/>
    <x v="239"/>
    <s v="Manager who clearly describes what she/he needs"/>
    <x v="1"/>
    <x v="3"/>
  </r>
  <r>
    <d v="2023-04-05T18:49:09"/>
    <s v="India"/>
    <n v="401202"/>
    <x v="0"/>
    <s v="Influencers who had successful careers"/>
    <s v="Yes, I will earn and do that"/>
    <s v="This will be hard to do, but if it is the right company I would try"/>
    <s v="Yes"/>
    <s v="Will work for them"/>
    <n v="7"/>
    <s v="Every Day Office Environment"/>
    <s v="Employer who pushes your limits by enabling an learning environment, and rewards you at the end"/>
    <x v="242"/>
    <s v="Manager who explains what is expected, sets a goal and helps achieve it"/>
    <x v="14"/>
    <x v="3"/>
  </r>
  <r>
    <d v="2023-04-05T18:55:05"/>
    <s v="India"/>
    <n v="620102"/>
    <x v="1"/>
    <s v="My Parents"/>
    <s v="Yes, I will earn and do that"/>
    <s v="This will be hard to do, but if it is the right company I would try"/>
    <s v="No"/>
    <s v="Will NOT work for them"/>
    <n v="3"/>
    <s v="Every Day Office Environment"/>
    <s v="Employer who rewards learning and enables that environment"/>
    <x v="109"/>
    <s v="Manager who sets goal and helps me achieve it"/>
    <x v="1"/>
    <x v="3"/>
  </r>
  <r>
    <d v="2023-04-05T19:00:44"/>
    <s v="India"/>
    <n v="560037"/>
    <x v="0"/>
    <s v="My Parents"/>
    <s v="Yes, I will earn and do that"/>
    <s v="This will be hard to do, but if it is the right company I would try"/>
    <s v="No"/>
    <s v="Will NOT work for them"/>
    <n v="1"/>
    <s v="Hybrid Working Environment with more than 15 days a month at office"/>
    <s v="Employer who appreciates learning and enables that environment"/>
    <x v="243"/>
    <s v="Manager who clearly describes what she/he needs"/>
    <x v="5"/>
    <x v="3"/>
  </r>
  <r>
    <d v="2023-04-05T19:01:49"/>
    <s v="India"/>
    <n v="400053"/>
    <x v="1"/>
    <s v="My Parents"/>
    <s v="No I would not be pursuing Higher Education outside of India"/>
    <s v="This will be hard to do, but if it is the right company I would try"/>
    <s v="No"/>
    <s v="Will NOT work for them"/>
    <n v="3"/>
    <s v="Every Day Office Environment"/>
    <s v="Employer who appreciates learning and enables that environment"/>
    <x v="244"/>
    <s v="Manager who clearly describes what she/he needs"/>
    <x v="3"/>
    <x v="3"/>
  </r>
  <r>
    <d v="2023-04-05T19:05:07"/>
    <s v="India"/>
    <n v="620002"/>
    <x v="1"/>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138"/>
    <s v="Manager who explains what is expected, sets a goal and helps achieve it"/>
    <x v="3"/>
    <x v="0"/>
  </r>
  <r>
    <d v="2023-04-05T19:13:44"/>
    <s v="India"/>
    <n v="711102"/>
    <x v="0"/>
    <s v="People who have changed the world for better"/>
    <s v="No I would not be pursuing Higher Education outside of India"/>
    <s v="This will be hard to do, but if it is the right company I would try"/>
    <s v="No"/>
    <s v="Will NOT work for them"/>
    <n v="10"/>
    <s v="Fully Remote with Options to travel as and when needed"/>
    <s v="Employer who pushes your limits by enabling an learning environment, and rewards you at the end"/>
    <x v="245"/>
    <s v="Manager who explains what is expected, sets a goal and helps achieve it"/>
    <x v="8"/>
    <x v="0"/>
  </r>
  <r>
    <d v="2023-04-05T19:16:22"/>
    <s v="India"/>
    <n v="520015"/>
    <x v="1"/>
    <s v="Influencers who had successful careers"/>
    <s v="Yes, I will earn and do that"/>
    <s v="Will work for 3 years or more"/>
    <s v="No"/>
    <s v="Will NOT work for them"/>
    <n v="4"/>
    <s v="Hybrid Working Environment with less than 3 days a month at office"/>
    <s v="Employer who appreciates learning and enables that environment"/>
    <x v="246"/>
    <s v="Manager who explains what is expected, sets a goal and helps achieve it"/>
    <x v="1"/>
    <x v="3"/>
  </r>
  <r>
    <d v="2023-04-05T19:19:24"/>
    <s v="India"/>
    <n v="607104"/>
    <x v="0"/>
    <s v="Influencers who had successful careers"/>
    <s v="No, But if someone could bare the cost I will"/>
    <s v="This will be hard to do, but if it is the right company I would try"/>
    <s v="No"/>
    <s v="Will NOT work for them"/>
    <n v="8"/>
    <s v="Hybrid Working Environment with less than 3 days a month at office"/>
    <s v="Employer who appreciates learning and enables that environment"/>
    <x v="247"/>
    <s v="Manager who explains what is expected, sets a goal and helps achieve it"/>
    <x v="1"/>
    <x v="0"/>
  </r>
  <r>
    <d v="2023-04-05T19:20:25"/>
    <s v="India"/>
    <n v="842002"/>
    <x v="1"/>
    <s v="People who have changed the world for better"/>
    <s v="No, But if someone could bare the cost I will"/>
    <s v="This will be hard to do, but if it is the right company I would try"/>
    <s v="No"/>
    <s v="Will NOT work for them"/>
    <n v="5"/>
    <s v="Hybrid Working Environment with more than 15 days a month at office"/>
    <s v="Employer who rewards learning and enables that environment"/>
    <x v="248"/>
    <s v="Manager who sets goal and helps me achieve it"/>
    <x v="2"/>
    <x v="0"/>
  </r>
  <r>
    <d v="2023-04-05T19:21:53"/>
    <s v="India"/>
    <n v="517501"/>
    <x v="0"/>
    <s v="People who have changed the world for better"/>
    <s v="Yes, I will earn and do that"/>
    <s v="This will be hard to do, but if it is the right company I would try"/>
    <s v="No"/>
    <s v="Will NOT work for them"/>
    <n v="4"/>
    <s v="Hybrid Working Environment with less than 3 days a month at office"/>
    <s v="Employer who appreciates learning and enables that environment"/>
    <x v="224"/>
    <s v="Manager who clearly describes what she/he needs"/>
    <x v="3"/>
    <x v="3"/>
  </r>
  <r>
    <d v="2023-04-05T19:22:07"/>
    <s v="India"/>
    <n v="208027"/>
    <x v="0"/>
    <s v="Influencers who had successful careers"/>
    <s v="Yes, I will earn and do that"/>
    <s v="This will be hard to do, but if it is the right company I would try"/>
    <s v="No"/>
    <s v="Will NOT work for them"/>
    <n v="5"/>
    <s v="Every Day Office Environment"/>
    <s v="Employer who pushes your limits by enabling an learning environment, and rewards you at the end"/>
    <x v="245"/>
    <s v="Manager who sets goal and helps me achieve it"/>
    <x v="14"/>
    <x v="3"/>
  </r>
  <r>
    <d v="2023-04-05T19:26:03"/>
    <s v="India"/>
    <n v="400022"/>
    <x v="0"/>
    <s v="People from my circle, but not family members"/>
    <s v="No I would not be pursuing Higher Education outside of India"/>
    <s v="No way"/>
    <s v="Yes"/>
    <s v="Will work for them"/>
    <n v="10"/>
    <s v="Hybrid Working Environment with less than 3 days a month at office"/>
    <s v="Employer who appreciates learning and enables that environment"/>
    <x v="249"/>
    <s v="Manager who clearly describes what she/he needs"/>
    <x v="3"/>
    <x v="3"/>
  </r>
  <r>
    <d v="2023-04-05T19:27:56"/>
    <s v="India"/>
    <n v="522503"/>
    <x v="0"/>
    <s v="My Parents"/>
    <s v="No, But if someone could bare the cost I will"/>
    <s v="This will be hard to do, but if it is the right company I would try"/>
    <s v="No"/>
    <s v="Will NOT work for them"/>
    <n v="5"/>
    <s v="Fully Remote with No option to visit offices"/>
    <s v="Employer who appreciates learning and enables that environment"/>
    <x v="250"/>
    <s v="Manager who clearly describes what she/he needs"/>
    <x v="3"/>
    <x v="0"/>
  </r>
  <r>
    <d v="2023-04-05T19:29:01"/>
    <s v="India"/>
    <n v="535125"/>
    <x v="0"/>
    <s v="Influencers who had successful careers"/>
    <s v="No I would not be pursuing Higher Education outside of India"/>
    <s v="This will be hard to do, but if it is the right company I would try"/>
    <s v="No"/>
    <s v="Will NOT work for them"/>
    <n v="7"/>
    <s v="Hybrid Working Environment with less than 3 days a month at office"/>
    <s v="Employer who pushes your limits by enabling an learning environment, and rewards you at the end"/>
    <x v="251"/>
    <s v="Manager who explains what is expected, sets a goal and helps achieve it"/>
    <x v="1"/>
    <x v="3"/>
  </r>
  <r>
    <d v="2023-04-05T19:30:56"/>
    <s v="India"/>
    <n v="364001"/>
    <x v="1"/>
    <s v="My Parents"/>
    <s v="Yes, I will earn and do that"/>
    <s v="Will work for 3 years or more"/>
    <s v="No"/>
    <s v="Will NOT work for them"/>
    <n v="5"/>
    <s v="Every Day Office Environment"/>
    <s v="Employer who appreciates learning and enables that environment"/>
    <x v="252"/>
    <s v="Manager who clearly describes what she/he needs"/>
    <x v="4"/>
    <x v="3"/>
  </r>
  <r>
    <d v="2023-04-05T19:38:33"/>
    <s v="India"/>
    <n v="91"/>
    <x v="1"/>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224"/>
    <s v="Manager who explains what is expected, sets a goal and helps achieve it"/>
    <x v="1"/>
    <x v="3"/>
  </r>
  <r>
    <d v="2023-04-05T19:50:19"/>
    <s v="India"/>
    <n v="711102"/>
    <x v="0"/>
    <s v="Influencers who had successful careers"/>
    <s v="Yes, I will earn and do that"/>
    <s v="Will work for 3 years or more"/>
    <s v="No"/>
    <s v="Will NOT work for them"/>
    <n v="8"/>
    <s v="Every Day Office Environment"/>
    <s v="Employer who pushes your limits by enabling an learning environment, and rewards you at the end"/>
    <x v="141"/>
    <s v="Manager who explains what is expected, sets a goal and helps achieve it"/>
    <x v="3"/>
    <x v="3"/>
  </r>
  <r>
    <d v="2023-04-05T19:53:38"/>
    <s v="India"/>
    <n v="678732"/>
    <x v="1"/>
    <s v="People from my circle, but not family member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253"/>
    <s v="Manager who explains what is expected, sets a goal and helps achieve it"/>
    <x v="5"/>
    <x v="3"/>
  </r>
  <r>
    <d v="2023-04-05T19:54:53"/>
    <s v="India"/>
    <n v="400064"/>
    <x v="0"/>
    <s v="My Parents"/>
    <s v="Yes, I will earn and do that"/>
    <s v="This will be hard to do, but if it is the right company I would try"/>
    <s v="No"/>
    <s v="Will NOT work for them"/>
    <n v="8"/>
    <s v="Every Day Office Environment"/>
    <s v="Employer who appreciates learning and enables that environment"/>
    <x v="254"/>
    <s v="Manager who sets goal and helps me achieve it"/>
    <x v="22"/>
    <x v="0"/>
  </r>
  <r>
    <d v="2023-04-05T19:55:27"/>
    <s v="India"/>
    <n v="500045"/>
    <x v="0"/>
    <s v="Influencers who had successful careers"/>
    <s v="Yes, I will earn and do that"/>
    <s v="This will be hard to do, but if it is the right company I would try"/>
    <s v="No"/>
    <s v="Will NOT work for them"/>
    <n v="1"/>
    <s v="Hybrid Working Environment with less than 3 days a month at office"/>
    <s v="Employer who rewards learning and enables that environment"/>
    <x v="141"/>
    <s v="Manager who explains what is expected, sets a goal and helps achieve it"/>
    <x v="1"/>
    <x v="3"/>
  </r>
  <r>
    <d v="2023-04-05T19:56:31"/>
    <s v="Others"/>
    <s v="SY23"/>
    <x v="0"/>
    <s v="People from my circle, but not family members"/>
    <s v="Yes, I will earn and do that"/>
    <s v="This will be hard to do, but if it is the right company I would try"/>
    <s v="Yes"/>
    <s v="Will work for them"/>
    <n v="10"/>
    <s v="Hybrid Working Environment with more than 15 days a month at office"/>
    <s v="Employer who appreciates learning and enables that environment"/>
    <x v="255"/>
    <s v="Manager who explains what is expected, sets a goal and helps achieve it"/>
    <x v="11"/>
    <x v="3"/>
  </r>
  <r>
    <d v="2023-04-05T20:13:51"/>
    <s v="India"/>
    <n v="440014"/>
    <x v="0"/>
    <s v="Influencers who had successful careers"/>
    <s v="Yes, I will earn and do that"/>
    <s v="This will be hard to do, but if it is the right company I would try"/>
    <s v="Yes"/>
    <s v="Will NOT work for them"/>
    <n v="4"/>
    <s v="Every Day Office Environment"/>
    <s v="Employer who appreciates learning and enables that environment"/>
    <x v="256"/>
    <s v="Manager who clearly describes what she/he needs"/>
    <x v="6"/>
    <x v="0"/>
  </r>
  <r>
    <d v="2023-04-05T20:20:52"/>
    <s v="India"/>
    <n v="400059"/>
    <x v="1"/>
    <s v="People who have changed the world for better"/>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09"/>
    <s v="Manager who explains what is expected, sets a goal and helps achieve it"/>
    <x v="11"/>
    <x v="0"/>
  </r>
  <r>
    <d v="2023-04-05T20:21:56"/>
    <s v="India"/>
    <n v="442902"/>
    <x v="0"/>
    <s v="People from my circle, but not family members"/>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257"/>
    <s v="Manager who explains what is expected, sets a goal and helps achieve it"/>
    <x v="3"/>
    <x v="3"/>
  </r>
  <r>
    <d v="2023-04-05T20:22:32"/>
    <s v="India"/>
    <n v="600088"/>
    <x v="0"/>
    <s v="My Parents"/>
    <s v="No I would not be pursuing Higher Education outside of India"/>
    <s v="Will work for 3 years or more"/>
    <s v="No"/>
    <s v="Will work for them"/>
    <n v="4"/>
    <s v="Hybrid Working Environment with more than 15 days a month at office"/>
    <s v="Employer who pushes your limits by enabling an learning environment, and rewards you at the end"/>
    <x v="161"/>
    <s v="Manager who sets goal and helps me achieve it"/>
    <x v="1"/>
    <x v="3"/>
  </r>
  <r>
    <d v="2023-04-05T20:24:05"/>
    <s v="India"/>
    <n v="641402"/>
    <x v="1"/>
    <s v="My Parents"/>
    <s v="No, But if someone could bare the cost I will"/>
    <s v="No way"/>
    <s v="No"/>
    <s v="Will work for them"/>
    <n v="4"/>
    <s v="Hybrid Working Environment with less than 3 days a month at office"/>
    <s v="Employer who appreciates learning and enables that environment"/>
    <x v="258"/>
    <s v="Manager who clearly describes what she/he needs"/>
    <x v="7"/>
    <x v="2"/>
  </r>
  <r>
    <d v="2023-04-05T20:25:44"/>
    <s v="India"/>
    <n v="606601"/>
    <x v="0"/>
    <s v="Influencers who had successful careers"/>
    <s v="Yes, I will earn and do that"/>
    <s v="Will work for 3 years or more"/>
    <s v="Yes"/>
    <s v="Will NOT work for them"/>
    <n v="7"/>
    <s v="Hybrid Working Environment with more than 15 days a month at office"/>
    <s v="Employer who appreciates learning and enables that environment"/>
    <x v="129"/>
    <s v="Manager who explains what is expected, sets a goal and helps achieve it"/>
    <x v="1"/>
    <x v="0"/>
  </r>
  <r>
    <d v="2023-04-05T20:29:20"/>
    <s v="India"/>
    <n v="400075"/>
    <x v="1"/>
    <s v="My Parents"/>
    <s v="No I would not be pursuing Higher Education outside of India"/>
    <s v="This will be hard to do, but if it is the right company I would try"/>
    <s v="No"/>
    <s v="Will work for them"/>
    <n v="5"/>
    <s v="Every Day Office Environment"/>
    <s v="Employer who pushes your limits by enabling an learning environment, and rewards you at the end"/>
    <x v="239"/>
    <s v="Manager who explains what is expected, sets a goal and helps achieve it"/>
    <x v="1"/>
    <x v="0"/>
  </r>
  <r>
    <d v="2023-04-05T20:29:48"/>
    <s v="Others"/>
    <n v="58200"/>
    <x v="0"/>
    <s v="Social Media like LinkedIn"/>
    <s v="No, But if someone could bare the cost I will"/>
    <s v="Will work for 3 years or more"/>
    <s v="No"/>
    <s v="Will NOT work for them"/>
    <n v="7"/>
    <s v="Fully Remote with Options to travel as and when needed"/>
    <s v="Employer who pushes your limits by enabling an learning environment, and rewards you at the end"/>
    <x v="259"/>
    <s v="Manager who explains what is expected, sets a goal and helps achieve it"/>
    <x v="7"/>
    <x v="3"/>
  </r>
  <r>
    <d v="2023-04-05T20:31:09"/>
    <s v="India"/>
    <n v="400067"/>
    <x v="0"/>
    <s v="People who have changed the world for better"/>
    <s v="No I would not be pursuing Higher Education outside of India"/>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97"/>
    <s v="Manager who explains what is expected, sets a goal and helps achieve it"/>
    <x v="1"/>
    <x v="3"/>
  </r>
  <r>
    <d v="2023-04-05T20:32:36"/>
    <s v="India"/>
    <n v="452002"/>
    <x v="0"/>
    <s v="My Parents"/>
    <s v="Yes, I will earn and do that"/>
    <s v="This will be hard to do, but if it is the right company I would try"/>
    <s v="Yes"/>
    <s v="Will NOT work for them"/>
    <n v="2"/>
    <s v="Every Day Office Environment"/>
    <s v="Employer who appreciates learning and enables that environment"/>
    <x v="199"/>
    <s v="Manager who sets goal and helps me achieve it"/>
    <x v="2"/>
    <x v="3"/>
  </r>
  <r>
    <d v="2023-04-05T20:36:00"/>
    <s v="India"/>
    <n v="522101"/>
    <x v="0"/>
    <s v="People who have changed the world for better"/>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260"/>
    <s v="Manager who clearly describes what she/he needs"/>
    <x v="1"/>
    <x v="3"/>
  </r>
  <r>
    <d v="2023-04-05T20:38:46"/>
    <s v="India"/>
    <n v="560023"/>
    <x v="1"/>
    <s v="People who have changed the world for better"/>
    <s v="Yes, I will earn and do that"/>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09"/>
    <s v="Manager who explains what is expected, sets a goal and helps achieve it"/>
    <x v="3"/>
    <x v="3"/>
  </r>
  <r>
    <d v="2023-04-05T20:45:17"/>
    <s v="India"/>
    <n v="442902"/>
    <x v="1"/>
    <s v="My Parents"/>
    <s v="No, But if someone could bare the cost I will"/>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43"/>
    <s v="Manager who sets goal and helps me achieve it"/>
    <x v="4"/>
    <x v="3"/>
  </r>
  <r>
    <d v="2023-04-05T20:45:18"/>
    <s v="India"/>
    <n v="442902"/>
    <x v="0"/>
    <s v="My Parents"/>
    <s v="No, But if someone could bare the cost I will"/>
    <s v="This will be hard to do, but if it is the right company I would try"/>
    <s v="No"/>
    <s v="Will NOT work for them"/>
    <n v="5"/>
    <s v="Fully Remote with Options to travel as and when needed"/>
    <s v="Employer who pushes your limits and doesn't enables learning environment and never rewards you"/>
    <x v="174"/>
    <s v="Manager who explains what is expected, sets a goal and helps achieve it"/>
    <x v="4"/>
    <x v="3"/>
  </r>
  <r>
    <d v="2023-04-05T20:54:23"/>
    <s v="India"/>
    <n v="560034"/>
    <x v="0"/>
    <s v="Influencers who had successful careers"/>
    <s v="Yes, I will earn and do that"/>
    <s v="This will be hard to do, but if it is the right company I would try"/>
    <s v="No"/>
    <s v="Will NOT work for them"/>
    <n v="6"/>
    <s v="Hybrid Working Environment with more than 15 days a month at office"/>
    <s v="Employer who rewards learning and enables that environment"/>
    <x v="261"/>
    <s v="Manager who explains what is expected, sets a goal and helps achieve it"/>
    <x v="22"/>
    <x v="0"/>
  </r>
  <r>
    <d v="2023-04-05T21:00:35"/>
    <s v="India"/>
    <n v="560064"/>
    <x v="0"/>
    <s v="My Parents"/>
    <s v="Yes, I will earn and do that"/>
    <s v="This will be hard to do, but if it is the right company I would try"/>
    <s v="No"/>
    <s v="Will NOT work for them"/>
    <n v="5"/>
    <s v="Hybrid Working Environment with more than 15 days a month at office"/>
    <s v="Employer who rewards learning and enables that environment"/>
    <x v="128"/>
    <s v="Manager who explains what is expected, sets a goal and helps achieve it"/>
    <x v="1"/>
    <x v="3"/>
  </r>
  <r>
    <d v="2023-04-05T21:00:49"/>
    <s v="India"/>
    <n v="560004"/>
    <x v="1"/>
    <s v="People from my circle, but not family members"/>
    <s v="Yes, I will earn and do that"/>
    <s v="This will be hard to do, but if it is the right company I would try"/>
    <s v="No"/>
    <s v="Will NOT work for them"/>
    <n v="7"/>
    <s v="Fully Remote with Options to travel as and when needed"/>
    <s v="Employer who pushes your limits by enabling an learning environment, and rewards you at the end"/>
    <x v="224"/>
    <s v="Manager who explains what is expected, sets a goal and helps achieve it"/>
    <x v="1"/>
    <x v="0"/>
  </r>
  <r>
    <d v="2023-04-05T21:05:13"/>
    <s v="India"/>
    <n v="603103"/>
    <x v="1"/>
    <s v="Influencers who had successful careers"/>
    <s v="No, But if someone could bare the cost I will"/>
    <s v="This will be hard to do, but if it is the right company I would try"/>
    <s v="No"/>
    <s v="Will NOT work for them"/>
    <n v="1"/>
    <s v="Hybrid Working Environment with less than 3 days a month at office"/>
    <s v="Employer who appreciates learning and enables that environment"/>
    <x v="172"/>
    <s v="Manager who sets unrealistic targets"/>
    <x v="4"/>
    <x v="3"/>
  </r>
  <r>
    <d v="2023-04-05T21:05:35"/>
    <s v="India"/>
    <n v="144003"/>
    <x v="0"/>
    <s v="My Parents"/>
    <s v="No I would not be pursuing Higher Education outside of India"/>
    <s v="No way"/>
    <s v="No"/>
    <s v="Will NOT work for them"/>
    <n v="1"/>
    <s v="Every Day Office Environment"/>
    <s v="Employer who pushes your limits by enabling an learning environment, and rewards you at the end"/>
    <x v="181"/>
    <s v="Manager who explains what is expected, sets a goal and helps achieve it"/>
    <x v="1"/>
    <x v="3"/>
  </r>
  <r>
    <d v="2023-04-05T21:06:32"/>
    <s v="India"/>
    <n v="800003"/>
    <x v="1"/>
    <s v="My Parents"/>
    <s v="Yes, I will earn and do that"/>
    <s v="No way"/>
    <s v="No"/>
    <s v="Will NOT work for them"/>
    <n v="2"/>
    <s v="Every Day Office Environment"/>
    <s v="Employers who appreciates learning but doesn't enables an learning environment"/>
    <x v="262"/>
    <s v="Manager who sets targets and expects me to achieve it"/>
    <x v="11"/>
    <x v="3"/>
  </r>
  <r>
    <d v="2023-04-05T21:08:47"/>
    <s v="India"/>
    <n v="380058"/>
    <x v="1"/>
    <s v="Social Media like LinkedIn"/>
    <s v="No, But if someone could bare the cost I will"/>
    <s v="This will be hard to do, but if it is the right company I would try"/>
    <s v="No"/>
    <s v="Will NOT work for them"/>
    <n v="2"/>
    <s v="Hybrid Working Environment with less than 3 days a month at office"/>
    <s v="Employer who rewards learning and enables that environment"/>
    <x v="111"/>
    <s v="Manager who explains what is expected, sets a goal and helps achieve it"/>
    <x v="3"/>
    <x v="0"/>
  </r>
  <r>
    <d v="2023-04-05T21:08:50"/>
    <s v="India"/>
    <n v="400037"/>
    <x v="0"/>
    <s v="Influencers who had successful careers"/>
    <s v="No, But if someone could bare the cost I will"/>
    <s v="Will work for 3 years or more"/>
    <s v="Yes"/>
    <s v="Will work for them"/>
    <n v="3"/>
    <s v="Hybrid Working Environment with more than 15 days a month at office"/>
    <s v="Employer who pushes your limits and doesn't enables learning environment and never rewards you"/>
    <x v="263"/>
    <s v="Manager who sets goal and helps me achieve it"/>
    <x v="1"/>
    <x v="0"/>
  </r>
  <r>
    <d v="2023-04-05T21:09:36"/>
    <s v="India"/>
    <n v="411040"/>
    <x v="1"/>
    <s v="My Parents"/>
    <s v="Yes, I will earn and do that"/>
    <s v="Will work for 3 years or more"/>
    <s v="No"/>
    <s v="Will NOT work for them"/>
    <n v="1"/>
    <s v="Hybrid Working Environment with more than 15 days a month at office"/>
    <s v="Employer who pushes your limits by enabling an learning environment, and rewards you at the end"/>
    <x v="264"/>
    <s v="Manager who clearly describes what she/he needs"/>
    <x v="3"/>
    <x v="3"/>
  </r>
  <r>
    <d v="2023-04-05T21:12:33"/>
    <s v="India"/>
    <n v="631209"/>
    <x v="1"/>
    <s v="My Parents"/>
    <s v="No I would not be pursuing Higher Education outside of India"/>
    <s v="Will work for 3 years or more"/>
    <s v="Yes"/>
    <s v="Will NOT work for them"/>
    <n v="5"/>
    <s v="Every Day Office Environment"/>
    <s v="Employer who appreciates learning and enables that environment"/>
    <x v="183"/>
    <s v="Manager who sets goal and helps me achieve it"/>
    <x v="1"/>
    <x v="3"/>
  </r>
  <r>
    <d v="2023-04-05T21:13:46"/>
    <s v="India"/>
    <n v="364002"/>
    <x v="1"/>
    <s v="My Parents"/>
    <s v="No, But if someone could bare the cost I will"/>
    <s v="This will be hard to do, but if it is the right company I would try"/>
    <s v="Yes"/>
    <s v="Will work for them"/>
    <n v="1"/>
    <s v="Fully Remote with Options to travel as and when needed"/>
    <s v="Employer who pushes your limits by enabling an learning environment, and rewards you at the end"/>
    <x v="265"/>
    <s v="Manager who explains what is expected, sets a goal and helps achieve it"/>
    <x v="1"/>
    <x v="3"/>
  </r>
  <r>
    <d v="2023-04-05T21:17:29"/>
    <s v="India"/>
    <n v="500088"/>
    <x v="1"/>
    <s v="My Parent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132"/>
    <s v="Manager who explains what is expected, sets a goal and helps achieve it"/>
    <x v="1"/>
    <x v="3"/>
  </r>
  <r>
    <d v="2023-04-05T21:19:13"/>
    <s v="India"/>
    <n v="524002"/>
    <x v="0"/>
    <s v="Influencers who had successful careers"/>
    <s v="No, But if someone could bare the cost I will"/>
    <s v="This will be hard to do, but if it is the right company I would try"/>
    <s v="No"/>
    <s v="Will NOT work for them"/>
    <n v="6"/>
    <s v="Fully Remote with Options to travel as and when needed"/>
    <s v="Employer who pushes your limits by enabling an learning environment, and rewards you at the end"/>
    <x v="266"/>
    <s v="Manager who explains what is expected, sets a goal and helps achieve it"/>
    <x v="1"/>
    <x v="3"/>
  </r>
  <r>
    <d v="2023-04-05T21:19:41"/>
    <s v="India"/>
    <n v="110059"/>
    <x v="0"/>
    <s v="My Parents"/>
    <s v="No, But if someone could bare the cost I will"/>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72"/>
    <s v="Manager who sets targets and expects me to achieve it"/>
    <x v="5"/>
    <x v="0"/>
  </r>
  <r>
    <d v="2023-04-05T21:23:46"/>
    <s v="India"/>
    <n v="20201"/>
    <x v="0"/>
    <s v="People from my circle, but not family members"/>
    <s v="Yes, I will earn and do that"/>
    <s v="No way"/>
    <s v="No"/>
    <s v="Will work for them"/>
    <n v="3"/>
    <s v="Fully Remote with No option to visit offices"/>
    <s v="Employers who appreciates learning but doesn't enables an learning environment"/>
    <x v="267"/>
    <s v="Manager who sets goal and helps me achieve it"/>
    <x v="0"/>
    <x v="3"/>
  </r>
  <r>
    <d v="2023-04-05T21:28:29"/>
    <s v="India"/>
    <n v="800001"/>
    <x v="0"/>
    <s v="Social Media like LinkedIn"/>
    <s v="Yes, I will earn and do that"/>
    <s v="No way"/>
    <s v="Yes"/>
    <s v="Will work for them"/>
    <n v="5"/>
    <s v="Hybrid Working Environment with more than 15 days a month at office"/>
    <s v="Employer who pushes your limits and doesn't enables learning environment and never rewards you"/>
    <x v="164"/>
    <s v="Manager who explains what is expected, sets a goal and helps achieve it"/>
    <x v="4"/>
    <x v="3"/>
  </r>
  <r>
    <d v="2023-04-05T21:29:01"/>
    <s v="India"/>
    <n v="515571"/>
    <x v="0"/>
    <s v="My Parents"/>
    <s v="Yes, I will earn and do that"/>
    <s v="Will work for 3 years or more"/>
    <s v="Yes"/>
    <s v="Will work for them"/>
    <n v="9"/>
    <s v="Every Day Office Environment"/>
    <s v="Employer who pushes your limits by enabling an learning environment, and rewards you at the end"/>
    <x v="174"/>
    <s v="Manager who clearly describes what she/he needs"/>
    <x v="1"/>
    <x v="0"/>
  </r>
  <r>
    <d v="2023-04-05T21:30:57"/>
    <s v="India"/>
    <n v="517503"/>
    <x v="0"/>
    <s v="Influencers who had successful careers"/>
    <s v="No I would not be pursuing Higher Education outside of India"/>
    <s v="This will be hard to do, but if it is the right company I would try"/>
    <s v="Yes"/>
    <s v="Will work for them"/>
    <n v="5"/>
    <s v="Fully Remote with No option to visit offices"/>
    <s v="Employer who rewards learning and enables that environment"/>
    <x v="140"/>
    <s v="Manager who sets goal and helps me achieve it"/>
    <x v="1"/>
    <x v="2"/>
  </r>
  <r>
    <d v="2023-04-05T21:32:17"/>
    <s v="India"/>
    <n v="201306"/>
    <x v="1"/>
    <s v="People who have changed the world for better"/>
    <s v="No I would not be pursuing Higher Education outside of India"/>
    <s v="Will work for 3 years or more"/>
    <s v="No"/>
    <s v="Will NOT work for them"/>
    <n v="2"/>
    <s v="Fully Remote with Options to travel as and when needed"/>
    <s v="Employer who appreciates learning and enables that environment"/>
    <x v="222"/>
    <s v="Manager who explains what is expected, sets a goal and helps achieve it"/>
    <x v="14"/>
    <x v="0"/>
  </r>
  <r>
    <d v="2023-04-05T21:32:20"/>
    <s v="India"/>
    <n v="602024"/>
    <x v="1"/>
    <s v="My Parents"/>
    <s v="No, But if someone could bare the cost I will"/>
    <s v="This will be hard to do, but if it is the right company I would try"/>
    <s v="No"/>
    <s v="Will NOT work for them"/>
    <n v="5"/>
    <s v="Hybrid Working Environment with less than 3 days a month at office"/>
    <s v="Employer who pushes your limits by enabling an learning environment, and rewards you at the end"/>
    <x v="231"/>
    <s v="Manager who sets goal and helps me achieve it"/>
    <x v="15"/>
    <x v="0"/>
  </r>
  <r>
    <d v="2023-04-05T21:35:53"/>
    <s v="India"/>
    <n v="517501"/>
    <x v="0"/>
    <s v="My Parents"/>
    <s v="Yes, I will earn and do that"/>
    <s v="Will work for 3 years or more"/>
    <s v="Yes"/>
    <s v="Will work for them"/>
    <n v="1"/>
    <s v="Hybrid Working Environment with more than 15 days a month at office"/>
    <s v="Employer who appreciates learning and enables that environment"/>
    <x v="268"/>
    <s v="Manager who sets goal and helps me achieve it"/>
    <x v="6"/>
    <x v="3"/>
  </r>
  <r>
    <d v="2023-04-05T21:36:14"/>
    <s v="India"/>
    <n v="560064"/>
    <x v="0"/>
    <s v="Influencers who had successful careers"/>
    <s v="No, But if someone could bare the cost I will"/>
    <s v="This will be hard to do, but if it is the right company I would try"/>
    <s v="No"/>
    <s v="Will NOT work for them"/>
    <n v="4"/>
    <s v="Hybrid Working Environment with more than 15 days a month at office"/>
    <s v="Employer who rewards learning and enables that environment"/>
    <x v="269"/>
    <s v="Manager who explains what is expected, sets a goal and helps achieve it"/>
    <x v="2"/>
    <x v="2"/>
  </r>
  <r>
    <d v="2023-04-05T21:37:17"/>
    <s v="India"/>
    <n v="422101"/>
    <x v="0"/>
    <s v="Social Media like LinkedIn"/>
    <s v="Yes, I will earn and do that"/>
    <s v="Will work for 3 years or more"/>
    <s v="Yes"/>
    <s v="Will NOT work for them"/>
    <n v="5"/>
    <s v="Fully Remote with No option to visit offices"/>
    <s v="Employer who appreciates learning and enables that environment"/>
    <x v="108"/>
    <s v="Manager who explains what is expected, sets a goal and helps achieve it"/>
    <x v="19"/>
    <x v="3"/>
  </r>
  <r>
    <d v="2023-04-05T21:37:31"/>
    <s v="India"/>
    <n v="560064"/>
    <x v="1"/>
    <s v="My Parents"/>
    <s v="No, But if someone could bare the cost I will"/>
    <s v="This will be hard to do, but if it is the right company I would try"/>
    <s v="No"/>
    <s v="Will NOT work for them"/>
    <n v="5"/>
    <s v="Fully Remote with Options to travel as and when needed"/>
    <s v="Employer who pushes your limits by enabling an learning environment, and rewards you at the end"/>
    <x v="270"/>
    <s v="Manager who explains what is expected, sets a goal and helps achieve it"/>
    <x v="1"/>
    <x v="3"/>
  </r>
  <r>
    <d v="2023-04-05T21:39:31"/>
    <s v="India"/>
    <n v="517592"/>
    <x v="1"/>
    <s v="Influencers who had successful careers"/>
    <s v="No I would not be pursuing Higher Education outside of India"/>
    <s v="This will be hard to do, but if it is the right company I would try"/>
    <s v="No"/>
    <s v="Will NOT work for them"/>
    <n v="10"/>
    <s v="Hybrid Working Environment with less than 3 days a month at office"/>
    <s v="Employer who pushes your limits by enabling an learning environment, and rewards you at the end"/>
    <x v="271"/>
    <s v="Manager who sets goal and helps me achieve it"/>
    <x v="1"/>
    <x v="0"/>
  </r>
  <r>
    <d v="2023-04-05T21:40:25"/>
    <s v="India"/>
    <n v="641004"/>
    <x v="1"/>
    <s v="My Parents"/>
    <s v="No I would not be pursuing Higher Education outside of India"/>
    <s v="Will work for 3 years or more"/>
    <s v="Yes"/>
    <s v="Will NOT work for them"/>
    <n v="6"/>
    <s v="Fully Remote with No option to visit offices"/>
    <s v="Employer who appreciates learning and enables that environment"/>
    <x v="207"/>
    <s v="Manager who explains what is expected, sets a goal and helps achieve it"/>
    <x v="5"/>
    <x v="0"/>
  </r>
  <r>
    <d v="2023-04-05T21:41:33"/>
    <s v="India"/>
    <n v="600099"/>
    <x v="1"/>
    <s v="People who have changed the world for better"/>
    <s v="Yes, I will earn and do that"/>
    <s v="Will work for 3 years or more"/>
    <s v="No"/>
    <s v="Will NOT work for them"/>
    <n v="7"/>
    <s v="Hybrid Working Environment with less than 3 days a month at office"/>
    <s v="Employer who pushes your limits by enabling an learning environment, and rewards you at the end"/>
    <x v="272"/>
    <s v="Manager who explains what is expected, sets a goal and helps achieve it"/>
    <x v="11"/>
    <x v="3"/>
  </r>
  <r>
    <d v="2023-04-05T21:41:57"/>
    <s v="India"/>
    <n v="517123"/>
    <x v="0"/>
    <s v="My Parents"/>
    <s v="No, But if someone could bare the cost I will"/>
    <s v="No way"/>
    <s v="No"/>
    <s v="Will NOT work for them"/>
    <n v="1"/>
    <s v="Fully Remote with Options to travel as and when needed"/>
    <s v="Employer who rewards learning and enables that environment"/>
    <x v="170"/>
    <s v="Manager who clearly describes what she/he needs"/>
    <x v="14"/>
    <x v="3"/>
  </r>
  <r>
    <d v="2023-04-05T21:42:09"/>
    <s v="India"/>
    <n v="641015"/>
    <x v="0"/>
    <s v="My Parents"/>
    <s v="Yes, I will earn and do that"/>
    <s v="Will work for 3 years or more"/>
    <s v="Yes"/>
    <s v="Will work for them"/>
    <n v="10"/>
    <s v="Every Day Office Environment"/>
    <s v="Employers who appreciates learning but doesn't enables an learning environment"/>
    <x v="273"/>
    <s v="Manager who sets goal and helps me achieve it"/>
    <x v="18"/>
    <x v="4"/>
  </r>
  <r>
    <d v="2023-04-05T21:43:18"/>
    <s v="India"/>
    <n v="560065"/>
    <x v="1"/>
    <s v="Influencers who had successful careers"/>
    <s v="Yes, I will earn and do that"/>
    <s v="This will be hard to do, but if it is the right company I would try"/>
    <s v="No"/>
    <s v="Will NOT work for them"/>
    <n v="2"/>
    <s v="Hybrid Working Environment with more than 15 days a month at office"/>
    <s v="Employer who rewards learning and enables that environment"/>
    <x v="96"/>
    <s v="Manager who explains what is expected, sets a goal and helps achieve it"/>
    <x v="7"/>
    <x v="0"/>
  </r>
  <r>
    <d v="2023-04-05T21:44:25"/>
    <s v="India"/>
    <n v="518501"/>
    <x v="0"/>
    <s v="People who have changed the world for better"/>
    <s v="Yes, I will earn and do that"/>
    <s v="This will be hard to do, but if it is the right company I would try"/>
    <s v="No"/>
    <s v="Will NOT work for them"/>
    <n v="6"/>
    <s v="Hybrid Working Environment with less than 3 days a month at office"/>
    <s v="Employer who rewards learning and enables that environment"/>
    <x v="274"/>
    <s v="Manager who explains what is expected, sets a goal and helps achieve it"/>
    <x v="1"/>
    <x v="3"/>
  </r>
  <r>
    <d v="2023-04-05T21:45:01"/>
    <s v="India"/>
    <n v="442902"/>
    <x v="1"/>
    <s v="People from my circle, but not family members"/>
    <s v="No I would not be pursuing Higher Education outside of India"/>
    <s v="This will be hard to do, but if it is the right company I would try"/>
    <s v="No"/>
    <s v="Will NOT work for them"/>
    <n v="5"/>
    <s v="Every Day Office Environment"/>
    <s v="Employer who pushes your limits by enabling an learning environment, and rewards you at the end"/>
    <x v="181"/>
    <s v="Manager who sets goal and helps me achieve it"/>
    <x v="7"/>
    <x v="0"/>
  </r>
  <r>
    <d v="2023-04-05T21:45:54"/>
    <s v="India"/>
    <n v="500036"/>
    <x v="1"/>
    <s v="My Parents"/>
    <s v="Yes, I will earn and do that"/>
    <s v="Will work for 3 years or more"/>
    <s v="No"/>
    <s v="Will NOT work for them"/>
    <n v="5"/>
    <s v="Every Day Office Environment"/>
    <s v="Employer who pushes your limits by enabling an learning environment, and rewards you at the end"/>
    <x v="141"/>
    <s v="Manager who sets goal and helps me achieve it"/>
    <x v="1"/>
    <x v="0"/>
  </r>
  <r>
    <d v="2023-04-05T21:47:32"/>
    <s v="India"/>
    <n v="631209"/>
    <x v="1"/>
    <s v="Influencers who had successful careers"/>
    <s v="Yes, I will earn and do that"/>
    <s v="Will work for 3 years or more"/>
    <s v="No"/>
    <s v="Will NOT work for them"/>
    <n v="6"/>
    <s v="Every Day Office Environment"/>
    <s v="Employer who rewards learning and enables that environment"/>
    <x v="198"/>
    <s v="Manager who sets goal and helps me achieve it"/>
    <x v="7"/>
    <x v="4"/>
  </r>
  <r>
    <d v="2023-04-05T21:51:49"/>
    <s v="India"/>
    <n v="632007"/>
    <x v="1"/>
    <s v="My Parents"/>
    <s v="Yes, I will earn and do that"/>
    <s v="Will work for 3 years or more"/>
    <s v="Yes"/>
    <s v="Will work for them"/>
    <n v="6"/>
    <s v="Every Day Office Environment"/>
    <s v="Employer who rewards learning and enables that environment"/>
    <x v="275"/>
    <s v="Manager who sets goal and helps me achieve it"/>
    <x v="6"/>
    <x v="3"/>
  </r>
  <r>
    <d v="2023-04-05T21:55:03"/>
    <s v="India"/>
    <n v="515721"/>
    <x v="0"/>
    <s v="People from my circle, but not family members"/>
    <s v="Yes, I will earn and do that"/>
    <s v="This will be hard to do, but if it is the right company I would try"/>
    <s v="No"/>
    <s v="Will NOT work for them"/>
    <n v="5"/>
    <s v="Fully Remote with Options to travel as and when needed"/>
    <s v="Employer who rewards learning and enables that environment"/>
    <x v="276"/>
    <s v="Manager who explains what is expected, sets a goal and helps achieve it"/>
    <x v="1"/>
    <x v="0"/>
  </r>
  <r>
    <d v="2023-04-05T21:55:40"/>
    <s v="India"/>
    <n v="641015"/>
    <x v="0"/>
    <s v="People from my circle, but not family members"/>
    <s v="Yes, I will earn and do that"/>
    <s v="This will be hard to do, but if it is the right company I would try"/>
    <s v="No"/>
    <s v="Will NOT work for them"/>
    <n v="5"/>
    <s v="Fully Remote with Options to travel as and when needed"/>
    <s v="Employer who rewards learning and enables that environment"/>
    <x v="173"/>
    <s v="Manager who explains what is expected, sets a goal and helps achieve it"/>
    <x v="14"/>
    <x v="3"/>
  </r>
  <r>
    <d v="2023-04-05T21:55:43"/>
    <s v="India"/>
    <n v="500072"/>
    <x v="0"/>
    <s v="My Parents"/>
    <s v="No I would not be pursuing Higher Education outside of India"/>
    <s v="This will be hard to do, but if it is the right company I would try"/>
    <s v="Yes"/>
    <s v="Will NOT work for them"/>
    <n v="6"/>
    <s v="Fully Remote with No option to visit offices"/>
    <s v="Employer who pushes your limits by enabling an learning environment, and rewards you at the end"/>
    <x v="174"/>
    <s v="Manager who clearly describes what she/he needs"/>
    <x v="1"/>
    <x v="3"/>
  </r>
  <r>
    <d v="2023-04-05T22:05:22"/>
    <s v="India"/>
    <n v="410206"/>
    <x v="0"/>
    <s v="People from my circle, but not family members"/>
    <s v="No I would not be pursuing Higher Education outside of India"/>
    <s v="This will be hard to do, but if it is the right company I would try"/>
    <s v="No"/>
    <s v="Will NOT work for them"/>
    <n v="5"/>
    <s v="Fully Remote with No option to visit offices"/>
    <s v="Employer who appreciates learning and enables that environment"/>
    <x v="139"/>
    <s v="Manager who explains what is expected, sets a goal and helps achieve it"/>
    <x v="16"/>
    <x v="3"/>
  </r>
  <r>
    <d v="2023-04-05T22:06:07"/>
    <s v="India"/>
    <n v="577201"/>
    <x v="1"/>
    <s v="People who have changed the world for better"/>
    <s v="No I would not be pursuing Higher Education outside of India"/>
    <s v="Will work for 3 years or more"/>
    <s v="No"/>
    <s v="Will NOT work for them"/>
    <n v="1"/>
    <s v="Hybrid Working Environment with more than 15 days a month at office"/>
    <s v="Employer who pushes your limits by enabling an learning environment, and rewards you at the end"/>
    <x v="277"/>
    <s v="Manager who explains what is expected, sets a goal and helps achieve it"/>
    <x v="7"/>
    <x v="3"/>
  </r>
  <r>
    <d v="2023-04-05T22:08:43"/>
    <s v="India"/>
    <n v="632007"/>
    <x v="0"/>
    <s v="Influencers who had successful careers"/>
    <s v="No, But if someone could bare the cost I will"/>
    <s v="This will be hard to do, but if it is the right company I would try"/>
    <s v="No"/>
    <s v="Will NOT work for them"/>
    <n v="8"/>
    <s v="Fully Remote with Options to travel as and when needed"/>
    <s v="Employer who pushes your limits by enabling an learning environment, and rewards you at the end"/>
    <x v="200"/>
    <s v="Manager who sets goal and helps me achieve it"/>
    <x v="1"/>
    <x v="3"/>
  </r>
  <r>
    <d v="2023-04-05T22:18:04"/>
    <s v="India"/>
    <n v="201009"/>
    <x v="0"/>
    <s v="People who have changed the world for better"/>
    <s v="No I would not be pursuing Higher Education outside of India"/>
    <s v="Will work for 3 years or more"/>
    <s v="No"/>
    <s v="Will NOT work for them"/>
    <n v="2"/>
    <s v="Hybrid Working Environment with less than 3 days a month at office"/>
    <s v="Employer who pushes your limits by enabling an learning environment, and rewards you at the end"/>
    <x v="278"/>
    <s v="Manager who explains what is expected, sets a goal and helps achieve it"/>
    <x v="1"/>
    <x v="3"/>
  </r>
  <r>
    <d v="2023-04-05T22:28:31"/>
    <s v="India"/>
    <n v="510101"/>
    <x v="0"/>
    <s v="Influencers who had successful careers"/>
    <s v="No, But if someone could bare the cost I will"/>
    <s v="Will work for 3 years or more"/>
    <s v="No"/>
    <s v="Will NOT work for them"/>
    <n v="10"/>
    <s v="Every Day Office Environment"/>
    <s v="Employers who appreciates learning but doesn't enables an learning environment"/>
    <x v="124"/>
    <s v="Manager who sets goal and helps me achieve it"/>
    <x v="6"/>
    <x v="0"/>
  </r>
  <r>
    <d v="2023-04-05T22:33:36"/>
    <s v="India"/>
    <n v="122001"/>
    <x v="0"/>
    <s v="People who have changed the world for better"/>
    <s v="No I would not be pursuing Higher Education outside of India"/>
    <s v="Will work for 3 years or more"/>
    <s v="Yes"/>
    <s v="Will work for them"/>
    <n v="10"/>
    <s v="Fully Remote with Options to travel as and when needed"/>
    <s v="Employer who pushes your limits by enabling an learning environment, and rewards you at the end"/>
    <x v="105"/>
    <s v="Manager who clearly describes what she/he needs"/>
    <x v="9"/>
    <x v="3"/>
  </r>
  <r>
    <d v="2023-04-05T22:38:40"/>
    <s v="India"/>
    <n v="305001"/>
    <x v="0"/>
    <s v="My Parents"/>
    <s v="No, But if someone could bare the cost I will"/>
    <s v="Will work for 3 years or more"/>
    <s v="Yes"/>
    <s v="Will work for them"/>
    <n v="2"/>
    <s v="Hybrid Working Environment with more than 15 days a month at office"/>
    <s v="Employer who appreciates learning and enables that environment"/>
    <x v="279"/>
    <s v="Manager who explains what is expected, sets a goal and helps achieve it"/>
    <x v="3"/>
    <x v="0"/>
  </r>
  <r>
    <d v="2023-04-05T22:39:17"/>
    <s v="India"/>
    <n v="110059"/>
    <x v="1"/>
    <s v="People who have changed the world for better"/>
    <s v="Yes, I will earn and do that"/>
    <s v="This will be hard to do, but if it is the right company I would try"/>
    <s v="Yes"/>
    <s v="Will NOT work for them"/>
    <n v="6"/>
    <s v="Fully Remote with No option to visit offices"/>
    <s v="Employer who appreciates learning and enables that environment"/>
    <x v="280"/>
    <s v="Manager who explains what is expected, sets a goal and helps achieve it"/>
    <x v="4"/>
    <x v="3"/>
  </r>
  <r>
    <d v="2023-04-05T22:39:29"/>
    <s v="India"/>
    <n v="400072"/>
    <x v="0"/>
    <s v="Influencers who had successful careers"/>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11"/>
    <s v="Manager who explains what is expected, sets a goal and helps achieve it"/>
    <x v="0"/>
    <x v="0"/>
  </r>
  <r>
    <d v="2023-04-05T22:43:05"/>
    <s v="India"/>
    <n v="620011"/>
    <x v="1"/>
    <s v="People from my circle, but not family members"/>
    <s v="No, But if someone could bare the cost I will"/>
    <s v="This will be hard to do, but if it is the right company I would try"/>
    <s v="Yes"/>
    <s v="Will NOT work for them"/>
    <n v="3"/>
    <s v="Hybrid Working Environment with more than 15 days a month at office"/>
    <s v="Employer who pushes your limits by enabling an learning environment, and rewards you at the end"/>
    <x v="281"/>
    <s v="Manager who sets targets and expects me to achieve it"/>
    <x v="1"/>
    <x v="0"/>
  </r>
  <r>
    <d v="2023-04-05T22:45:37"/>
    <s v="India"/>
    <n v="110059"/>
    <x v="1"/>
    <s v="People who have changed the world for better"/>
    <s v="Yes, I will earn and do that"/>
    <s v="No way"/>
    <s v="Yes"/>
    <s v="Will NOT work for them"/>
    <n v="4"/>
    <s v="Hybrid Working Environment with less than 3 days a month at office"/>
    <s v="Employer who rewards learning and enables that environment"/>
    <x v="282"/>
    <s v="Manager who explains what is expected, sets a goal and helps achieve it"/>
    <x v="1"/>
    <x v="3"/>
  </r>
  <r>
    <d v="2023-04-05T22:58:05"/>
    <s v="India"/>
    <n v="641663"/>
    <x v="1"/>
    <s v="People who have changed the world for better"/>
    <s v="No, But if someone could bare the cost I will"/>
    <s v="This will be hard to do, but if it is the right company I would try"/>
    <s v="Yes"/>
    <s v="Will NOT work for them"/>
    <n v="3"/>
    <s v="Fully Remote with No option to visit offices"/>
    <s v="Employer who pushes your limits by enabling an learning environment, and rewards you at the end"/>
    <x v="283"/>
    <s v="Manager who explains what is expected, sets a goal and helps achieve it"/>
    <x v="6"/>
    <x v="2"/>
  </r>
  <r>
    <d v="2023-04-05T22:59:03"/>
    <s v="India"/>
    <n v="641004"/>
    <x v="0"/>
    <s v="My Parents"/>
    <s v="No I would not be pursuing Higher Education outside of India"/>
    <s v="This will be hard to do, but if it is the right company I would try"/>
    <s v="Yes"/>
    <s v="Will work for them"/>
    <n v="8"/>
    <s v="Hybrid Working Environment with more than 15 days a month at office"/>
    <s v="Employer who rewards learning and enables that environment"/>
    <x v="284"/>
    <s v="Manager who sets goal and helps me achieve it"/>
    <x v="5"/>
    <x v="0"/>
  </r>
  <r>
    <d v="2023-04-05T23:09:24"/>
    <s v="India"/>
    <n v="673005"/>
    <x v="1"/>
    <s v="People from my circle, but not family members"/>
    <s v="Yes, I will earn and do that"/>
    <s v="This will be hard to do, but if it is the right company I would try"/>
    <s v="No"/>
    <s v="Will NOT work for them"/>
    <n v="5"/>
    <s v="Fully Remote with Options to travel as and when needed"/>
    <s v="Employer who rewards learning and enables that environment"/>
    <x v="109"/>
    <s v="Manager who explains what is expected, sets a goal and helps achieve it"/>
    <x v="3"/>
    <x v="3"/>
  </r>
  <r>
    <d v="2023-04-05T23:11:57"/>
    <s v="India"/>
    <n v="400067"/>
    <x v="0"/>
    <s v="My Parents"/>
    <s v="No I would not be pursuing Higher Education outside of India"/>
    <s v="This will be hard to do, but if it is the right company I would try"/>
    <s v="Yes"/>
    <s v="Will work for them"/>
    <n v="10"/>
    <s v="Hybrid Working Environment with less than 3 days a month at office"/>
    <s v="Employer who pushes your limits by enabling an learning environment, and rewards you at the end"/>
    <x v="141"/>
    <s v="Manager who explains what is expected, sets a goal and helps achieve it"/>
    <x v="7"/>
    <x v="3"/>
  </r>
  <r>
    <d v="2023-04-05T23:17:53"/>
    <s v="India"/>
    <n v="400067"/>
    <x v="1"/>
    <s v="My Parents"/>
    <s v="No I would not be pursuing Higher Education outside of India"/>
    <s v="No way"/>
    <s v="No"/>
    <s v="Will NOT work for them"/>
    <n v="1"/>
    <s v="Hybrid Working Environment with more than 15 days a month at office"/>
    <s v="Employer who pushes your limits by enabling an learning environment, and rewards you at the end"/>
    <x v="285"/>
    <s v="Manager who explains what is expected, sets a goal and helps achieve it"/>
    <x v="12"/>
    <x v="0"/>
  </r>
  <r>
    <d v="2023-04-05T23:30:22"/>
    <s v="India"/>
    <n v="507002"/>
    <x v="0"/>
    <s v="People from my circle, but not family members"/>
    <s v="Yes, I will earn and do that"/>
    <s v="This will be hard to do, but if it is the right company I would try"/>
    <s v="Yes"/>
    <s v="Will NOT work for them"/>
    <n v="8"/>
    <s v="Hybrid Working Environment with less than 3 days a month at office"/>
    <s v="Employer who pushes your limits by enabling an learning environment, and rewards you at the end"/>
    <x v="286"/>
    <s v="Manager who sets goal and helps me achieve it"/>
    <x v="3"/>
    <x v="0"/>
  </r>
  <r>
    <d v="2023-04-05T23:30:32"/>
    <s v="India"/>
    <n v="574102"/>
    <x v="0"/>
    <s v="Influencers who had successful careers"/>
    <s v="No I would not be pursuing Higher Education outside of India"/>
    <s v="Will work for 3 years or more"/>
    <s v="No"/>
    <s v="Will work for them"/>
    <n v="10"/>
    <s v="Hybrid Working Environment with more than 15 days a month at office"/>
    <s v="Employer who rewards learning and enables that environment"/>
    <x v="174"/>
    <s v="Manager who sets targets and expects me to achieve it"/>
    <x v="7"/>
    <x v="3"/>
  </r>
  <r>
    <d v="2023-04-06T00:04:27"/>
    <s v="India"/>
    <n v="507002"/>
    <x v="0"/>
    <s v="My Parents"/>
    <s v="Yes, I will earn and do that"/>
    <s v="Will work for 3 years or more"/>
    <s v="Yes"/>
    <s v="Will work for them"/>
    <n v="8"/>
    <s v="Fully Remote with Options to travel as and when needed"/>
    <s v="Employer who pushes your limits by enabling an learning environment, and rewards you at the end"/>
    <x v="124"/>
    <s v="Manager who explains what is expected, sets a goal and helps achieve it"/>
    <x v="3"/>
    <x v="3"/>
  </r>
  <r>
    <d v="2023-04-06T00:04:59"/>
    <s v="India"/>
    <n v="132001"/>
    <x v="0"/>
    <s v="My Parents"/>
    <s v="Yes, I will earn and do that"/>
    <s v="This will be hard to do, but if it is the right company I would try"/>
    <s v="No"/>
    <s v="Will NOT work for them"/>
    <n v="5"/>
    <s v="Fully Remote with No option to visit offices"/>
    <s v="Employer who appreciates learning and enables that environment"/>
    <x v="287"/>
    <s v="Manager who explains what is expected, sets a goal and helps achieve it"/>
    <x v="4"/>
    <x v="3"/>
  </r>
  <r>
    <d v="2023-04-06T00:05:02"/>
    <s v="India"/>
    <n v="314025"/>
    <x v="0"/>
    <s v="People who have changed the world for better"/>
    <s v="Yes, I will earn and do that"/>
    <s v="This will be hard to do, but if it is the right company I would try"/>
    <s v="Yes"/>
    <s v="Will NOT work for them"/>
    <n v="7"/>
    <s v="Every Day Office Environment"/>
    <s v="Employer who appreciates learning and enables that environment"/>
    <x v="288"/>
    <s v="Manager who explains what is expected, sets a goal and helps achieve it"/>
    <x v="21"/>
    <x v="3"/>
  </r>
  <r>
    <d v="2023-04-06T00:16:44"/>
    <s v="India"/>
    <n v="305001"/>
    <x v="1"/>
    <s v="My Parents"/>
    <s v="No, But if someone could bare the cost I will"/>
    <s v="This will be hard to do, but if it is the right company I would try"/>
    <s v="Yes"/>
    <s v="Will NOT work for them"/>
    <n v="6"/>
    <s v="Hybrid Working Environment with less than 3 days a month at office"/>
    <s v="Employer who pushes your limits by enabling an learning environment, and rewards you at the end"/>
    <x v="264"/>
    <s v="Manager who explains what is expected, sets a goal and helps achieve it"/>
    <x v="4"/>
    <x v="3"/>
  </r>
  <r>
    <d v="2023-04-06T00:30:28"/>
    <s v="India"/>
    <n v="382418"/>
    <x v="1"/>
    <s v="My Parents"/>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186"/>
    <s v="Manager who explains what is expected, sets a goal and helps achieve it"/>
    <x v="2"/>
    <x v="3"/>
  </r>
  <r>
    <d v="2023-04-06T00:46:18"/>
    <s v="India"/>
    <n v="132001"/>
    <x v="1"/>
    <s v="My Parents"/>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201"/>
    <s v="Manager who explains what is expected, sets a goal and helps achieve it"/>
    <x v="7"/>
    <x v="3"/>
  </r>
  <r>
    <d v="2023-04-06T01:35:24"/>
    <s v="Others"/>
    <s v="01-923"/>
    <x v="1"/>
    <s v="People who have changed the world for better"/>
    <s v="Yes, I will earn and do that"/>
    <s v="This will be hard to do, but if it is the right company I would try"/>
    <s v="Yes"/>
    <s v="Will NOT work for them"/>
    <n v="7"/>
    <s v="Fully Remote with No option to visit offices"/>
    <s v="Employer who pushes your limits by enabling an learning environment, and rewards you at the end"/>
    <x v="127"/>
    <s v="Manager who explains what is expected, sets a goal and helps achieve it"/>
    <x v="6"/>
    <x v="2"/>
  </r>
  <r>
    <d v="2023-04-06T01:52:42"/>
    <s v="India"/>
    <n v="670562"/>
    <x v="0"/>
    <s v="People who have changed the world for better"/>
    <s v="Yes, I will earn and do that"/>
    <s v="This will be hard to do, but if it is the right company I would try"/>
    <s v="No"/>
    <s v="Will work for them"/>
    <n v="8"/>
    <s v="Every Day Office Environment"/>
    <s v="Employer who pushes your limits by enabling an learning environment, and rewards you at the end"/>
    <x v="230"/>
    <s v="Manager who explains what is expected, sets a goal and helps achieve it"/>
    <x v="3"/>
    <x v="0"/>
  </r>
  <r>
    <d v="2023-04-06T02:36:15"/>
    <s v="India"/>
    <n v="560094"/>
    <x v="0"/>
    <s v="People who have changed the world for better"/>
    <s v="Yes, I will earn and do that"/>
    <s v="Will work for 3 years or more"/>
    <s v="No"/>
    <s v="Will NOT work for them"/>
    <n v="5"/>
    <s v="Fully Remote with Options to travel as and when needed"/>
    <s v="Employer who pushes your limits by enabling an learning environment, and rewards you at the end"/>
    <x v="243"/>
    <s v="Manager who explains what is expected, sets a goal and helps achieve it"/>
    <x v="11"/>
    <x v="2"/>
  </r>
  <r>
    <d v="2023-04-06T04:12:07"/>
    <s v="India"/>
    <n v="560050"/>
    <x v="0"/>
    <s v="People from my circle, but not family members"/>
    <s v="Yes, I will earn and do that"/>
    <s v="Will work for 3 years or more"/>
    <s v="Yes"/>
    <s v="Will work for them"/>
    <n v="10"/>
    <s v="Every Day Office Environment"/>
    <s v="Employer who pushes your limits by enabling an learning environment, and rewards you at the end"/>
    <x v="289"/>
    <s v="Manager who explains what is expected, sets a goal and helps achieve it"/>
    <x v="1"/>
    <x v="3"/>
  </r>
  <r>
    <d v="2023-04-06T05:37:00"/>
    <s v="India"/>
    <n v="577127"/>
    <x v="1"/>
    <s v="Social Media like LinkedIn"/>
    <s v="No, But if someone could bare the cost I will"/>
    <s v="Will work for 3 years or more"/>
    <s v="No"/>
    <s v="Will NOT work for them"/>
    <n v="1"/>
    <s v="Fully Remote with Options to travel as and when needed"/>
    <s v="Employer who appreciates learning and enables that environment"/>
    <x v="290"/>
    <s v="Manager who sets goal and helps me achieve it"/>
    <x v="6"/>
    <x v="2"/>
  </r>
  <r>
    <d v="2023-04-06T05:54:47"/>
    <s v="India"/>
    <n v="151001"/>
    <x v="0"/>
    <s v="Influencers who had successful careers"/>
    <s v="Yes, I will earn and do that"/>
    <s v="Will work for 3 years or more"/>
    <s v="No"/>
    <s v="Will work for them"/>
    <n v="6"/>
    <s v="Hybrid Working Environment with more than 15 days a month at office"/>
    <s v="Employer who pushes your limits by enabling an learning environment, and rewards you at the end"/>
    <x v="291"/>
    <s v="Manager who explains what is expected, sets a goal and helps achieve it"/>
    <x v="0"/>
    <x v="3"/>
  </r>
  <r>
    <d v="2023-04-06T06:00:31"/>
    <s v="Canada"/>
    <s v="N5v3c4"/>
    <x v="0"/>
    <s v="Social Media like LinkedIn"/>
    <s v="Yes, I will earn and do that"/>
    <s v="Will work for 3 years or more"/>
    <s v="No"/>
    <s v="Will NOT work for them"/>
    <n v="6"/>
    <s v="Fully Remote with Options to travel as and when needed"/>
    <s v="Employer who pushes your limits by enabling an learning environment, and rewards you at the end"/>
    <x v="111"/>
    <s v="Manager who explains what is expected, sets a goal and helps achieve it"/>
    <x v="3"/>
    <x v="2"/>
  </r>
  <r>
    <d v="2023-04-06T06:02:33"/>
    <s v="India"/>
    <n v="441009"/>
    <x v="0"/>
    <s v="Social Media like LinkedIn"/>
    <s v="No I would not be pursuing Higher Education outside of India"/>
    <s v="Will work for 3 years or more"/>
    <s v="No"/>
    <s v="Will NOT work for them"/>
    <n v="7"/>
    <s v="Hybrid Working Environment with more than 15 days a month at office"/>
    <s v="Employer who pushes your limits by enabling an learning environment, and rewards you at the end"/>
    <x v="239"/>
    <s v="Manager who explains what is expected, sets a goal and helps achieve it"/>
    <x v="1"/>
    <x v="3"/>
  </r>
  <r>
    <d v="2023-04-06T06:10:37"/>
    <s v="India"/>
    <n v="201310"/>
    <x v="0"/>
    <s v="People from my circle, but not family members"/>
    <s v="No, But if someone could bare the cost I will"/>
    <s v="This will be hard to do, but if it is the right company I would try"/>
    <s v="No"/>
    <s v="Will NOT work for them"/>
    <n v="5"/>
    <s v="Hybrid Working Environment with more than 15 days a month at office"/>
    <s v="Employer who appreciates learning and enables that environment"/>
    <x v="239"/>
    <s v="Manager who explains what is expected, sets a goal and helps achieve it"/>
    <x v="3"/>
    <x v="3"/>
  </r>
  <r>
    <d v="2023-04-06T07:09:17"/>
    <s v="India"/>
    <n v="445402"/>
    <x v="0"/>
    <s v="People who have changed the world for better"/>
    <s v="Yes, I will earn and do that"/>
    <s v="This will be hard to do, but if it is the right company I would try"/>
    <s v="No"/>
    <s v="Will NOT work for them"/>
    <n v="10"/>
    <s v="Fully Remote with Options to travel as and when needed"/>
    <s v="Employer who appreciates learning and enables that environment"/>
    <x v="292"/>
    <s v="Manager who sets unrealistic targets"/>
    <x v="3"/>
    <x v="3"/>
  </r>
  <r>
    <d v="2023-04-06T07:31:20"/>
    <s v="India"/>
    <n v="110059"/>
    <x v="0"/>
    <s v="Influencers who had successful careers"/>
    <s v="Yes, I will earn and do that"/>
    <s v="No way"/>
    <s v="Yes"/>
    <s v="Will NOT work for them"/>
    <n v="5"/>
    <s v="Fully Remote with No option to visit offices"/>
    <s v="Employer who rewards learning and enables that environment"/>
    <x v="280"/>
    <s v="Manager who clearly describes what she/he needs"/>
    <x v="4"/>
    <x v="3"/>
  </r>
  <r>
    <d v="2023-04-06T07:51:55"/>
    <s v="India"/>
    <n v="395009"/>
    <x v="1"/>
    <s v="Influencers who had successful careers"/>
    <s v="Yes, I will earn and do that"/>
    <s v="This will be hard to do, but if it is the right company I would try"/>
    <s v="No"/>
    <s v="Will NOT work for them"/>
    <n v="5"/>
    <s v="Every Day Office Environment"/>
    <s v="Employer who pushes your limits by enabling an learning environment, and rewards you at the end"/>
    <x v="198"/>
    <s v="Manager who explains what is expected, sets a goal and helps achieve it"/>
    <x v="1"/>
    <x v="0"/>
  </r>
  <r>
    <d v="2023-04-06T08:06:04"/>
    <s v="India"/>
    <n v="462041"/>
    <x v="0"/>
    <s v="My Parents"/>
    <s v="Yes, I will earn and do that"/>
    <s v="This will be hard to do, but if it is the right company I would try"/>
    <s v="No"/>
    <s v="Will NOT work for them"/>
    <n v="4"/>
    <s v="Fully Remote with Options to travel as and when needed"/>
    <s v="Employer who pushes your limits by enabling an learning environment, and rewards you at the end"/>
    <x v="293"/>
    <s v="Manager who sets goal and helps me achieve it"/>
    <x v="1"/>
    <x v="3"/>
  </r>
  <r>
    <d v="2023-04-06T08:52:41"/>
    <s v="India"/>
    <n v="110077"/>
    <x v="0"/>
    <s v="People from my circle, but not family members"/>
    <s v="No I would not be pursuing Higher Education outside of India"/>
    <s v="Will work for 3 years or more"/>
    <s v="Yes"/>
    <s v="Will NOT work for them"/>
    <n v="7"/>
    <s v="Fully Remote with Options to travel as and when needed"/>
    <s v="Employer who pushes your limits by enabling an learning environment, and rewards you at the end"/>
    <x v="294"/>
    <s v="Manager who explains what is expected, sets a goal and helps achieve it"/>
    <x v="3"/>
    <x v="0"/>
  </r>
  <r>
    <d v="2023-04-06T09:00:39"/>
    <s v="India"/>
    <n v="400072"/>
    <x v="0"/>
    <s v="People from my circle, but not family members"/>
    <s v="Yes, I will earn and do that"/>
    <s v="Will work for 3 years or more"/>
    <s v="No"/>
    <s v="Will NOT work for them"/>
    <n v="4"/>
    <s v="Hybrid Working Environment with more than 15 days a month at office"/>
    <s v="Employer who appreciates learning and enables that environment"/>
    <x v="141"/>
    <s v="Manager who explains what is expected, sets a goal and helps achieve it"/>
    <x v="7"/>
    <x v="3"/>
  </r>
  <r>
    <d v="2023-04-06T09:08:24"/>
    <s v="India"/>
    <n v="680508"/>
    <x v="0"/>
    <s v="My Parents"/>
    <s v="Yes, I will earn and do that"/>
    <s v="This will be hard to do, but if it is the right company I would try"/>
    <s v="No"/>
    <s v="Will NOT work for them"/>
    <n v="9"/>
    <s v="Fully Remote with Options to travel as and when needed"/>
    <s v="Employer who rewards learning and enables that environment"/>
    <x v="295"/>
    <s v="Manager who clearly describes what she/he needs"/>
    <x v="1"/>
    <x v="0"/>
  </r>
  <r>
    <d v="2023-04-06T09:20:29"/>
    <s v="India"/>
    <n v="670011"/>
    <x v="1"/>
    <s v="Social Media like LinkedIn"/>
    <s v="No I would not be pursuing Higher Education outside of India"/>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80"/>
    <s v="Manager who explains what is expected, sets a goal and helps achieve it"/>
    <x v="1"/>
    <x v="3"/>
  </r>
  <r>
    <d v="2023-04-06T09:51:53"/>
    <s v="India"/>
    <n v="201009"/>
    <x v="1"/>
    <s v="People from my circle, but not family members"/>
    <s v="No, But if someone could bare the cost I will"/>
    <s v="This will be hard to do, but if it is the right company I would try"/>
    <s v="Yes"/>
    <s v="Will work for them"/>
    <n v="6"/>
    <s v="Fully Remote with No option to visit offices"/>
    <s v="Employer who appreciates learning and enables that environment"/>
    <x v="111"/>
    <s v="Manager who explains what is expected, sets a goal and helps achieve it"/>
    <x v="5"/>
    <x v="3"/>
  </r>
  <r>
    <d v="2023-04-06T09:54:17"/>
    <s v="India"/>
    <n v="201009"/>
    <x v="0"/>
    <s v="People who have changed the world for better"/>
    <s v="No, But if someone could bare the cost I will"/>
    <s v="This will be hard to do, but if it is the right company I would try"/>
    <s v="No"/>
    <s v="Will work for them"/>
    <n v="10"/>
    <s v="Hybrid Working Environment with more than 15 days a month at office"/>
    <s v="Employer who pushes your limits by enabling an learning environment, and rewards you at the end"/>
    <x v="296"/>
    <s v="Manager who explains what is expected, sets a goal and helps achieve it"/>
    <x v="11"/>
    <x v="3"/>
  </r>
  <r>
    <d v="2023-04-06T10:00:46"/>
    <s v="India"/>
    <n v="500072"/>
    <x v="0"/>
    <s v="Social Media like LinkedIn"/>
    <s v="Yes, I will earn and do that"/>
    <s v="Will work for 3 years or more"/>
    <s v="Yes"/>
    <s v="Will NOT work for them"/>
    <n v="1"/>
    <s v="Fully Remote with Options to travel as and when needed"/>
    <s v="Employer who pushes your limits by enabling an learning environment, and rewards you at the end"/>
    <x v="109"/>
    <s v="Manager who sets targets and expects me to achieve it"/>
    <x v="7"/>
    <x v="2"/>
  </r>
  <r>
    <d v="2023-04-06T10:02:25"/>
    <s v="India"/>
    <n v="201009"/>
    <x v="1"/>
    <s v="People who have changed the world for better"/>
    <s v="No, But if someone could bare the cost I will"/>
    <s v="This will be hard to do, but if it is the right company I would try"/>
    <s v="No"/>
    <s v="Will NOT work for them"/>
    <n v="2"/>
    <s v="Hybrid Working Environment with more than 15 days a month at office"/>
    <s v="Employer who rewards learning and enables that environment"/>
    <x v="297"/>
    <s v="Manager who sets targets and expects me to achieve it"/>
    <x v="6"/>
    <x v="0"/>
  </r>
  <r>
    <d v="2023-04-06T10:18:54"/>
    <s v="India"/>
    <n v="110017"/>
    <x v="0"/>
    <s v="People from my circle, but not family members"/>
    <s v="Yes, I will earn and do that"/>
    <s v="This will be hard to do, but if it is the right company I would try"/>
    <s v="No"/>
    <s v="Will NOT work for them"/>
    <n v="6"/>
    <s v="Fully Remote with Options to travel as and when needed"/>
    <s v="Employer who pushes your limits by enabling an learning environment, and rewards you at the end"/>
    <x v="298"/>
    <s v="Manager who sets goal and helps me achieve it"/>
    <x v="1"/>
    <x v="3"/>
  </r>
  <r>
    <d v="2023-04-06T10:21:19"/>
    <s v="India"/>
    <n v="721422"/>
    <x v="0"/>
    <s v="My Parents"/>
    <s v="No I would not be pursuing Higher Education outside of India"/>
    <s v="Will work for 3 years or more"/>
    <s v="Yes"/>
    <s v="Will NOT work for them"/>
    <n v="4"/>
    <s v="Fully Remote with Options to travel as and when needed"/>
    <s v="Employer who rewards learning and enables that environment"/>
    <x v="156"/>
    <s v="Manager who clearly describes what she/he needs"/>
    <x v="2"/>
    <x v="3"/>
  </r>
  <r>
    <d v="2023-04-06T10:25:48"/>
    <s v="India"/>
    <n v="400610"/>
    <x v="0"/>
    <s v="Influencers who had successful careers"/>
    <s v="No, But if someone could bare the cost I will"/>
    <s v="Will work for 3 years or more"/>
    <s v="No"/>
    <s v="Will NOT work for them"/>
    <n v="1"/>
    <s v="Hybrid Working Environment with more than 15 days a month at office"/>
    <s v="Employer who pushes your limits by enabling an learning environment, and rewards you at the end"/>
    <x v="299"/>
    <s v="Manager who sets goal and helps me achieve it"/>
    <x v="7"/>
    <x v="3"/>
  </r>
  <r>
    <d v="2023-04-06T10:27:47"/>
    <s v="India"/>
    <n v="201301"/>
    <x v="0"/>
    <s v="Social Media like LinkedIn"/>
    <s v="Yes, I will earn and do that"/>
    <s v="Will work for 3 years or more"/>
    <s v="No"/>
    <s v="Will NOT work for them"/>
    <n v="9"/>
    <s v="Hybrid Working Environment with less than 3 days a month at office"/>
    <s v="Employer who appreciates learning and enables that environment"/>
    <x v="155"/>
    <s v="Manager who clearly describes what she/he needs"/>
    <x v="1"/>
    <x v="3"/>
  </r>
  <r>
    <d v="2023-04-06T10:37:28"/>
    <s v="India"/>
    <n v="201301"/>
    <x v="0"/>
    <s v="My Parents"/>
    <s v="Yes, I will earn and do that"/>
    <s v="Will work for 3 years or more"/>
    <s v="No"/>
    <s v="Will NOT work for them"/>
    <n v="3"/>
    <s v="Hybrid Working Environment with more than 15 days a month at office"/>
    <s v="Employer who pushes your limits by enabling an learning environment, and rewards you at the end"/>
    <x v="114"/>
    <s v="Manager who explains what is expected, sets a goal and helps achieve it"/>
    <x v="1"/>
    <x v="3"/>
  </r>
  <r>
    <d v="2023-04-06T10:42:17"/>
    <s v="India"/>
    <n v="110059"/>
    <x v="1"/>
    <s v="Social Media like LinkedIn"/>
    <s v="Yes, I will earn and do that"/>
    <s v="Will work for 3 years or more"/>
    <s v="No"/>
    <s v="Will NOT work for them"/>
    <n v="3"/>
    <s v="Fully Remote with No option to visit offices"/>
    <s v="Employer who appreciates learning and enables that environment"/>
    <x v="300"/>
    <s v="Manager who clearly describes what she/he needs"/>
    <x v="3"/>
    <x v="3"/>
  </r>
  <r>
    <d v="2023-04-06T10:50:21"/>
    <s v="India"/>
    <n v="110008"/>
    <x v="0"/>
    <s v="Influencers who had successful careers"/>
    <s v="Yes, I will earn and do that"/>
    <s v="Will work for 3 years or more"/>
    <s v="Yes"/>
    <s v="Will work for them"/>
    <n v="9"/>
    <s v="Fully Remote with No option to visit offices"/>
    <s v="Employer who rewards learning and enables that environment"/>
    <x v="301"/>
    <s v="Manager who clearly describes what she/he needs"/>
    <x v="4"/>
    <x v="3"/>
  </r>
  <r>
    <d v="2023-04-06T10:56:20"/>
    <s v="India"/>
    <n v="110067"/>
    <x v="1"/>
    <s v="Influencers who had successful careers"/>
    <s v="Yes, I will earn and do that"/>
    <s v="This will be hard to do, but if it is the right company I would try"/>
    <s v="Yes"/>
    <s v="Will work for them"/>
    <n v="8"/>
    <s v="Fully Remote with No option to visit offices"/>
    <s v="Employer who appreciates learning and enables that environment"/>
    <x v="249"/>
    <s v="Manager who clearly describes what she/he needs"/>
    <x v="7"/>
    <x v="3"/>
  </r>
  <r>
    <d v="2023-04-06T10:58:11"/>
    <s v="India"/>
    <n v="122022"/>
    <x v="1"/>
    <s v="Influencers who had successful careers"/>
    <s v="Yes, I will earn and do that"/>
    <s v="Will work for 3 years or more"/>
    <s v="No"/>
    <s v="Will NOT work for them"/>
    <n v="5"/>
    <s v="Fully Remote with Options to travel as and when needed"/>
    <s v="Employer who pushes your limits by enabling an learning environment, and rewards you at the end"/>
    <x v="101"/>
    <s v="Manager who explains what is expected, sets a goal and helps achieve it"/>
    <x v="3"/>
    <x v="3"/>
  </r>
  <r>
    <d v="2023-04-06T11:04:57"/>
    <s v="India"/>
    <n v="110078"/>
    <x v="0"/>
    <s v="Influencers who had successful careers"/>
    <s v="Yes, I will earn and do that"/>
    <s v="Will work for 3 years or more"/>
    <s v="Yes"/>
    <s v="Will work for them"/>
    <n v="10"/>
    <s v="Fully Remote with No option to visit offices"/>
    <s v="Employer who appreciates learning and enables that environment"/>
    <x v="302"/>
    <s v="Manager who sets goal and helps me achieve it"/>
    <x v="4"/>
    <x v="3"/>
  </r>
  <r>
    <d v="2023-04-06T11:11:32"/>
    <s v="India"/>
    <n v="442906"/>
    <x v="0"/>
    <s v="My Parents"/>
    <s v="No I would not be pursuing Higher Education outside of India"/>
    <s v="This will be hard to do, but if it is the right company I would try"/>
    <s v="Yes"/>
    <s v="Will work for them"/>
    <n v="7"/>
    <s v="Every Day Office Environment"/>
    <s v="Employer who appreciates learning and enables that environment"/>
    <x v="303"/>
    <s v="Manager who clearly describes what she/he needs"/>
    <x v="11"/>
    <x v="3"/>
  </r>
  <r>
    <d v="2023-04-06T11:14:32"/>
    <s v="India"/>
    <n v="122102"/>
    <x v="1"/>
    <s v="My Parents"/>
    <s v="No I would not be pursuing Higher Education outside of India"/>
    <s v="Will work for 3 years or more"/>
    <s v="No"/>
    <s v="Will NOT work for them"/>
    <n v="1"/>
    <s v="Every Day Office Environment"/>
    <s v="Employer who appreciates learning and enables that environment"/>
    <x v="207"/>
    <s v="Manager who sets goal and helps me achieve it"/>
    <x v="1"/>
    <x v="0"/>
  </r>
  <r>
    <d v="2023-04-06T11:18:38"/>
    <s v="India"/>
    <n v="110022"/>
    <x v="1"/>
    <s v="Influencers who had successful careers"/>
    <s v="No, But if someone could bare the cost I will"/>
    <s v="Will work for 3 years or more"/>
    <s v="Yes"/>
    <s v="Will work for them"/>
    <n v="10"/>
    <s v="Fully Remote with No option to visit offices"/>
    <s v="Employer who appreciates learning and enables that environment"/>
    <x v="304"/>
    <s v="Manager who clearly describes what she/he needs"/>
    <x v="4"/>
    <x v="3"/>
  </r>
  <r>
    <d v="2023-04-06T11:26:19"/>
    <s v="India"/>
    <n v="110030"/>
    <x v="0"/>
    <s v="My Parents"/>
    <s v="Yes, I will earn and do that"/>
    <s v="This will be hard to do, but if it is the right company I would try"/>
    <s v="No"/>
    <s v="Will NOT work for them"/>
    <n v="8"/>
    <s v="Hybrid Working Environment with less than 3 days a month at office"/>
    <s v="Employer who appreciates learning and enables that environment"/>
    <x v="305"/>
    <s v="Manager who clearly describes what she/he needs"/>
    <x v="2"/>
    <x v="3"/>
  </r>
  <r>
    <d v="2023-04-06T11:32:06"/>
    <s v="India"/>
    <n v="442902"/>
    <x v="0"/>
    <s v="People from my circle, but not family members"/>
    <s v="Yes, I will earn and do that"/>
    <s v="No way"/>
    <s v="No"/>
    <s v="Will NOT work for them"/>
    <n v="1"/>
    <s v="Fully Remote with No option to visit offices"/>
    <s v="Employer who rewards learning and enables that environment"/>
    <x v="306"/>
    <s v="Manager who explains what is expected, sets a goal and helps achieve it"/>
    <x v="1"/>
    <x v="0"/>
  </r>
  <r>
    <d v="2023-04-06T11:40:41"/>
    <s v="India"/>
    <n v="201014"/>
    <x v="0"/>
    <s v="My Parents"/>
    <s v="Yes, I will earn and do that"/>
    <s v="This will be hard to do, but if it is the right company I would try"/>
    <s v="Yes"/>
    <s v="Will NOT work for them"/>
    <n v="8"/>
    <s v="Hybrid Working Environment with less than 3 days a month at office"/>
    <s v="Employer who appreciates learning and enables that environment"/>
    <x v="243"/>
    <s v="Manager who clearly describes what she/he needs"/>
    <x v="1"/>
    <x v="3"/>
  </r>
  <r>
    <d v="2023-04-06T11:41:15"/>
    <s v="India"/>
    <n v="110040"/>
    <x v="0"/>
    <s v="My Parents"/>
    <s v="Yes, I will earn and do that"/>
    <s v="Will work for 3 years or more"/>
    <s v="No"/>
    <s v="Will NOT work for them"/>
    <n v="5"/>
    <s v="Hybrid Working Environment with less than 3 days a month at office"/>
    <s v="Employer who pushes your limits by enabling an learning environment, and rewards you at the end"/>
    <x v="239"/>
    <s v="Manager who sets targets and expects me to achieve it"/>
    <x v="4"/>
    <x v="3"/>
  </r>
  <r>
    <d v="2023-04-06T11:43:13"/>
    <s v="India"/>
    <n v="201301"/>
    <x v="0"/>
    <s v="Influencers who had successful careers"/>
    <s v="Yes, I will earn and do that"/>
    <s v="Will work for 3 years or more"/>
    <s v="No"/>
    <s v="Will NOT work for them"/>
    <n v="1"/>
    <s v="Fully Remote with Options to travel as and when needed"/>
    <s v="Employer who pushes your limits by enabling an learning environment, and rewards you at the end"/>
    <x v="109"/>
    <s v="Manager who explains what is expected, sets a goal and helps achieve it"/>
    <x v="7"/>
    <x v="0"/>
  </r>
  <r>
    <d v="2023-04-06T11:48:57"/>
    <s v="India"/>
    <n v="110066"/>
    <x v="1"/>
    <s v="People from my circle, but not family members"/>
    <s v="No I would not be pursuing Higher Education outside of India"/>
    <s v="Will work for 3 years or more"/>
    <s v="No"/>
    <s v="Will NOT work for them"/>
    <n v="2"/>
    <s v="Hybrid Working Environment with more than 15 days a month at office"/>
    <s v="Employer who appreciates learning and enables that environment"/>
    <x v="197"/>
    <s v="Manager who clearly describes what she/he needs"/>
    <x v="3"/>
    <x v="3"/>
  </r>
  <r>
    <d v="2023-04-06T11:51:35"/>
    <s v="India"/>
    <n v="342001"/>
    <x v="1"/>
    <s v="People who have changed the world for better"/>
    <s v="Yes, I will earn and do that"/>
    <s v="This will be hard to do, but if it is the right company I would try"/>
    <s v="No"/>
    <s v="Will NOT work for them"/>
    <n v="4"/>
    <s v="Hybrid Working Environment with more than 15 days a month at office"/>
    <s v="Employer who rewards learning and enables that environment"/>
    <x v="132"/>
    <s v="Manager who explains what is expected, sets a goal and helps achieve it"/>
    <x v="7"/>
    <x v="3"/>
  </r>
  <r>
    <d v="2023-04-06T11:59:04"/>
    <s v="India"/>
    <n v="201301"/>
    <x v="0"/>
    <s v="My Parents"/>
    <s v="No, But if someone could bare the cost I will"/>
    <s v="Will work for 3 years or more"/>
    <s v="No"/>
    <s v="Will NOT work for them"/>
    <n v="6"/>
    <s v="Hybrid Working Environment with more than 15 days a month at office"/>
    <s v="Employer who rewards learning and enables that environment"/>
    <x v="147"/>
    <s v="Manager who explains what is expected, sets a goal and helps achieve it"/>
    <x v="11"/>
    <x v="0"/>
  </r>
  <r>
    <d v="2023-04-06T12:11:22"/>
    <s v="India"/>
    <n v="110045"/>
    <x v="0"/>
    <s v="My Parents"/>
    <s v="No I would not be pursuing Higher Education outside of India"/>
    <s v="Will work for 3 years or more"/>
    <s v="No"/>
    <s v="Will NOT work for them"/>
    <n v="1"/>
    <s v="Every Day Office Environment"/>
    <s v="Employer who pushes your limits by enabling an learning environment, and rewards you at the end"/>
    <x v="307"/>
    <s v="Manager who sets goal and helps me achieve it"/>
    <x v="3"/>
    <x v="3"/>
  </r>
  <r>
    <d v="2023-04-06T12:13:36"/>
    <s v="India"/>
    <n v="855107"/>
    <x v="0"/>
    <s v="Social Media like LinkedIn"/>
    <s v="No I would not be pursuing Higher Education outside of India"/>
    <s v="Will work for 3 years or more"/>
    <s v="No"/>
    <s v="Will NOT work for them"/>
    <n v="6"/>
    <s v="Hybrid Working Environment with more than 15 days a month at office"/>
    <s v="Employer who pushes your limits by enabling an learning environment, and rewards you at the end"/>
    <x v="308"/>
    <s v="Manager who explains what is expected, sets a goal and helps achieve it"/>
    <x v="0"/>
    <x v="3"/>
  </r>
  <r>
    <d v="2023-04-06T12:25:59"/>
    <s v="India"/>
    <n v="521002"/>
    <x v="1"/>
    <s v="My Parents"/>
    <s v="No, But if someone could bare the cost I will"/>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14"/>
    <s v="Manager who explains what is expected, sets a goal and helps achieve it"/>
    <x v="3"/>
    <x v="3"/>
  </r>
  <r>
    <d v="2023-04-06T12:30:58"/>
    <s v="India"/>
    <n v="442001"/>
    <x v="1"/>
    <s v="Social Media like LinkedIn"/>
    <s v="No, But if someone could bare the cost I will"/>
    <s v="This will be hard to do, but if it is the right company I would try"/>
    <s v="No"/>
    <s v="Will NOT work for them"/>
    <n v="9"/>
    <s v="Fully Remote with Options to travel as and when needed"/>
    <s v="Employer who pushes your limits by enabling an learning environment, and rewards you at the end"/>
    <x v="245"/>
    <s v="Manager who sets goal and helps me achieve it"/>
    <x v="14"/>
    <x v="3"/>
  </r>
  <r>
    <d v="2023-04-06T12:39:44"/>
    <s v="India"/>
    <n v="521165"/>
    <x v="0"/>
    <s v="Social Media like LinkedIn"/>
    <s v="No I would not be pursuing Higher Education outside of India"/>
    <s v="This will be hard to do, but if it is the right company I would try"/>
    <s v="No"/>
    <s v="Will work for them"/>
    <n v="9"/>
    <s v="Fully Remote with Options to travel as and when needed"/>
    <s v="Employer who rewards learning and enables that environment"/>
    <x v="146"/>
    <s v="Manager who sets goal and helps me achieve it"/>
    <x v="1"/>
    <x v="3"/>
  </r>
  <r>
    <d v="2023-04-06T12:43:20"/>
    <s v="India"/>
    <n v="110022"/>
    <x v="1"/>
    <s v="People who have changed the world for better"/>
    <s v="No I would not be pursuing Higher Education outside of India"/>
    <s v="This will be hard to do, but if it is the right company I would try"/>
    <s v="Yes"/>
    <s v="Will work for them"/>
    <n v="7"/>
    <s v="Hybrid Working Environment with more than 15 days a month at office"/>
    <s v="Employer who rewards learning and enables that environment"/>
    <x v="309"/>
    <s v="Manager who sets goal and helps me achieve it"/>
    <x v="6"/>
    <x v="0"/>
  </r>
  <r>
    <d v="2023-04-06T12:44:14"/>
    <s v="India"/>
    <n v="560028"/>
    <x v="0"/>
    <s v="People who have changed the world for better"/>
    <s v="Yes, I will earn and do that"/>
    <s v="This will be hard to do, but if it is the right company I would try"/>
    <s v="No"/>
    <s v="Will NOT work for them"/>
    <n v="7"/>
    <s v="Hybrid Working Environment with less than 3 days a month at office"/>
    <s v="Employer who pushes your limits by enabling an learning environment, and rewards you at the end"/>
    <x v="310"/>
    <s v="Manager who sets goal and helps me achieve it"/>
    <x v="4"/>
    <x v="3"/>
  </r>
  <r>
    <d v="2023-04-06T12:44:58"/>
    <s v="India"/>
    <n v="641045"/>
    <x v="0"/>
    <s v="My Parents"/>
    <s v="No, But if someone could bare the cost I will"/>
    <s v="This will be hard to do, but if it is the right company I would try"/>
    <s v="Yes"/>
    <s v="Will work for them"/>
    <n v="7"/>
    <s v="Fully Remote with Options to travel as and when needed"/>
    <s v="Employer who appreciates learning and enables that environment"/>
    <x v="311"/>
    <s v="Manager who explains what is expected, sets a goal and helps achieve it"/>
    <x v="6"/>
    <x v="0"/>
  </r>
  <r>
    <d v="2023-04-06T12:55:10"/>
    <s v="India"/>
    <n v="110077"/>
    <x v="1"/>
    <s v="Influencers who had successful careers"/>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111"/>
    <s v="Manager who explains what is expected, sets a goal and helps achieve it"/>
    <x v="3"/>
    <x v="3"/>
  </r>
  <r>
    <d v="2023-04-06T12:55:17"/>
    <s v="India"/>
    <n v="521163"/>
    <x v="0"/>
    <s v="My Parents"/>
    <s v="No, But if someone could bare the cost I will"/>
    <s v="This will be hard to do, but if it is the right company I would try"/>
    <s v="No"/>
    <s v="Will NOT work for them"/>
    <n v="5"/>
    <s v="Fully Remote with Options to travel as and when needed"/>
    <s v="Employer who pushes your limits by enabling an learning environment, and rewards you at the end"/>
    <x v="312"/>
    <s v="Manager who explains what is expected, sets a goal and helps achieve it"/>
    <x v="1"/>
    <x v="3"/>
  </r>
  <r>
    <d v="2023-04-06T12:57:28"/>
    <s v="India"/>
    <n v="560029"/>
    <x v="0"/>
    <s v="Social Media like LinkedIn"/>
    <s v="No, But if someone could bare the cost I will"/>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313"/>
    <s v="Manager who sets goal and helps me achieve it"/>
    <x v="8"/>
    <x v="3"/>
  </r>
  <r>
    <d v="2023-04-06T12:58:42"/>
    <s v="India"/>
    <n v="560029"/>
    <x v="0"/>
    <s v="My Parents"/>
    <s v="No, But if someone could bare the cost I will"/>
    <s v="This will be hard to do, but if it is the right company I would try"/>
    <s v="No"/>
    <s v="Will NOT work for them"/>
    <n v="3"/>
    <s v="Fully Remote with Options to travel as and when needed"/>
    <s v="Employer who pushes your limits by enabling an learning environment, and rewards you at the end"/>
    <x v="314"/>
    <s v="Manager who sets goal and helps me achieve it"/>
    <x v="4"/>
    <x v="2"/>
  </r>
  <r>
    <d v="2023-04-06T13:14:09"/>
    <s v="India"/>
    <n v="431810"/>
    <x v="0"/>
    <s v="Influencers who had successful careers"/>
    <s v="No, But if someone could bare the cost I will"/>
    <s v="This will be hard to do, but if it is the right company I would try"/>
    <s v="Yes"/>
    <s v="Will work for them"/>
    <n v="9"/>
    <s v="Fully Remote with Options to travel as and when needed"/>
    <s v="Employer who pushes your limits and doesn't enables learning environment and never rewards you"/>
    <x v="315"/>
    <s v="Manager who explains what is expected, sets a goal and helps achieve it"/>
    <x v="1"/>
    <x v="2"/>
  </r>
  <r>
    <d v="2023-04-06T13:29:22"/>
    <s v="India"/>
    <n v="431001"/>
    <x v="0"/>
    <s v="Social Media like LinkedIn"/>
    <s v="Yes, I will earn and do that"/>
    <s v="This will be hard to do, but if it is the right company I would try"/>
    <s v="No"/>
    <s v="Will NOT work for them"/>
    <n v="5"/>
    <s v="Fully Remote with No option to visit offices"/>
    <s v="Employer who pushes your limits by enabling an learning environment, and rewards you at the end"/>
    <x v="111"/>
    <s v="Manager who explains what is expected, sets a goal and helps achieve it"/>
    <x v="1"/>
    <x v="0"/>
  </r>
  <r>
    <d v="2023-04-06T13:35:59"/>
    <s v="India"/>
    <n v="110045"/>
    <x v="0"/>
    <s v="Social Media like LinkedIn"/>
    <s v="Yes, I will earn and do that"/>
    <s v="Will work for 3 years or more"/>
    <s v="No"/>
    <s v="Will NOT work for them"/>
    <n v="8"/>
    <s v="Fully Remote with Options to travel as and when needed"/>
    <s v="Employer who pushes your limits by enabling an learning environment, and rewards you at the end"/>
    <x v="316"/>
    <s v="Manager who explains what is expected, sets a goal and helps achieve it"/>
    <x v="3"/>
    <x v="3"/>
  </r>
  <r>
    <d v="2023-04-06T13:39:21"/>
    <s v="India"/>
    <n v="577201"/>
    <x v="1"/>
    <s v="People who have changed the world for better"/>
    <s v="No, But if someone could bare the cost I will"/>
    <s v="This will be hard to do, but if it is the right company I would try"/>
    <s v="No"/>
    <s v="Will NOT work for them"/>
    <n v="5"/>
    <s v="Hybrid Working Environment with more than 15 days a month at office"/>
    <s v="Employer who rewards learning and enables that environment"/>
    <x v="317"/>
    <s v="Manager who explains what is expected, sets a goal and helps achieve it"/>
    <x v="18"/>
    <x v="0"/>
  </r>
  <r>
    <d v="2023-04-06T13:47:20"/>
    <s v="India"/>
    <n v="110057"/>
    <x v="0"/>
    <s v="Influencers who had successful careers"/>
    <s v="Yes, I will earn and do that"/>
    <s v="Will work for 3 years or more"/>
    <s v="Yes"/>
    <s v="Will NOT work for them"/>
    <n v="9"/>
    <s v="Fully Remote with Options to travel as and when needed"/>
    <s v="Employer who pushes your limits by enabling an learning environment, and rewards you at the end"/>
    <x v="318"/>
    <s v="Manager who sets goal and helps me achieve it"/>
    <x v="4"/>
    <x v="0"/>
  </r>
  <r>
    <d v="2023-04-06T13:50:52"/>
    <s v="India"/>
    <n v="110085"/>
    <x v="1"/>
    <s v="Influencers who had successful careers"/>
    <s v="Yes, I will earn and do that"/>
    <s v="Will work for 3 years or more"/>
    <s v="No"/>
    <s v="Will NOT work for them"/>
    <n v="5"/>
    <s v="Every Day Office Environment"/>
    <s v="Employer who pushes your limits by enabling an learning environment, and rewards you at the end"/>
    <x v="319"/>
    <s v="Manager who sets goal and helps me achieve it"/>
    <x v="4"/>
    <x v="0"/>
  </r>
  <r>
    <d v="2023-04-06T13:52:45"/>
    <s v="India"/>
    <n v="110018"/>
    <x v="1"/>
    <s v="My Parents"/>
    <s v="No I would not be pursuing Higher Education outside of India"/>
    <s v="Will work for 3 years or more"/>
    <s v="No"/>
    <s v="Will NOT work for them"/>
    <n v="7"/>
    <s v="Hybrid Working Environment with less than 3 days a month at office"/>
    <s v="Employer who appreciates learning and enables that environment"/>
    <x v="251"/>
    <s v="Manager who sets goal and helps me achieve it"/>
    <x v="4"/>
    <x v="3"/>
  </r>
  <r>
    <d v="2023-04-06T13:57:31"/>
    <s v="India"/>
    <n v="515775"/>
    <x v="0"/>
    <s v="My Parents"/>
    <s v="Yes, I will earn and do that"/>
    <s v="Will work for 3 years or more"/>
    <s v="Yes"/>
    <s v="Will work for them"/>
    <n v="3"/>
    <s v="Every Day Office Environment"/>
    <s v="Employer who appreciates learning and enables that environment"/>
    <x v="320"/>
    <s v="Manager who sets targets and expects me to achieve it"/>
    <x v="1"/>
    <x v="3"/>
  </r>
  <r>
    <d v="2023-04-06T14:00:40"/>
    <s v="India"/>
    <n v="122010"/>
    <x v="0"/>
    <s v="People who have changed the world for better"/>
    <s v="Yes, I will earn and do that"/>
    <s v="Will work for 3 years or more"/>
    <s v="No"/>
    <s v="Will work for them"/>
    <n v="8"/>
    <s v="Fully Remote with No option to visit offices"/>
    <s v="Employer who appreciates learning and enables that environment"/>
    <x v="179"/>
    <s v="Manager who sets goal and helps me achieve it"/>
    <x v="3"/>
    <x v="3"/>
  </r>
  <r>
    <d v="2023-04-06T14:24:13"/>
    <s v="India"/>
    <n v="401105"/>
    <x v="0"/>
    <s v="Influencers who had successful careers"/>
    <s v="No, But if someone could bare the cost I will"/>
    <s v="This will be hard to do, but if it is the right company I would try"/>
    <s v="No"/>
    <s v="Will NOT work for them"/>
    <n v="6"/>
    <s v="Fully Remote with Options to travel as and when needed"/>
    <s v="Employer who pushes your limits by enabling an learning environment, and rewards you at the end"/>
    <x v="224"/>
    <s v="Manager who explains what is expected, sets a goal and helps achieve it"/>
    <x v="3"/>
    <x v="0"/>
  </r>
  <r>
    <d v="2023-04-06T14:32:56"/>
    <s v="India"/>
    <n v="535218"/>
    <x v="0"/>
    <s v="My Parents"/>
    <s v="No I would not be pursuing Higher Education outside of India"/>
    <s v="Will work for 3 years or more"/>
    <s v="No"/>
    <s v="Will NOT work for them"/>
    <n v="5"/>
    <s v="Hybrid Working Environment with more than 15 days a month at office"/>
    <s v="Employer who rewards learning and enables that environment"/>
    <x v="143"/>
    <s v="Manager who clearly describes what she/he needs"/>
    <x v="0"/>
    <x v="3"/>
  </r>
  <r>
    <d v="2023-04-06T14:33:32"/>
    <s v="India"/>
    <n v="401105"/>
    <x v="0"/>
    <s v="Influencers who had successful careers"/>
    <s v="Yes, I will earn and do that"/>
    <s v="Will work for 3 years or more"/>
    <s v="No"/>
    <s v="Will NOT work for them"/>
    <n v="5"/>
    <s v="Every Day Office Environment"/>
    <s v="Employer who pushes your limits by enabling an learning environment, and rewards you at the end"/>
    <x v="233"/>
    <s v="Manager who explains what is expected, sets a goal and helps achieve it"/>
    <x v="3"/>
    <x v="3"/>
  </r>
  <r>
    <d v="2023-04-06T14:33:37"/>
    <s v="India"/>
    <n v="110077"/>
    <x v="0"/>
    <s v="Social Media like LinkedIn"/>
    <s v="No, But if someone could bare the cost I will"/>
    <s v="This will be hard to do, but if it is the right company I would try"/>
    <s v="No"/>
    <s v="Will work for them"/>
    <n v="5"/>
    <s v="Fully Remote with No option to visit offices"/>
    <s v="Employer who pushes your limits by enabling an learning environment, and rewards you at the end"/>
    <x v="321"/>
    <s v="Manager who sets targets and expects me to achieve it"/>
    <x v="22"/>
    <x v="0"/>
  </r>
  <r>
    <d v="2023-04-06T14:49:00"/>
    <s v="India"/>
    <n v="401105"/>
    <x v="0"/>
    <s v="Influencers who had successful careers"/>
    <s v="No I would not be pursuing Higher Education outside of India"/>
    <s v="Will work for 3 years or more"/>
    <s v="No"/>
    <s v="Will work for them"/>
    <n v="6"/>
    <s v="Hybrid Working Environment with less than 3 days a month at office"/>
    <s v="Employer who appreciates learning and enables that environment"/>
    <x v="153"/>
    <s v="Manager who sets targets and expects me to achieve it"/>
    <x v="3"/>
    <x v="3"/>
  </r>
  <r>
    <d v="2023-04-06T14:49:18"/>
    <s v="India"/>
    <n v="400086"/>
    <x v="1"/>
    <s v="People who have changed the world for better"/>
    <s v="No I would not be pursuing Higher Education outside of India"/>
    <s v="This will be hard to do, but if it is the right company I would try"/>
    <s v="No"/>
    <s v="Will NOT work for them"/>
    <n v="10"/>
    <s v="Fully Remote with Options to travel as and when needed"/>
    <s v="Employer who appreciates learning and enables that environment"/>
    <x v="174"/>
    <s v="Manager who clearly describes what she/he needs"/>
    <x v="0"/>
    <x v="3"/>
  </r>
  <r>
    <d v="2023-04-06T14:49:19"/>
    <s v="India"/>
    <n v="122001"/>
    <x v="0"/>
    <s v="Social Media like LinkedIn"/>
    <s v="No I would not be pursuing Higher Education outside of India"/>
    <s v="Will work for 3 years or more"/>
    <s v="No"/>
    <s v="Will NOT work for them"/>
    <n v="5"/>
    <s v="Hybrid Working Environment with less than 3 days a month at office"/>
    <s v="Employer who rewards learning and enables that environment"/>
    <x v="141"/>
    <s v="Manager who explains what is expected, sets a goal and helps achieve it"/>
    <x v="4"/>
    <x v="0"/>
  </r>
  <r>
    <d v="2023-04-06T15:02:02"/>
    <s v="India"/>
    <n v="401107"/>
    <x v="0"/>
    <s v="My Parents"/>
    <s v="No I would not be pursuing Higher Education outside of India"/>
    <s v="Will work for 3 years or more"/>
    <s v="No"/>
    <s v="Will work for them"/>
    <n v="7"/>
    <s v="Every Day Office Environment"/>
    <s v="Employer who pushes your limits by enabling an learning environment, and rewards you at the end"/>
    <x v="289"/>
    <s v="Manager who sets unrealistic targets"/>
    <x v="3"/>
    <x v="3"/>
  </r>
  <r>
    <d v="2023-04-06T15:05:43"/>
    <s v="India"/>
    <n v="122001"/>
    <x v="0"/>
    <s v="People from my circle, but not family members"/>
    <s v="No I would not be pursuing Higher Education outside of India"/>
    <s v="Will work for 3 years or more"/>
    <s v="Yes"/>
    <s v="Will NOT work for them"/>
    <n v="5"/>
    <s v="Fully Remote with Options to travel as and when needed"/>
    <s v="Employer who pushes your limits by enabling an learning environment, and rewards you at the end"/>
    <x v="322"/>
    <s v="Manager who sets goal and helps me achieve it"/>
    <x v="3"/>
    <x v="0"/>
  </r>
  <r>
    <d v="2023-04-06T15:23:49"/>
    <s v="India"/>
    <n v="400067"/>
    <x v="1"/>
    <s v="People who have changed the world for better"/>
    <s v="Yes, I will earn and do that"/>
    <s v="No way"/>
    <s v="No"/>
    <s v="Will NOT work for them"/>
    <n v="3"/>
    <s v="Hybrid Working Environment with more than 15 days a month at office"/>
    <s v="Employer who rewards learning and enables that environment"/>
    <x v="323"/>
    <s v="Manager who sets targets and expects me to achieve it"/>
    <x v="1"/>
    <x v="3"/>
  </r>
  <r>
    <d v="2023-04-06T15:33:51"/>
    <s v="United States of America"/>
    <n v="61455"/>
    <x v="0"/>
    <s v="My Parents"/>
    <s v="Yes, I will earn and do that"/>
    <s v="No way"/>
    <s v="Yes"/>
    <s v="Will NOT work for them"/>
    <n v="8"/>
    <s v="Fully Remote with Options to travel as and when needed"/>
    <s v="Employer who appreciates learning and enables that environment"/>
    <x v="256"/>
    <s v="Manager who clearly describes what she/he needs"/>
    <x v="1"/>
    <x v="0"/>
  </r>
  <r>
    <d v="2023-04-06T15:34:15"/>
    <s v="India"/>
    <n v="507115"/>
    <x v="0"/>
    <s v="My Parents"/>
    <s v="Yes, I will earn and do that"/>
    <s v="This will be hard to do, but if it is the right company I would try"/>
    <s v="No"/>
    <s v="Will NOT work for them"/>
    <n v="5"/>
    <s v="Fully Remote with Options to travel as and when needed"/>
    <s v="Employer who appreciates learning and enables that environment"/>
    <x v="217"/>
    <s v="Manager who clearly describes what she/he needs"/>
    <x v="12"/>
    <x v="3"/>
  </r>
  <r>
    <d v="2023-04-06T15:34:55"/>
    <s v="India"/>
    <n v="507002"/>
    <x v="0"/>
    <s v="People who have changed the world for better"/>
    <s v="Yes, I will earn and do that"/>
    <s v="Will work for 3 years or more"/>
    <s v="Yes"/>
    <s v="Will work for them"/>
    <n v="10"/>
    <s v="Hybrid Working Environment with less than 3 days a month at office"/>
    <s v="Employer who appreciates learning and enables that environment"/>
    <x v="275"/>
    <s v="Manager who sets goal and helps me achieve it"/>
    <x v="7"/>
    <x v="3"/>
  </r>
  <r>
    <d v="2023-04-06T15:36:19"/>
    <s v="India"/>
    <n v="380054"/>
    <x v="1"/>
    <s v="My Parents"/>
    <s v="No I would not be pursuing Higher Education outside of India"/>
    <s v="Will work for 3 years or more"/>
    <s v="Yes"/>
    <s v="Will NOT work for them"/>
    <n v="10"/>
    <s v="Every Day Office Environment"/>
    <s v="Employer who pushes your limits by enabling an learning environment, and rewards you at the end"/>
    <x v="324"/>
    <s v="Manager who explains what is expected, sets a goal and helps achieve it"/>
    <x v="7"/>
    <x v="2"/>
  </r>
  <r>
    <d v="2023-04-06T15:36:30"/>
    <s v="India"/>
    <n v="507001"/>
    <x v="0"/>
    <s v="Influencers who had successful careers"/>
    <s v="Yes, I will earn and do that"/>
    <s v="This will be hard to do, but if it is the right company I would try"/>
    <s v="No"/>
    <s v="Will NOT work for them"/>
    <n v="7"/>
    <s v="Fully Remote with Options to travel as and when needed"/>
    <s v="Employer who rewards learning and enables that environment"/>
    <x v="325"/>
    <s v="Manager who explains what is expected, sets a goal and helps achieve it"/>
    <x v="3"/>
    <x v="0"/>
  </r>
  <r>
    <d v="2023-04-06T15:36:46"/>
    <s v="India"/>
    <n v="560096"/>
    <x v="1"/>
    <s v="People who have changed the world for better"/>
    <s v="No, But if someone could bare the cost I will"/>
    <s v="This will be hard to do, but if it is the right company I would try"/>
    <s v="No"/>
    <s v="Will NOT work for them"/>
    <n v="5"/>
    <s v="Hybrid Working Environment with more than 15 days a month at office"/>
    <s v="Employer who rewards learning and enables that environment"/>
    <x v="292"/>
    <s v="Manager who explains what is expected, sets a goal and helps achieve it"/>
    <x v="2"/>
    <x v="3"/>
  </r>
  <r>
    <d v="2023-04-06T15:39:51"/>
    <s v="India"/>
    <n v="380006"/>
    <x v="0"/>
    <s v="People who have changed the world for better"/>
    <s v="No, But if someone could bare the cost I will"/>
    <s v="Will work for 3 years or more"/>
    <s v="No"/>
    <s v="Will NOT work for them"/>
    <n v="3"/>
    <s v="Fully Remote with Options to travel as and when needed"/>
    <s v="Employer who pushes your limits by enabling an learning environment, and rewards you at the end"/>
    <x v="326"/>
    <s v="Manager who explains what is expected, sets a goal and helps achieve it"/>
    <x v="1"/>
    <x v="0"/>
  </r>
  <r>
    <d v="2023-04-06T15:42:47"/>
    <s v="India"/>
    <n v="507001"/>
    <x v="1"/>
    <s v="Influencers who had successful careers"/>
    <s v="No I would not be pursuing Higher Education outside of India"/>
    <s v="This will be hard to do, but if it is the right company I would try"/>
    <s v="Yes"/>
    <s v="Will NOT work for them"/>
    <n v="6"/>
    <s v="Hybrid Working Environment with less than 3 days a month at office"/>
    <s v="Employer who rewards learning and enables that environment"/>
    <x v="112"/>
    <s v="Manager who explains what is expected, sets a goal and helps achieve it"/>
    <x v="3"/>
    <x v="3"/>
  </r>
  <r>
    <d v="2023-04-06T15:50:34"/>
    <s v="India"/>
    <n v="380026"/>
    <x v="0"/>
    <s v="My Parents"/>
    <s v="No I would not be pursuing Higher Education outside of India"/>
    <s v="This will be hard to do, but if it is the right company I would try"/>
    <s v="No"/>
    <s v="Will NOT work for them"/>
    <n v="5"/>
    <s v="Hybrid Working Environment with more than 15 days a month at office"/>
    <s v="Employer who rewards learning and enables that environment"/>
    <x v="327"/>
    <s v="Manager who sets goal and helps me achieve it"/>
    <x v="7"/>
    <x v="3"/>
  </r>
  <r>
    <d v="2023-04-06T16:09:21"/>
    <s v="Others"/>
    <n v="2911"/>
    <x v="1"/>
    <s v="People who have changed the world for better"/>
    <s v="Yes, I will earn and do that"/>
    <s v="Will work for 3 years or more"/>
    <s v="No"/>
    <s v="Will NOT work for them"/>
    <n v="10"/>
    <s v="Fully Remote with Options to travel as and when needed"/>
    <s v="Employer who appreciates learning and enables that environment"/>
    <x v="129"/>
    <s v="Manager who explains what is expected, sets a goal and helps achieve it"/>
    <x v="7"/>
    <x v="3"/>
  </r>
  <r>
    <d v="2023-04-06T16:15:09"/>
    <s v="India"/>
    <n v="380054"/>
    <x v="1"/>
    <s v="People from my circle, but not family members"/>
    <s v="Yes, I will earn and do that"/>
    <s v="Will work for 3 years or more"/>
    <s v="Yes"/>
    <s v="Will NOT work for them"/>
    <n v="9"/>
    <s v="Hybrid Working Environment with more than 15 days a month at office"/>
    <s v="Employer who rewards learning and enables that environment"/>
    <x v="276"/>
    <s v="Manager who explains what is expected, sets a goal and helps achieve it"/>
    <x v="1"/>
    <x v="2"/>
  </r>
  <r>
    <d v="2023-04-06T16:15:48"/>
    <s v="India"/>
    <n v="173212"/>
    <x v="0"/>
    <s v="My Parents"/>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105"/>
    <s v="Manager who explains what is expected, sets a goal and helps achieve it"/>
    <x v="3"/>
    <x v="3"/>
  </r>
  <r>
    <d v="2023-04-06T16:21:22"/>
    <s v="India"/>
    <n v="507002"/>
    <x v="1"/>
    <s v="People from my circle, but not family members"/>
    <s v="No I would not be pursuing Higher Education outside of India"/>
    <s v="Will work for 3 years or more"/>
    <s v="Yes"/>
    <s v="Will NOT work for them"/>
    <n v="10"/>
    <s v="Fully Remote with No option to visit offices"/>
    <s v="Employer who rewards learning and enables that environment"/>
    <x v="286"/>
    <s v="Manager who sets goal and helps me achieve it"/>
    <x v="0"/>
    <x v="3"/>
  </r>
  <r>
    <d v="2023-04-06T16:26:40"/>
    <s v="India"/>
    <n v="110001"/>
    <x v="1"/>
    <s v="People who have changed the world for better"/>
    <s v="Yes, I will earn and do that"/>
    <s v="Will work for 3 years or more"/>
    <s v="Yes"/>
    <s v="Will work for them"/>
    <n v="1"/>
    <s v="Every Day Office Environment"/>
    <s v="Employer who rewards learning and enables that environment"/>
    <x v="161"/>
    <s v="Manager who sets goal and helps me achieve it"/>
    <x v="7"/>
    <x v="3"/>
  </r>
  <r>
    <d v="2023-04-06T16:33:29"/>
    <s v="India"/>
    <n v="500032"/>
    <x v="0"/>
    <s v="People who have changed the world for better"/>
    <s v="Yes, I will earn and do that"/>
    <s v="Will work for 3 years or more"/>
    <s v="No"/>
    <s v="Will NOT work for them"/>
    <n v="5"/>
    <s v="Hybrid Working Environment with more than 15 days a month at office"/>
    <s v="Employer who pushes your limits by enabling an learning environment, and rewards you at the end"/>
    <x v="141"/>
    <s v="Manager who explains what is expected, sets a goal and helps achieve it"/>
    <x v="4"/>
    <x v="3"/>
  </r>
  <r>
    <d v="2023-04-06T17:01:42"/>
    <s v="India"/>
    <n v="110059"/>
    <x v="1"/>
    <s v="Influencers who had successful careers"/>
    <s v="Yes, I will earn and do that"/>
    <s v="Will work for 3 years or more"/>
    <s v="Yes"/>
    <s v="Will work for them"/>
    <n v="10"/>
    <s v="Fully Remote with Options to travel as and when needed"/>
    <s v="Employer who rewards learning and enables that environment"/>
    <x v="301"/>
    <s v="Manager who explains what is expected, sets a goal and helps achieve it"/>
    <x v="11"/>
    <x v="3"/>
  </r>
  <r>
    <d v="2023-04-06T17:07:24"/>
    <s v="India"/>
    <n v="110063"/>
    <x v="0"/>
    <s v="My Parents"/>
    <s v="Yes, I will earn and do that"/>
    <s v="Will work for 3 years or more"/>
    <s v="Yes"/>
    <s v="Will work for them"/>
    <n v="3"/>
    <s v="Hybrid Working Environment with less than 3 days a month at office"/>
    <s v="Employer who appreciates learning and enables that environment"/>
    <x v="328"/>
    <s v="Manager who sets targets and expects me to achieve it"/>
    <x v="4"/>
    <x v="3"/>
  </r>
  <r>
    <d v="2023-04-06T17:10:00"/>
    <s v="India"/>
    <n v="380007"/>
    <x v="1"/>
    <s v="My Parents"/>
    <s v="No I would not be pursuing Higher Education outside of India"/>
    <s v="This will be hard to do, but if it is the right company I would try"/>
    <s v="No"/>
    <s v="Will NOT work for them"/>
    <n v="2"/>
    <s v="Every Day Office Environment"/>
    <s v="Employer who rewards learning and enables that environment"/>
    <x v="329"/>
    <s v="Manager who clearly describes what she/he needs"/>
    <x v="1"/>
    <x v="0"/>
  </r>
  <r>
    <d v="2023-04-06T17:14:45"/>
    <s v="India"/>
    <n v="500032"/>
    <x v="0"/>
    <s v="My Parents"/>
    <s v="No, But if someone could bare the cost I will"/>
    <s v="Will work for 3 years or more"/>
    <s v="Yes"/>
    <s v="Will work for them"/>
    <n v="8"/>
    <s v="Fully Remote with No option to visit offices"/>
    <s v="Employer who pushes your limits by enabling an learning environment, and rewards you at the end"/>
    <x v="330"/>
    <s v="Manager who clearly describes what she/he needs"/>
    <x v="1"/>
    <x v="0"/>
  </r>
  <r>
    <d v="2023-04-06T17:24:29"/>
    <s v="India"/>
    <n v="507002"/>
    <x v="1"/>
    <s v="People who have changed the world for better"/>
    <s v="Yes, I will earn and do that"/>
    <s v="Will work for 3 years or more"/>
    <s v="Yes"/>
    <s v="Will work for them"/>
    <n v="7"/>
    <s v="Every Day Office Environment"/>
    <s v="Employer who pushes your limits by enabling an learning environment, and rewards you at the end"/>
    <x v="331"/>
    <s v="Manager who clearly describes what she/he needs"/>
    <x v="11"/>
    <x v="3"/>
  </r>
  <r>
    <d v="2023-04-06T17:35:25"/>
    <s v="India"/>
    <n v="641035"/>
    <x v="0"/>
    <s v="Influencers who had successful careers"/>
    <s v="No I would not be pursuing Higher Education outside of India"/>
    <s v="This will be hard to do, but if it is the right company I would try"/>
    <s v="No"/>
    <s v="Will work for them"/>
    <n v="3"/>
    <s v="Hybrid Working Environment with less than 3 days a month at office"/>
    <s v="Employer who appreciates learning and enables that environment"/>
    <x v="164"/>
    <s v="Manager who sets goal and helps me achieve it"/>
    <x v="7"/>
    <x v="3"/>
  </r>
  <r>
    <d v="2023-04-06T17:44:02"/>
    <s v="India"/>
    <n v="380058"/>
    <x v="1"/>
    <s v="My Parents"/>
    <s v="No I would not be pursuing Higher Education outside of India"/>
    <s v="This will be hard to do, but if it is the right company I would try"/>
    <s v="No"/>
    <s v="Will NOT work for them"/>
    <n v="1"/>
    <s v="Every Day Office Environment"/>
    <s v="Employer who appreciates learning and enables that environment"/>
    <x v="332"/>
    <s v="Manager who sets goal and helps me achieve it"/>
    <x v="1"/>
    <x v="3"/>
  </r>
  <r>
    <d v="2023-04-06T17:53:58"/>
    <s v="India"/>
    <n v="382330"/>
    <x v="0"/>
    <s v="People who have changed the world for better"/>
    <s v="Yes, I will earn and do that"/>
    <s v="This will be hard to do, but if it is the right company I would try"/>
    <s v="No"/>
    <s v="Will NOT work for them"/>
    <n v="9"/>
    <s v="Every Day Office Environment"/>
    <s v="Employer who pushes your limits by enabling an learning environment, and rewards you at the end"/>
    <x v="220"/>
    <s v="Manager who sets goal and helps me achieve it"/>
    <x v="3"/>
    <x v="2"/>
  </r>
  <r>
    <d v="2023-04-06T17:59:45"/>
    <s v="India"/>
    <n v="621214"/>
    <x v="0"/>
    <s v="People who have changed the world for better"/>
    <s v="Yes, I will earn and do that"/>
    <s v="This will be hard to do, but if it is the right company I would try"/>
    <s v="No"/>
    <s v="Will NOT work for them"/>
    <n v="1"/>
    <s v="Every Day Office Environment"/>
    <s v="Employer who pushes your limits by enabling an learning environment, and rewards you at the end"/>
    <x v="333"/>
    <s v="Manager who explains what is expected, sets a goal and helps achieve it"/>
    <x v="6"/>
    <x v="0"/>
  </r>
  <r>
    <d v="2023-04-06T18:08:41"/>
    <s v="India"/>
    <n v="110077"/>
    <x v="1"/>
    <s v="My Parents"/>
    <s v="No I would not be pursuing Higher Education outside of India"/>
    <s v="Will work for 3 years or more"/>
    <s v="No"/>
    <s v="Will NOT work for them"/>
    <n v="6"/>
    <s v="Hybrid Working Environment with more than 15 days a month at office"/>
    <s v="Employer who pushes your limits by enabling an learning environment, and rewards you at the end"/>
    <x v="334"/>
    <s v="Manager who sets targets and expects me to achieve it"/>
    <x v="9"/>
    <x v="3"/>
  </r>
  <r>
    <d v="2023-04-06T18:12:14"/>
    <s v="India"/>
    <n v="522101"/>
    <x v="1"/>
    <s v="People who have changed the world for better"/>
    <s v="No I would not be pursuing Higher Education outside of India"/>
    <s v="This will be hard to do, but if it is the right company I would try"/>
    <s v="No"/>
    <s v="Will NOT work for them"/>
    <n v="5"/>
    <s v="Fully Remote with No option to visit offices"/>
    <s v="Employer who pushes your limits by enabling an learning environment, and rewards you at the end"/>
    <x v="335"/>
    <s v="Manager who clearly describes what she/he needs"/>
    <x v="2"/>
    <x v="3"/>
  </r>
  <r>
    <d v="2023-04-06T18:15:00"/>
    <s v="India"/>
    <n v="500097"/>
    <x v="0"/>
    <s v="Social Media like LinkedIn"/>
    <s v="Yes, I will earn and do that"/>
    <s v="This will be hard to do, but if it is the right company I would try"/>
    <s v="No"/>
    <s v="Will NOT work for them"/>
    <n v="10"/>
    <s v="Hybrid Working Environment with more than 15 days a month at office"/>
    <s v="Employer who pushes your limits by enabling an learning environment, and rewards you at the end"/>
    <x v="108"/>
    <s v="Manager who explains what is expected, sets a goal and helps achieve it"/>
    <x v="21"/>
    <x v="3"/>
  </r>
  <r>
    <d v="2023-04-06T18:15:34"/>
    <s v="India"/>
    <n v="500086"/>
    <x v="1"/>
    <s v="My Parents"/>
    <s v="No I would not be pursuing Higher Education outside of India"/>
    <s v="This will be hard to do, but if it is the right company I would try"/>
    <s v="No"/>
    <s v="Will NOT work for them"/>
    <n v="4"/>
    <s v="Fully Remote with Options to travel as and when needed"/>
    <s v="Employer who pushes your limits by enabling an learning environment, and rewards you at the end"/>
    <x v="336"/>
    <s v="Manager who explains what is expected, sets a goal and helps achieve it"/>
    <x v="1"/>
    <x v="0"/>
  </r>
  <r>
    <d v="2023-04-06T18:16:25"/>
    <s v="India"/>
    <n v="623525"/>
    <x v="1"/>
    <s v="Social Media like LinkedIn"/>
    <s v="No I would not be pursuing Higher Education outside of India"/>
    <s v="This will be hard to do, but if it is the right company I would try"/>
    <s v="No"/>
    <s v="Will NOT work for them"/>
    <n v="1"/>
    <s v="Every Day Office Environment"/>
    <s v="Employer who appreciates learning and enables that environment"/>
    <x v="101"/>
    <s v="Manager who explains what is expected, sets a goal and helps achieve it"/>
    <x v="7"/>
    <x v="3"/>
  </r>
  <r>
    <d v="2023-04-06T18:32:41"/>
    <s v="Others"/>
    <n v="522236"/>
    <x v="0"/>
    <s v="Influencers who had successful careers"/>
    <s v="Yes, I will earn and do that"/>
    <s v="Will work for 3 years or more"/>
    <s v="Yes"/>
    <s v="Will work for them"/>
    <n v="10"/>
    <s v="Fully Remote with Options to travel as and when needed"/>
    <s v="Employer who pushes your limits by enabling an learning environment, and rewards you at the end"/>
    <x v="141"/>
    <s v="Manager who sets targets and expects me to achieve it"/>
    <x v="4"/>
    <x v="3"/>
  </r>
  <r>
    <d v="2023-04-06T18:36:15"/>
    <s v="India"/>
    <n v="522101"/>
    <x v="1"/>
    <s v="People from my circle, but not family members"/>
    <s v="No, But if someone could bare the cost I will"/>
    <s v="Will work for 3 years or more"/>
    <s v="Yes"/>
    <s v="Will work for them"/>
    <n v="7"/>
    <s v="Hybrid Working Environment with more than 15 days a month at office"/>
    <s v="Employer who appreciates learning and enables that environment"/>
    <x v="337"/>
    <s v="Manager who sets goal and helps me achieve it"/>
    <x v="1"/>
    <x v="3"/>
  </r>
  <r>
    <d v="2023-04-06T18:37:55"/>
    <s v="India"/>
    <n v="411060"/>
    <x v="1"/>
    <s v="People from my circle, but not family members"/>
    <s v="No, But if someone could bare the cost I will"/>
    <s v="This will be hard to do, but if it is the right company I would try"/>
    <s v="No"/>
    <s v="Will NOT work for them"/>
    <n v="7"/>
    <s v="Fully Remote with Options to travel as and when needed"/>
    <s v="Employer who appreciates learning and enables that environment"/>
    <x v="141"/>
    <s v="Manager who explains what is expected, sets a goal and helps achieve it"/>
    <x v="1"/>
    <x v="3"/>
  </r>
  <r>
    <d v="2023-04-06T18:45:46"/>
    <s v="India"/>
    <n v="500049"/>
    <x v="1"/>
    <s v="My Parents"/>
    <s v="Yes, I will earn and do that"/>
    <s v="This will be hard to do, but if it is the right company I would try"/>
    <s v="No"/>
    <s v="Will NOT work for them"/>
    <n v="6"/>
    <s v="Hybrid Working Environment with more than 15 days a month at office"/>
    <s v="Employer who appreciates learning and enables that environment"/>
    <x v="338"/>
    <s v="Manager who clearly describes what she/he needs"/>
    <x v="3"/>
    <x v="3"/>
  </r>
  <r>
    <d v="2023-04-06T18:57:04"/>
    <s v="India"/>
    <n v="523001"/>
    <x v="0"/>
    <s v="People who have changed the world for better"/>
    <s v="No I would not be pursuing Higher Education outside of India"/>
    <s v="No way"/>
    <s v="No"/>
    <s v="Will NOT work for them"/>
    <n v="1"/>
    <s v="Hybrid Working Environment with less than 3 days a month at office"/>
    <s v="Employer who pushes your limits by enabling an learning environment, and rewards you at the end"/>
    <x v="308"/>
    <s v="Manager who sets goal and helps me achieve it"/>
    <x v="1"/>
    <x v="0"/>
  </r>
  <r>
    <d v="2023-04-06T19:07:30"/>
    <s v="India"/>
    <n v="507002"/>
    <x v="0"/>
    <s v="People who have changed the world for better"/>
    <s v="Yes, I will earn and do that"/>
    <s v="This will be hard to do, but if it is the right company I would try"/>
    <s v="No"/>
    <s v="Will work for them"/>
    <n v="9"/>
    <s v="Fully Remote with Options to travel as and when needed"/>
    <s v="Employer who pushes your limits and doesn't enables learning environment and never rewards you"/>
    <x v="339"/>
    <s v="Manager who explains what is expected, sets a goal and helps achieve it"/>
    <x v="4"/>
    <x v="3"/>
  </r>
  <r>
    <d v="2023-04-06T19:25:34"/>
    <s v="India"/>
    <n v="380001"/>
    <x v="0"/>
    <s v="My Parents"/>
    <s v="No I would not be pursuing Higher Education outside of India"/>
    <s v="This will be hard to do, but if it is the right company I would try"/>
    <s v="No"/>
    <s v="Will NOT work for them"/>
    <n v="1"/>
    <s v="Every Day Office Environment"/>
    <s v="Employer who appreciates learning and enables that environment"/>
    <x v="340"/>
    <s v="Manager who sets targets and expects me to achieve it"/>
    <x v="3"/>
    <x v="2"/>
  </r>
  <r>
    <d v="2023-04-06T19:47:27"/>
    <s v="India"/>
    <n v="57001"/>
    <x v="0"/>
    <s v="My Parents"/>
    <s v="No I would not be pursuing Higher Education outside of India"/>
    <s v="This will be hard to do, but if it is the right company I would try"/>
    <s v="No"/>
    <s v="Will NOT work for them"/>
    <n v="7"/>
    <s v="Fully Remote with Options to travel as and when needed"/>
    <s v="Employer who pushes your limits by enabling an learning environment, and rewards you at the end"/>
    <x v="341"/>
    <s v="Manager who clearly describes what she/he needs"/>
    <x v="3"/>
    <x v="3"/>
  </r>
  <r>
    <d v="2023-04-06T19:52:53"/>
    <s v="India"/>
    <n v="521165"/>
    <x v="1"/>
    <s v="My Parents"/>
    <s v="No I would not be pursuing Higher Education outside of India"/>
    <s v="This will be hard to do, but if it is the right company I would try"/>
    <s v="No"/>
    <s v="Will NOT work for them"/>
    <n v="5"/>
    <s v="Every Day Office Environment"/>
    <s v="Employer who rewards learning and enables that environment"/>
    <x v="325"/>
    <s v="Manager who sets goal and helps me achieve it"/>
    <x v="3"/>
    <x v="2"/>
  </r>
  <r>
    <d v="2023-04-06T19:53:44"/>
    <s v="India"/>
    <n v="421306"/>
    <x v="0"/>
    <s v="People from my circle, but not family members"/>
    <s v="Yes, I will earn and do that"/>
    <s v="This will be hard to do, but if it is the right company I would try"/>
    <s v="No"/>
    <s v="Will NOT work for them"/>
    <n v="9"/>
    <s v="Fully Remote with Options to travel as and when needed"/>
    <s v="Employer who pushes your limits by enabling an learning environment, and rewards you at the end"/>
    <x v="342"/>
    <s v="Manager who explains what is expected, sets a goal and helps achieve it"/>
    <x v="8"/>
    <x v="3"/>
  </r>
  <r>
    <d v="2023-04-06T19:57:58"/>
    <s v="India"/>
    <n v="440024"/>
    <x v="1"/>
    <s v="People from my circle, but not family members"/>
    <s v="Yes, I will earn and do that"/>
    <s v="This will be hard to do, but if it is the right company I would try"/>
    <s v="No"/>
    <s v="Will work for them"/>
    <n v="5"/>
    <s v="Fully Remote with Options to travel as and when needed"/>
    <s v="Employer who pushes your limits by enabling an learning environment, and rewards you at the end"/>
    <x v="343"/>
    <s v="Manager who explains what is expected, sets a goal and helps achieve it"/>
    <x v="9"/>
    <x v="3"/>
  </r>
  <r>
    <d v="2023-04-06T20:03:47"/>
    <s v="India"/>
    <n v="400607"/>
    <x v="0"/>
    <s v="People who have changed the world for better"/>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188"/>
    <s v="Manager who sets targets and expects me to achieve it"/>
    <x v="2"/>
    <x v="2"/>
  </r>
  <r>
    <d v="2023-04-06T20:05:05"/>
    <s v="India"/>
    <n v="522001"/>
    <x v="0"/>
    <s v="People from my circle, but not family members"/>
    <s v="No I would not be pursuing Higher Education outside of India"/>
    <s v="Will work for 3 years or more"/>
    <s v="No"/>
    <s v="Will NOT work for them"/>
    <n v="7"/>
    <s v="Fully Remote with Options to travel as and when needed"/>
    <s v="Employer who pushes your limits by enabling an learning environment, and rewards you at the end"/>
    <x v="186"/>
    <s v="Manager who explains what is expected, sets a goal and helps achieve it"/>
    <x v="2"/>
    <x v="3"/>
  </r>
  <r>
    <d v="2023-04-06T20:13:34"/>
    <s v="India"/>
    <n v="400709"/>
    <x v="0"/>
    <s v="My Parents"/>
    <s v="No I would not be pursuing Higher Education outside of India"/>
    <s v="No way"/>
    <s v="Yes"/>
    <s v="Will work for them"/>
    <n v="3"/>
    <s v="Hybrid Working Environment with more than 15 days a month at office"/>
    <s v="Employer who pushes your limits and doesn't enables learning environment and never rewards you"/>
    <x v="143"/>
    <s v="Manager who sets targets and expects me to achieve it"/>
    <x v="16"/>
    <x v="4"/>
  </r>
  <r>
    <d v="2023-04-06T20:20:13"/>
    <s v="India"/>
    <s v="000000"/>
    <x v="1"/>
    <s v="People who have changed the world for better"/>
    <s v="No I would not be pursuing Higher Education outside of India"/>
    <s v="No way"/>
    <s v="Yes"/>
    <s v="Will work for them"/>
    <n v="5"/>
    <s v="Fully Remote with No option to visit offices"/>
    <s v="Employer who pushes your limits by enabling an learning environment, and rewards you at the end"/>
    <x v="96"/>
    <s v="Manager who sets unrealistic targets"/>
    <x v="7"/>
    <x v="2"/>
  </r>
  <r>
    <d v="2023-04-06T20:28:16"/>
    <s v="India"/>
    <n v="400068"/>
    <x v="0"/>
    <s v="My Parents"/>
    <s v="Yes, I will earn and do that"/>
    <s v="This will be hard to do, but if it is the right company I would try"/>
    <s v="Yes"/>
    <s v="Will NOT work for them"/>
    <n v="5"/>
    <s v="Hybrid Working Environment with more than 15 days a month at office"/>
    <s v="Employer who pushes your limits by enabling an learning environment, and rewards you at the end"/>
    <x v="97"/>
    <s v="Manager who explains what is expected, sets a goal and helps achieve it"/>
    <x v="15"/>
    <x v="0"/>
  </r>
  <r>
    <d v="2023-04-06T20:48:08"/>
    <s v="United States of America"/>
    <n v="44114"/>
    <x v="0"/>
    <s v="Influencers who had successful careers"/>
    <s v="Yes, I will earn and do that"/>
    <s v="This will be hard to do, but if it is the right company I would try"/>
    <s v="No"/>
    <s v="Will work for them"/>
    <n v="9"/>
    <s v="Hybrid Working Environment with less than 3 days a month at office"/>
    <s v="Employer who pushes your limits by enabling an learning environment, and rewards you at the end"/>
    <x v="344"/>
    <s v="Manager who explains what is expected, sets a goal and helps achieve it"/>
    <x v="1"/>
    <x v="3"/>
  </r>
  <r>
    <d v="2023-04-06T21:10:34"/>
    <s v="India"/>
    <n v="522212"/>
    <x v="1"/>
    <s v="People who have changed the world for better"/>
    <s v="No I would not be pursuing Higher Education outside of India"/>
    <s v="This will be hard to do, but if it is the right company I would try"/>
    <s v="No"/>
    <s v="Will NOT work for them"/>
    <n v="8"/>
    <s v="Every Day Office Environment"/>
    <s v="Employer who pushes your limits by enabling an learning environment, and rewards you at the end"/>
    <x v="124"/>
    <s v="Manager who explains what is expected, sets a goal and helps achieve it"/>
    <x v="1"/>
    <x v="3"/>
  </r>
  <r>
    <d v="2023-04-06T21:19:00"/>
    <s v="Others"/>
    <s v="02-781"/>
    <x v="1"/>
    <s v="People from my circle, but not family members"/>
    <s v="No I would not be pursuing Higher Education outside of India"/>
    <s v="Will work for 3 years or more"/>
    <s v="No"/>
    <s v="Will NOT work for them"/>
    <n v="1"/>
    <s v="Every Day Office Environment"/>
    <s v="Employer who rewards learning and enables that environment"/>
    <x v="345"/>
    <s v="Manager who explains what is expected, sets a goal and helps achieve it"/>
    <x v="4"/>
    <x v="3"/>
  </r>
  <r>
    <d v="2023-04-06T21:20:54"/>
    <s v="India"/>
    <n v="641105"/>
    <x v="0"/>
    <s v="People who have changed the world for better"/>
    <s v="No I would not be pursuing Higher Education outside of India"/>
    <s v="This will be hard to do, but if it is the right company I would try"/>
    <s v="Yes"/>
    <s v="Will work for them"/>
    <n v="10"/>
    <s v="Hybrid Working Environment with more than 15 days a month at office"/>
    <s v="Employer who pushes your limits by enabling an learning environment, and rewards you at the end"/>
    <x v="125"/>
    <s v="Manager who explains what is expected, sets a goal and helps achieve it"/>
    <x v="1"/>
    <x v="3"/>
  </r>
  <r>
    <d v="2023-04-06T21:33:57"/>
    <s v="India"/>
    <n v="400603"/>
    <x v="1"/>
    <s v="People from my circle, but not family members"/>
    <s v="Yes, I will earn and do that"/>
    <s v="This will be hard to do, but if it is the right company I would try"/>
    <s v="Yes"/>
    <s v="Will work for them"/>
    <n v="5"/>
    <s v="Hybrid Working Environment with less than 3 days a month at office"/>
    <s v="Employer who pushes your limits by enabling an learning environment, and rewards you at the end"/>
    <x v="188"/>
    <s v="Manager who explains what is expected, sets a goal and helps achieve it"/>
    <x v="3"/>
    <x v="0"/>
  </r>
  <r>
    <d v="2023-04-06T22:40:53"/>
    <s v="India"/>
    <n v="670002"/>
    <x v="0"/>
    <s v="Social Media like LinkedIn"/>
    <s v="Yes, I will earn and do that"/>
    <s v="Will work for 3 years or more"/>
    <s v="No"/>
    <s v="Will NOT work for them"/>
    <n v="1"/>
    <s v="Hybrid Working Environment with less than 3 days a month at office"/>
    <s v="Employer who rewards learning and enables that environment"/>
    <x v="346"/>
    <s v="Manager who sets targets and expects me to achieve it"/>
    <x v="4"/>
    <x v="3"/>
  </r>
  <r>
    <d v="2023-04-06T22:51:54"/>
    <s v="India"/>
    <n v="751012"/>
    <x v="0"/>
    <s v="People who have changed the world for better"/>
    <s v="Yes, I will earn and do that"/>
    <s v="Will work for 3 years or more"/>
    <s v="No"/>
    <s v="Will NOT work for them"/>
    <n v="8"/>
    <s v="Hybrid Working Environment with more than 15 days a month at office"/>
    <s v="Employer who appreciates learning and enables that environment"/>
    <x v="194"/>
    <s v="Manager who explains what is expected, sets a goal and helps achieve it"/>
    <x v="2"/>
    <x v="0"/>
  </r>
  <r>
    <d v="2023-04-06T23:37:19"/>
    <s v="India"/>
    <n v="400022"/>
    <x v="1"/>
    <s v="My Parents"/>
    <s v="Yes, I will earn and do that"/>
    <s v="No way"/>
    <s v="No"/>
    <s v="Will NOT work for them"/>
    <n v="5"/>
    <s v="Fully Remote with Options to travel as and when needed"/>
    <s v="Employer who appreciates learning and enables that environment"/>
    <x v="347"/>
    <s v="Manager who explains what is expected, sets a goal and helps achieve it"/>
    <x v="1"/>
    <x v="3"/>
  </r>
  <r>
    <d v="2023-04-07T00:01:58"/>
    <s v="India"/>
    <n v="688529"/>
    <x v="1"/>
    <s v="My Parents"/>
    <s v="Yes, I will earn and do that"/>
    <s v="This will be hard to do, but if it is the right company I would try"/>
    <s v="No"/>
    <s v="Will NOT work for them"/>
    <n v="8"/>
    <s v="Every Day Office Environment"/>
    <s v="Employer who pushes your limits by enabling an learning environment, and rewards you at the end"/>
    <x v="215"/>
    <s v="Manager who clearly describes what she/he needs"/>
    <x v="1"/>
    <x v="3"/>
  </r>
  <r>
    <d v="2023-04-07T00:32:44"/>
    <s v="India"/>
    <n v="190020"/>
    <x v="1"/>
    <s v="Social Media like LinkedIn"/>
    <s v="No I would not be pursuing Higher Education outside of India"/>
    <s v="No way"/>
    <s v="No"/>
    <s v="Will NOT work for them"/>
    <n v="10"/>
    <s v="Fully Remote with No option to visit offices"/>
    <s v="Employer who rewards learning and enables that environment"/>
    <x v="348"/>
    <s v="Manager who explains what is expected, sets a goal and helps achieve it"/>
    <x v="4"/>
    <x v="3"/>
  </r>
  <r>
    <d v="2023-04-07T01:24:17"/>
    <s v="India"/>
    <n v="500074"/>
    <x v="0"/>
    <s v="People who have changed the world for better"/>
    <s v="Yes, I will earn and do that"/>
    <s v="This will be hard to do, but if it is the right company I would try"/>
    <s v="No"/>
    <s v="Will NOT work for them"/>
    <n v="7"/>
    <s v="Fully Remote with No option to visit offices"/>
    <s v="Employer who pushes your limits by enabling an learning environment, and rewards you at the end"/>
    <x v="96"/>
    <s v="Manager who sets goal and helps me achieve it"/>
    <x v="3"/>
    <x v="3"/>
  </r>
  <r>
    <d v="2023-04-07T06:04:27"/>
    <s v="India"/>
    <n v="110078"/>
    <x v="0"/>
    <s v="My Parents"/>
    <s v="Yes, I will earn and do that"/>
    <s v="Will work for 3 years or more"/>
    <s v="No"/>
    <s v="Will NOT work for them"/>
    <n v="8"/>
    <s v="Every Day Office Environment"/>
    <s v="Employer who appreciates learning and enables that environment"/>
    <x v="109"/>
    <s v="Manager who clearly describes what she/he needs"/>
    <x v="1"/>
    <x v="3"/>
  </r>
  <r>
    <d v="2023-04-07T06:47:27"/>
    <s v="India"/>
    <n v="247667"/>
    <x v="1"/>
    <s v="People from my circle, but not family members"/>
    <s v="Yes, I will earn and do that"/>
    <s v="Will work for 3 years or more"/>
    <s v="No"/>
    <s v="Will NOT work for them"/>
    <n v="7"/>
    <s v="Fully Remote with Options to travel as and when needed"/>
    <s v="Employer who pushes your limits by enabling an learning environment, and rewards you at the end"/>
    <x v="174"/>
    <s v="Manager who explains what is expected, sets a goal and helps achieve it"/>
    <x v="2"/>
    <x v="0"/>
  </r>
  <r>
    <d v="2023-04-07T07:28:38"/>
    <s v="India"/>
    <n v="625010"/>
    <x v="1"/>
    <s v="Influencers who had successful careers"/>
    <s v="No, But if someone could bare the cost I will"/>
    <s v="Will work for 3 years or more"/>
    <s v="No"/>
    <s v="Will NOT work for them"/>
    <n v="5"/>
    <s v="Hybrid Working Environment with less than 3 days a month at office"/>
    <s v="Employer who rewards learning and enables that environment"/>
    <x v="337"/>
    <s v="Manager who explains what is expected, sets a goal and helps achieve it"/>
    <x v="4"/>
    <x v="0"/>
  </r>
  <r>
    <d v="2023-04-07T08:53:59"/>
    <s v="India"/>
    <n v="400607"/>
    <x v="1"/>
    <s v="Influencers who had successful careers"/>
    <s v="Yes, I will earn and do that"/>
    <s v="This will be hard to do, but if it is the right company I would try"/>
    <s v="Yes"/>
    <s v="Will NOT work for them"/>
    <n v="6"/>
    <s v="Fully Remote with Options to travel as and when needed"/>
    <s v="Employer who pushes your limits by enabling an learning environment, and rewards you at the end"/>
    <x v="262"/>
    <s v="Manager who clearly describes what she/he needs"/>
    <x v="5"/>
    <x v="3"/>
  </r>
  <r>
    <d v="2023-04-07T08:57:20"/>
    <s v="India"/>
    <n v="600125"/>
    <x v="0"/>
    <s v="People who have changed the world for better"/>
    <s v="No I would not be pursuing Higher Education outside of India"/>
    <s v="Will work for 3 years or more"/>
    <s v="No"/>
    <s v="Will NOT work for them"/>
    <n v="7"/>
    <s v="Every Day Office Environment"/>
    <s v="Employer who pushes your limits by enabling an learning environment, and rewards you at the end"/>
    <x v="153"/>
    <s v="Manager who clearly describes what she/he needs"/>
    <x v="4"/>
    <x v="0"/>
  </r>
  <r>
    <d v="2023-04-07T09:08:01"/>
    <s v="India"/>
    <n v="560043"/>
    <x v="0"/>
    <s v="People who have changed the world for better"/>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345"/>
    <s v="Manager who explains what is expected, sets a goal and helps achieve it"/>
    <x v="1"/>
    <x v="3"/>
  </r>
  <r>
    <d v="2023-04-07T10:41:23"/>
    <s v="India"/>
    <n v="400607"/>
    <x v="0"/>
    <s v="People from my circle, but not family members"/>
    <s v="No, But if someone could bare the cost I will"/>
    <s v="Will work for 3 years or more"/>
    <s v="Yes"/>
    <s v="Will NOT work for them"/>
    <n v="9"/>
    <s v="Hybrid Working Environment with less than 3 days a month at office"/>
    <s v="Employer who rewards learning and enables that environment"/>
    <x v="349"/>
    <s v="Manager who sets goal and helps me achieve it"/>
    <x v="3"/>
    <x v="2"/>
  </r>
  <r>
    <d v="2023-04-07T10:48:57"/>
    <s v="India"/>
    <n v="382424"/>
    <x v="1"/>
    <s v="People who have changed the world for better"/>
    <s v="Yes, I will earn and do that"/>
    <s v="Will work for 3 years or more"/>
    <s v="No"/>
    <s v="Will NOT work for them"/>
    <n v="5"/>
    <s v="Fully Remote with Options to travel as and when needed"/>
    <s v="Employer who pushes your limits by enabling an learning environment, and rewards you at the end"/>
    <x v="141"/>
    <s v="Manager who explains what is expected, sets a goal and helps achieve it"/>
    <x v="3"/>
    <x v="0"/>
  </r>
  <r>
    <d v="2023-04-07T11:10:41"/>
    <s v="India"/>
    <n v="400607"/>
    <x v="0"/>
    <s v="My Parents"/>
    <s v="Yes, I will earn and do that"/>
    <s v="No way"/>
    <s v="Yes"/>
    <s v="Will NOT work for them"/>
    <n v="6"/>
    <s v="Hybrid Working Environment with less than 3 days a month at office"/>
    <s v="Employer who appreciates learning and enables that environment"/>
    <x v="350"/>
    <s v="Manager who sets targets and expects me to achieve it"/>
    <x v="7"/>
    <x v="2"/>
  </r>
  <r>
    <d v="2023-04-07T11:22:17"/>
    <s v="India"/>
    <n v="400607"/>
    <x v="0"/>
    <s v="People who have changed the world for better"/>
    <s v="No I would not be pursuing Higher Education outside of India"/>
    <s v="This will be hard to do, but if it is the right company I would try"/>
    <s v="Yes"/>
    <s v="Will work for them"/>
    <n v="8"/>
    <s v="Hybrid Working Environment with more than 15 days a month at office"/>
    <s v="Employer who pushes your limits by enabling an learning environment, and rewards you at the end"/>
    <x v="153"/>
    <s v="Manager who explains what is expected, sets a goal and helps achieve it"/>
    <x v="4"/>
    <x v="3"/>
  </r>
  <r>
    <d v="2023-04-07T12:01:54"/>
    <s v="India"/>
    <n v="533001"/>
    <x v="0"/>
    <s v="Influencers who had successful careers"/>
    <s v="No I would not be pursuing Higher Education outside of India"/>
    <s v="This will be hard to do, but if it is the right company I would try"/>
    <s v="No"/>
    <s v="Will NOT work for them"/>
    <n v="10"/>
    <s v="Fully Remote with Options to travel as and when needed"/>
    <s v="Employer who pushes your limits by enabling an learning environment, and rewards you at the end"/>
    <x v="306"/>
    <s v="Manager who explains what is expected, sets a goal and helps achieve it"/>
    <x v="7"/>
    <x v="3"/>
  </r>
  <r>
    <d v="2023-04-07T12:14:14"/>
    <s v="India"/>
    <n v="612001"/>
    <x v="0"/>
    <s v="Influencers who had successful careers"/>
    <s v="Yes, I will earn and do that"/>
    <s v="Will work for 3 years or more"/>
    <s v="No"/>
    <s v="Will NOT work for them"/>
    <n v="8"/>
    <s v="Fully Remote with Options to travel as and when needed"/>
    <s v="Employer who appreciates learning and enables that environment"/>
    <x v="351"/>
    <s v="Manager who explains what is expected, sets a goal and helps achieve it"/>
    <x v="7"/>
    <x v="0"/>
  </r>
  <r>
    <d v="2023-04-07T12:38:25"/>
    <s v="India"/>
    <n v="441002"/>
    <x v="0"/>
    <s v="My Parents"/>
    <s v="No, But if someone could bare the cost I will"/>
    <s v="No way"/>
    <s v="No"/>
    <s v="Will NOT work for them"/>
    <n v="2"/>
    <s v="Fully Remote with No option to visit offices"/>
    <s v="Employer who appreciates learning and enables that environment"/>
    <x v="124"/>
    <s v="Manager who sets goal and helps me achieve it"/>
    <x v="7"/>
    <x v="0"/>
  </r>
  <r>
    <d v="2023-04-07T16:16:41"/>
    <s v="India"/>
    <n v="507001"/>
    <x v="0"/>
    <s v="My Parents"/>
    <s v="No, But if someone could bare the cost I will"/>
    <s v="Will work for 3 years or more"/>
    <s v="No"/>
    <s v="Will NOT work for them"/>
    <n v="4"/>
    <s v="Every Day Office Environment"/>
    <s v="Employer who appreciates learning and enables that environment"/>
    <x v="291"/>
    <s v="Manager who sets goal and helps me achieve it"/>
    <x v="1"/>
    <x v="3"/>
  </r>
  <r>
    <d v="2023-04-07T16:17:33"/>
    <s v="India"/>
    <n v="201310"/>
    <x v="1"/>
    <s v="My Parent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09"/>
    <s v="Manager who explains what is expected, sets a goal and helps achieve it"/>
    <x v="1"/>
    <x v="3"/>
  </r>
  <r>
    <d v="2023-04-07T16:55:35"/>
    <s v="India"/>
    <n v="221103"/>
    <x v="0"/>
    <s v="My Parents"/>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352"/>
    <s v="Manager who explains what is expected, sets a goal and helps achieve it"/>
    <x v="7"/>
    <x v="0"/>
  </r>
  <r>
    <d v="2023-04-07T17:44:45"/>
    <s v="India"/>
    <n v="221010"/>
    <x v="1"/>
    <s v="People who have changed the world for better"/>
    <s v="No I would not be pursuing Higher Education outside of India"/>
    <s v="This will be hard to do, but if it is the right company I would try"/>
    <s v="No"/>
    <s v="Will NOT work for them"/>
    <n v="4"/>
    <s v="Fully Remote with Options to travel as and when needed"/>
    <s v="Employer who appreciates learning and enables that environment"/>
    <x v="353"/>
    <s v="Manager who explains what is expected, sets a goal and helps achieve it"/>
    <x v="4"/>
    <x v="0"/>
  </r>
  <r>
    <d v="2023-04-07T17:50:28"/>
    <s v="India"/>
    <n v="251001"/>
    <x v="1"/>
    <s v="My Parents"/>
    <s v="No I would not be pursuing Higher Education outside of India"/>
    <s v="This will be hard to do, but if it is the right company I would try"/>
    <s v="No"/>
    <s v="Will NOT work for them"/>
    <n v="4"/>
    <s v="Fully Remote with Options to travel as and when needed"/>
    <s v="Employer who appreciates learning and enables that environment"/>
    <x v="95"/>
    <s v="Manager who explains what is expected, sets a goal and helps achieve it"/>
    <x v="3"/>
    <x v="3"/>
  </r>
  <r>
    <d v="2023-04-07T19:40:12"/>
    <s v="India"/>
    <n v="203001"/>
    <x v="1"/>
    <s v="My Parents"/>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140"/>
    <s v="Manager who explains what is expected, sets a goal and helps achieve it"/>
    <x v="3"/>
    <x v="3"/>
  </r>
  <r>
    <d v="2023-04-07T19:45:28"/>
    <s v="India"/>
    <n v="522508"/>
    <x v="0"/>
    <s v="My Parents"/>
    <s v="No I would not be pursuing Higher Education outside of India"/>
    <s v="Will work for 3 years or more"/>
    <s v="Yes"/>
    <s v="Will work for them"/>
    <n v="10"/>
    <s v="Every Day Office Environment"/>
    <s v="Employer who appreciates learning and enables that environment"/>
    <x v="354"/>
    <s v="Manager who sets goal and helps me achieve it"/>
    <x v="7"/>
    <x v="3"/>
  </r>
  <r>
    <d v="2023-04-07T19:46:24"/>
    <s v="India"/>
    <n v="243006"/>
    <x v="0"/>
    <s v="People who have changed the world for better"/>
    <s v="No I would not be pursuing Higher Education outside of India"/>
    <s v="This will be hard to do, but if it is the right company I would try"/>
    <s v="No"/>
    <s v="Will NOT work for them"/>
    <n v="1"/>
    <s v="Fully Remote with No option to visit offices"/>
    <s v="Employer who appreciates learning and enables that environment"/>
    <x v="156"/>
    <s v="Manager who explains what is expected, sets a goal and helps achieve it"/>
    <x v="6"/>
    <x v="3"/>
  </r>
  <r>
    <d v="2023-04-07T19:47:51"/>
    <s v="India"/>
    <n v="110076"/>
    <x v="1"/>
    <s v="People who have changed the world for better"/>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09"/>
    <s v="Manager who explains what is expected, sets a goal and helps achieve it"/>
    <x v="1"/>
    <x v="3"/>
  </r>
  <r>
    <d v="2023-04-07T19:57:24"/>
    <s v="India"/>
    <n v="227405"/>
    <x v="0"/>
    <s v="Influencers who had successful careers"/>
    <s v="Yes, I will earn and do that"/>
    <s v="Will work for 3 years or more"/>
    <s v="No"/>
    <s v="Will work for them"/>
    <n v="7"/>
    <s v="Hybrid Working Environment with more than 15 days a month at office"/>
    <s v="Employer who pushes your limits by enabling an learning environment, and rewards you at the end"/>
    <x v="174"/>
    <s v="Manager who explains what is expected, sets a goal and helps achieve it"/>
    <x v="0"/>
    <x v="0"/>
  </r>
  <r>
    <d v="2023-04-07T20:00:39"/>
    <s v="India"/>
    <n v="110084"/>
    <x v="1"/>
    <s v="My Parents"/>
    <s v="No I would not be pursuing Higher Education outside of India"/>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55"/>
    <s v="Manager who explains what is expected, sets a goal and helps achieve it"/>
    <x v="2"/>
    <x v="0"/>
  </r>
  <r>
    <d v="2023-04-07T20:05:04"/>
    <s v="India"/>
    <s v="0129"/>
    <x v="0"/>
    <s v="People from my circle, but not family members"/>
    <s v="Yes, I will earn and do that"/>
    <s v="This will be hard to do, but if it is the right company I would try"/>
    <s v="Yes"/>
    <s v="Will NOT work for them"/>
    <n v="10"/>
    <s v="Hybrid Working Environment with more than 15 days a month at office"/>
    <s v="Employer who pushes your limits by enabling an learning environment, and rewards you at the end"/>
    <x v="355"/>
    <s v="Manager who sets goal and helps me achieve it"/>
    <x v="0"/>
    <x v="0"/>
  </r>
  <r>
    <d v="2023-04-07T20:06:21"/>
    <s v="India"/>
    <n v="517501"/>
    <x v="1"/>
    <s v="My Parents"/>
    <s v="No, But if someone could bare the cost I will"/>
    <s v="This will be hard to do, but if it is the right company I would try"/>
    <s v="No"/>
    <s v="Will NOT work for them"/>
    <n v="7"/>
    <s v="Every Day Office Environment"/>
    <s v="Employer who pushes your limits by enabling an learning environment, and rewards you at the end"/>
    <x v="356"/>
    <s v="Manager who sets goal and helps me achieve it"/>
    <x v="1"/>
    <x v="3"/>
  </r>
  <r>
    <d v="2023-04-07T20:16:34"/>
    <s v="India"/>
    <n v="517503"/>
    <x v="1"/>
    <s v="Influencers who had successful careers"/>
    <s v="Yes, I will earn and do that"/>
    <s v="This will be hard to do, but if it is the right company I would try"/>
    <s v="No"/>
    <s v="Will NOT work for them"/>
    <n v="4"/>
    <s v="Every Day Office Environment"/>
    <s v="Employer who appreciates learning and enables that environment"/>
    <x v="170"/>
    <s v="Manager who explains what is expected, sets a goal and helps achieve it"/>
    <x v="1"/>
    <x v="3"/>
  </r>
  <r>
    <d v="2023-04-07T20:30:34"/>
    <s v="India"/>
    <n v="560087"/>
    <x v="0"/>
    <s v="People from my circle, but not family members"/>
    <s v="Yes, I will earn and do that"/>
    <s v="Will work for 3 years or more"/>
    <s v="Yes"/>
    <s v="Will NOT work for them"/>
    <n v="6"/>
    <s v="Hybrid Working Environment with more than 15 days a month at office"/>
    <s v="Employer who pushes your limits by enabling an learning environment, and rewards you at the end"/>
    <x v="125"/>
    <s v="Manager who explains what is expected, sets a goal and helps achieve it"/>
    <x v="15"/>
    <x v="3"/>
  </r>
  <r>
    <d v="2023-04-07T20:33:55"/>
    <s v="India"/>
    <n v="517510"/>
    <x v="1"/>
    <s v="Social Media like LinkedIn"/>
    <s v="Yes, I will earn and do that"/>
    <s v="Will work for 3 years or more"/>
    <s v="No"/>
    <s v="Will NOT work for them"/>
    <n v="10"/>
    <s v="Fully Remote with No option to visit offices"/>
    <s v="Employers who appreciates learning but doesn't enables an learning environment"/>
    <x v="264"/>
    <s v="Manager who sets unrealistic targets"/>
    <x v="7"/>
    <x v="4"/>
  </r>
  <r>
    <d v="2023-04-07T20:45:34"/>
    <s v="India"/>
    <n v="560087"/>
    <x v="1"/>
    <s v="People who have changed the world for better"/>
    <s v="No, But if someone could bare the cost I will"/>
    <s v="Will work for 3 years or more"/>
    <s v="Yes"/>
    <s v="Will NOT work for them"/>
    <n v="7"/>
    <s v="Hybrid Working Environment with less than 3 days a month at office"/>
    <s v="Employer who appreciates learning and enables that environment"/>
    <x v="357"/>
    <s v="Manager who explains what is expected, sets a goal and helps achieve it"/>
    <x v="7"/>
    <x v="3"/>
  </r>
  <r>
    <d v="2023-04-07T21:00:32"/>
    <s v="United States of America"/>
    <n v="99010"/>
    <x v="0"/>
    <s v="My Parents"/>
    <s v="No I would not be pursuing Higher Education outside of India"/>
    <s v="This will be hard to do, but if it is the right company I would try"/>
    <s v="No"/>
    <s v="Will NOT work for them"/>
    <n v="5"/>
    <s v="Fully Remote with Options to travel as and when needed"/>
    <s v="Employer who rewards learning and enables that environment"/>
    <x v="358"/>
    <s v="Manager who clearly describes what she/he needs"/>
    <x v="3"/>
    <x v="3"/>
  </r>
  <r>
    <d v="2023-04-07T21:06:54"/>
    <s v="India"/>
    <n v="110053"/>
    <x v="0"/>
    <s v="My Parents"/>
    <s v="No I would not be pursuing Higher Education outside of India"/>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359"/>
    <s v="Manager who clearly describes what she/he needs"/>
    <x v="1"/>
    <x v="0"/>
  </r>
  <r>
    <d v="2023-04-07T21:17:34"/>
    <s v="India"/>
    <n v="283204"/>
    <x v="1"/>
    <s v="Influencers who had successful careers"/>
    <s v="No I would not be pursuing Higher Education outside of India"/>
    <s v="Will work for 3 years or more"/>
    <s v="No"/>
    <s v="Will NOT work for them"/>
    <n v="5"/>
    <s v="Hybrid Working Environment with more than 15 days a month at office"/>
    <s v="Employer who appreciates learning and enables that environment"/>
    <x v="299"/>
    <s v="Manager who sets goal and helps me achieve it"/>
    <x v="1"/>
    <x v="0"/>
  </r>
  <r>
    <d v="2023-04-07T21:29:04"/>
    <s v="India"/>
    <n v="560094"/>
    <x v="1"/>
    <s v="Influencers who had successful careers"/>
    <s v="No, But if someone could bare the cost I will"/>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74"/>
    <s v="Manager who explains what is expected, sets a goal and helps achieve it"/>
    <x v="3"/>
    <x v="3"/>
  </r>
  <r>
    <d v="2023-04-07T21:42:32"/>
    <s v="India"/>
    <n v="110022"/>
    <x v="0"/>
    <s v="My Parents"/>
    <s v="No I would not be pursuing Higher Education outside of India"/>
    <s v="This will be hard to do, but if it is the right company I would try"/>
    <s v="No"/>
    <s v="Will work for them"/>
    <n v="5"/>
    <s v="Every Day Office Environment"/>
    <s v="Employer who appreciates learning and enables that environment"/>
    <x v="360"/>
    <s v="Manager who explains what is expected, sets a goal and helps achieve it"/>
    <x v="1"/>
    <x v="0"/>
  </r>
  <r>
    <d v="2023-04-07T21:46:27"/>
    <s v="India"/>
    <n v="560093"/>
    <x v="1"/>
    <s v="People who have changed the world for better"/>
    <s v="Yes, I will earn and do that"/>
    <s v="Will work for 3 years or more"/>
    <s v="Yes"/>
    <s v="Will NOT work for them"/>
    <n v="5"/>
    <s v="Hybrid Working Environment with less than 3 days a month at office"/>
    <s v="Employer who appreciates learning and enables that environment"/>
    <x v="361"/>
    <s v="Manager who sets goal and helps me achieve it"/>
    <x v="1"/>
    <x v="3"/>
  </r>
  <r>
    <d v="2023-04-07T21:59:07"/>
    <s v="India"/>
    <n v="245304"/>
    <x v="1"/>
    <s v="People who have changed the world for better"/>
    <s v="Yes, I will earn and do that"/>
    <s v="This will be hard to do, but if it is the right company I would try"/>
    <s v="Yes"/>
    <s v="Will work for them"/>
    <n v="1"/>
    <s v="Fully Remote with Options to travel as and when needed"/>
    <s v="Employer who pushes your limits by enabling an learning environment, and rewards you at the end"/>
    <x v="362"/>
    <s v="Manager who sets targets and expects me to achieve it"/>
    <x v="1"/>
    <x v="0"/>
  </r>
  <r>
    <d v="2023-04-07T22:10:26"/>
    <s v="India"/>
    <n v="226010"/>
    <x v="1"/>
    <s v="People who have changed the world for better"/>
    <s v="Yes, I will earn and do that"/>
    <s v="This will be hard to do, but if it is the right company I would try"/>
    <s v="No"/>
    <s v="Will NOT work for them"/>
    <n v="10"/>
    <s v="Hybrid Working Environment with more than 15 days a month at office"/>
    <s v="Employer who appreciates learning and enables that environment"/>
    <x v="363"/>
    <s v="Manager who sets goal and helps me achieve it"/>
    <x v="3"/>
    <x v="0"/>
  </r>
  <r>
    <d v="2023-04-07T22:17:11"/>
    <s v="India"/>
    <n v="201310"/>
    <x v="0"/>
    <s v="Influencers who had successful careers"/>
    <s v="No, But if someone could bare the cost I will"/>
    <s v="This will be hard to do, but if it is the right company I would try"/>
    <s v="Yes"/>
    <s v="Will work for them"/>
    <n v="9"/>
    <s v="Fully Remote with Options to travel as and when needed"/>
    <s v="Employer who pushes your limits by enabling an learning environment, and rewards you at the end"/>
    <x v="108"/>
    <s v="Manager who sets unrealistic targets"/>
    <x v="0"/>
    <x v="0"/>
  </r>
  <r>
    <d v="2023-04-07T22:43:27"/>
    <s v="India"/>
    <n v="600130"/>
    <x v="1"/>
    <s v="My Parents"/>
    <s v="No I would not be pursuing Higher Education outside of India"/>
    <s v="Will work for 3 years or more"/>
    <s v="No"/>
    <s v="Will NOT work for them"/>
    <n v="6"/>
    <s v="Fully Remote with Options to travel as and when needed"/>
    <s v="Employer who pushes your limits by enabling an learning environment, and rewards you at the end"/>
    <x v="183"/>
    <s v="Manager who explains what is expected, sets a goal and helps achieve it"/>
    <x v="3"/>
    <x v="3"/>
  </r>
  <r>
    <d v="2023-04-07T23:10:56"/>
    <s v="India"/>
    <n v="560055"/>
    <x v="1"/>
    <s v="My Parents"/>
    <s v="No I would not be pursuing Higher Education outside of India"/>
    <s v="Will work for 3 years or more"/>
    <s v="No"/>
    <s v="Will NOT work for them"/>
    <n v="1"/>
    <s v="Hybrid Working Environment with less than 3 days a month at office"/>
    <s v="Employer who appreciates learning and enables that environment"/>
    <x v="364"/>
    <s v="Manager who explains what is expected, sets a goal and helps achieve it"/>
    <x v="1"/>
    <x v="3"/>
  </r>
  <r>
    <d v="2023-04-07T23:15:14"/>
    <s v="India"/>
    <n v="400084"/>
    <x v="0"/>
    <s v="My Parents"/>
    <s v="No, But if someone could bare the cost I will"/>
    <s v="Will work for 3 years or more"/>
    <s v="No"/>
    <s v="Will NOT work for them"/>
    <n v="8"/>
    <s v="Hybrid Working Environment with more than 15 days a month at office"/>
    <s v="Employer who pushes your limits by enabling an learning environment, and rewards you at the end"/>
    <x v="141"/>
    <s v="Manager who explains what is expected, sets a goal and helps achieve it"/>
    <x v="1"/>
    <x v="3"/>
  </r>
  <r>
    <d v="2023-04-07T23:17:36"/>
    <s v="India"/>
    <n v="452016"/>
    <x v="1"/>
    <s v="Influencers who had successful careers"/>
    <s v="Yes, I will earn and do that"/>
    <s v="This will be hard to do, but if it is the right company I would try"/>
    <s v="Yes"/>
    <s v="Will work for them"/>
    <n v="4"/>
    <s v="Fully Remote with Options to travel as and when needed"/>
    <s v="Employer who pushes your limits by enabling an learning environment, and rewards you at the end"/>
    <x v="111"/>
    <s v="Manager who clearly describes what she/he needs"/>
    <x v="1"/>
    <x v="3"/>
  </r>
  <r>
    <d v="2023-04-07T23:23:07"/>
    <s v="India"/>
    <n v="211001"/>
    <x v="0"/>
    <s v="My Parents"/>
    <s v="No I would not be pursuing Higher Education outside of India"/>
    <s v="No way"/>
    <s v="No"/>
    <s v="Will NOT work for them"/>
    <n v="8"/>
    <s v="Every Day Office Environment"/>
    <s v="Employer who appreciates learning and enables that environment"/>
    <x v="167"/>
    <s v="Manager who clearly describes what she/he needs"/>
    <x v="15"/>
    <x v="3"/>
  </r>
  <r>
    <d v="2023-04-07T23:25:16"/>
    <s v="India"/>
    <n v="400067"/>
    <x v="0"/>
    <s v="My Parents"/>
    <s v="Yes, I will earn and do that"/>
    <s v="No way"/>
    <s v="Yes"/>
    <s v="Will NOT work for them"/>
    <n v="10"/>
    <s v="Fully Remote with No option to visit offices"/>
    <s v="Employer who rewards learning and enables that environment"/>
    <x v="365"/>
    <s v="Manager who explains what is expected, sets a goal and helps achieve it"/>
    <x v="3"/>
    <x v="3"/>
  </r>
  <r>
    <d v="2023-04-07T23:56:21"/>
    <s v="India"/>
    <n v="500041"/>
    <x v="1"/>
    <s v="People who have changed the world for better"/>
    <s v="Yes, I will earn and do that"/>
    <s v="This will be hard to do, but if it is the right company I would try"/>
    <s v="No"/>
    <s v="Will work for them"/>
    <n v="7"/>
    <s v="Fully Remote with Options to travel as and when needed"/>
    <s v="Employer who appreciates learning and enables that environment"/>
    <x v="214"/>
    <s v="Manager who clearly describes what she/he needs"/>
    <x v="0"/>
    <x v="3"/>
  </r>
  <r>
    <d v="2023-04-08T00:14:27"/>
    <s v="India"/>
    <n v="400086"/>
    <x v="0"/>
    <s v="My Parents"/>
    <s v="No I would not be pursuing Higher Education outside of India"/>
    <s v="No way"/>
    <s v="No"/>
    <s v="Will NOT work for them"/>
    <n v="1"/>
    <s v="Fully Remote with No option to visit offices"/>
    <s v="Employer who pushes your limits and doesn't enables learning environment and never rewards you"/>
    <x v="366"/>
    <s v="Manager who explains what is expected, sets a goal and helps achieve it"/>
    <x v="3"/>
    <x v="2"/>
  </r>
  <r>
    <d v="2023-04-08T00:32:27"/>
    <s v="India"/>
    <n v="411033"/>
    <x v="0"/>
    <s v="Influencers who had successful careers"/>
    <s v="No I would not be pursuing Higher Education outside of India"/>
    <s v="This will be hard to do, but if it is the right company I would try"/>
    <s v="Yes"/>
    <s v="Will NOT work for them"/>
    <n v="9"/>
    <s v="Fully Remote with Options to travel as and when needed"/>
    <s v="Employer who pushes your limits by enabling an learning environment, and rewards you at the end"/>
    <x v="367"/>
    <s v="Manager who sets unrealistic targets"/>
    <x v="2"/>
    <x v="0"/>
  </r>
  <r>
    <d v="2023-04-08T00:55:24"/>
    <s v="India"/>
    <n v="600031"/>
    <x v="0"/>
    <s v="People who have changed the world for better"/>
    <s v="No I would not be pursuing Higher Education outside of India"/>
    <s v="Will work for 3 years or more"/>
    <s v="No"/>
    <s v="Will NOT work for them"/>
    <n v="5"/>
    <s v="Hybrid Working Environment with more than 15 days a month at office"/>
    <s v="Employer who pushes your limits by enabling an learning environment, and rewards you at the end"/>
    <x v="182"/>
    <s v="Manager who explains what is expected, sets a goal and helps achieve it"/>
    <x v="2"/>
    <x v="3"/>
  </r>
  <r>
    <d v="2023-04-08T00:55:54"/>
    <s v="India"/>
    <n v="440009"/>
    <x v="0"/>
    <s v="Social Media like LinkedIn"/>
    <s v="Yes, I will earn and do that"/>
    <s v="Will work for 3 years or more"/>
    <s v="No"/>
    <s v="Will NOT work for them"/>
    <n v="5"/>
    <s v="Hybrid Working Environment with more than 15 days a month at office"/>
    <s v="Employer who pushes your limits by enabling an learning environment, and rewards you at the end"/>
    <x v="368"/>
    <s v="Manager who explains what is expected, sets a goal and helps achieve it"/>
    <x v="2"/>
    <x v="0"/>
  </r>
  <r>
    <d v="2023-04-08T00:59:30"/>
    <s v="India"/>
    <n v="60020"/>
    <x v="1"/>
    <s v="Social Media like LinkedIn"/>
    <s v="Yes, I will earn and do that"/>
    <s v="This will be hard to do, but if it is the right company I would try"/>
    <s v="Yes"/>
    <s v="Will work for them"/>
    <n v="10"/>
    <s v="Hybrid Working Environment with more than 15 days a month at office"/>
    <s v="Employer who rewards learning and enables that environment"/>
    <x v="111"/>
    <s v="Manager who clearly describes what she/he needs"/>
    <x v="2"/>
    <x v="3"/>
  </r>
  <r>
    <d v="2023-04-08T01:06:12"/>
    <s v="India"/>
    <n v="400701"/>
    <x v="1"/>
    <s v="People who have changed the world for better"/>
    <s v="No, But if someone could bare the cost I will"/>
    <s v="This will be hard to do, but if it is the right company I would try"/>
    <s v="No"/>
    <s v="Will work for them"/>
    <n v="7"/>
    <s v="Fully Remote with No option to visit offices"/>
    <s v="Employer who pushes your limits and doesn't enables learning environment and never rewards you"/>
    <x v="369"/>
    <s v="Manager who sets goal and helps me achieve it"/>
    <x v="0"/>
    <x v="0"/>
  </r>
  <r>
    <d v="2023-04-08T01:06:58"/>
    <s v="India"/>
    <n v="400024"/>
    <x v="0"/>
    <s v="People from my circle, but not family members"/>
    <s v="No, But if someone could bare the cost I will"/>
    <s v="Will work for 3 years or more"/>
    <s v="Yes"/>
    <s v="Will work for them"/>
    <n v="3"/>
    <s v="Hybrid Working Environment with less than 3 days a month at office"/>
    <s v="Employer who pushes your limits by enabling an learning environment, and rewards you at the end"/>
    <x v="368"/>
    <s v="Manager who explains what is expected, sets a goal and helps achieve it"/>
    <x v="5"/>
    <x v="3"/>
  </r>
  <r>
    <d v="2023-04-08T01:11:27"/>
    <s v="India"/>
    <n v="201009"/>
    <x v="0"/>
    <s v="People from my circle, but not family members"/>
    <s v="Yes, I will earn and do that"/>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97"/>
    <s v="Manager who explains what is expected, sets a goal and helps achieve it"/>
    <x v="1"/>
    <x v="3"/>
  </r>
  <r>
    <d v="2023-04-08T01:14:20"/>
    <s v="India"/>
    <n v="201002"/>
    <x v="0"/>
    <s v="Social Media like LinkedIn"/>
    <s v="Yes, I will earn and do that"/>
    <s v="This will be hard to do, but if it is the right company I would try"/>
    <s v="No"/>
    <s v="Will work for them"/>
    <n v="5"/>
    <s v="Fully Remote with Options to travel as and when needed"/>
    <s v="Employer who pushes your limits by enabling an learning environment, and rewards you at the end"/>
    <x v="140"/>
    <s v="Manager who explains what is expected, sets a goal and helps achieve it"/>
    <x v="23"/>
    <x v="3"/>
  </r>
  <r>
    <d v="2023-04-08T01:17:20"/>
    <s v="India"/>
    <n v="201309"/>
    <x v="0"/>
    <s v="Social Media like LinkedIn"/>
    <s v="No I would not be pursuing Higher Education outside of India"/>
    <s v="Will work for 3 years or more"/>
    <s v="No"/>
    <s v="Will NOT work for them"/>
    <n v="4"/>
    <s v="Fully Remote with Options to travel as and when needed"/>
    <s v="Employer who appreciates learning and enables that environment"/>
    <x v="132"/>
    <s v="Manager who clearly describes what she/he needs"/>
    <x v="1"/>
    <x v="3"/>
  </r>
  <r>
    <d v="2023-04-08T01:29:09"/>
    <s v="India"/>
    <n v="482020"/>
    <x v="0"/>
    <s v="People who have changed the world for better"/>
    <s v="Yes, I will earn and do that"/>
    <s v="This will be hard to do, but if it is the right company I would try"/>
    <s v="No"/>
    <s v="Will NOT work for them"/>
    <n v="7"/>
    <s v="Every Day Office Environment"/>
    <s v="Employer who pushes your limits by enabling an learning environment, and rewards you at the end"/>
    <x v="308"/>
    <s v="Manager who explains what is expected, sets a goal and helps achieve it"/>
    <x v="7"/>
    <x v="3"/>
  </r>
  <r>
    <d v="2023-04-08T01:43:29"/>
    <s v="India"/>
    <n v="500056"/>
    <x v="1"/>
    <s v="Influencers who had successful careers"/>
    <s v="No I would not be pursuing Higher Education outside of India"/>
    <s v="Will work for 3 years or more"/>
    <s v="Yes"/>
    <s v="Will work for them"/>
    <n v="5"/>
    <s v="Fully Remote with Options to travel as and when needed"/>
    <s v="Employer who rewards learning and enables that environment"/>
    <x v="222"/>
    <s v="Manager who clearly describes what she/he needs"/>
    <x v="1"/>
    <x v="3"/>
  </r>
  <r>
    <d v="2023-04-08T02:03:19"/>
    <s v="United Arab Emirates"/>
    <s v="00000"/>
    <x v="0"/>
    <s v="My Parents"/>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224"/>
    <s v="Manager who clearly describes what she/he needs"/>
    <x v="1"/>
    <x v="3"/>
  </r>
  <r>
    <d v="2023-04-08T03:29:12"/>
    <s v="India"/>
    <n v="560029"/>
    <x v="0"/>
    <s v="People from my circle, but not family members"/>
    <s v="No I would not be pursuing Higher Education outside of India"/>
    <s v="Will work for 3 years or more"/>
    <s v="Yes"/>
    <s v="Will NOT work for them"/>
    <n v="5"/>
    <s v="Fully Remote with Options to travel as and when needed"/>
    <s v="Employer who rewards learning and enables that environment"/>
    <x v="155"/>
    <s v="Manager who explains what is expected, sets a goal and helps achieve it"/>
    <x v="2"/>
    <x v="3"/>
  </r>
  <r>
    <d v="2023-04-08T04:17:37"/>
    <s v="India"/>
    <n v="400601"/>
    <x v="0"/>
    <s v="People who have changed the world for better"/>
    <s v="No, But if someone could bare the cost I will"/>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191"/>
    <s v="Manager who sets goal and helps me achieve it"/>
    <x v="1"/>
    <x v="0"/>
  </r>
  <r>
    <d v="2023-04-08T06:32:43"/>
    <s v="India"/>
    <n v="560004"/>
    <x v="1"/>
    <s v="My Parents"/>
    <s v="Yes, I will earn and do that"/>
    <s v="No way"/>
    <s v="Yes"/>
    <s v="Will NOT work for them"/>
    <n v="3"/>
    <s v="Hybrid Working Environment with more than 15 days a month at office"/>
    <s v="Employer who pushes your limits by enabling an learning environment, and rewards you at the end"/>
    <x v="370"/>
    <s v="Manager who sets goal and helps me achieve it"/>
    <x v="1"/>
    <x v="0"/>
  </r>
  <r>
    <d v="2023-04-08T06:38:07"/>
    <s v="India"/>
    <n v="781013"/>
    <x v="0"/>
    <s v="Social Media like LinkedIn"/>
    <s v="Yes, I will earn and do that"/>
    <s v="Will work for 3 years or more"/>
    <s v="Yes"/>
    <s v="Will work for them"/>
    <n v="3"/>
    <s v="Hybrid Working Environment with less than 3 days a month at office"/>
    <s v="Employer who appreciates learning and enables that environment"/>
    <x v="161"/>
    <s v="Manager who sets targets and expects me to achieve it"/>
    <x v="3"/>
    <x v="3"/>
  </r>
  <r>
    <d v="2023-04-08T06:47:20"/>
    <s v="India"/>
    <n v="400029"/>
    <x v="1"/>
    <s v="People who have changed the world for better"/>
    <s v="Yes, I will earn and do that"/>
    <s v="Will work for 3 years or more"/>
    <s v="No"/>
    <s v="Will NOT work for them"/>
    <n v="5"/>
    <s v="Fully Remote with Options to travel as and when needed"/>
    <s v="Employer who rewards learning and enables that environment"/>
    <x v="181"/>
    <s v="Manager who explains what is expected, sets a goal and helps achieve it"/>
    <x v="1"/>
    <x v="3"/>
  </r>
  <r>
    <d v="2023-04-08T07:10:55"/>
    <s v="India"/>
    <n v="500073"/>
    <x v="0"/>
    <s v="People who have changed the world for better"/>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233"/>
    <s v="Manager who clearly describes what she/he needs"/>
    <x v="7"/>
    <x v="3"/>
  </r>
  <r>
    <d v="2023-04-08T07:29:43"/>
    <s v="India"/>
    <n v="441601"/>
    <x v="0"/>
    <s v="My Parents"/>
    <s v="Yes, I will earn and do that"/>
    <s v="Will work for 3 years or more"/>
    <s v="Yes"/>
    <s v="Will NOT work for them"/>
    <n v="9"/>
    <s v="Hybrid Working Environment with more than 15 days a month at office"/>
    <s v="Employer who appreciates learning and enables that environment"/>
    <x v="111"/>
    <s v="Manager who explains what is expected, sets a goal and helps achieve it"/>
    <x v="1"/>
    <x v="0"/>
  </r>
  <r>
    <d v="2023-04-08T07:35:39"/>
    <s v="India"/>
    <n v="400066"/>
    <x v="1"/>
    <s v="My Parents"/>
    <s v="Yes, I will earn and do that"/>
    <s v="Will work for 3 years or more"/>
    <s v="No"/>
    <s v="Will NOT work for them"/>
    <n v="10"/>
    <s v="Fully Remote with Options to travel as and when needed"/>
    <s v="Employer who appreciates learning and enables that environment"/>
    <x v="371"/>
    <s v="Manager who clearly describes what she/he needs"/>
    <x v="3"/>
    <x v="3"/>
  </r>
  <r>
    <d v="2023-04-08T07:57:35"/>
    <s v="India"/>
    <n v="700102"/>
    <x v="0"/>
    <s v="People from my circle, but not family members"/>
    <s v="Yes, I will earn and do that"/>
    <s v="This will be hard to do, but if it is the right company I would try"/>
    <s v="No"/>
    <s v="Will NOT work for them"/>
    <n v="7"/>
    <s v="Hybrid Working Environment with more than 15 days a month at office"/>
    <s v="Employer who appreciates learning and enables that environment"/>
    <x v="111"/>
    <s v="Manager who clearly describes what she/he needs"/>
    <x v="9"/>
    <x v="3"/>
  </r>
  <r>
    <d v="2023-04-08T08:02:57"/>
    <s v="India"/>
    <n v="412308"/>
    <x v="0"/>
    <s v="My Parents"/>
    <s v="No, But if someone could bare the cost I will"/>
    <s v="Will work for 3 years or more"/>
    <s v="No"/>
    <s v="Will NOT work for them"/>
    <n v="7"/>
    <s v="Fully Remote with Options to travel as and when needed"/>
    <s v="Employer who pushes your limits by enabling an learning environment, and rewards you at the end"/>
    <x v="141"/>
    <s v="Manager who explains what is expected, sets a goal and helps achieve it"/>
    <x v="4"/>
    <x v="3"/>
  </r>
  <r>
    <d v="2023-04-08T08:06:05"/>
    <s v="India"/>
    <n v="313001"/>
    <x v="0"/>
    <s v="My Parents"/>
    <s v="Yes, I will earn and do that"/>
    <s v="This will be hard to do, but if it is the right company I would try"/>
    <s v="No"/>
    <s v="Will NOT work for them"/>
    <n v="1"/>
    <s v="Every Day Office Environment"/>
    <s v="Employer who appreciates learning and enables that environment"/>
    <x v="372"/>
    <s v="Manager who sets goal and helps me achieve it"/>
    <x v="1"/>
    <x v="0"/>
  </r>
  <r>
    <d v="2023-04-08T08:48:31"/>
    <s v="India"/>
    <n v="500039"/>
    <x v="1"/>
    <s v="Influencers who had successful careers"/>
    <s v="Yes, I will earn and do that"/>
    <s v="Will work for 3 years or more"/>
    <s v="Yes"/>
    <s v="Will work for them"/>
    <n v="8"/>
    <s v="Fully Remote with Options to travel as and when needed"/>
    <s v="Employer who appreciates learning and enables that environment"/>
    <x v="141"/>
    <s v="Manager who explains what is expected, sets a goal and helps achieve it"/>
    <x v="8"/>
    <x v="0"/>
  </r>
  <r>
    <d v="2023-04-08T09:02:11"/>
    <s v="India"/>
    <n v="580023"/>
    <x v="0"/>
    <s v="People who have changed the world for better"/>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110"/>
    <s v="Manager who explains what is expected, sets a goal and helps achieve it"/>
    <x v="1"/>
    <x v="3"/>
  </r>
  <r>
    <d v="2023-04-08T09:07:13"/>
    <s v="India"/>
    <n v="515211"/>
    <x v="0"/>
    <s v="People from my circle, but not family members"/>
    <s v="No I would not be pursuing Higher Education outside of India"/>
    <s v="Will work for 3 years or more"/>
    <s v="No"/>
    <s v="Will work for them"/>
    <n v="7"/>
    <s v="Every Day Office Environment"/>
    <s v="Employer who appreciates learning and enables that environment"/>
    <x v="373"/>
    <s v="Manager who sets targets and expects me to achieve it"/>
    <x v="1"/>
    <x v="3"/>
  </r>
  <r>
    <d v="2023-04-08T09:44:44"/>
    <s v="Others"/>
    <n v="75400"/>
    <x v="1"/>
    <s v="Influencers who had successful careers"/>
    <s v="Yes, I will earn and do that"/>
    <s v="Will work for 3 years or more"/>
    <s v="Yes"/>
    <s v="Will work for them"/>
    <n v="6"/>
    <s v="Hybrid Working Environment with less than 3 days a month at office"/>
    <s v="Employer who appreciates learning and enables that environment"/>
    <x v="343"/>
    <s v="Manager who explains what is expected, sets a goal and helps achieve it"/>
    <x v="3"/>
    <x v="3"/>
  </r>
  <r>
    <d v="2023-04-08T10:00:01"/>
    <s v="India"/>
    <n v="134109"/>
    <x v="0"/>
    <s v="People from my circle, but not family members"/>
    <s v="No, But if someone could bare the cost I will"/>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10"/>
    <s v="Manager who explains what is expected, sets a goal and helps achieve it"/>
    <x v="1"/>
    <x v="0"/>
  </r>
  <r>
    <d v="2023-04-08T10:00:05"/>
    <s v="India"/>
    <n v="517501"/>
    <x v="1"/>
    <s v="Influencers who had successful careers"/>
    <s v="Yes, I will earn and do that"/>
    <s v="This will be hard to do, but if it is the right company I would try"/>
    <s v="Yes"/>
    <s v="Will NOT work for them"/>
    <n v="3"/>
    <s v="Hybrid Working Environment with more than 15 days a month at office"/>
    <s v="Employer who pushes your limits by enabling an learning environment, and rewards you at the end"/>
    <x v="142"/>
    <s v="Manager who explains what is expected, sets a goal and helps achieve it"/>
    <x v="5"/>
    <x v="0"/>
  </r>
  <r>
    <d v="2023-04-08T10:04:27"/>
    <s v="India"/>
    <n v="600036"/>
    <x v="0"/>
    <s v="People from my circle, but not family members"/>
    <s v="No, But if someone could bare the cost I will"/>
    <s v="Will work for 3 years or more"/>
    <s v="No"/>
    <s v="Will NOT work for them"/>
    <n v="8"/>
    <s v="Hybrid Working Environment with less than 3 days a month at office"/>
    <s v="Employer who pushes your limits by enabling an learning environment, and rewards you at the end"/>
    <x v="171"/>
    <s v="Manager who explains what is expected, sets a goal and helps achieve it"/>
    <x v="3"/>
    <x v="0"/>
  </r>
  <r>
    <d v="2023-04-08T10:19:10"/>
    <s v="India"/>
    <n v="751007"/>
    <x v="0"/>
    <s v="My Parents"/>
    <s v="Yes, I will earn and do that"/>
    <s v="This will be hard to do, but if it is the right company I would try"/>
    <s v="No"/>
    <s v="Will NOT work for them"/>
    <n v="7"/>
    <s v="Fully Remote with Options to travel as and when needed"/>
    <s v="Employer who pushes your limits by enabling an learning environment, and rewards you at the end"/>
    <x v="188"/>
    <s v="Manager who clearly describes what she/he needs"/>
    <x v="4"/>
    <x v="3"/>
  </r>
  <r>
    <d v="2023-04-08T10:32:54"/>
    <s v="India"/>
    <n v="700091"/>
    <x v="1"/>
    <s v="People from my circle, but not family members"/>
    <s v="No I would not be pursuing Higher Education outside of India"/>
    <s v="Will work for 3 years or more"/>
    <s v="No"/>
    <s v="Will NOT work for them"/>
    <n v="7"/>
    <s v="Hybrid Working Environment with more than 15 days a month at office"/>
    <s v="Employer who pushes your limits by enabling an learning environment, and rewards you at the end"/>
    <x v="368"/>
    <s v="Manager who explains what is expected, sets a goal and helps achieve it"/>
    <x v="2"/>
    <x v="3"/>
  </r>
  <r>
    <d v="2023-04-08T10:33:08"/>
    <s v="India"/>
    <n v="600015"/>
    <x v="0"/>
    <s v="People from my circle, but not family members"/>
    <s v="Yes, I will earn and do that"/>
    <s v="This will be hard to do, but if it is the right company I would try"/>
    <s v="Yes"/>
    <s v="Will work for them"/>
    <n v="7"/>
    <s v="Hybrid Working Environment with more than 15 days a month at office"/>
    <s v="Employer who appreciates learning and enables that environment"/>
    <x v="374"/>
    <s v="Manager who explains what is expected, sets a goal and helps achieve it"/>
    <x v="8"/>
    <x v="3"/>
  </r>
  <r>
    <d v="2023-04-08T10:54:05"/>
    <s v="India"/>
    <n v="530051"/>
    <x v="1"/>
    <s v="People who have changed the world for better"/>
    <s v="No I would not be pursuing Higher Education outside of India"/>
    <s v="This will be hard to do, but if it is the right company I would try"/>
    <s v="No"/>
    <s v="Will NOT work for them"/>
    <n v="9"/>
    <s v="Fully Remote with Options to travel as and when needed"/>
    <s v="Employer who pushes your limits by enabling an learning environment, and rewards you at the end"/>
    <x v="375"/>
    <s v="Manager who clearly describes what she/he needs"/>
    <x v="20"/>
    <x v="3"/>
  </r>
  <r>
    <d v="2023-04-08T11:12:42"/>
    <s v="India"/>
    <n v="600095"/>
    <x v="0"/>
    <s v="People who have changed the world for better"/>
    <s v="No I would not be pursuing Higher Education outside of India"/>
    <s v="Will work for 3 years or more"/>
    <s v="No"/>
    <s v="Will NOT work for them"/>
    <n v="7"/>
    <s v="Every Day Office Environment"/>
    <s v="Employer who appreciates learning and enables that environment"/>
    <x v="180"/>
    <s v="Manager who clearly describes what she/he needs"/>
    <x v="14"/>
    <x v="3"/>
  </r>
  <r>
    <d v="2023-04-08T11:15:25"/>
    <s v="India"/>
    <n v="442902"/>
    <x v="1"/>
    <s v="People who have changed the world for better"/>
    <s v="No, But if someone could bare the cost I will"/>
    <s v="This will be hard to do, but if it is the right company I would try"/>
    <s v="Yes"/>
    <s v="Will NOT work for them"/>
    <n v="10"/>
    <s v="Every Day Office Environment"/>
    <s v="Employer who appreciates learning and enables that environment"/>
    <x v="376"/>
    <s v="Manager who sets goal and helps me achieve it"/>
    <x v="3"/>
    <x v="3"/>
  </r>
  <r>
    <d v="2023-04-08T11:37:32"/>
    <s v="India"/>
    <n v="500060"/>
    <x v="0"/>
    <s v="People who have changed the world for better"/>
    <s v="No, But if someone could bare the cost I will"/>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10"/>
    <s v="Manager who explains what is expected, sets a goal and helps achieve it"/>
    <x v="1"/>
    <x v="2"/>
  </r>
  <r>
    <d v="2023-04-08T11:41:41"/>
    <s v="India"/>
    <n v="522202"/>
    <x v="0"/>
    <s v="My Parent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32"/>
    <s v="Manager who sets goal and helps me achieve it"/>
    <x v="2"/>
    <x v="3"/>
  </r>
  <r>
    <d v="2023-04-08T11:50:10"/>
    <s v="India"/>
    <n v="110058"/>
    <x v="0"/>
    <s v="My Parents"/>
    <s v="Yes, I will earn and do that"/>
    <s v="Will work for 3 years or more"/>
    <s v="No"/>
    <s v="Will NOT work for them"/>
    <n v="5"/>
    <s v="Hybrid Working Environment with less than 3 days a month at office"/>
    <s v="Employer who pushes your limits by enabling an learning environment, and rewards you at the end"/>
    <x v="320"/>
    <s v="Manager who explains what is expected, sets a goal and helps achieve it"/>
    <x v="1"/>
    <x v="3"/>
  </r>
  <r>
    <d v="2023-04-08T12:01:35"/>
    <s v="India"/>
    <n v="110089"/>
    <x v="1"/>
    <s v="My Parents"/>
    <s v="No I would not be pursuing Higher Education outside of India"/>
    <s v="Will work for 3 years or more"/>
    <s v="No"/>
    <s v="Will NOT work for them"/>
    <n v="9"/>
    <s v="Every Day Office Environment"/>
    <s v="Employer who pushes your limits by enabling an learning environment, and rewards you at the end"/>
    <x v="164"/>
    <s v="Manager who explains what is expected, sets a goal and helps achieve it"/>
    <x v="11"/>
    <x v="0"/>
  </r>
  <r>
    <d v="2023-04-08T12:11:00"/>
    <s v="India"/>
    <n v="600117"/>
    <x v="0"/>
    <s v="Influencers who had successful careers"/>
    <s v="Yes, I will earn and do that"/>
    <s v="This will be hard to do, but if it is the right company I would try"/>
    <s v="No"/>
    <s v="Will NOT work for them"/>
    <n v="3"/>
    <s v="Hybrid Working Environment with less than 3 days a month at office"/>
    <s v="Employer who rewards learning and enables that environment"/>
    <x v="161"/>
    <s v="Manager who sets goal and helps me achieve it"/>
    <x v="3"/>
    <x v="3"/>
  </r>
  <r>
    <d v="2023-04-08T12:15:29"/>
    <s v="India"/>
    <n v="600042"/>
    <x v="0"/>
    <s v="My Parents"/>
    <s v="Yes, I will earn and do that"/>
    <s v="This will be hard to do, but if it is the right company I would try"/>
    <s v="No"/>
    <s v="Will NOT work for them"/>
    <n v="6"/>
    <s v="Every Day Office Environment"/>
    <s v="Employer who pushes your limits by enabling an learning environment, and rewards you at the end"/>
    <x v="207"/>
    <s v="Manager who sets goal and helps me achieve it"/>
    <x v="3"/>
    <x v="0"/>
  </r>
  <r>
    <d v="2023-04-08T12:24:36"/>
    <s v="India"/>
    <n v="753010"/>
    <x v="0"/>
    <s v="Influencers who had successful careers"/>
    <s v="No I would not be pursuing Higher Education outside of India"/>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41"/>
    <s v="Manager who sets targets and expects me to achieve it"/>
    <x v="3"/>
    <x v="3"/>
  </r>
  <r>
    <d v="2023-04-08T12:35:02"/>
    <s v="India"/>
    <n v="600100"/>
    <x v="0"/>
    <s v="Influencers who had successful careers"/>
    <s v="No, But if someone could bare the cost I will"/>
    <s v="This will be hard to do, but if it is the right company I would try"/>
    <s v="No"/>
    <s v="Will work for them"/>
    <n v="4"/>
    <s v="Fully Remote with Options to travel as and when needed"/>
    <s v="Employer who appreciates learning and enables that environment"/>
    <x v="377"/>
    <s v="Manager who explains what is expected, sets a goal and helps achieve it"/>
    <x v="3"/>
    <x v="3"/>
  </r>
  <r>
    <d v="2023-04-08T12:43:17"/>
    <s v="India"/>
    <n v="560034"/>
    <x v="0"/>
    <s v="People who have changed the world for better"/>
    <s v="No, But if someone could bare the cost I will"/>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266"/>
    <s v="Manager who explains what is expected, sets a goal and helps achieve it"/>
    <x v="3"/>
    <x v="3"/>
  </r>
  <r>
    <d v="2023-04-08T13:03:59"/>
    <s v="India"/>
    <n v="410203"/>
    <x v="0"/>
    <s v="Social Media like LinkedIn"/>
    <s v="Yes, I will earn and do that"/>
    <s v="Will work for 3 years or more"/>
    <s v="No"/>
    <s v="Will NOT work for them"/>
    <n v="5"/>
    <s v="Fully Remote with Options to travel as and when needed"/>
    <s v="Employer who pushes your limits by enabling an learning environment, and rewards you at the end"/>
    <x v="111"/>
    <s v="Manager who explains what is expected, sets a goal and helps achieve it"/>
    <x v="1"/>
    <x v="3"/>
  </r>
  <r>
    <d v="2023-04-08T13:17:57"/>
    <s v="India"/>
    <n v="152025"/>
    <x v="1"/>
    <s v="People from my circle, but not family members"/>
    <s v="Yes, I will earn and do that"/>
    <s v="This will be hard to do, but if it is the right company I would try"/>
    <s v="No"/>
    <s v="Will NOT work for them"/>
    <n v="3"/>
    <s v="Fully Remote with Options to travel as and when needed"/>
    <s v="Employer who pushes your limits by enabling an learning environment, and rewards you at the end"/>
    <x v="200"/>
    <s v="Manager who explains what is expected, sets a goal and helps achieve it"/>
    <x v="4"/>
    <x v="3"/>
  </r>
  <r>
    <d v="2023-04-08T13:19:32"/>
    <s v="India"/>
    <n v="400018"/>
    <x v="0"/>
    <s v="People from my circle, but not family members"/>
    <s v="No I would not be pursuing Higher Education outside of India"/>
    <s v="Will work for 3 years or more"/>
    <s v="Yes"/>
    <s v="Will NOT work for them"/>
    <n v="6"/>
    <s v="Fully Remote with Options to travel as and when needed"/>
    <s v="Employer who pushes your limits by enabling an learning environment, and rewards you at the end"/>
    <x v="378"/>
    <s v="Manager who explains what is expected, sets a goal and helps achieve it"/>
    <x v="0"/>
    <x v="3"/>
  </r>
  <r>
    <d v="2023-04-08T13:50:40"/>
    <s v="India"/>
    <n v="560050"/>
    <x v="0"/>
    <s v="People from my circle, but not family members"/>
    <s v="Yes, I will earn and do that"/>
    <s v="This will be hard to do, but if it is the right company I would try"/>
    <s v="No"/>
    <s v="Will NOT work for them"/>
    <n v="4"/>
    <s v="Every Day Office Environment"/>
    <s v="Employer who pushes your limits by enabling an learning environment, and rewards you at the end"/>
    <x v="379"/>
    <s v="Manager who sets targets and expects me to achieve it"/>
    <x v="1"/>
    <x v="3"/>
  </r>
  <r>
    <d v="2023-04-08T14:27:20"/>
    <s v="India"/>
    <n v="583104"/>
    <x v="0"/>
    <s v="My Parents"/>
    <s v="No, But if someone could bare the cost I will"/>
    <s v="Will work for 3 years or more"/>
    <s v="No"/>
    <s v="Will NOT work for them"/>
    <n v="8"/>
    <s v="Fully Remote with Options to travel as and when needed"/>
    <s v="Employer who pushes your limits by enabling an learning environment, and rewards you at the end"/>
    <x v="263"/>
    <s v="Manager who explains what is expected, sets a goal and helps achieve it"/>
    <x v="1"/>
    <x v="3"/>
  </r>
  <r>
    <d v="2023-04-08T14:50:30"/>
    <s v="Others"/>
    <n v="92"/>
    <x v="0"/>
    <s v="People who have changed the world for better"/>
    <s v="Yes, I will earn and do that"/>
    <s v="No way"/>
    <s v="No"/>
    <s v="Will NOT work for them"/>
    <n v="2"/>
    <s v="Fully Remote with Options to travel as and when needed"/>
    <s v="Employer who rewards learning and enables that environment"/>
    <x v="380"/>
    <s v="Manager who sets targets and expects me to achieve it"/>
    <x v="3"/>
    <x v="3"/>
  </r>
  <r>
    <d v="2023-04-08T14:52:07"/>
    <s v="India"/>
    <n v="571201"/>
    <x v="0"/>
    <s v="People who have changed the world for better"/>
    <s v="Yes, I will earn and do that"/>
    <s v="Will work for 3 years or more"/>
    <s v="No"/>
    <s v="Will work for them"/>
    <n v="1"/>
    <s v="Every Day Office Environment"/>
    <s v="Employer who pushes your limits by enabling an learning environment, and rewards you at the end"/>
    <x v="381"/>
    <s v="Manager who explains what is expected, sets a goal and helps achieve it"/>
    <x v="7"/>
    <x v="3"/>
  </r>
  <r>
    <d v="2023-04-08T15:06:56"/>
    <s v="India"/>
    <n v="641007"/>
    <x v="1"/>
    <s v="Influencers who had successful careers"/>
    <s v="No, But if someone could bare the cost I will"/>
    <s v="This will be hard to do, but if it is the right company I would try"/>
    <s v="Yes"/>
    <s v="Will work for them"/>
    <n v="5"/>
    <s v="Hybrid Working Environment with more than 15 days a month at office"/>
    <s v="Employer who rewards learning and enables that environment"/>
    <x v="382"/>
    <s v="Manager who explains what is expected, sets a goal and helps achieve it"/>
    <x v="1"/>
    <x v="3"/>
  </r>
  <r>
    <d v="2023-04-08T15:54:53"/>
    <s v="India"/>
    <n v="121002"/>
    <x v="0"/>
    <s v="People who have changed the world for better"/>
    <s v="Yes, I will earn and do that"/>
    <s v="This will be hard to do, but if it is the right company I would try"/>
    <s v="Yes"/>
    <s v="Will work for them"/>
    <n v="8"/>
    <s v="Hybrid Working Environment with less than 3 days a month at office"/>
    <s v="Employer who pushes your limits by enabling an learning environment, and rewards you at the end"/>
    <x v="113"/>
    <s v="Manager who explains what is expected, sets a goal and helps achieve it"/>
    <x v="16"/>
    <x v="3"/>
  </r>
  <r>
    <d v="2023-04-08T17:02:06"/>
    <s v="India"/>
    <n v="600100"/>
    <x v="0"/>
    <s v="Influencers who had successful careers"/>
    <s v="No, But if someone could bare the cost I will"/>
    <s v="This will be hard to do, but if it is the right company I would try"/>
    <s v="Yes"/>
    <s v="Will NOT work for them"/>
    <n v="4"/>
    <s v="Hybrid Working Environment with more than 15 days a month at office"/>
    <s v="Employer who rewards learning and enables that environment"/>
    <x v="131"/>
    <s v="Manager who explains what is expected, sets a goal and helps achieve it"/>
    <x v="1"/>
    <x v="0"/>
  </r>
  <r>
    <d v="2023-04-08T17:28:34"/>
    <s v="India"/>
    <n v="600100"/>
    <x v="1"/>
    <s v="Social Media like LinkedIn"/>
    <s v="No I would not be pursuing Higher Education outside of India"/>
    <s v="This will be hard to do, but if it is the right company I would try"/>
    <s v="No"/>
    <s v="Will work for them"/>
    <n v="2"/>
    <s v="Hybrid Working Environment with more than 15 days a month at office"/>
    <s v="Employer who appreciates learning and enables that environment"/>
    <x v="118"/>
    <s v="Manager who sets goal and helps me achieve it"/>
    <x v="1"/>
    <x v="0"/>
  </r>
  <r>
    <d v="2023-04-08T17:29:04"/>
    <s v="United Arab Emirates"/>
    <s v="00000"/>
    <x v="1"/>
    <s v="People who have changed the world for better"/>
    <s v="Yes, I will earn and do that"/>
    <s v="This will be hard to do, but if it is the right company I would try"/>
    <s v="No"/>
    <s v="Will NOT work for them"/>
    <n v="5"/>
    <s v="Every Day Office Environment"/>
    <s v="Employer who appreciates learning and enables that environment"/>
    <x v="166"/>
    <s v="Manager who sets targets and expects me to achieve it"/>
    <x v="7"/>
    <x v="3"/>
  </r>
  <r>
    <d v="2023-04-08T17:54:54"/>
    <s v="India"/>
    <n v="623525"/>
    <x v="1"/>
    <s v="My Parents"/>
    <s v="Yes, I will earn and do that"/>
    <s v="Will work for 3 years or more"/>
    <s v="No"/>
    <s v="Will NOT work for them"/>
    <n v="3"/>
    <s v="Every Day Office Environment"/>
    <s v="Employer who appreciates learning and enables that environment"/>
    <x v="328"/>
    <s v="Manager who sets targets and expects me to achieve it"/>
    <x v="6"/>
    <x v="3"/>
  </r>
  <r>
    <d v="2023-04-08T17:56:15"/>
    <s v="India"/>
    <n v="623525"/>
    <x v="1"/>
    <s v="Influencers who had successful careers"/>
    <s v="No, But if someone could bare the cost I will"/>
    <s v="This will be hard to do, but if it is the right company I would try"/>
    <s v="No"/>
    <s v="Will NOT work for them"/>
    <n v="6"/>
    <s v="Every Day Office Environment"/>
    <s v="Employer who rewards learning and enables that environment"/>
    <x v="284"/>
    <s v="Manager who sets goal and helps me achieve it"/>
    <x v="3"/>
    <x v="3"/>
  </r>
  <r>
    <d v="2023-04-08T18:09:30"/>
    <s v="India"/>
    <n v="231001"/>
    <x v="0"/>
    <s v="Influencers who had successful careers"/>
    <s v="No I would not be pursuing Higher Education outside of India"/>
    <s v="This will be hard to do, but if it is the right company I would try"/>
    <s v="No"/>
    <s v="Will NOT work for them"/>
    <n v="7"/>
    <s v="Fully Remote with No option to visit offices"/>
    <s v="Employer who appreciates learning and enables that environment"/>
    <x v="114"/>
    <s v="Manager who sets goal and helps me achieve it"/>
    <x v="4"/>
    <x v="0"/>
  </r>
  <r>
    <d v="2023-04-08T18:15:43"/>
    <s v="India"/>
    <n v="313001"/>
    <x v="1"/>
    <s v="People who have changed the world for better"/>
    <s v="No I would not be pursuing Higher Education outside of India"/>
    <s v="Will work for 3 years or more"/>
    <s v="No"/>
    <s v="Will NOT work for them"/>
    <n v="1"/>
    <s v="Every Day Office Environment"/>
    <s v="Employer who pushes your limits by enabling an learning environment, and rewards you at the end"/>
    <x v="383"/>
    <s v="Manager who explains what is expected, sets a goal and helps achieve it"/>
    <x v="18"/>
    <x v="2"/>
  </r>
  <r>
    <d v="2023-04-08T19:00:45"/>
    <s v="India"/>
    <n v="628901"/>
    <x v="1"/>
    <s v="My Parents"/>
    <s v="Yes, I will earn and do that"/>
    <s v="This will be hard to do, but if it is the right company I would try"/>
    <s v="Yes"/>
    <s v="Will work for them"/>
    <n v="5"/>
    <s v="Hybrid Working Environment with less than 3 days a month at office"/>
    <s v="Employer who rewards learning and enables that environment"/>
    <x v="384"/>
    <s v="Manager who clearly describes what she/he needs"/>
    <x v="3"/>
    <x v="0"/>
  </r>
  <r>
    <d v="2023-04-08T20:13:31"/>
    <s v="India"/>
    <n v="600117"/>
    <x v="0"/>
    <s v="People who have changed the world for better"/>
    <s v="Yes, I will earn and do that"/>
    <s v="Will work for 3 years or more"/>
    <s v="No"/>
    <s v="Will NOT work for them"/>
    <n v="5"/>
    <s v="Hybrid Working Environment with less than 3 days a month at office"/>
    <s v="Employer who rewards learning and enables that environment"/>
    <x v="114"/>
    <s v="Manager who explains what is expected, sets a goal and helps achieve it"/>
    <x v="3"/>
    <x v="3"/>
  </r>
  <r>
    <d v="2023-04-08T20:46:47"/>
    <s v="India"/>
    <n v="623525"/>
    <x v="0"/>
    <s v="Influencers who had successful careers"/>
    <s v="No, But if someone could bare the cost I will"/>
    <s v="No way"/>
    <s v="Yes"/>
    <s v="Will work for them"/>
    <n v="3"/>
    <s v="Every Day Office Environment"/>
    <s v="Employer who pushes your limits by enabling an learning environment, and rewards you at the end"/>
    <x v="371"/>
    <s v="Manager who sets targets and expects me to achieve it"/>
    <x v="6"/>
    <x v="3"/>
  </r>
  <r>
    <d v="2023-04-08T21:01:49"/>
    <s v="India"/>
    <n v="382002"/>
    <x v="0"/>
    <s v="People from my circle, but not family members"/>
    <s v="No, But if someone could bare the cost I will"/>
    <s v="Will work for 3 years or more"/>
    <s v="Yes"/>
    <s v="Will NOT work for them"/>
    <n v="7"/>
    <s v="Hybrid Working Environment with more than 15 days a month at office"/>
    <s v="Employer who pushes your limits by enabling an learning environment, and rewards you at the end"/>
    <x v="179"/>
    <s v="Manager who sets goal and helps me achieve it"/>
    <x v="6"/>
    <x v="3"/>
  </r>
  <r>
    <d v="2023-04-08T21:04:34"/>
    <s v="Canada"/>
    <s v="K0AK4P"/>
    <x v="1"/>
    <s v="People who have changed the world for better"/>
    <s v="Yes, I will earn and do that"/>
    <s v="Will work for 3 years or more"/>
    <s v="Yes"/>
    <s v="Will NOT work for them"/>
    <n v="9"/>
    <s v="Fully Remote with No option to visit offices"/>
    <s v="Employer who pushes your limits by enabling an learning environment, and rewards you at the end"/>
    <x v="385"/>
    <s v="Manager who explains what is expected, sets a goal and helps achieve it"/>
    <x v="6"/>
    <x v="3"/>
  </r>
  <r>
    <d v="2023-04-08T23:05:16"/>
    <s v="India"/>
    <s v="-"/>
    <x v="1"/>
    <s v="Influencers who had successful careers"/>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01"/>
    <s v="Manager who explains what is expected, sets a goal and helps achieve it"/>
    <x v="3"/>
    <x v="0"/>
  </r>
  <r>
    <d v="2023-04-09T02:41:26"/>
    <s v="India"/>
    <n v="431001"/>
    <x v="0"/>
    <s v="Influencers who had successful careers"/>
    <s v="Yes, I will earn and do that"/>
    <s v="This will be hard to do, but if it is the right company I would try"/>
    <s v="Yes"/>
    <s v="Will NOT work for them"/>
    <n v="5"/>
    <s v="Fully Remote with Options to travel as and when needed"/>
    <s v="Employer who pushes your limits by enabling an learning environment, and rewards you at the end"/>
    <x v="174"/>
    <s v="Manager who explains what is expected, sets a goal and helps achieve it"/>
    <x v="1"/>
    <x v="3"/>
  </r>
  <r>
    <d v="2023-04-09T07:34:30"/>
    <s v="India"/>
    <n v="505327"/>
    <x v="0"/>
    <s v="People who have changed the world for better"/>
    <s v="Yes, I will earn and do that"/>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197"/>
    <s v="Manager who explains what is expected, sets a goal and helps achieve it"/>
    <x v="1"/>
    <x v="3"/>
  </r>
  <r>
    <d v="2023-04-09T09:43:17"/>
    <s v="India"/>
    <n v="410505"/>
    <x v="0"/>
    <s v="Influencers who had successful careers"/>
    <s v="No I would not be pursuing Higher Education outside of India"/>
    <s v="Will work for 3 years or more"/>
    <s v="Yes"/>
    <s v="Will NOT work for them"/>
    <n v="6"/>
    <s v="Hybrid Working Environment with less than 3 days a month at office"/>
    <s v="Employer who pushes your limits by enabling an learning environment, and rewards you at the end"/>
    <x v="217"/>
    <s v="Manager who explains what is expected, sets a goal and helps achieve it"/>
    <x v="1"/>
    <x v="0"/>
  </r>
  <r>
    <d v="2023-04-09T11:19:27"/>
    <s v="India"/>
    <n v="575013"/>
    <x v="1"/>
    <s v="Social Media like LinkedIn"/>
    <s v="Yes, I will earn and do that"/>
    <s v="This will be hard to do, but if it is the right company I would try"/>
    <s v="No"/>
    <s v="Will NOT work for them"/>
    <n v="2"/>
    <s v="Fully Remote with Options to travel as and when needed"/>
    <s v="Employer who pushes your limits by enabling an learning environment, and rewards you at the end"/>
    <x v="188"/>
    <s v="Manager who explains what is expected, sets a goal and helps achieve it"/>
    <x v="2"/>
    <x v="3"/>
  </r>
  <r>
    <d v="2023-04-09T14:10:29"/>
    <s v="India"/>
    <n v="442902"/>
    <x v="0"/>
    <s v="My Parents"/>
    <s v="Yes, I will earn and do that"/>
    <s v="No way"/>
    <s v="No"/>
    <s v="Will NOT work for them"/>
    <n v="1"/>
    <s v="Fully Remote with Options to travel as and when needed"/>
    <s v="Employer who appreciates learning and enables that environment"/>
    <x v="223"/>
    <s v="Manager who sets unrealistic targets"/>
    <x v="2"/>
    <x v="0"/>
  </r>
  <r>
    <d v="2023-04-09T14:15:56"/>
    <s v="India"/>
    <n v="442902"/>
    <x v="1"/>
    <s v="Influencers who had successful careers"/>
    <s v="No, But if someone could bare the cost I will"/>
    <s v="This will be hard to do, but if it is the right company I would try"/>
    <s v="Yes"/>
    <s v="Will work for them"/>
    <n v="8"/>
    <s v="Fully Remote with Options to travel as and when needed"/>
    <s v="Employer who pushes your limits and doesn't enables learning environment and never rewards you"/>
    <x v="386"/>
    <s v="Manager who explains what is expected, sets a goal and helps achieve it"/>
    <x v="1"/>
    <x v="0"/>
  </r>
  <r>
    <d v="2023-04-09T15:15:11"/>
    <s v="India"/>
    <n v="411902"/>
    <x v="0"/>
    <s v="Influencers who had successful careers"/>
    <s v="No I would not be pursuing Higher Education outside of India"/>
    <s v="No way"/>
    <s v="Yes"/>
    <s v="Will work for them"/>
    <n v="5"/>
    <s v="Hybrid Working Environment with more than 15 days a month at office"/>
    <s v="Employer who pushes your limits by enabling an learning environment, and rewards you at the end"/>
    <x v="191"/>
    <s v="Manager who sets goal and helps me achieve it"/>
    <x v="1"/>
    <x v="3"/>
  </r>
  <r>
    <d v="2023-04-09T16:35:40"/>
    <s v="India"/>
    <n v="224001"/>
    <x v="0"/>
    <s v="My Parents"/>
    <s v="Yes, I will earn and do that"/>
    <s v="Will work for 3 years or more"/>
    <s v="Yes"/>
    <s v="Will work for them"/>
    <n v="5"/>
    <s v="Fully Remote with Options to travel as and when needed"/>
    <s v="Employer who pushes your limits by enabling an learning environment, and rewards you at the end"/>
    <x v="387"/>
    <s v="Manager who sets goal and helps me achieve it"/>
    <x v="3"/>
    <x v="3"/>
  </r>
  <r>
    <d v="2023-04-09T16:37:45"/>
    <s v="India"/>
    <n v="201009"/>
    <x v="1"/>
    <s v="My Parents"/>
    <s v="Yes, I will earn and do that"/>
    <s v="Will work for 3 years or more"/>
    <s v="No"/>
    <s v="Will work for them"/>
    <n v="10"/>
    <s v="Every Day Office Environment"/>
    <s v="Employer who appreciates learning and enables that environment"/>
    <x v="174"/>
    <s v="Manager who clearly describes what she/he needs"/>
    <x v="7"/>
    <x v="3"/>
  </r>
  <r>
    <d v="2023-04-09T16:38:11"/>
    <s v="India"/>
    <n v="224001"/>
    <x v="1"/>
    <s v="People from my circle, but not family members"/>
    <s v="Yes, I will earn and do that"/>
    <s v="Will work for 3 years or more"/>
    <s v="No"/>
    <s v="Will work for them"/>
    <n v="3"/>
    <s v="Every Day Office Environment"/>
    <s v="Employer who appreciates learning and enables that environment"/>
    <x v="200"/>
    <s v="Manager who sets targets and expects me to achieve it"/>
    <x v="2"/>
    <x v="3"/>
  </r>
  <r>
    <d v="2023-04-09T16:40:09"/>
    <s v="India"/>
    <n v="122002"/>
    <x v="0"/>
    <s v="My Parents"/>
    <s v="Yes, I will earn and do that"/>
    <s v="This will be hard to do, but if it is the right company I would try"/>
    <s v="No"/>
    <s v="Will NOT work for them"/>
    <n v="3"/>
    <s v="Hybrid Working Environment with less than 3 days a month at office"/>
    <s v="Employer who pushes your limits by enabling an learning environment, and rewards you at the end"/>
    <x v="201"/>
    <s v="Manager who explains what is expected, sets a goal and helps achieve it"/>
    <x v="4"/>
    <x v="3"/>
  </r>
  <r>
    <d v="2023-04-09T16:42:39"/>
    <s v="India"/>
    <n v="201310"/>
    <x v="0"/>
    <s v="People who have changed the world for better"/>
    <s v="No, But if someone could bare the cost I will"/>
    <s v="Will work for 3 years or more"/>
    <s v="No"/>
    <s v="Will NOT work for them"/>
    <n v="5"/>
    <s v="Fully Remote with Options to travel as and when needed"/>
    <s v="Employer who rewards learning and enables that environment"/>
    <x v="388"/>
    <s v="Manager who explains what is expected, sets a goal and helps achieve it"/>
    <x v="4"/>
    <x v="3"/>
  </r>
  <r>
    <d v="2023-04-09T17:09:52"/>
    <s v="India"/>
    <n v="110096"/>
    <x v="0"/>
    <s v="People from my circle, but not family members"/>
    <s v="No I would not be pursuing Higher Education outside of India"/>
    <s v="Will work for 3 years or more"/>
    <s v="No"/>
    <s v="Will NOT work for them"/>
    <n v="5"/>
    <s v="Hybrid Working Environment with more than 15 days a month at office"/>
    <s v="Employer who pushes your limits by enabling an learning environment, and rewards you at the end"/>
    <x v="316"/>
    <s v="Manager who explains what is expected, sets a goal and helps achieve it"/>
    <x v="2"/>
    <x v="0"/>
  </r>
  <r>
    <d v="2023-04-09T17:18:36"/>
    <s v="India"/>
    <n v="421306"/>
    <x v="1"/>
    <s v="My Parents"/>
    <s v="Yes, I will earn and do that"/>
    <s v="This will be hard to do, but if it is the right company I would try"/>
    <s v="No"/>
    <s v="Will NOT work for them"/>
    <n v="8"/>
    <s v="Fully Remote with Options to travel as and when needed"/>
    <s v="Employer who appreciates learning and enables that environment"/>
    <x v="389"/>
    <s v="Manager who explains what is expected, sets a goal and helps achieve it"/>
    <x v="7"/>
    <x v="3"/>
  </r>
  <r>
    <d v="2023-04-09T17:27:28"/>
    <s v="India"/>
    <n v="247667"/>
    <x v="0"/>
    <s v="People from my circle, but not family members"/>
    <s v="No I would not be pursuing Higher Education outside of India"/>
    <s v="Will work for 3 years or more"/>
    <s v="No"/>
    <s v="Will work for them"/>
    <n v="1"/>
    <s v="Every Day Office Environment"/>
    <s v="Employer who rewards learning and enables that environment"/>
    <x v="174"/>
    <s v="Manager who sets targets and expects me to achieve it"/>
    <x v="6"/>
    <x v="0"/>
  </r>
  <r>
    <d v="2023-04-09T17:52:50"/>
    <s v="India"/>
    <n v="250002"/>
    <x v="0"/>
    <s v="People who have changed the world for better"/>
    <s v="No, But if someone could bare the cost I will"/>
    <s v="This will be hard to do, but if it is the right company I would try"/>
    <s v="No"/>
    <s v="Will NOT work for them"/>
    <n v="9"/>
    <s v="Hybrid Working Environment with more than 15 days a month at office"/>
    <s v="Employer who pushes your limits by enabling an learning environment, and rewards you at the end"/>
    <x v="316"/>
    <s v="Manager who explains what is expected, sets a goal and helps achieve it"/>
    <x v="14"/>
    <x v="3"/>
  </r>
  <r>
    <d v="2023-04-09T18:24:30"/>
    <s v="India"/>
    <n v="500032"/>
    <x v="0"/>
    <s v="People from my circle, but not family members"/>
    <s v="Yes, I will earn and do that"/>
    <s v="This will be hard to do, but if it is the right company I would try"/>
    <s v="No"/>
    <s v="Will NOT work for them"/>
    <n v="1"/>
    <s v="Hybrid Working Environment with less than 3 days a month at office"/>
    <s v="Employer who pushes your limits by enabling an learning environment, and rewards you at the end"/>
    <x v="390"/>
    <s v="Manager who explains what is expected, sets a goal and helps achieve it"/>
    <x v="3"/>
    <x v="3"/>
  </r>
  <r>
    <d v="2023-04-09T19:22:11"/>
    <s v="India"/>
    <n v="600042"/>
    <x v="0"/>
    <s v="People who have changed the world for better"/>
    <s v="Yes, I will earn and do that"/>
    <s v="This will be hard to do, but if it is the right company I would try"/>
    <s v="Yes"/>
    <s v="Will NOT work for them"/>
    <n v="4"/>
    <s v="Hybrid Working Environment with more than 15 days a month at office"/>
    <s v="Employer who pushes your limits by enabling an learning environment, and rewards you at the end"/>
    <x v="391"/>
    <s v="Manager who explains what is expected, sets a goal and helps achieve it"/>
    <x v="2"/>
    <x v="2"/>
  </r>
  <r>
    <d v="2023-04-09T19:33:31"/>
    <s v="India"/>
    <n v="250001"/>
    <x v="1"/>
    <s v="My Parents"/>
    <s v="No, But if someone could bare the cost I will"/>
    <s v="Will work for 3 years or more"/>
    <s v="No"/>
    <s v="Will NOT work for them"/>
    <n v="1"/>
    <s v="Fully Remote with Options to travel as and when needed"/>
    <s v="Employer who appreciates learning and enables that environment"/>
    <x v="179"/>
    <s v="Manager who explains what is expected, sets a goal and helps achieve it"/>
    <x v="19"/>
    <x v="0"/>
  </r>
  <r>
    <d v="2023-04-09T20:42:30"/>
    <s v="India"/>
    <n v="110059"/>
    <x v="1"/>
    <s v="People who have changed the world for better"/>
    <s v="No I would not be pursuing Higher Education outside of India"/>
    <s v="This will be hard to do, but if it is the right company I would try"/>
    <s v="No"/>
    <s v="Will NOT work for them"/>
    <n v="3"/>
    <s v="Hybrid Working Environment with more than 15 days a month at office"/>
    <s v="Employer who appreciates learning and enables that environment"/>
    <x v="333"/>
    <s v="Manager who explains what is expected, sets a goal and helps achieve it"/>
    <x v="3"/>
    <x v="3"/>
  </r>
  <r>
    <d v="2023-04-09T20:45:06"/>
    <s v="India"/>
    <n v="110059"/>
    <x v="1"/>
    <s v="People from my circle, but not family members"/>
    <s v="No, But if someone could bare the cost I will"/>
    <s v="Will work for 3 years or more"/>
    <s v="No"/>
    <s v="Will NOT work for them"/>
    <n v="4"/>
    <s v="Fully Remote with Options to travel as and when needed"/>
    <s v="Employer who appreciates learning and enables that environment"/>
    <x v="392"/>
    <s v="Manager who explains what is expected, sets a goal and helps achieve it"/>
    <x v="3"/>
    <x v="0"/>
  </r>
  <r>
    <d v="2023-04-09T22:27:21"/>
    <s v="India"/>
    <n v="122022"/>
    <x v="1"/>
    <s v="Influencers who had successful careers"/>
    <s v="No, But if someone could bare the cost I will"/>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308"/>
    <s v="Manager who explains what is expected, sets a goal and helps achieve it"/>
    <x v="1"/>
    <x v="0"/>
  </r>
  <r>
    <d v="2023-04-10T09:49:56"/>
    <s v="India"/>
    <n v="462021"/>
    <x v="1"/>
    <s v="Influencers who had successful careers"/>
    <s v="No, But if someone could bare the cost I will"/>
    <s v="This will be hard to do, but if it is the right company I would try"/>
    <s v="Yes"/>
    <s v="Will work for them"/>
    <n v="5"/>
    <s v="Hybrid Working Environment with less than 3 days a month at office"/>
    <s v="Employer who pushes your limits by enabling an learning environment, and rewards you at the end"/>
    <x v="393"/>
    <s v="Manager who explains what is expected, sets a goal and helps achieve it"/>
    <x v="1"/>
    <x v="3"/>
  </r>
  <r>
    <d v="2023-04-10T11:23:55"/>
    <s v="India"/>
    <n v="40095"/>
    <x v="0"/>
    <s v="My Parents"/>
    <s v="Yes, I will earn and do that"/>
    <s v="Will work for 3 years or more"/>
    <s v="Yes"/>
    <s v="Will work for them"/>
    <n v="2"/>
    <s v="Every Day Office Environment"/>
    <s v="Employers who appreciates learning but doesn't enables an learning environment"/>
    <x v="394"/>
    <s v="Manager who sets unrealistic targets"/>
    <x v="7"/>
    <x v="3"/>
  </r>
  <r>
    <d v="2023-04-10T11:42:49"/>
    <s v="India"/>
    <n v="110043"/>
    <x v="0"/>
    <s v="My Parents"/>
    <s v="No, But if someone could bare the cost I will"/>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224"/>
    <s v="Manager who explains what is expected, sets a goal and helps achieve it"/>
    <x v="1"/>
    <x v="0"/>
  </r>
  <r>
    <d v="2023-04-10T11:47:20"/>
    <s v="India"/>
    <n v="132001"/>
    <x v="0"/>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188"/>
    <s v="Manager who clearly describes what she/he needs"/>
    <x v="1"/>
    <x v="3"/>
  </r>
  <r>
    <d v="2023-04-10T12:03:42"/>
    <s v="India"/>
    <n v="250002"/>
    <x v="0"/>
    <s v="People who have changed the world for better"/>
    <s v="No I would not be pursuing Higher Education outside of India"/>
    <s v="This will be hard to do, but if it is the right company I would try"/>
    <s v="No"/>
    <s v="Will NOT work for them"/>
    <n v="7"/>
    <s v="Every Day Office Environment"/>
    <s v="Employer who appreciates learning and enables that environment"/>
    <x v="261"/>
    <s v="Manager who clearly describes what she/he needs"/>
    <x v="1"/>
    <x v="3"/>
  </r>
  <r>
    <d v="2023-04-11T13:19:26"/>
    <s v="India"/>
    <n v="560061"/>
    <x v="1"/>
    <s v="People who have changed the world for better"/>
    <s v="Yes, I will earn and do that"/>
    <s v="This will be hard to do, but if it is the right company I would try"/>
    <s v="Yes"/>
    <s v="Will NOT work for them"/>
    <n v="5"/>
    <s v="Hybrid Working Environment with more than 15 days a month at office"/>
    <s v="Employer who pushes your limits by enabling an learning environment, and rewards you at the end"/>
    <x v="225"/>
    <s v="Manager who explains what is expected, sets a goal and helps achieve it"/>
    <x v="3"/>
    <x v="3"/>
  </r>
  <r>
    <d v="2023-04-11T13:31:17"/>
    <s v="Germany"/>
    <n v="10317"/>
    <x v="0"/>
    <s v="Social Media like LinkedIn"/>
    <s v="Yes, I will earn and do that"/>
    <s v="Will work for 3 years or more"/>
    <s v="No"/>
    <s v="Will NOT work for them"/>
    <n v="1"/>
    <s v="Hybrid Working Environment with more than 15 days a month at office"/>
    <s v="Employer who pushes your limits by enabling an learning environment, and rewards you at the end"/>
    <x v="395"/>
    <s v="Manager who sets goal and helps me achieve it"/>
    <x v="1"/>
    <x v="3"/>
  </r>
  <r>
    <d v="2023-04-11T13:36:41"/>
    <s v="India"/>
    <n v="110089"/>
    <x v="1"/>
    <s v="My Parents"/>
    <s v="No I would not be pursuing Higher Education outside of India"/>
    <s v="Will work for 3 years or more"/>
    <s v="No"/>
    <s v="Will NOT work for them"/>
    <n v="7"/>
    <s v="Hybrid Working Environment with less than 3 days a month at office"/>
    <s v="Employer who pushes your limits by enabling an learning environment, and rewards you at the end"/>
    <x v="396"/>
    <s v="Manager who explains what is expected, sets a goal and helps achieve it"/>
    <x v="2"/>
    <x v="0"/>
  </r>
  <r>
    <d v="2023-04-11T22:42:29"/>
    <s v="India"/>
    <n v="603209"/>
    <x v="0"/>
    <s v="Social Media like LinkedIn"/>
    <s v="No I would not be pursuing Higher Education outside of India"/>
    <s v="Will work for 3 years or more"/>
    <s v="Yes"/>
    <s v="Will work for them"/>
    <n v="8"/>
    <s v="Fully Remote with No option to visit offices"/>
    <s v="Employer who rewards learning and enables that environment"/>
    <x v="197"/>
    <s v="Manager who clearly describes what she/he needs"/>
    <x v="1"/>
    <x v="3"/>
  </r>
  <r>
    <d v="2023-04-12T09:23:39"/>
    <s v="India"/>
    <n v="110026"/>
    <x v="0"/>
    <s v="People from my circle, but not family members"/>
    <s v="No, But if someone could bare the cost I will"/>
    <s v="Will work for 3 years or more"/>
    <s v="No"/>
    <s v="Will NOT work for them"/>
    <n v="7"/>
    <s v="Every Day Office Environment"/>
    <s v="Employer who appreciates learning and enables that environment"/>
    <x v="140"/>
    <s v="Manager who explains what is expected, sets a goal and helps achieve it"/>
    <x v="3"/>
    <x v="2"/>
  </r>
  <r>
    <d v="2023-04-13T15:22:43"/>
    <s v="India"/>
    <n v="507002"/>
    <x v="0"/>
    <s v="My Parents"/>
    <s v="No I would not be pursuing Higher Education outside of India"/>
    <s v="This will be hard to do, but if it is the right company I would try"/>
    <s v="No"/>
    <s v="Will NOT work for them"/>
    <n v="7"/>
    <s v="Fully Remote with Options to travel as and when needed"/>
    <s v="Employer who rewards learning and enables that environment"/>
    <x v="240"/>
    <s v="Manager who sets goal and helps me achieve it"/>
    <x v="1"/>
    <x v="3"/>
  </r>
  <r>
    <d v="2023-04-14T10:21:47"/>
    <s v="Others"/>
    <n v="6054"/>
    <x v="0"/>
    <s v="People who have changed the world for better"/>
    <s v="Yes, I will earn and do that"/>
    <s v="Will work for 3 years or more"/>
    <s v="No"/>
    <s v="Will NOT work for them"/>
    <n v="1"/>
    <s v="Every Day Office Environment"/>
    <s v="Employer who pushes your limits by enabling an learning environment, and rewards you at the end"/>
    <x v="147"/>
    <s v="Manager who explains what is expected, sets a goal and helps achieve it"/>
    <x v="0"/>
    <x v="3"/>
  </r>
  <r>
    <d v="2023-04-17T16:05:51"/>
    <s v="India"/>
    <n v="110089"/>
    <x v="0"/>
    <s v="People who have changed the world for better"/>
    <s v="No, But if someone could bare the cost I will"/>
    <s v="Will work for 3 years or more"/>
    <s v="No"/>
    <s v="Will NOT work for them"/>
    <n v="1"/>
    <s v="Fully Remote with Options to travel as and when needed"/>
    <s v="Employer who pushes your limits by enabling an learning environment, and rewards you at the end"/>
    <x v="397"/>
    <s v="Manager who explains what is expected, sets a goal and helps achieve it"/>
    <x v="7"/>
    <x v="3"/>
  </r>
  <r>
    <d v="2023-04-17T17:49:34"/>
    <s v="India"/>
    <n v="440008"/>
    <x v="0"/>
    <s v="People who have changed the world for better"/>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25"/>
    <s v="Manager who sets goal and helps me achieve it"/>
    <x v="1"/>
    <x v="0"/>
  </r>
  <r>
    <d v="2023-04-17T17:54:17"/>
    <s v="India"/>
    <n v="441207"/>
    <x v="1"/>
    <s v="My Parents"/>
    <s v="Yes, I will earn and do that"/>
    <s v="This will be hard to do, but if it is the right company I would try"/>
    <s v="No"/>
    <s v="Will NOT work for them"/>
    <n v="6"/>
    <s v="Hybrid Working Environment with less than 3 days a month at office"/>
    <s v="Employer who appreciates learning and enables that environment"/>
    <x v="306"/>
    <s v="Manager who clearly describes what she/he needs"/>
    <x v="3"/>
    <x v="3"/>
  </r>
  <r>
    <d v="2023-04-23T12:23:22"/>
    <s v="India"/>
    <n v="301001"/>
    <x v="0"/>
    <s v="My Parents"/>
    <s v="Yes, I will earn and do that"/>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224"/>
    <s v="Manager who explains what is expected, sets a goal and helps achieve it"/>
    <x v="1"/>
    <x v="3"/>
  </r>
  <r>
    <d v="2023-04-27T20:55:47"/>
    <s v="India"/>
    <n v="431203"/>
    <x v="0"/>
    <s v="People from my circle, but not family members"/>
    <s v="Yes, I will earn and do that"/>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398"/>
    <s v="Manager who explains what is expected, sets a goal and helps achieve it"/>
    <x v="7"/>
    <x v="3"/>
  </r>
  <r>
    <d v="2023-04-27T21:03:12"/>
    <s v="India"/>
    <n v="411047"/>
    <x v="0"/>
    <s v="People from my circle, but not family members"/>
    <s v="No, But if someone could bare the cost I will"/>
    <s v="This will be hard to do, but if it is the right company I would try"/>
    <s v="No"/>
    <s v="Will NOT work for them"/>
    <n v="4"/>
    <s v="Fully Remote with Options to travel as and when needed"/>
    <s v="Employer who pushes your limits by enabling an learning environment, and rewards you at the end"/>
    <x v="399"/>
    <s v="Manager who explains what is expected, sets a goal and helps achieve it"/>
    <x v="11"/>
    <x v="0"/>
  </r>
  <r>
    <d v="2023-04-27T21:04:00"/>
    <s v="India"/>
    <n v="641035"/>
    <x v="0"/>
    <s v="My Parents"/>
    <s v="Yes, I will earn and do that"/>
    <s v="Will work for 3 years or more"/>
    <s v="Yes"/>
    <s v="Will work for them"/>
    <n v="6"/>
    <s v="Hybrid Working Environment with less than 3 days a month at office"/>
    <s v="Employer who appreciates learning and enables that environment"/>
    <x v="302"/>
    <s v="Manager who sets goal and helps me achieve it"/>
    <x v="1"/>
    <x v="3"/>
  </r>
  <r>
    <d v="2023-04-27T21:05:08"/>
    <s v="India"/>
    <n v="431133"/>
    <x v="0"/>
    <s v="People from my circle, but not family members"/>
    <s v="No, But if someone could bare the cost I will"/>
    <s v="This will be hard to do, but if it is the right company I would try"/>
    <s v="No"/>
    <s v="Will NOT work for them"/>
    <n v="5"/>
    <s v="Hybrid Working Environment with more than 15 days a month at office"/>
    <s v="Employer who rewards learning and enables that environment"/>
    <x v="125"/>
    <s v="Manager who sets goal and helps me achieve it"/>
    <x v="3"/>
    <x v="0"/>
  </r>
  <r>
    <d v="2023-04-27T21:05:43"/>
    <s v="India"/>
    <n v="425001"/>
    <x v="0"/>
    <s v="Social Media like LinkedIn"/>
    <s v="Yes, I will earn and do that"/>
    <s v="This will be hard to do, but if it is the right company I would try"/>
    <s v="No"/>
    <s v="Will work for them"/>
    <n v="8"/>
    <s v="Hybrid Working Environment with more than 15 days a month at office"/>
    <s v="Employer who pushes your limits by enabling an learning environment, and rewards you at the end"/>
    <x v="400"/>
    <s v="Manager who sets goal and helps me achieve it"/>
    <x v="12"/>
    <x v="0"/>
  </r>
  <r>
    <d v="2023-04-27T21:06:16"/>
    <s v="India"/>
    <n v="560075"/>
    <x v="1"/>
    <s v="People who have changed the world for better"/>
    <s v="No I would not be pursuing Higher Education outside of India"/>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111"/>
    <s v="Manager who explains what is expected, sets a goal and helps achieve it"/>
    <x v="4"/>
    <x v="3"/>
  </r>
  <r>
    <d v="2023-04-27T21:06:39"/>
    <s v="India"/>
    <n v="226201"/>
    <x v="0"/>
    <s v="People who have changed the world for better"/>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401"/>
    <s v="Manager who explains what is expected, sets a goal and helps achieve it"/>
    <x v="1"/>
    <x v="0"/>
  </r>
  <r>
    <d v="2023-04-27T21:07:05"/>
    <s v="India"/>
    <n v="570003"/>
    <x v="0"/>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rewards learning and enables that environment"/>
    <x v="124"/>
    <s v="Manager who explains what is expected, sets a goal and helps achieve it"/>
    <x v="2"/>
    <x v="2"/>
  </r>
  <r>
    <d v="2023-04-27T21:07:39"/>
    <s v="India"/>
    <n v="201002"/>
    <x v="0"/>
    <s v="Social Media like LinkedIn"/>
    <s v="Yes, I will earn and do that"/>
    <s v="This will be hard to do, but if it is the right company I would try"/>
    <s v="No"/>
    <s v="Will NOT work for them"/>
    <n v="8"/>
    <s v="Fully Remote with No option to visit offices"/>
    <s v="Employer who pushes your limits by enabling an learning environment, and rewards you at the end"/>
    <x v="323"/>
    <s v="Manager who explains what is expected, sets a goal and helps achieve it"/>
    <x v="1"/>
    <x v="3"/>
  </r>
  <r>
    <d v="2023-04-27T21:08:59"/>
    <s v="India"/>
    <n v="411041"/>
    <x v="0"/>
    <s v="People from my circle, but not family members"/>
    <s v="Yes, I will earn and do that"/>
    <s v="Will work for 3 years or more"/>
    <s v="No"/>
    <s v="Will NOT work for them"/>
    <n v="7"/>
    <s v="Hybrid Working Environment with less than 3 days a month at office"/>
    <s v="Employer who rewards learning and enables that environment"/>
    <x v="348"/>
    <s v="Manager who explains what is expected, sets a goal and helps achieve it"/>
    <x v="7"/>
    <x v="3"/>
  </r>
  <r>
    <d v="2023-04-27T21:09:34"/>
    <s v="India"/>
    <n v="211002"/>
    <x v="1"/>
    <s v="Influencers who had successful careers"/>
    <s v="No I would not be pursuing Higher Education outside of India"/>
    <s v="Will work for 3 years or more"/>
    <s v="No"/>
    <s v="Will NOT work for them"/>
    <n v="4"/>
    <s v="Hybrid Working Environment with more than 15 days a month at office"/>
    <s v="Employer who pushes your limits by enabling an learning environment, and rewards you at the end"/>
    <x v="174"/>
    <s v="Manager who explains what is expected, sets a goal and helps achieve it"/>
    <x v="12"/>
    <x v="0"/>
  </r>
  <r>
    <d v="2023-04-27T21:10:20"/>
    <s v="India"/>
    <n v="201204"/>
    <x v="1"/>
    <s v="My Parents"/>
    <s v="Yes, I will earn and do that"/>
    <s v="This will be hard to do, but if it is the right company I would try"/>
    <s v="Yes"/>
    <s v="Will NOT work for them"/>
    <n v="8"/>
    <s v="Hybrid Working Environment with more than 15 days a month at office"/>
    <s v="Employer who pushes your limits by enabling an learning environment, and rewards you at the end"/>
    <x v="348"/>
    <s v="Manager who explains what is expected, sets a goal and helps achieve it"/>
    <x v="2"/>
    <x v="0"/>
  </r>
  <r>
    <d v="2023-04-27T21:12:07"/>
    <s v="India"/>
    <n v="503001"/>
    <x v="0"/>
    <s v="Influencers who had successful careers"/>
    <s v="No I would not be pursuing Higher Education outside of India"/>
    <s v="This will be hard to do, but if it is the right company I would try"/>
    <s v="Yes"/>
    <s v="Will work for them"/>
    <n v="4"/>
    <s v="Hybrid Working Environment with more than 15 days a month at office"/>
    <s v="Employer who pushes your limits by enabling an learning environment, and rewards you at the end"/>
    <x v="125"/>
    <s v="Manager who explains what is expected, sets a goal and helps achieve it"/>
    <x v="3"/>
    <x v="0"/>
  </r>
  <r>
    <d v="2023-04-27T21:12:16"/>
    <s v="India"/>
    <n v="453441"/>
    <x v="1"/>
    <s v="People who have changed the world for better"/>
    <s v="Yes, I will earn and do that"/>
    <s v="Will work for 3 years or more"/>
    <s v="No"/>
    <s v="Will NOT work for them"/>
    <n v="2"/>
    <s v="Fully Remote with Options to travel as and when needed"/>
    <s v="Employer who rewards learning and enables that environment"/>
    <x v="239"/>
    <s v="Manager who explains what is expected, sets a goal and helps achieve it"/>
    <x v="2"/>
    <x v="0"/>
  </r>
  <r>
    <d v="2023-04-27T21:12:27"/>
    <s v="India"/>
    <n v="761001"/>
    <x v="0"/>
    <s v="People from my circle, but not family members"/>
    <s v="No I would not be pursuing Higher Education outside of India"/>
    <s v="Will work for 3 years or more"/>
    <s v="No"/>
    <s v="Will NOT work for them"/>
    <n v="7"/>
    <s v="Hybrid Working Environment with more than 15 days a month at office"/>
    <s v="Employer who pushes your limits by enabling an learning environment, and rewards you at the end"/>
    <x v="201"/>
    <s v="Manager who explains what is expected, sets a goal and helps achieve it"/>
    <x v="3"/>
    <x v="3"/>
  </r>
  <r>
    <d v="2023-04-27T21:12:38"/>
    <s v="India"/>
    <n v="440030"/>
    <x v="0"/>
    <s v="Influencers who had successful career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402"/>
    <s v="Manager who explains what is expected, sets a goal and helps achieve it"/>
    <x v="1"/>
    <x v="0"/>
  </r>
  <r>
    <d v="2023-04-27T21:13:10"/>
    <s v="India"/>
    <n v="500068"/>
    <x v="0"/>
    <s v="Influencers who had successful careers"/>
    <s v="Yes, I will earn and do that"/>
    <s v="Will work for 3 years or more"/>
    <s v="No"/>
    <s v="Will NOT work for them"/>
    <n v="2"/>
    <s v="Hybrid Working Environment with more than 15 days a month at office"/>
    <s v="Employer who pushes your limits by enabling an learning environment, and rewards you at the end"/>
    <x v="403"/>
    <s v="Manager who explains what is expected, sets a goal and helps achieve it"/>
    <x v="3"/>
    <x v="0"/>
  </r>
  <r>
    <d v="2023-04-27T21:13:33"/>
    <s v="India"/>
    <n v="500072"/>
    <x v="1"/>
    <s v="People who have changed the world for better"/>
    <s v="No, But if someone could bare the cost I will"/>
    <s v="Will work for 3 years or more"/>
    <s v="Yes"/>
    <s v="Will work for them"/>
    <n v="10"/>
    <s v="Fully Remote with Options to travel as and when needed"/>
    <s v="Employer who pushes your limits by enabling an learning environment, and rewards you at the end"/>
    <x v="95"/>
    <s v="Manager who explains what is expected, sets a goal and helps achieve it"/>
    <x v="11"/>
    <x v="3"/>
  </r>
  <r>
    <d v="2023-04-27T21:13:59"/>
    <s v="India"/>
    <n v="509216"/>
    <x v="0"/>
    <s v="Influencers who had successful careers"/>
    <s v="Yes, I will earn and do that"/>
    <s v="Will work for 3 years or more"/>
    <s v="No"/>
    <s v="Will NOT work for them"/>
    <n v="5"/>
    <s v="Hybrid Working Environment with more than 15 days a month at office"/>
    <s v="Employer who pushes your limits by enabling an learning environment, and rewards you at the end"/>
    <x v="400"/>
    <s v="Manager who sets goal and helps me achieve it"/>
    <x v="1"/>
    <x v="3"/>
  </r>
  <r>
    <d v="2023-04-27T21:17:22"/>
    <s v="India"/>
    <n v="781012"/>
    <x v="1"/>
    <s v="Influencers who had successful careers"/>
    <s v="Yes, I will earn and do that"/>
    <s v="This will be hard to do, but if it is the right company I would try"/>
    <s v="No"/>
    <s v="Will NOT work for them"/>
    <n v="3"/>
    <s v="Fully Remote with Options to travel as and when needed"/>
    <s v="Employer who pushes your limits by enabling an learning environment, and rewards you at the end"/>
    <x v="174"/>
    <s v="Manager who explains what is expected, sets a goal and helps achieve it"/>
    <x v="3"/>
    <x v="3"/>
  </r>
  <r>
    <d v="2023-04-27T21:18:01"/>
    <s v="India"/>
    <n v="560036"/>
    <x v="1"/>
    <s v="Influencers who had successful careers"/>
    <s v="No I would not be pursuing Higher Education outside of India"/>
    <s v="Will work for 3 years or more"/>
    <s v="No"/>
    <s v="Will NOT work for them"/>
    <n v="2"/>
    <s v="Hybrid Working Environment with less than 3 days a month at office"/>
    <s v="Employer who pushes your limits by enabling an learning environment, and rewards you at the end"/>
    <x v="238"/>
    <s v="Manager who explains what is expected, sets a goal and helps achieve it"/>
    <x v="5"/>
    <x v="3"/>
  </r>
  <r>
    <d v="2023-04-27T21:18:31"/>
    <s v="India"/>
    <n v="500077"/>
    <x v="1"/>
    <s v="People from my circle, but not family members"/>
    <s v="Yes, I will earn and do that"/>
    <s v="Will work for 3 years or more"/>
    <s v="No"/>
    <s v="Will NOT work for them"/>
    <n v="7"/>
    <s v="Hybrid Working Environment with less than 3 days a month at office"/>
    <s v="Employer who pushes your limits by enabling an learning environment, and rewards you at the end"/>
    <x v="109"/>
    <s v="Manager who explains what is expected, sets a goal and helps achieve it"/>
    <x v="1"/>
    <x v="0"/>
  </r>
  <r>
    <d v="2023-04-27T21:20:55"/>
    <s v="India"/>
    <n v="364710"/>
    <x v="1"/>
    <s v="My Parents"/>
    <s v="No I would not be pursuing Higher Education outside of India"/>
    <s v="This will be hard to do, but if it is the right company I would try"/>
    <s v="No"/>
    <s v="Will NOT work for them"/>
    <n v="4"/>
    <s v="Hybrid Working Environment with more than 15 days a month at office"/>
    <s v="Employer who appreciates learning and enables that environment"/>
    <x v="239"/>
    <s v="Manager who explains what is expected, sets a goal and helps achieve it"/>
    <x v="3"/>
    <x v="3"/>
  </r>
  <r>
    <d v="2023-04-27T21:21:20"/>
    <s v="India"/>
    <n v="201306"/>
    <x v="1"/>
    <s v="People from my circle, but not family members"/>
    <s v="No I would not be pursuing Higher Education outside of India"/>
    <s v="Will work for 3 years or more"/>
    <s v="No"/>
    <s v="Will NOT work for them"/>
    <n v="8"/>
    <s v="Every Day Office Environment"/>
    <s v="Employer who appreciates learning and enables that environment"/>
    <x v="111"/>
    <s v="Manager who explains what is expected, sets a goal and helps achieve it"/>
    <x v="3"/>
    <x v="3"/>
  </r>
  <r>
    <d v="2023-04-27T21:21:38"/>
    <s v="India"/>
    <n v="500005"/>
    <x v="1"/>
    <s v="People from my circle, but not family members"/>
    <s v="No, But if someone could bare the cost I will"/>
    <s v="This will be hard to do, but if it is the right company I would try"/>
    <s v="Yes"/>
    <s v="Will NOT work for them"/>
    <n v="7"/>
    <s v="Every Day Office Environment"/>
    <s v="Employer who pushes your limits by enabling an learning environment, and rewards you at the end"/>
    <x v="286"/>
    <s v="Manager who sets goal and helps me achieve it"/>
    <x v="5"/>
    <x v="0"/>
  </r>
  <r>
    <d v="2023-04-27T21:23:38"/>
    <s v="India"/>
    <n v="250002"/>
    <x v="0"/>
    <s v="People who have changed the world for better"/>
    <s v="Yes, I will earn and do that"/>
    <s v="This will be hard to do, but if it is the right company I would try"/>
    <s v="No"/>
    <s v="Will NOT work for them"/>
    <n v="2"/>
    <s v="Fully Remote with Options to travel as and when needed"/>
    <s v="Employer who pushes your limits by enabling an learning environment, and rewards you at the end"/>
    <x v="174"/>
    <s v="Manager who explains what is expected, sets a goal and helps achieve it"/>
    <x v="1"/>
    <x v="0"/>
  </r>
  <r>
    <d v="2023-04-27T21:24:10"/>
    <s v="India"/>
    <n v="400709"/>
    <x v="0"/>
    <s v="Influencers who had successful careers"/>
    <s v="Yes, I will earn and do that"/>
    <s v="No way"/>
    <s v="No"/>
    <s v="Will NOT work for them"/>
    <n v="2"/>
    <s v="Every Day Office Environment"/>
    <s v="Employer who pushes your limits by enabling an learning environment, and rewards you at the end"/>
    <x v="404"/>
    <s v="Manager who explains what is expected, sets a goal and helps achieve it"/>
    <x v="19"/>
    <x v="0"/>
  </r>
  <r>
    <d v="2023-04-27T21:24:55"/>
    <s v="India"/>
    <n v="492001"/>
    <x v="0"/>
    <s v="People who have changed the world for better"/>
    <s v="No I would not be pursuing Higher Education outside of India"/>
    <s v="This will be hard to do, but if it is the right company I would try"/>
    <s v="No"/>
    <s v="Will NOT work for them"/>
    <n v="7"/>
    <s v="Fully Remote with Options to travel as and when needed"/>
    <s v="Employer who pushes your limits by enabling an learning environment, and rewards you at the end"/>
    <x v="110"/>
    <s v="Manager who explains what is expected, sets a goal and helps achieve it"/>
    <x v="0"/>
    <x v="0"/>
  </r>
  <r>
    <d v="2023-04-27T21:25:04"/>
    <s v="India"/>
    <n v="382028"/>
    <x v="1"/>
    <s v="Influencers who had successful careers"/>
    <s v="Yes, I will earn and do that"/>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11"/>
    <s v="Manager who explains what is expected, sets a goal and helps achieve it"/>
    <x v="5"/>
    <x v="3"/>
  </r>
  <r>
    <d v="2023-04-27T21:25:37"/>
    <s v="India"/>
    <n v="560037"/>
    <x v="1"/>
    <s v="People who have changed the world for better"/>
    <s v="Yes, I will earn and do that"/>
    <s v="This will be hard to do, but if it is the right company I would try"/>
    <s v="No"/>
    <s v="Will NOT work for them"/>
    <n v="5"/>
    <s v="Hybrid Working Environment with less than 3 days a month at office"/>
    <s v="Employer who appreciates learning and enables that environment"/>
    <x v="253"/>
    <s v="Manager who explains what is expected, sets a goal and helps achieve it"/>
    <x v="15"/>
    <x v="3"/>
  </r>
  <r>
    <d v="2023-04-27T21:25:50"/>
    <s v="India"/>
    <n v="401107"/>
    <x v="0"/>
    <s v="My Parents"/>
    <s v="No I would not be pursuing Higher Education outside of India"/>
    <s v="This will be hard to do, but if it is the right company I would try"/>
    <s v="Yes"/>
    <s v="Will NOT work for them"/>
    <n v="6"/>
    <s v="Hybrid Working Environment with more than 15 days a month at office"/>
    <s v="Employer who appreciates learning and enables that environment"/>
    <x v="292"/>
    <s v="Manager who explains what is expected, sets a goal and helps achieve it"/>
    <x v="3"/>
    <x v="2"/>
  </r>
  <r>
    <d v="2023-04-27T21:26:21"/>
    <s v="India"/>
    <n v="534134"/>
    <x v="1"/>
    <s v="Influencers who had successful careers"/>
    <s v="Yes, I will earn and do that"/>
    <s v="Will work for 3 years or more"/>
    <s v="No"/>
    <s v="Will work for them"/>
    <n v="6"/>
    <s v="Fully Remote with Options to travel as and when needed"/>
    <s v="Employer who appreciates learning and enables that environment"/>
    <x v="405"/>
    <s v="Manager who explains what is expected, sets a goal and helps achieve it"/>
    <x v="3"/>
    <x v="3"/>
  </r>
  <r>
    <d v="2023-04-27T21:26:38"/>
    <s v="India"/>
    <n v="247776"/>
    <x v="1"/>
    <s v="My Parents"/>
    <s v="No I would not be pursuing Higher Education outside of India"/>
    <s v="This will be hard to do, but if it is the right company I would try"/>
    <s v="No"/>
    <s v="Will NOT work for them"/>
    <n v="8"/>
    <s v="Fully Remote with Options to travel as and when needed"/>
    <s v="Employer who pushes your limits by enabling an learning environment, and rewards you at the end"/>
    <x v="245"/>
    <s v="Manager who explains what is expected, sets a goal and helps achieve it"/>
    <x v="1"/>
    <x v="0"/>
  </r>
  <r>
    <d v="2023-04-27T21:27:54"/>
    <s v="India"/>
    <n v="508223"/>
    <x v="0"/>
    <s v="Social Media like LinkedIn"/>
    <s v="Yes, I will earn and do that"/>
    <s v="Will work for 3 years or more"/>
    <s v="No"/>
    <s v="Will NOT work for them"/>
    <n v="4"/>
    <s v="Every Day Office Environment"/>
    <s v="Employer who appreciates learning and enables that environment"/>
    <x v="138"/>
    <s v="Manager who clearly describes what she/he needs"/>
    <x v="6"/>
    <x v="3"/>
  </r>
  <r>
    <d v="2023-04-27T21:27:59"/>
    <s v="India"/>
    <n v="484551"/>
    <x v="0"/>
    <s v="Influencers who had successful careers"/>
    <s v="No, But if someone could bare the cost I will"/>
    <s v="This will be hard to do, but if it is the right company I would try"/>
    <s v="Yes"/>
    <s v="Will work for them"/>
    <n v="5"/>
    <s v="Hybrid Working Environment with more than 15 days a month at office"/>
    <s v="Employer who pushes your limits by enabling an learning environment, and rewards you at the end"/>
    <x v="406"/>
    <s v="Manager who explains what is expected, sets a goal and helps achieve it"/>
    <x v="1"/>
    <x v="3"/>
  </r>
  <r>
    <d v="2023-04-27T21:31:49"/>
    <s v="India"/>
    <n v="560038"/>
    <x v="0"/>
    <s v="Social Media like LinkedIn"/>
    <s v="No I would not be pursuing Higher Education outside of India"/>
    <s v="This will be hard to do, but if it is the right company I would try"/>
    <s v="Yes"/>
    <s v="Will NOT work for them"/>
    <n v="8"/>
    <s v="Fully Remote with Options to travel as and when needed"/>
    <s v="Employer who rewards learning and enables that environment"/>
    <x v="407"/>
    <s v="Manager who clearly describes what she/he needs"/>
    <x v="4"/>
    <x v="0"/>
  </r>
  <r>
    <d v="2023-04-27T21:32:05"/>
    <s v="India"/>
    <n v="781012"/>
    <x v="0"/>
    <s v="My Parents"/>
    <s v="No, But if someone could bare the cost I will"/>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200"/>
    <s v="Manager who explains what is expected, sets a goal and helps achieve it"/>
    <x v="3"/>
    <x v="0"/>
  </r>
  <r>
    <d v="2023-04-27T21:33:00"/>
    <s v="India"/>
    <n v="508284"/>
    <x v="0"/>
    <s v="Influencers who had successful careers"/>
    <s v="Yes, I will earn and do that"/>
    <s v="Will work for 3 years or more"/>
    <s v="No"/>
    <s v="Will NOT work for them"/>
    <n v="4"/>
    <s v="Every Day Office Environment"/>
    <s v="Employer who appreciates learning and enables that environment"/>
    <x v="111"/>
    <s v="Manager who explains what is expected, sets a goal and helps achieve it"/>
    <x v="1"/>
    <x v="3"/>
  </r>
  <r>
    <d v="2023-04-27T21:33:24"/>
    <s v="Others"/>
    <n v="805125"/>
    <x v="0"/>
    <s v="People from my circle, but not family members"/>
    <s v="Yes, I will earn and do that"/>
    <s v="This will be hard to do, but if it is the right company I would try"/>
    <s v="Yes"/>
    <s v="Will work for them"/>
    <n v="7"/>
    <s v="Hybrid Working Environment with more than 15 days a month at office"/>
    <s v="Employer who pushes your limits by enabling an learning environment, and rewards you at the end"/>
    <x v="298"/>
    <s v="Manager who sets unrealistic targets"/>
    <x v="7"/>
    <x v="2"/>
  </r>
  <r>
    <d v="2023-04-27T21:34:21"/>
    <s v="India"/>
    <n v="247554"/>
    <x v="0"/>
    <s v="My Parents"/>
    <s v="Yes, I will earn and do that"/>
    <s v="This will be hard to do, but if it is the right company I would try"/>
    <s v="No"/>
    <s v="Will work for them"/>
    <n v="7"/>
    <s v="Fully Remote with Options to travel as and when needed"/>
    <s v="Employer who rewards learning and enables that environment"/>
    <x v="120"/>
    <s v="Manager who explains what is expected, sets a goal and helps achieve it"/>
    <x v="11"/>
    <x v="2"/>
  </r>
  <r>
    <d v="2023-04-27T21:34:43"/>
    <s v="Others"/>
    <n v="80078"/>
    <x v="0"/>
    <s v="My Parents"/>
    <s v="Yes, I will earn and do that"/>
    <s v="This will be hard to do, but if it is the right company I would try"/>
    <s v="Yes"/>
    <s v="Will work for them"/>
    <n v="10"/>
    <s v="Hybrid Working Environment with more than 15 days a month at office"/>
    <s v="Employer who pushes your limits by enabling an learning environment, and rewards you at the end"/>
    <x v="408"/>
    <s v="Manager who clearly describes what she/he needs"/>
    <x v="9"/>
    <x v="3"/>
  </r>
  <r>
    <d v="2023-04-27T21:37:31"/>
    <s v="India"/>
    <n v="505001"/>
    <x v="1"/>
    <s v="People who have changed the world for better"/>
    <s v="Yes, I will earn and do that"/>
    <s v="Will work for 3 years or more"/>
    <s v="No"/>
    <s v="Will NOT work for them"/>
    <n v="8"/>
    <s v="Hybrid Working Environment with less than 3 days a month at office"/>
    <s v="Employer who appreciates learning and enables that environment"/>
    <x v="111"/>
    <s v="Manager who explains what is expected, sets a goal and helps achieve it"/>
    <x v="2"/>
    <x v="2"/>
  </r>
  <r>
    <d v="2023-04-27T21:40:10"/>
    <s v="India"/>
    <n v="509216"/>
    <x v="0"/>
    <s v="People who have changed the world for better"/>
    <s v="No, But if someone could bare the cost I will"/>
    <s v="Will work for 3 years or more"/>
    <s v="No"/>
    <s v="Will NOT work for them"/>
    <n v="6"/>
    <s v="Fully Remote with No option to visit offices"/>
    <s v="Employer who appreciates learning and enables that environment"/>
    <x v="409"/>
    <s v="Manager who explains what is expected, sets a goal and helps achieve it"/>
    <x v="3"/>
    <x v="0"/>
  </r>
  <r>
    <d v="2023-04-27T21:40:34"/>
    <s v="India"/>
    <n v="500035"/>
    <x v="0"/>
    <s v="Social Media like LinkedIn"/>
    <s v="No I would not be pursuing Higher Education outside of India"/>
    <s v="This will be hard to do, but if it is the right company I would try"/>
    <s v="Yes"/>
    <s v="Will work for them"/>
    <n v="8"/>
    <s v="Hybrid Working Environment with more than 15 days a month at office"/>
    <s v="Employer who rewards learning and enables that environment"/>
    <x v="410"/>
    <s v="Manager who sets goal and helps me achieve it"/>
    <x v="1"/>
    <x v="3"/>
  </r>
  <r>
    <d v="2023-04-27T21:41:15"/>
    <s v="India"/>
    <n v="250002"/>
    <x v="1"/>
    <s v="People who have changed the world for better"/>
    <s v="No I would not be pursuing Higher Education outside of India"/>
    <s v="This will be hard to do, but if it is the right company I would try"/>
    <s v="No"/>
    <s v="Will NOT work for them"/>
    <n v="5"/>
    <s v="Hybrid Working Environment with less than 3 days a month at office"/>
    <s v="Employer who pushes your limits by enabling an learning environment, and rewards you at the end"/>
    <x v="411"/>
    <s v="Manager who explains what is expected, sets a goal and helps achieve it"/>
    <x v="4"/>
    <x v="3"/>
  </r>
  <r>
    <d v="2023-04-27T21:46:06"/>
    <s v="India"/>
    <n v="509216"/>
    <x v="0"/>
    <s v="Influencers who had successful career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41"/>
    <s v="Manager who explains what is expected, sets a goal and helps achieve it"/>
    <x v="4"/>
    <x v="3"/>
  </r>
  <r>
    <d v="2023-04-27T21:47:09"/>
    <s v="India"/>
    <n v="500008"/>
    <x v="1"/>
    <s v="Influencers who had successful careers"/>
    <s v="No I would not be pursuing Higher Education outside of India"/>
    <s v="Will work for 3 years or more"/>
    <s v="No"/>
    <s v="Will work for them"/>
    <n v="8"/>
    <s v="Every Day Office Environment"/>
    <s v="Employer who pushes your limits by enabling an learning environment, and rewards you at the end"/>
    <x v="179"/>
    <s v="Manager who explains what is expected, sets a goal and helps achieve it"/>
    <x v="12"/>
    <x v="3"/>
  </r>
  <r>
    <d v="2023-04-27T21:50:58"/>
    <s v="India"/>
    <n v="500092"/>
    <x v="0"/>
    <s v="People from my circle, but not family member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412"/>
    <s v="Manager who explains what is expected, sets a goal and helps achieve it"/>
    <x v="2"/>
    <x v="0"/>
  </r>
  <r>
    <d v="2023-04-27T21:55:45"/>
    <s v="India"/>
    <n v="500016"/>
    <x v="1"/>
    <s v="People who have changed the world for better"/>
    <s v="No I would not be pursuing Higher Education outside of India"/>
    <s v="Will work for 3 years or more"/>
    <s v="Yes"/>
    <s v="Will NOT work for them"/>
    <n v="4"/>
    <s v="Every Day Office Environment"/>
    <s v="Employer who pushes your limits by enabling an learning environment, and rewards you at the end"/>
    <x v="371"/>
    <s v="Manager who explains what is expected, sets a goal and helps achieve it"/>
    <x v="3"/>
    <x v="0"/>
  </r>
  <r>
    <d v="2023-04-27T21:57:11"/>
    <s v="India"/>
    <n v="509385"/>
    <x v="1"/>
    <s v="People who have changed the world for better"/>
    <s v="Yes, I will earn and do that"/>
    <s v="Will work for 3 years or more"/>
    <s v="No"/>
    <s v="Will NOT work for them"/>
    <n v="8"/>
    <s v="Every Day Office Environment"/>
    <s v="Employer who appreciates learning and enables that environment"/>
    <x v="143"/>
    <s v="Manager who explains what is expected, sets a goal and helps achieve it"/>
    <x v="7"/>
    <x v="3"/>
  </r>
  <r>
    <d v="2023-04-27T21:58:42"/>
    <s v="India"/>
    <n v="110085"/>
    <x v="1"/>
    <s v="People who have changed the world for better"/>
    <s v="Yes, I will earn and do that"/>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67"/>
    <s v="Manager who sets goal and helps me achieve it"/>
    <x v="1"/>
    <x v="2"/>
  </r>
  <r>
    <d v="2023-04-27T21:59:43"/>
    <s v="India"/>
    <n v="501504"/>
    <x v="0"/>
    <s v="My Parents"/>
    <s v="No, But if someone could bare the cost I will"/>
    <s v="This will be hard to do, but if it is the right company I would try"/>
    <s v="Yes"/>
    <s v="Will NOT work for them"/>
    <n v="5"/>
    <s v="Hybrid Working Environment with less than 3 days a month at office"/>
    <s v="Employer who pushes your limits by enabling an learning environment, and rewards you at the end"/>
    <x v="413"/>
    <s v="Manager who clearly describes what she/he needs"/>
    <x v="3"/>
    <x v="3"/>
  </r>
  <r>
    <d v="2023-04-27T22:00:02"/>
    <s v="India"/>
    <n v="500037"/>
    <x v="1"/>
    <s v="My Parents"/>
    <s v="Yes, I will earn and do that"/>
    <s v="This will be hard to do, but if it is the right company I would try"/>
    <s v="No"/>
    <s v="Will NOT work for them"/>
    <n v="4"/>
    <s v="Fully Remote with Options to travel as and when needed"/>
    <s v="Employer who pushes your limits by enabling an learning environment, and rewards you at the end"/>
    <x v="371"/>
    <s v="Manager who explains what is expected, sets a goal and helps achieve it"/>
    <x v="1"/>
    <x v="3"/>
  </r>
  <r>
    <d v="2023-04-27T22:02:16"/>
    <s v="India"/>
    <n v="506002"/>
    <x v="0"/>
    <s v="Influencers who had successful careers"/>
    <s v="Yes, I will earn and do that"/>
    <s v="No way"/>
    <s v="No"/>
    <s v="Will NOT work for them"/>
    <n v="2"/>
    <s v="Fully Remote with Options to travel as and when needed"/>
    <s v="Employer who pushes your limits by enabling an learning environment, and rewards you at the end"/>
    <x v="299"/>
    <s v="Manager who sets goal and helps me achieve it"/>
    <x v="3"/>
    <x v="3"/>
  </r>
  <r>
    <d v="2023-04-27T22:08:02"/>
    <s v="India"/>
    <n v="564114"/>
    <x v="1"/>
    <s v="Influencers who had successful careers"/>
    <s v="No I would not be pursuing Higher Education outside of India"/>
    <s v="This will be hard to do, but if it is the right company I would try"/>
    <s v="Yes"/>
    <s v="Will NOT work for them"/>
    <n v="7"/>
    <s v="Hybrid Working Environment with more than 15 days a month at office"/>
    <s v="Employer who appreciates learning and enables that environment"/>
    <x v="399"/>
    <s v="Manager who explains what is expected, sets a goal and helps achieve it"/>
    <x v="3"/>
    <x v="3"/>
  </r>
  <r>
    <d v="2023-04-27T22:08:34"/>
    <s v="India"/>
    <n v="501504"/>
    <x v="1"/>
    <s v="My Parents"/>
    <s v="Yes, I will earn and do that"/>
    <s v="This will be hard to do, but if it is the right company I would try"/>
    <s v="No"/>
    <s v="Will NOT work for them"/>
    <n v="5"/>
    <s v="Hybrid Working Environment with more than 15 days a month at office"/>
    <s v="Employer who appreciates learning and enables that environment"/>
    <x v="191"/>
    <s v="Manager who explains what is expected, sets a goal and helps achieve it"/>
    <x v="1"/>
    <x v="3"/>
  </r>
  <r>
    <d v="2023-04-27T22:08:51"/>
    <s v="India"/>
    <n v="741121"/>
    <x v="1"/>
    <s v="Influencers who had successful careers"/>
    <s v="No I would not be pursuing Higher Education outside of India"/>
    <s v="This will be hard to do, but if it is the right company I would try"/>
    <s v="No"/>
    <s v="Will NOT work for them"/>
    <n v="8"/>
    <s v="Fully Remote with Options to travel as and when needed"/>
    <s v="Employer who pushes your limits by enabling an learning environment, and rewards you at the end"/>
    <x v="414"/>
    <s v="Manager who sets goal and helps me achieve it"/>
    <x v="3"/>
    <x v="0"/>
  </r>
  <r>
    <d v="2023-04-27T22:10:51"/>
    <s v="India"/>
    <n v="755051"/>
    <x v="1"/>
    <s v="Social Media like LinkedIn"/>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29"/>
    <s v="Manager who explains what is expected, sets a goal and helps achieve it"/>
    <x v="7"/>
    <x v="0"/>
  </r>
  <r>
    <d v="2023-04-27T22:11:27"/>
    <s v="India"/>
    <n v="506315"/>
    <x v="0"/>
    <s v="People who have changed the world for better"/>
    <s v="No, But if someone could bare the cost I will"/>
    <s v="This will be hard to do, but if it is the right company I would try"/>
    <s v="No"/>
    <s v="Will NOT work for them"/>
    <n v="5"/>
    <s v="Fully Remote with No option to visit offices"/>
    <s v="Employer who pushes your limits by enabling an learning environment, and rewards you at the end"/>
    <x v="327"/>
    <s v="Manager who sets goal and helps me achieve it"/>
    <x v="8"/>
    <x v="0"/>
  </r>
  <r>
    <d v="2023-04-27T22:14:25"/>
    <s v="India"/>
    <n v="600056"/>
    <x v="1"/>
    <s v="Influencers who had successful careers"/>
    <s v="No I would not be pursuing Higher Education outside of India"/>
    <s v="This will be hard to do, but if it is the right company I would try"/>
    <s v="No"/>
    <s v="Will NOT work for them"/>
    <n v="5"/>
    <s v="Fully Remote with Options to travel as and when needed"/>
    <s v="Employer who appreciates learning and enables that environment"/>
    <x v="306"/>
    <s v="Manager who clearly describes what she/he needs"/>
    <x v="11"/>
    <x v="3"/>
  </r>
  <r>
    <d v="2023-04-27T22:14:45"/>
    <s v="India"/>
    <n v="500053"/>
    <x v="0"/>
    <s v="Social Media like LinkedIn"/>
    <s v="Yes, I will earn and do that"/>
    <s v="Will work for 3 years or more"/>
    <s v="No"/>
    <s v="Will NOT work for them"/>
    <n v="6"/>
    <s v="Hybrid Working Environment with more than 15 days a month at office"/>
    <s v="Employer who pushes your limits by enabling an learning environment, and rewards you at the end"/>
    <x v="170"/>
    <s v="Manager who explains what is expected, sets a goal and helps achieve it"/>
    <x v="1"/>
    <x v="0"/>
  </r>
  <r>
    <d v="2023-04-27T22:15:05"/>
    <s v="India"/>
    <n v="402030"/>
    <x v="1"/>
    <s v="People from my circle, but not family members"/>
    <s v="No I would not be pursuing Higher Education outside of India"/>
    <s v="This will be hard to do, but if it is the right company I would try"/>
    <s v="Yes"/>
    <s v="Will NOT work for them"/>
    <n v="6"/>
    <s v="Every Day Office Environment"/>
    <s v="Employer who pushes your limits by enabling an learning environment, and rewards you at the end"/>
    <x v="121"/>
    <s v="Manager who explains what is expected, sets a goal and helps achieve it"/>
    <x v="5"/>
    <x v="2"/>
  </r>
  <r>
    <d v="2023-04-27T22:15:34"/>
    <s v="India"/>
    <n v="503201"/>
    <x v="0"/>
    <s v="People who have changed the world for better"/>
    <s v="No, But if someone could bare the cost I will"/>
    <s v="This will be hard to do, but if it is the right company I would try"/>
    <s v="Yes"/>
    <s v="Will NOT work for them"/>
    <n v="8"/>
    <s v="Fully Remote with Options to travel as and when needed"/>
    <s v="Employer who pushes your limits by enabling an learning environment, and rewards you at the end"/>
    <x v="144"/>
    <s v="Manager who explains what is expected, sets a goal and helps achieve it"/>
    <x v="7"/>
    <x v="3"/>
  </r>
  <r>
    <d v="2023-04-27T22:15:55"/>
    <s v="India"/>
    <n v="500074"/>
    <x v="1"/>
    <s v="My Parents"/>
    <s v="Yes, I will earn and do that"/>
    <s v="Will work for 3 years or more"/>
    <s v="No"/>
    <s v="Will work for them"/>
    <n v="1"/>
    <s v="Fully Remote with Options to travel as and when needed"/>
    <s v="Employer who pushes your limits by enabling an learning environment, and rewards you at the end"/>
    <x v="132"/>
    <s v="Manager who clearly describes what she/he needs"/>
    <x v="20"/>
    <x v="3"/>
  </r>
  <r>
    <d v="2023-04-27T22:16:10"/>
    <s v="India"/>
    <n v="600044"/>
    <x v="0"/>
    <s v="Social Media like LinkedIn"/>
    <s v="No, But if someone could bare the cost I will"/>
    <s v="This will be hard to do, but if it is the right company I would try"/>
    <s v="Yes"/>
    <s v="Will NOT work for them"/>
    <n v="8"/>
    <s v="Hybrid Working Environment with less than 3 days a month at office"/>
    <s v="Employer who appreciates learning and enables that environment"/>
    <x v="95"/>
    <s v="Manager who explains what is expected, sets a goal and helps achieve it"/>
    <x v="1"/>
    <x v="0"/>
  </r>
  <r>
    <d v="2023-04-27T22:16:21"/>
    <s v="India"/>
    <n v="759107"/>
    <x v="1"/>
    <s v="People from my circle, but not family members"/>
    <s v="No I would not be pursuing Higher Education outside of India"/>
    <s v="No way"/>
    <s v="No"/>
    <s v="Will NOT work for them"/>
    <n v="2"/>
    <s v="Fully Remote with Options to travel as and when needed"/>
    <s v="Employer who appreciates learning and enables that environment"/>
    <x v="410"/>
    <s v="Manager who explains what is expected, sets a goal and helps achieve it"/>
    <x v="3"/>
    <x v="3"/>
  </r>
  <r>
    <d v="2023-04-27T22:16:37"/>
    <s v="India"/>
    <n v="201002"/>
    <x v="1"/>
    <s v="Social Media like LinkedIn"/>
    <s v="No I would not be pursuing Higher Education outside of India"/>
    <s v="Will work for 3 years or more"/>
    <s v="No"/>
    <s v="Will NOT work for them"/>
    <n v="7"/>
    <s v="Hybrid Working Environment with more than 15 days a month at office"/>
    <s v="Employer who pushes your limits by enabling an learning environment, and rewards you at the end"/>
    <x v="365"/>
    <s v="Manager who explains what is expected, sets a goal and helps achieve it"/>
    <x v="4"/>
    <x v="3"/>
  </r>
  <r>
    <d v="2023-04-27T22:20:11"/>
    <s v="India"/>
    <n v="560091"/>
    <x v="0"/>
    <s v="People from my circle, but not family members"/>
    <s v="Yes, I will earn and do that"/>
    <s v="This will be hard to do, but if it is the right company I would try"/>
    <s v="No"/>
    <s v="Will work for them"/>
    <n v="10"/>
    <s v="Hybrid Working Environment with less than 3 days a month at office"/>
    <s v="Employer who pushes your limits by enabling an learning environment, and rewards you at the end"/>
    <x v="113"/>
    <s v="Manager who clearly describes what she/he needs"/>
    <x v="3"/>
    <x v="0"/>
  </r>
  <r>
    <d v="2023-04-27T22:20:55"/>
    <s v="India"/>
    <n v="425310"/>
    <x v="1"/>
    <s v="Influencers who had successful careers"/>
    <s v="Yes, I will earn and do that"/>
    <s v="This will be hard to do, but if it is the right company I would try"/>
    <s v="No"/>
    <s v="Will NOT work for them"/>
    <n v="5"/>
    <s v="Hybrid Working Environment with more than 15 days a month at office"/>
    <s v="Employer who appreciates learning and enables that environment"/>
    <x v="415"/>
    <s v="Manager who explains what is expected, sets a goal and helps achieve it"/>
    <x v="6"/>
    <x v="3"/>
  </r>
  <r>
    <d v="2023-04-27T22:20:56"/>
    <s v="India"/>
    <n v="251201"/>
    <x v="1"/>
    <s v="People who have changed the world for better"/>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331"/>
    <s v="Manager who explains what is expected, sets a goal and helps achieve it"/>
    <x v="1"/>
    <x v="0"/>
  </r>
  <r>
    <d v="2023-04-27T22:22:21"/>
    <s v="India"/>
    <n v="600025"/>
    <x v="0"/>
    <s v="My Parents"/>
    <s v="Yes, I will earn and do that"/>
    <s v="This will be hard to do, but if it is the right company I would try"/>
    <s v="Yes"/>
    <s v="Will work for them"/>
    <n v="5"/>
    <s v="Every Day Office Environment"/>
    <s v="Employer who pushes your limits by enabling an learning environment, and rewards you at the end"/>
    <x v="200"/>
    <s v="Manager who clearly describes what she/he needs"/>
    <x v="6"/>
    <x v="3"/>
  </r>
  <r>
    <d v="2023-04-27T22:22:58"/>
    <s v="India"/>
    <n v="500076"/>
    <x v="1"/>
    <s v="People who have changed the world for better"/>
    <s v="Yes, I will earn and do that"/>
    <s v="Will work for 3 years or more"/>
    <s v="No"/>
    <s v="Will NOT work for them"/>
    <n v="5"/>
    <s v="Fully Remote with Options to travel as and when needed"/>
    <s v="Employer who pushes your limits by enabling an learning environment, and rewards you at the end"/>
    <x v="416"/>
    <s v="Manager who explains what is expected, sets a goal and helps achieve it"/>
    <x v="4"/>
    <x v="3"/>
  </r>
  <r>
    <d v="2023-04-27T22:23:03"/>
    <s v="India"/>
    <n v="263139"/>
    <x v="0"/>
    <s v="Social Media like LinkedIn"/>
    <s v="No I would not be pursuing Higher Education outside of India"/>
    <s v="This will be hard to do, but if it is the right company I would try"/>
    <s v="No"/>
    <s v="Will NOT work for them"/>
    <n v="8"/>
    <s v="Fully Remote with Options to travel as and when needed"/>
    <s v="Employer who pushes your limits by enabling an learning environment, and rewards you at the end"/>
    <x v="197"/>
    <s v="Manager who explains what is expected, sets a goal and helps achieve it"/>
    <x v="1"/>
    <x v="3"/>
  </r>
  <r>
    <d v="2023-04-27T22:24:42"/>
    <s v="India"/>
    <n v="600107"/>
    <x v="1"/>
    <s v="My Parents"/>
    <s v="Yes, I will earn and do that"/>
    <s v="Will work for 3 years or more"/>
    <s v="No"/>
    <s v="Will NOT work for them"/>
    <n v="10"/>
    <s v="Every Day Office Environment"/>
    <s v="Employer who appreciates learning and enables that environment"/>
    <x v="140"/>
    <s v="Manager who clearly describes what she/he needs"/>
    <x v="3"/>
    <x v="3"/>
  </r>
  <r>
    <d v="2023-04-27T22:25:50"/>
    <s v="India"/>
    <n v="600056"/>
    <x v="1"/>
    <s v="People who have changed the world for better"/>
    <s v="No, But if someone could bare the cost I will"/>
    <s v="This will be hard to do, but if it is the right company I would try"/>
    <s v="No"/>
    <s v="Will NOT work for them"/>
    <n v="2"/>
    <s v="Fully Remote with Options to travel as and when needed"/>
    <s v="Employer who pushes your limits by enabling an learning environment, and rewards you at the end"/>
    <x v="153"/>
    <s v="Manager who clearly describes what she/he needs"/>
    <x v="1"/>
    <x v="0"/>
  </r>
  <r>
    <d v="2023-04-27T22:30:12"/>
    <s v="India"/>
    <n v="831013"/>
    <x v="1"/>
    <s v="My Parents"/>
    <s v="Yes, I will earn and do that"/>
    <s v="This will be hard to do, but if it is the right company I would try"/>
    <s v="No"/>
    <s v="Will NOT work for them"/>
    <n v="4"/>
    <s v="Fully Remote with Options to travel as and when needed"/>
    <s v="Employer who rewards learning and enables that environment"/>
    <x v="266"/>
    <s v="Manager who sets goal and helps me achieve it"/>
    <x v="8"/>
    <x v="3"/>
  </r>
  <r>
    <d v="2023-04-27T22:32:09"/>
    <s v="India"/>
    <n v="462030"/>
    <x v="1"/>
    <s v="People who have changed the world for better"/>
    <s v="No, But if someone could bare the cost I will"/>
    <s v="Will work for 3 years or more"/>
    <s v="No"/>
    <s v="Will NOT work for them"/>
    <n v="6"/>
    <s v="Hybrid Working Environment with less than 3 days a month at office"/>
    <s v="Employer who pushes your limits by enabling an learning environment, and rewards you at the end"/>
    <x v="348"/>
    <s v="Manager who explains what is expected, sets a goal and helps achieve it"/>
    <x v="2"/>
    <x v="0"/>
  </r>
  <r>
    <d v="2023-04-27T22:32:17"/>
    <s v="India"/>
    <n v="492008"/>
    <x v="0"/>
    <s v="Influencers who had successful careers"/>
    <s v="Yes, I will earn and do that"/>
    <s v="This will be hard to do, but if it is the right company I would try"/>
    <s v="Yes"/>
    <s v="Will work for them"/>
    <n v="6"/>
    <s v="Every Day Office Environment"/>
    <s v="Employer who pushes your limits by enabling an learning environment, and rewards you at the end"/>
    <x v="284"/>
    <s v="Manager who sets goal and helps me achieve it"/>
    <x v="7"/>
    <x v="3"/>
  </r>
  <r>
    <d v="2023-04-27T22:37:25"/>
    <s v="India"/>
    <n v="530051"/>
    <x v="1"/>
    <s v="My Parents"/>
    <s v="Yes, I will earn and do that"/>
    <s v="Will work for 3 years or more"/>
    <s v="No"/>
    <s v="Will NOT work for them"/>
    <n v="5"/>
    <s v="Fully Remote with Options to travel as and when needed"/>
    <s v="Employer who pushes your limits by enabling an learning environment, and rewards you at the end"/>
    <x v="415"/>
    <s v="Manager who explains what is expected, sets a goal and helps achieve it"/>
    <x v="5"/>
    <x v="3"/>
  </r>
  <r>
    <d v="2023-04-27T22:37:57"/>
    <s v="India"/>
    <n v="500097"/>
    <x v="1"/>
    <s v="My Parents"/>
    <s v="Yes, I will earn and do that"/>
    <s v="This will be hard to do, but if it is the right company I would try"/>
    <s v="No"/>
    <s v="Will NOT work for them"/>
    <n v="7"/>
    <s v="Every Day Office Environment"/>
    <s v="Employer who appreciates learning and enables that environment"/>
    <x v="286"/>
    <s v="Manager who explains what is expected, sets a goal and helps achieve it"/>
    <x v="1"/>
    <x v="3"/>
  </r>
  <r>
    <d v="2023-04-27T22:39:16"/>
    <s v="India"/>
    <n v="411027"/>
    <x v="0"/>
    <s v="Social Media like LinkedIn"/>
    <s v="Yes, I will earn and do that"/>
    <s v="Will work for 3 years or more"/>
    <s v="No"/>
    <s v="Will NOT work for them"/>
    <n v="10"/>
    <s v="Every Day Office Environment"/>
    <s v="Employer who pushes your limits by enabling an learning environment, and rewards you at the end"/>
    <x v="192"/>
    <s v="Manager who explains what is expected, sets a goal and helps achieve it"/>
    <x v="15"/>
    <x v="0"/>
  </r>
  <r>
    <d v="2023-04-27T22:39:28"/>
    <s v="India"/>
    <n v="492001"/>
    <x v="1"/>
    <s v="My Parents"/>
    <s v="No, But if someone could bare the cost I will"/>
    <s v="This will be hard to do, but if it is the right company I would try"/>
    <s v="No"/>
    <s v="Will work for them"/>
    <n v="7"/>
    <s v="Fully Remote with Options to travel as and when needed"/>
    <s v="Employer who pushes your limits by enabling an learning environment, and rewards you at the end"/>
    <x v="257"/>
    <s v="Manager who clearly describes what she/he needs"/>
    <x v="11"/>
    <x v="3"/>
  </r>
  <r>
    <d v="2023-04-27T22:39:33"/>
    <s v="India"/>
    <n v="411027"/>
    <x v="0"/>
    <s v="People who have changed the world for better"/>
    <s v="No I would not be pursuing Higher Education outside of India"/>
    <s v="This will be hard to do, but if it is the right company I would try"/>
    <s v="Yes"/>
    <s v="Will NOT work for them"/>
    <n v="8"/>
    <s v="Fully Remote with Options to travel as and when needed"/>
    <s v="Employer who pushes your limits by enabling an learning environment, and rewards you at the end"/>
    <x v="417"/>
    <s v="Manager who explains what is expected, sets a goal and helps achieve it"/>
    <x v="1"/>
    <x v="3"/>
  </r>
  <r>
    <d v="2023-04-27T22:42:02"/>
    <s v="India"/>
    <n v="191103"/>
    <x v="0"/>
    <s v="My Parents"/>
    <s v="No I would not be pursuing Higher Education outside of India"/>
    <s v="This will be hard to do, but if it is the right company I would try"/>
    <s v="No"/>
    <s v="Will NOT work for them"/>
    <n v="7"/>
    <s v="Fully Remote with Options to travel as and when needed"/>
    <s v="Employer who pushes your limits by enabling an learning environment, and rewards you at the end"/>
    <x v="418"/>
    <s v="Manager who explains what is expected, sets a goal and helps achieve it"/>
    <x v="6"/>
    <x v="3"/>
  </r>
  <r>
    <d v="2023-04-27T22:42:23"/>
    <s v="India"/>
    <n v="201002"/>
    <x v="0"/>
    <s v="People who have changed the world for better"/>
    <s v="Yes, I will earn and do that"/>
    <s v="This will be hard to do, but if it is the right company I would try"/>
    <s v="No"/>
    <s v="Will NOT work for them"/>
    <n v="1"/>
    <s v="Fully Remote with Options to travel as and when needed"/>
    <s v="Employer who appreciates learning and enables that environment"/>
    <x v="128"/>
    <s v="Manager who explains what is expected, sets a goal and helps achieve it"/>
    <x v="4"/>
    <x v="3"/>
  </r>
  <r>
    <d v="2023-04-27T22:49:21"/>
    <s v="India"/>
    <n v="530028"/>
    <x v="0"/>
    <s v="Influencers who had successful careers"/>
    <s v="No I would not be pursuing Higher Education outside of India"/>
    <s v="Will work for 3 years or more"/>
    <s v="No"/>
    <s v="Will NOT work for them"/>
    <n v="5"/>
    <s v="Fully Remote with Options to travel as and when needed"/>
    <s v="Employer who appreciates learning and enables that environment"/>
    <x v="101"/>
    <s v="Manager who clearly describes what she/he needs"/>
    <x v="1"/>
    <x v="3"/>
  </r>
  <r>
    <d v="2023-04-27T22:50:00"/>
    <s v="India"/>
    <n v="533201"/>
    <x v="0"/>
    <s v="People from my circle, but not family members"/>
    <s v="No I would not be pursuing Higher Education outside of India"/>
    <s v="Will work for 3 years or more"/>
    <s v="No"/>
    <s v="Will NOT work for them"/>
    <n v="7"/>
    <s v="Fully Remote with Options to travel as and when needed"/>
    <s v="Employer who pushes your limits by enabling an learning environment, and rewards you at the end"/>
    <x v="325"/>
    <s v="Manager who explains what is expected, sets a goal and helps achieve it"/>
    <x v="3"/>
    <x v="0"/>
  </r>
  <r>
    <d v="2023-04-27T22:50:28"/>
    <s v="India"/>
    <n v="500060"/>
    <x v="0"/>
    <s v="People who have changed the world for better"/>
    <s v="Yes, I will earn and do that"/>
    <s v="This will be hard to do, but if it is the right company I would try"/>
    <s v="No"/>
    <s v="Will NOT work for them"/>
    <n v="6"/>
    <s v="Every Day Office Environment"/>
    <s v="Employer who appreciates learning and enables that environment"/>
    <x v="200"/>
    <s v="Manager who clearly describes what she/he needs"/>
    <x v="3"/>
    <x v="3"/>
  </r>
  <r>
    <d v="2023-04-27T22:51:09"/>
    <s v="India"/>
    <n v="500053"/>
    <x v="0"/>
    <s v="Influencers who had successful careers"/>
    <s v="Yes, I will earn and do that"/>
    <s v="Will work for 3 years or more"/>
    <s v="No"/>
    <s v="Will work for them"/>
    <n v="8"/>
    <s v="Hybrid Working Environment with less than 3 days a month at office"/>
    <s v="Employer who appreciates learning and enables that environment"/>
    <x v="141"/>
    <s v="Manager who sets goal and helps me achieve it"/>
    <x v="1"/>
    <x v="3"/>
  </r>
  <r>
    <d v="2023-04-27T22:53:06"/>
    <s v="India"/>
    <n v="500081"/>
    <x v="0"/>
    <s v="My Parents"/>
    <s v="No I would not be pursuing Higher Education outside of India"/>
    <s v="This will be hard to do, but if it is the right company I would try"/>
    <s v="Yes"/>
    <s v="Will NOT work for them"/>
    <n v="3"/>
    <s v="Every Day Office Environment"/>
    <s v="Employer who appreciates learning and enables that environment"/>
    <x v="264"/>
    <s v="Manager who sets targets and expects me to achieve it"/>
    <x v="0"/>
    <x v="3"/>
  </r>
  <r>
    <d v="2023-04-27T22:53:08"/>
    <s v="India"/>
    <n v="500034"/>
    <x v="0"/>
    <s v="Influencers who had successful careers"/>
    <s v="No, But if someone could bare the cost I will"/>
    <s v="This will be hard to do, but if it is the right company I would try"/>
    <s v="Yes"/>
    <s v="Will work for them"/>
    <n v="9"/>
    <s v="Fully Remote with Options to travel as and when needed"/>
    <s v="Employer who appreciates learning and enables that environment"/>
    <x v="403"/>
    <s v="Manager who explains what is expected, sets a goal and helps achieve it"/>
    <x v="1"/>
    <x v="0"/>
  </r>
  <r>
    <d v="2023-04-27T22:53:22"/>
    <s v="India"/>
    <n v="600107"/>
    <x v="1"/>
    <s v="My Parents"/>
    <s v="Yes, I will earn and do that"/>
    <s v="This will be hard to do, but if it is the right company I would try"/>
    <s v="No"/>
    <s v="Will NOT work for them"/>
    <n v="9"/>
    <s v="Hybrid Working Environment with more than 15 days a month at office"/>
    <s v="Employer who appreciates learning and enables that environment"/>
    <x v="197"/>
    <s v="Manager who explains what is expected, sets a goal and helps achieve it"/>
    <x v="3"/>
    <x v="3"/>
  </r>
  <r>
    <d v="2023-04-27T22:54:40"/>
    <s v="India"/>
    <n v="440026"/>
    <x v="1"/>
    <s v="My Parents"/>
    <s v="No, But if someone could bare the cost I will"/>
    <s v="This will be hard to do, but if it is the right company I would try"/>
    <s v="No"/>
    <s v="Will NOT work for them"/>
    <n v="1"/>
    <s v="Fully Remote with Options to travel as and when needed"/>
    <s v="Employer who appreciates learning and enables that environment"/>
    <x v="249"/>
    <s v="Manager who clearly describes what she/he needs"/>
    <x v="3"/>
    <x v="0"/>
  </r>
  <r>
    <d v="2023-04-27T23:03:07"/>
    <s v="India"/>
    <n v="412207"/>
    <x v="0"/>
    <s v="Social Media like LinkedIn"/>
    <s v="No I would not be pursuing Higher Education outside of India"/>
    <s v="Will work for 3 years or more"/>
    <s v="No"/>
    <s v="Will NOT work for them"/>
    <n v="5"/>
    <s v="Hybrid Working Environment with more than 15 days a month at office"/>
    <s v="Employer who appreciates learning and enables that environment"/>
    <x v="419"/>
    <s v="Manager who explains what is expected, sets a goal and helps achieve it"/>
    <x v="1"/>
    <x v="3"/>
  </r>
  <r>
    <d v="2023-04-27T23:04:38"/>
    <s v="India"/>
    <n v="500085"/>
    <x v="0"/>
    <s v="People from my circle, but not family members"/>
    <s v="No I would not be pursuing Higher Education outside of India"/>
    <s v="This will be hard to do, but if it is the right company I would try"/>
    <s v="No"/>
    <s v="Will NOT work for them"/>
    <n v="4"/>
    <s v="Fully Remote with Options to travel as and when needed"/>
    <s v="Employer who appreciates learning and enables that environment"/>
    <x v="325"/>
    <s v="Manager who explains what is expected, sets a goal and helps achieve it"/>
    <x v="8"/>
    <x v="3"/>
  </r>
  <r>
    <d v="2023-04-27T23:11:27"/>
    <s v="India"/>
    <n v="466001"/>
    <x v="1"/>
    <s v="My Parents"/>
    <s v="No, But if someone could bare the cost I will"/>
    <s v="Will work for 3 years or more"/>
    <s v="Yes"/>
    <s v="Will work for them"/>
    <n v="10"/>
    <s v="Fully Remote with Options to travel as and when needed"/>
    <s v="Employer who appreciates learning and enables that environment"/>
    <x v="299"/>
    <s v="Manager who sets goal and helps me achieve it"/>
    <x v="1"/>
    <x v="3"/>
  </r>
  <r>
    <d v="2023-04-27T23:11:50"/>
    <s v="India"/>
    <n v="533210"/>
    <x v="0"/>
    <s v="People from my circle, but not family members"/>
    <s v="No I would not be pursuing Higher Education outside of India"/>
    <s v="Will work for 3 years or more"/>
    <s v="Yes"/>
    <s v="Will work for them"/>
    <n v="7"/>
    <s v="Fully Remote with Options to travel as and when needed"/>
    <s v="Employer who pushes your limits by enabling an learning environment, and rewards you at the end"/>
    <x v="179"/>
    <s v="Manager who explains what is expected, sets a goal and helps achieve it"/>
    <x v="4"/>
    <x v="3"/>
  </r>
  <r>
    <d v="2023-04-27T23:13:16"/>
    <s v="India"/>
    <n v="496661"/>
    <x v="0"/>
    <s v="People who have changed the world for better"/>
    <s v="Yes, I will earn and do that"/>
    <s v="This will be hard to do, but if it is the right company I would try"/>
    <s v="Yes"/>
    <s v="Will NOT work for them"/>
    <n v="5"/>
    <s v="Fully Remote with Options to travel as and when needed"/>
    <s v="Employer who pushes your limits by enabling an learning environment, and rewards you at the end"/>
    <x v="420"/>
    <s v="Manager who explains what is expected, sets a goal and helps achieve it"/>
    <x v="16"/>
    <x v="3"/>
  </r>
  <r>
    <d v="2023-04-27T23:13:57"/>
    <s v="India"/>
    <n v="500085"/>
    <x v="0"/>
    <s v="People from my circle, but not family members"/>
    <s v="No I would not be pursuing Higher Education outside of India"/>
    <s v="This will be hard to do, but if it is the right company I would try"/>
    <s v="No"/>
    <s v="Will NOT work for them"/>
    <n v="8"/>
    <s v="Fully Remote with Options to travel as and when needed"/>
    <s v="Employer who pushes your limits by enabling an learning environment, and rewards you at the end"/>
    <x v="146"/>
    <s v="Manager who explains what is expected, sets a goal and helps achieve it"/>
    <x v="1"/>
    <x v="0"/>
  </r>
  <r>
    <d v="2023-04-27T23:14:46"/>
    <s v="India"/>
    <n v="492001"/>
    <x v="1"/>
    <s v="People from my circle, but not family members"/>
    <s v="Yes, I will earn and do that"/>
    <s v="This will be hard to do, but if it is the right company I would try"/>
    <s v="Yes"/>
    <s v="Will NOT work for them"/>
    <n v="7"/>
    <s v="Fully Remote with Options to travel as and when needed"/>
    <s v="Employer who rewards learning and enables that environment"/>
    <x v="421"/>
    <s v="Manager who explains what is expected, sets a goal and helps achieve it"/>
    <x v="1"/>
    <x v="0"/>
  </r>
  <r>
    <d v="2023-04-27T23:15:15"/>
    <s v="India"/>
    <n v="493221"/>
    <x v="0"/>
    <s v="People who have changed the world for better"/>
    <s v="No, But if someone could bare the cost I will"/>
    <s v="This will be hard to do, but if it is the right company I would try"/>
    <s v="No"/>
    <s v="Will NOT work for them"/>
    <n v="3"/>
    <s v="Fully Remote with Options to travel as and when needed"/>
    <s v="Employer who pushes your limits by enabling an learning environment, and rewards you at the end"/>
    <x v="140"/>
    <s v="Manager who clearly describes what she/he needs"/>
    <x v="2"/>
    <x v="0"/>
  </r>
  <r>
    <d v="2023-04-27T23:16:29"/>
    <s v="India"/>
    <n v="520003"/>
    <x v="0"/>
    <s v="Influencers who had successful careers"/>
    <s v="No, But if someone could bare the cost I will"/>
    <s v="This will be hard to do, but if it is the right company I would try"/>
    <s v="No"/>
    <s v="Will NOT work for them"/>
    <n v="8"/>
    <s v="Hybrid Working Environment with more than 15 days a month at office"/>
    <s v="Employer who appreciates learning and enables that environment"/>
    <x v="415"/>
    <s v="Manager who sets goal and helps me achieve it"/>
    <x v="0"/>
    <x v="2"/>
  </r>
  <r>
    <d v="2023-04-27T23:16:49"/>
    <s v="India"/>
    <n v="560103"/>
    <x v="0"/>
    <s v="People who have changed the world for better"/>
    <s v="No, But if someone could bare the cost I will"/>
    <s v="Will work for 3 years or more"/>
    <s v="No"/>
    <s v="Will NOT work for them"/>
    <n v="1"/>
    <s v="Fully Remote with Options to travel as and when needed"/>
    <s v="Employer who pushes your limits by enabling an learning environment, and rewards you at the end"/>
    <x v="200"/>
    <s v="Manager who explains what is expected, sets a goal and helps achieve it"/>
    <x v="15"/>
    <x v="0"/>
  </r>
  <r>
    <d v="2023-04-27T23:16:57"/>
    <s v="India"/>
    <n v="176215"/>
    <x v="1"/>
    <s v="My Parents"/>
    <s v="Yes, I will earn and do that"/>
    <s v="This will be hard to do, but if it is the right company I would try"/>
    <s v="No"/>
    <s v="Will work for them"/>
    <n v="5"/>
    <s v="Hybrid Working Environment with more than 15 days a month at office"/>
    <s v="Employer who appreciates learning and enables that environment"/>
    <x v="196"/>
    <s v="Manager who clearly describes what she/he needs"/>
    <x v="3"/>
    <x v="0"/>
  </r>
  <r>
    <d v="2023-04-27T23:18:06"/>
    <s v="India"/>
    <n v="611001"/>
    <x v="0"/>
    <s v="My Parents"/>
    <s v="Yes, I will earn and do that"/>
    <s v="Will work for 3 years or more"/>
    <s v="No"/>
    <s v="Will NOT work for them"/>
    <n v="1"/>
    <s v="Every Day Office Environment"/>
    <s v="Employer who rewards learning and enables that environment"/>
    <x v="113"/>
    <s v="Manager who explains what is expected, sets a goal and helps achieve it"/>
    <x v="7"/>
    <x v="3"/>
  </r>
  <r>
    <d v="2023-04-27T23:19:21"/>
    <s v="India"/>
    <n v="603103"/>
    <x v="1"/>
    <s v="People who have changed the world for better"/>
    <s v="Yes, I will earn and do that"/>
    <s v="Will work for 3 years or more"/>
    <s v="No"/>
    <s v="Will NOT work for them"/>
    <n v="5"/>
    <s v="Fully Remote with Options to travel as and when needed"/>
    <s v="Employer who pushes your limits by enabling an learning environment, and rewards you at the end"/>
    <x v="422"/>
    <s v="Manager who sets goal and helps me achieve it"/>
    <x v="1"/>
    <x v="3"/>
  </r>
  <r>
    <d v="2023-04-27T23:20:15"/>
    <s v="India"/>
    <n v="492008"/>
    <x v="1"/>
    <s v="Influencers who had successful careers"/>
    <s v="No I would not be pursuing Higher Education outside of India"/>
    <s v="This will be hard to do, but if it is the right company I would try"/>
    <s v="No"/>
    <s v="Will NOT work for them"/>
    <n v="7"/>
    <s v="Hybrid Working Environment with less than 3 days a month at office"/>
    <s v="Employer who pushes your limits by enabling an learning environment, and rewards you at the end"/>
    <x v="309"/>
    <s v="Manager who clearly describes what she/he needs"/>
    <x v="6"/>
    <x v="3"/>
  </r>
  <r>
    <d v="2023-04-27T23:30:34"/>
    <s v="India"/>
    <n v="535145"/>
    <x v="0"/>
    <s v="My Parents"/>
    <s v="No I would not be pursuing Higher Education outside of India"/>
    <s v="Will work for 3 years or more"/>
    <s v="No"/>
    <s v="Will NOT work for them"/>
    <n v="7"/>
    <s v="Hybrid Working Environment with more than 15 days a month at office"/>
    <s v="Employer who appreciates learning and enables that environment"/>
    <x v="423"/>
    <s v="Manager who sets targets and expects me to achieve it"/>
    <x v="3"/>
    <x v="3"/>
  </r>
  <r>
    <d v="2023-04-27T23:31:04"/>
    <s v="India"/>
    <n v="535003"/>
    <x v="1"/>
    <s v="People who have changed the world for better"/>
    <s v="No I would not be pursuing Higher Education outside of India"/>
    <s v="This will be hard to do, but if it is the right company I would try"/>
    <s v="Yes"/>
    <s v="Will work for them"/>
    <n v="5"/>
    <s v="Fully Remote with Options to travel as and when needed"/>
    <s v="Employer who pushes your limits by enabling an learning environment, and rewards you at the end"/>
    <x v="325"/>
    <s v="Manager who explains what is expected, sets a goal and helps achieve it"/>
    <x v="15"/>
    <x v="0"/>
  </r>
  <r>
    <d v="2023-04-27T23:32:21"/>
    <s v="India"/>
    <n v="502279"/>
    <x v="1"/>
    <s v="People who have changed the world for better"/>
    <s v="Yes, I will earn and do that"/>
    <s v="Will work for 3 years or more"/>
    <s v="No"/>
    <s v="Will NOT work for them"/>
    <n v="7"/>
    <s v="Hybrid Working Environment with more than 15 days a month at office"/>
    <s v="Employer who pushes your limits by enabling an learning environment, and rewards you at the end"/>
    <x v="232"/>
    <s v="Manager who sets goal and helps me achieve it"/>
    <x v="4"/>
    <x v="3"/>
  </r>
  <r>
    <d v="2023-04-27T23:32:23"/>
    <s v="India"/>
    <n v="500075"/>
    <x v="1"/>
    <s v="Influencers who had successful careers"/>
    <s v="No I would not be pursuing Higher Education outside of India"/>
    <s v="This will be hard to do, but if it is the right company I would try"/>
    <s v="Yes"/>
    <s v="Will work for them"/>
    <n v="3"/>
    <s v="Hybrid Working Environment with less than 3 days a month at office"/>
    <s v="Employer who appreciates learning and enables that environment"/>
    <x v="197"/>
    <s v="Manager who sets targets and expects me to achieve it"/>
    <x v="15"/>
    <x v="0"/>
  </r>
  <r>
    <d v="2023-04-27T23:32:44"/>
    <s v="India"/>
    <n v="679102"/>
    <x v="1"/>
    <s v="People who have changed the world for better"/>
    <s v="No I would not be pursuing Higher Education outside of India"/>
    <s v="This will be hard to do, but if it is the right company I would try"/>
    <s v="No"/>
    <s v="Will NOT work for them"/>
    <n v="1"/>
    <s v="Hybrid Working Environment with less than 3 days a month at office"/>
    <s v="Employer who pushes your limits by enabling an learning environment, and rewards you at the end"/>
    <x v="402"/>
    <s v="Manager who explains what is expected, sets a goal and helps achieve it"/>
    <x v="3"/>
    <x v="3"/>
  </r>
  <r>
    <d v="2023-04-27T23:32:44"/>
    <s v="India"/>
    <n v="533222"/>
    <x v="1"/>
    <s v="My Parents"/>
    <s v="No, But if someone could bare the cost I will"/>
    <s v="Will work for 3 years or more"/>
    <s v="Yes"/>
    <s v="Will NOT work for them"/>
    <n v="8"/>
    <s v="Fully Remote with Options to travel as and when needed"/>
    <s v="Employer who rewards learning and enables that environment"/>
    <x v="424"/>
    <s v="Manager who explains what is expected, sets a goal and helps achieve it"/>
    <x v="16"/>
    <x v="0"/>
  </r>
  <r>
    <d v="2023-04-27T23:33:20"/>
    <s v="India"/>
    <n v="768017"/>
    <x v="0"/>
    <s v="People from my circle, but not family members"/>
    <s v="Yes, I will earn and do that"/>
    <s v="Will work for 3 years or more"/>
    <s v="No"/>
    <s v="Will NOT work for them"/>
    <n v="5"/>
    <s v="Fully Remote with Options to travel as and when needed"/>
    <s v="Employer who rewards learning and enables that environment"/>
    <x v="294"/>
    <s v="Manager who explains what is expected, sets a goal and helps achieve it"/>
    <x v="3"/>
    <x v="3"/>
  </r>
  <r>
    <d v="2023-04-27T23:36:58"/>
    <s v="India"/>
    <n v="500006"/>
    <x v="1"/>
    <s v="My Parents"/>
    <s v="No I would not be pursuing Higher Education outside of India"/>
    <s v="Will work for 3 years or more"/>
    <s v="Yes"/>
    <s v="Will NOT work for them"/>
    <n v="6"/>
    <s v="Fully Remote with Options to travel as and when needed"/>
    <s v="Employer who pushes your limits by enabling an learning environment, and rewards you at the end"/>
    <x v="127"/>
    <s v="Manager who explains what is expected, sets a goal and helps achieve it"/>
    <x v="3"/>
    <x v="0"/>
  </r>
  <r>
    <d v="2023-04-27T23:44:01"/>
    <s v="India"/>
    <n v="440035"/>
    <x v="1"/>
    <s v="Social Media like LinkedIn"/>
    <s v="No, But if someone could bare the cost I will"/>
    <s v="This will be hard to do, but if it is the right company I would try"/>
    <s v="No"/>
    <s v="Will NOT work for them"/>
    <n v="8"/>
    <s v="Hybrid Working Environment with less than 3 days a month at office"/>
    <s v="Employer who pushes your limits by enabling an learning environment, and rewards you at the end"/>
    <x v="243"/>
    <s v="Manager who explains what is expected, sets a goal and helps achieve it"/>
    <x v="1"/>
    <x v="3"/>
  </r>
  <r>
    <d v="2023-04-27T23:45:06"/>
    <s v="India"/>
    <n v="390023"/>
    <x v="0"/>
    <s v="Influencers who had successful careers"/>
    <s v="No I would not be pursuing Higher Education outside of India"/>
    <s v="This will be hard to do, but if it is the right company I would try"/>
    <s v="Yes"/>
    <s v="Will work for them"/>
    <n v="8"/>
    <s v="Hybrid Working Environment with more than 15 days a month at office"/>
    <s v="Employer who pushes your limits by enabling an learning environment, and rewards you at the end"/>
    <x v="105"/>
    <s v="Manager who explains what is expected, sets a goal and helps achieve it"/>
    <x v="5"/>
    <x v="3"/>
  </r>
  <r>
    <d v="2023-04-27T23:48:42"/>
    <s v="India"/>
    <n v="440024"/>
    <x v="0"/>
    <s v="Social Media like LinkedIn"/>
    <s v="No I would not be pursuing Higher Education outside of India"/>
    <s v="Will work for 3 years or more"/>
    <s v="No"/>
    <s v="Will NOT work for them"/>
    <n v="5"/>
    <s v="Fully Remote with Options to travel as and when needed"/>
    <s v="Employer who rewards learning and enables that environment"/>
    <x v="321"/>
    <s v="Manager who explains what is expected, sets a goal and helps achieve it"/>
    <x v="2"/>
    <x v="3"/>
  </r>
  <r>
    <d v="2023-04-27T23:50:22"/>
    <s v="India"/>
    <n v="509110"/>
    <x v="1"/>
    <s v="My Parents"/>
    <s v="Yes, I will earn and do that"/>
    <s v="Will work for 3 years or more"/>
    <s v="Yes"/>
    <s v="Will work for them"/>
    <n v="10"/>
    <s v="Fully Remote with No option to visit offices"/>
    <s v="Employer who appreciates learning and enables that environment"/>
    <x v="425"/>
    <s v="Manager who clearly describes what she/he needs"/>
    <x v="6"/>
    <x v="3"/>
  </r>
  <r>
    <d v="2023-04-27T23:50:30"/>
    <s v="India"/>
    <n v="679101"/>
    <x v="0"/>
    <s v="People from my circle, but not family members"/>
    <s v="No, But if someone could bare the cost I will"/>
    <s v="This will be hard to do, but if it is the right company I would try"/>
    <s v="No"/>
    <s v="Will NOT work for them"/>
    <n v="5"/>
    <s v="Hybrid Working Environment with more than 15 days a month at office"/>
    <s v="Employer who rewards learning and enables that environment"/>
    <x v="426"/>
    <s v="Manager who explains what is expected, sets a goal and helps achieve it"/>
    <x v="3"/>
    <x v="3"/>
  </r>
  <r>
    <d v="2023-04-27T23:50:38"/>
    <s v="India"/>
    <n v="535145"/>
    <x v="0"/>
    <s v="My Parents"/>
    <s v="No I would not be pursuing Higher Education outside of India"/>
    <s v="Will work for 3 years or more"/>
    <s v="No"/>
    <s v="Will NOT work for them"/>
    <n v="8"/>
    <s v="Hybrid Working Environment with less than 3 days a month at office"/>
    <s v="Employer who pushes your limits by enabling an learning environment, and rewards you at the end"/>
    <x v="180"/>
    <s v="Manager who clearly describes what she/he needs"/>
    <x v="1"/>
    <x v="3"/>
  </r>
  <r>
    <d v="2023-04-27T23:57:33"/>
    <s v="India"/>
    <n v="440008"/>
    <x v="1"/>
    <s v="People who have changed the world for better"/>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427"/>
    <s v="Manager who explains what is expected, sets a goal and helps achieve it"/>
    <x v="3"/>
    <x v="3"/>
  </r>
  <r>
    <d v="2023-04-27T23:57:49"/>
    <s v="India"/>
    <n v="500062"/>
    <x v="0"/>
    <s v="My Parents"/>
    <s v="No I would not be pursuing Higher Education outside of India"/>
    <s v="Will work for 3 years or more"/>
    <s v="No"/>
    <s v="Will NOT work for them"/>
    <n v="1"/>
    <s v="Hybrid Working Environment with more than 15 days a month at office"/>
    <s v="Employer who pushes your limits by enabling an learning environment, and rewards you at the end"/>
    <x v="267"/>
    <s v="Manager who explains what is expected, sets a goal and helps achieve it"/>
    <x v="7"/>
    <x v="3"/>
  </r>
  <r>
    <d v="2023-04-28T00:02:07"/>
    <s v="India"/>
    <n v="679103"/>
    <x v="1"/>
    <s v="Influencers who had successful careers"/>
    <s v="Yes, I will earn and do that"/>
    <s v="This will be hard to do, but if it is the right company I would try"/>
    <s v="No"/>
    <s v="Will NOT work for them"/>
    <n v="1"/>
    <s v="Every Day Office Environment"/>
    <s v="Employer who appreciates learning and enables that environment"/>
    <x v="291"/>
    <s v="Manager who clearly describes what she/he needs"/>
    <x v="4"/>
    <x v="3"/>
  </r>
  <r>
    <d v="2023-04-28T00:03:05"/>
    <s v="India"/>
    <n v="500007"/>
    <x v="0"/>
    <s v="Influencers who had successful careers"/>
    <s v="Yes, I will earn and do that"/>
    <s v="Will work for 3 years or more"/>
    <s v="No"/>
    <s v="Will NOT work for them"/>
    <n v="8"/>
    <s v="Every Day Office Environment"/>
    <s v="Employer who pushes your limits and doesn't enables learning environment and never rewards you"/>
    <x v="161"/>
    <s v="Manager who sets goal and helps me achieve it"/>
    <x v="6"/>
    <x v="3"/>
  </r>
  <r>
    <d v="2023-04-28T00:09:12"/>
    <s v="India"/>
    <n v="440008"/>
    <x v="1"/>
    <s v="Social Media like LinkedIn"/>
    <s v="Yes, I will earn and do that"/>
    <s v="Will work for 3 years or more"/>
    <s v="No"/>
    <s v="Will NOT work for them"/>
    <n v="5"/>
    <s v="Fully Remote with Options to travel as and when needed"/>
    <s v="Employers who appreciates learning but doesn't enables an learning environment"/>
    <x v="428"/>
    <s v="Manager who explains what is expected, sets a goal and helps achieve it"/>
    <x v="3"/>
    <x v="3"/>
  </r>
  <r>
    <d v="2023-04-28T00:11:13"/>
    <s v="India"/>
    <n v="803110"/>
    <x v="0"/>
    <s v="People who have changed the world for better"/>
    <s v="No, But if someone could bare the cost I will"/>
    <s v="No way"/>
    <s v="Yes"/>
    <s v="Will work for them"/>
    <n v="7"/>
    <s v="Hybrid Working Environment with more than 15 days a month at office"/>
    <s v="Employer who pushes your limits by enabling an learning environment, and rewards you at the end"/>
    <x v="429"/>
    <s v="Manager who sets targets and expects me to achieve it"/>
    <x v="1"/>
    <x v="2"/>
  </r>
  <r>
    <d v="2023-04-28T00:14:41"/>
    <s v="India"/>
    <n v="401303"/>
    <x v="0"/>
    <s v="Influencers who had successful careers"/>
    <s v="No I would not be pursuing Higher Education outside of India"/>
    <s v="Will work for 3 years or more"/>
    <s v="Yes"/>
    <s v="Will NOT work for them"/>
    <n v="7"/>
    <s v="Every Day Office Environment"/>
    <s v="Employer who pushes your limits by enabling an learning environment, and rewards you at the end"/>
    <x v="108"/>
    <s v="Manager who explains what is expected, sets a goal and helps achieve it"/>
    <x v="5"/>
    <x v="2"/>
  </r>
  <r>
    <d v="2023-04-28T00:15:03"/>
    <s v="United States of America"/>
    <n v="90001"/>
    <x v="0"/>
    <s v="Influencers who had successful careers"/>
    <s v="No I would not be pursuing Higher Education outside of India"/>
    <s v="This will be hard to do, but if it is the right company I would try"/>
    <s v="No"/>
    <s v="Will NOT work for them"/>
    <n v="9"/>
    <s v="Every Day Office Environment"/>
    <s v="Employer who appreciates learning and enables that environment"/>
    <x v="340"/>
    <s v="Manager who explains what is expected, sets a goal and helps achieve it"/>
    <x v="4"/>
    <x v="3"/>
  </r>
  <r>
    <d v="2023-04-28T00:15:29"/>
    <s v="India"/>
    <n v="281001"/>
    <x v="0"/>
    <s v="People from my circle, but not family members"/>
    <s v="No I would not be pursuing Higher Education outside of India"/>
    <s v="This will be hard to do, but if it is the right company I would try"/>
    <s v="No"/>
    <s v="Will NOT work for them"/>
    <n v="8"/>
    <s v="Fully Remote with Options to travel as and when needed"/>
    <s v="Employer who appreciates learning and enables that environment"/>
    <x v="373"/>
    <s v="Manager who explains what is expected, sets a goal and helps achieve it"/>
    <x v="3"/>
    <x v="3"/>
  </r>
  <r>
    <d v="2023-04-28T00:16:52"/>
    <s v="India"/>
    <n v="440018"/>
    <x v="0"/>
    <s v="Influencers who had successful careers"/>
    <s v="Yes, I will earn and do that"/>
    <s v="This will be hard to do, but if it is the right company I would try"/>
    <s v="Yes"/>
    <s v="Will NOT work for them"/>
    <n v="2"/>
    <s v="Hybrid Working Environment with more than 15 days a month at office"/>
    <s v="Employer who pushes your limits by enabling an learning environment, and rewards you at the end"/>
    <x v="371"/>
    <s v="Manager who explains what is expected, sets a goal and helps achieve it"/>
    <x v="7"/>
    <x v="3"/>
  </r>
  <r>
    <d v="2023-04-28T00:23:34"/>
    <s v="India"/>
    <n v="760004"/>
    <x v="0"/>
    <s v="My Parents"/>
    <s v="No, But if someone could bare the cost I will"/>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171"/>
    <s v="Manager who explains what is expected, sets a goal and helps achieve it"/>
    <x v="6"/>
    <x v="3"/>
  </r>
  <r>
    <d v="2023-04-28T00:28:58"/>
    <s v="India"/>
    <n v="440008"/>
    <x v="1"/>
    <s v="My Parents"/>
    <s v="No, But if someone could bare the cost I will"/>
    <s v="This will be hard to do, but if it is the right company I would try"/>
    <s v="Yes"/>
    <s v="Will NOT work for them"/>
    <n v="7"/>
    <s v="Fully Remote with Options to travel as and when needed"/>
    <s v="Employer who pushes your limits by enabling an learning environment, and rewards you at the end"/>
    <x v="430"/>
    <s v="Manager who sets goal and helps me achieve it"/>
    <x v="3"/>
    <x v="3"/>
  </r>
  <r>
    <d v="2023-04-28T00:45:50"/>
    <s v="India"/>
    <n v="560100"/>
    <x v="1"/>
    <s v="Influencers who had successful careers"/>
    <s v="Yes, I will earn and do that"/>
    <s v="Will work for 3 years or more"/>
    <s v="Yes"/>
    <s v="Will work for them"/>
    <n v="5"/>
    <s v="Hybrid Working Environment with less than 3 days a month at office"/>
    <s v="Employer who appreciates learning and enables that environment"/>
    <x v="111"/>
    <s v="Manager who explains what is expected, sets a goal and helps achieve it"/>
    <x v="1"/>
    <x v="3"/>
  </r>
  <r>
    <d v="2023-04-28T00:46:03"/>
    <s v="India"/>
    <n v="440024"/>
    <x v="1"/>
    <s v="Influencers who had successful careers"/>
    <s v="Yes, I will earn and do that"/>
    <s v="This will be hard to do, but if it is the right company I would try"/>
    <s v="No"/>
    <s v="Will NOT work for them"/>
    <n v="6"/>
    <s v="Hybrid Working Environment with more than 15 days a month at office"/>
    <s v="Employer who rewards learning and enables that environment"/>
    <x v="247"/>
    <s v="Manager who explains what is expected, sets a goal and helps achieve it"/>
    <x v="1"/>
    <x v="0"/>
  </r>
  <r>
    <d v="2023-04-28T01:03:21"/>
    <s v="India"/>
    <n v="121009"/>
    <x v="1"/>
    <s v="My Parents"/>
    <s v="Yes, I will earn and do that"/>
    <s v="This will be hard to do, but if it is the right company I would try"/>
    <s v="No"/>
    <s v="Will NOT work for them"/>
    <n v="2"/>
    <s v="Every Day Office Environment"/>
    <s v="Employer who appreciates learning and enables that environment"/>
    <x v="431"/>
    <s v="Manager who explains what is expected, sets a goal and helps achieve it"/>
    <x v="3"/>
    <x v="0"/>
  </r>
  <r>
    <d v="2023-04-28T01:10:18"/>
    <s v="India"/>
    <n v="490023"/>
    <x v="0"/>
    <s v="People who have changed the world for better"/>
    <s v="No I would not be pursuing Higher Education outside of India"/>
    <s v="Will work for 3 years or more"/>
    <s v="No"/>
    <s v="Will work for them"/>
    <n v="8"/>
    <s v="Hybrid Working Environment with more than 15 days a month at office"/>
    <s v="Employer who pushes your limits by enabling an learning environment, and rewards you at the end"/>
    <x v="143"/>
    <s v="Manager who explains what is expected, sets a goal and helps achieve it"/>
    <x v="2"/>
    <x v="0"/>
  </r>
  <r>
    <d v="2023-04-28T01:11:52"/>
    <s v="India"/>
    <n v="500062"/>
    <x v="1"/>
    <s v="My Parents"/>
    <s v="Yes, I will earn and do that"/>
    <s v="This will be hard to do, but if it is the right company I would try"/>
    <s v="No"/>
    <s v="Will NOT work for them"/>
    <n v="5"/>
    <s v="Hybrid Working Environment with less than 3 days a month at office"/>
    <s v="Employer who appreciates learning and enables that environment"/>
    <x v="140"/>
    <s v="Manager who clearly describes what she/he needs"/>
    <x v="8"/>
    <x v="3"/>
  </r>
  <r>
    <d v="2023-04-28T01:17:18"/>
    <s v="India"/>
    <n v="524001"/>
    <x v="1"/>
    <s v="Influencers who had successful careers"/>
    <s v="No I would not be pursuing Higher Education outside of India"/>
    <s v="This will be hard to do, but if it is the right company I would try"/>
    <s v="No"/>
    <s v="Will work for them"/>
    <n v="6"/>
    <s v="Fully Remote with Options to travel as and when needed"/>
    <s v="Employer who rewards learning and enables that environment"/>
    <x v="432"/>
    <s v="Manager who explains what is expected, sets a goal and helps achieve it"/>
    <x v="3"/>
    <x v="0"/>
  </r>
  <r>
    <d v="2023-04-28T01:24:43"/>
    <s v="India"/>
    <n v="500097"/>
    <x v="1"/>
    <s v="Influencers who had successful careers"/>
    <s v="No, But if someone could bare the cost I will"/>
    <s v="Will work for 3 years or more"/>
    <s v="No"/>
    <s v="Will NOT work for them"/>
    <n v="1"/>
    <s v="Hybrid Working Environment with less than 3 days a month at office"/>
    <s v="Employer who rewards learning and enables that environment"/>
    <x v="301"/>
    <s v="Manager who sets goal and helps me achieve it"/>
    <x v="1"/>
    <x v="3"/>
  </r>
  <r>
    <d v="2023-04-28T02:28:12"/>
    <s v="India"/>
    <n v="600122"/>
    <x v="1"/>
    <s v="People from my circle, but not family members"/>
    <s v="Yes, I will earn and do that"/>
    <s v="This will be hard to do, but if it is the right company I would try"/>
    <s v="No"/>
    <s v="Will NOT work for them"/>
    <n v="1"/>
    <s v="Every Day Office Environment"/>
    <s v="Employer who appreciates learning and enables that environment"/>
    <x v="134"/>
    <s v="Manager who explains what is expected, sets a goal and helps achieve it"/>
    <x v="4"/>
    <x v="3"/>
  </r>
  <r>
    <d v="2023-04-28T03:47:19"/>
    <s v="India"/>
    <n v="600049"/>
    <x v="1"/>
    <s v="People from my circle, but not family members"/>
    <s v="No, But if someone could bare the cost I will"/>
    <s v="Will work for 3 years or more"/>
    <s v="No"/>
    <s v="Will work for them"/>
    <n v="8"/>
    <s v="Hybrid Working Environment with more than 15 days a month at office"/>
    <s v="Employer who pushes your limits by enabling an learning environment, and rewards you at the end"/>
    <x v="278"/>
    <s v="Manager who explains what is expected, sets a goal and helps achieve it"/>
    <x v="9"/>
    <x v="3"/>
  </r>
  <r>
    <d v="2023-04-28T04:46:34"/>
    <s v="India"/>
    <n v="500047"/>
    <x v="0"/>
    <s v="People who have changed the world for better"/>
    <s v="No I would not be pursuing Higher Education outside of India"/>
    <s v="Will work for 3 years or more"/>
    <s v="No"/>
    <s v="Will NOT work for them"/>
    <n v="6"/>
    <s v="Fully Remote with No option to visit offices"/>
    <s v="Employer who appreciates learning and enables that environment"/>
    <x v="114"/>
    <s v="Manager who explains what is expected, sets a goal and helps achieve it"/>
    <x v="1"/>
    <x v="3"/>
  </r>
  <r>
    <d v="2023-04-28T04:54:01"/>
    <s v="Others"/>
    <s v="GL50"/>
    <x v="1"/>
    <s v="People who have changed the world for better"/>
    <s v="Yes, I will earn and do that"/>
    <s v="Will work for 3 years or more"/>
    <s v="No"/>
    <s v="Will NOT work for them"/>
    <n v="8"/>
    <s v="Fully Remote with Options to travel as and when needed"/>
    <s v="Employer who pushes your limits by enabling an learning environment, and rewards you at the end"/>
    <x v="433"/>
    <s v="Manager who explains what is expected, sets a goal and helps achieve it"/>
    <x v="4"/>
    <x v="3"/>
  </r>
  <r>
    <d v="2023-04-28T05:11:22"/>
    <s v="India"/>
    <n v="500037"/>
    <x v="0"/>
    <s v="People who have changed the world for better"/>
    <s v="No, But if someone could bare the cost I will"/>
    <s v="Will work for 3 years or more"/>
    <s v="Yes"/>
    <s v="Will work for them"/>
    <n v="5"/>
    <s v="Every Day Office Environment"/>
    <s v="Employer who rewards learning and enables that environment"/>
    <x v="318"/>
    <s v="Manager who explains what is expected, sets a goal and helps achieve it"/>
    <x v="3"/>
    <x v="3"/>
  </r>
  <r>
    <d v="2023-04-28T05:18:40"/>
    <s v="India"/>
    <n v="501218"/>
    <x v="1"/>
    <s v="My Parents"/>
    <s v="No, But if someone could bare the cost I will"/>
    <s v="This will be hard to do, but if it is the right company I would try"/>
    <s v="Yes"/>
    <s v="Will NOT work for them"/>
    <n v="8"/>
    <s v="Hybrid Working Environment with less than 3 days a month at office"/>
    <s v="Employer who pushes your limits by enabling an learning environment, and rewards you at the end"/>
    <x v="419"/>
    <s v="Manager who explains what is expected, sets a goal and helps achieve it"/>
    <x v="3"/>
    <x v="3"/>
  </r>
  <r>
    <d v="2023-04-28T05:23:51"/>
    <s v="India"/>
    <n v="530046"/>
    <x v="1"/>
    <s v="My Parents"/>
    <s v="No I would not be pursuing Higher Education outside of India"/>
    <s v="This will be hard to do, but if it is the right company I would try"/>
    <s v="No"/>
    <s v="Will NOT work for them"/>
    <n v="3"/>
    <s v="Every Day Office Environment"/>
    <s v="Employer who pushes your limits by enabling an learning environment, and rewards you at the end"/>
    <x v="257"/>
    <s v="Manager who explains what is expected, sets a goal and helps achieve it"/>
    <x v="1"/>
    <x v="3"/>
  </r>
  <r>
    <d v="2023-04-28T06:03:44"/>
    <s v="India"/>
    <n v="530051"/>
    <x v="0"/>
    <s v="Influencers who had successful careers"/>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245"/>
    <s v="Manager who explains what is expected, sets a goal and helps achieve it"/>
    <x v="3"/>
    <x v="3"/>
  </r>
  <r>
    <d v="2023-04-28T06:16:29"/>
    <s v="India"/>
    <n v="501510"/>
    <x v="1"/>
    <s v="My Parents"/>
    <s v="Yes, I will earn and do that"/>
    <s v="Will work for 3 years or more"/>
    <s v="No"/>
    <s v="Will NOT work for them"/>
    <n v="5"/>
    <s v="Fully Remote with Options to travel as and when needed"/>
    <s v="Employer who pushes your limits by enabling an learning environment, and rewards you at the end"/>
    <x v="434"/>
    <s v="Manager who sets goal and helps me achieve it"/>
    <x v="1"/>
    <x v="2"/>
  </r>
  <r>
    <d v="2023-04-28T06:19:31"/>
    <s v="India"/>
    <n v="530051"/>
    <x v="1"/>
    <s v="My Parents"/>
    <s v="Yes, I will earn and do that"/>
    <s v="No way"/>
    <s v="No"/>
    <s v="Will NOT work for them"/>
    <n v="1"/>
    <s v="Fully Remote with Options to travel as and when needed"/>
    <s v="Employer who pushes your limits by enabling an learning environment, and rewards you at the end"/>
    <x v="315"/>
    <s v="Manager who explains what is expected, sets a goal and helps achieve it"/>
    <x v="3"/>
    <x v="3"/>
  </r>
  <r>
    <d v="2023-04-28T06:22:29"/>
    <s v="India"/>
    <n v="530029"/>
    <x v="0"/>
    <s v="People from my circle, but not family members"/>
    <s v="No, But if someone could bare the cost I will"/>
    <s v="This will be hard to do, but if it is the right company I would try"/>
    <s v="No"/>
    <s v="Will NOT work for them"/>
    <n v="1"/>
    <s v="Fully Remote with Options to travel as and when needed"/>
    <s v="Employer who appreciates learning and enables that environment"/>
    <x v="403"/>
    <s v="Manager who explains what is expected, sets a goal and helps achieve it"/>
    <x v="1"/>
    <x v="3"/>
  </r>
  <r>
    <d v="2023-04-28T06:23:52"/>
    <s v="India"/>
    <n v="530007"/>
    <x v="1"/>
    <s v="People from my circle, but not family members"/>
    <s v="No I would not be pursuing Higher Education outside of India"/>
    <s v="This will be hard to do, but if it is the right company I would try"/>
    <s v="No"/>
    <s v="Will NOT work for them"/>
    <n v="4"/>
    <s v="Fully Remote with Options to travel as and when needed"/>
    <s v="Employer who pushes your limits by enabling an learning environment, and rewards you at the end"/>
    <x v="435"/>
    <s v="Manager who explains what is expected, sets a goal and helps achieve it"/>
    <x v="6"/>
    <x v="3"/>
  </r>
  <r>
    <d v="2023-04-28T06:28:47"/>
    <s v="India"/>
    <s v="Lahari"/>
    <x v="1"/>
    <s v="My Parents"/>
    <s v="No, But if someone could bare the cost I will"/>
    <s v="Will work for 3 years or more"/>
    <s v="No"/>
    <s v="Will NOT work for them"/>
    <n v="4"/>
    <s v="Hybrid Working Environment with more than 15 days a month at office"/>
    <s v="Employer who appreciates learning and enables that environment"/>
    <x v="132"/>
    <s v="Manager who sets targets and expects me to achieve it"/>
    <x v="1"/>
    <x v="3"/>
  </r>
  <r>
    <d v="2023-04-28T06:37:17"/>
    <s v="India"/>
    <n v="221304"/>
    <x v="0"/>
    <s v="People who have changed the world for better"/>
    <s v="No I would not be pursuing Higher Education outside of India"/>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141"/>
    <s v="Manager who clearly describes what she/he needs"/>
    <x v="0"/>
    <x v="3"/>
  </r>
  <r>
    <d v="2023-04-28T06:47:00"/>
    <s v="India"/>
    <n v="110025"/>
    <x v="0"/>
    <s v="Social Media like LinkedIn"/>
    <s v="No I would not be pursuing Higher Education outside of India"/>
    <s v="This will be hard to do, but if it is the right company I would try"/>
    <s v="Yes"/>
    <s v="Will NOT work for them"/>
    <n v="4"/>
    <s v="Fully Remote with Options to travel as and when needed"/>
    <s v="Employer who pushes your limits by enabling an learning environment, and rewards you at the end"/>
    <x v="109"/>
    <s v="Manager who explains what is expected, sets a goal and helps achieve it"/>
    <x v="1"/>
    <x v="0"/>
  </r>
  <r>
    <d v="2023-04-28T06:54:26"/>
    <s v="India"/>
    <n v="530029"/>
    <x v="1"/>
    <s v="People who have changed the world for better"/>
    <s v="Yes, I will earn and do that"/>
    <s v="Will work for 3 years or more"/>
    <s v="No"/>
    <s v="Will NOT work for them"/>
    <n v="5"/>
    <s v="Every Day Office Environment"/>
    <s v="Employer who pushes your limits by enabling an learning environment, and rewards you at the end"/>
    <x v="164"/>
    <s v="Manager who explains what is expected, sets a goal and helps achieve it"/>
    <x v="7"/>
    <x v="3"/>
  </r>
  <r>
    <d v="2023-04-28T06:58:04"/>
    <s v="India"/>
    <n v="243001"/>
    <x v="1"/>
    <s v="My Parents"/>
    <s v="Yes, I will earn and do that"/>
    <s v="This will be hard to do, but if it is the right company I would try"/>
    <s v="No"/>
    <s v="Will NOT work for them"/>
    <n v="10"/>
    <s v="Fully Remote with Options to travel as and when needed"/>
    <s v="Employer who pushes your limits by enabling an learning environment, and rewards you at the end"/>
    <x v="436"/>
    <s v="Manager who sets goal and helps me achieve it"/>
    <x v="3"/>
    <x v="3"/>
  </r>
  <r>
    <d v="2023-04-28T07:10:28"/>
    <s v="India"/>
    <n v="530051"/>
    <x v="1"/>
    <s v="Influencers who had successful careers"/>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437"/>
    <s v="Manager who clearly describes what she/he needs"/>
    <x v="3"/>
    <x v="3"/>
  </r>
  <r>
    <d v="2023-04-28T07:38:29"/>
    <s v="India"/>
    <n v="500098"/>
    <x v="0"/>
    <s v="People who have changed the world for better"/>
    <s v="Yes, I will earn and do that"/>
    <s v="This will be hard to do, but if it is the right company I would try"/>
    <s v="No"/>
    <s v="Will NOT work for them"/>
    <n v="9"/>
    <s v="Fully Remote with Options to travel as and when needed"/>
    <s v="Employer who pushes your limits by enabling an learning environment, and rewards you at the end"/>
    <x v="373"/>
    <s v="Manager who clearly describes what she/he needs"/>
    <x v="6"/>
    <x v="0"/>
  </r>
  <r>
    <d v="2023-04-28T07:40:45"/>
    <s v="India"/>
    <n v="534197"/>
    <x v="0"/>
    <s v="Influencers who had successful careers"/>
    <s v="No I would not be pursuing Higher Education outside of India"/>
    <s v="Will work for 3 years or more"/>
    <s v="No"/>
    <s v="Will NOT work for them"/>
    <n v="2"/>
    <s v="Every Day Office Environment"/>
    <s v="Employer who appreciates learning and enables that environment"/>
    <x v="132"/>
    <s v="Manager who explains what is expected, sets a goal and helps achieve it"/>
    <x v="1"/>
    <x v="3"/>
  </r>
  <r>
    <d v="2023-04-28T07:51:55"/>
    <s v="India"/>
    <n v="535003"/>
    <x v="1"/>
    <s v="Influencers who had successful careers"/>
    <s v="No, But if someone could bare the cost I will"/>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438"/>
    <s v="Manager who explains what is expected, sets a goal and helps achieve it"/>
    <x v="2"/>
    <x v="3"/>
  </r>
  <r>
    <d v="2023-04-28T07:59:03"/>
    <s v="India"/>
    <n v="500082"/>
    <x v="1"/>
    <s v="People who have changed the world for better"/>
    <s v="No I would not be pursuing Higher Education outside of India"/>
    <s v="Will work for 3 years or more"/>
    <s v="No"/>
    <s v="Will NOT work for them"/>
    <n v="3"/>
    <s v="Every Day Office Environment"/>
    <s v="Employer who appreciates learning and enables that environment"/>
    <x v="439"/>
    <s v="Manager who explains what is expected, sets a goal and helps achieve it"/>
    <x v="7"/>
    <x v="3"/>
  </r>
  <r>
    <d v="2023-04-28T08:02:37"/>
    <s v="India"/>
    <n v="395006"/>
    <x v="0"/>
    <s v="People from my circle, but not family members"/>
    <s v="Yes, I will earn and do that"/>
    <s v="Will work for 3 years or more"/>
    <s v="No"/>
    <s v="Will NOT work for them"/>
    <n v="6"/>
    <s v="Hybrid Working Environment with more than 15 days a month at office"/>
    <s v="Employer who appreciates learning and enables that environment"/>
    <x v="440"/>
    <s v="Manager who explains what is expected, sets a goal and helps achieve it"/>
    <x v="9"/>
    <x v="3"/>
  </r>
  <r>
    <d v="2023-04-28T08:05:51"/>
    <s v="India"/>
    <n v="500054"/>
    <x v="1"/>
    <s v="People from my circle, but not family members"/>
    <s v="No I would not be pursuing Higher Education outside of India"/>
    <s v="This will be hard to do, but if it is the right company I would try"/>
    <s v="Yes"/>
    <s v="Will NOT work for them"/>
    <n v="5"/>
    <s v="Hybrid Working Environment with more than 15 days a month at office"/>
    <s v="Employer who pushes your limits by enabling an learning environment, and rewards you at the end"/>
    <x v="168"/>
    <s v="Manager who explains what is expected, sets a goal and helps achieve it"/>
    <x v="1"/>
    <x v="3"/>
  </r>
  <r>
    <d v="2023-04-28T08:06:22"/>
    <s v="Others"/>
    <n v="4701"/>
    <x v="1"/>
    <s v="My Parent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338"/>
    <s v="Manager who explains what is expected, sets a goal and helps achieve it"/>
    <x v="3"/>
    <x v="3"/>
  </r>
  <r>
    <d v="2023-04-28T08:11:06"/>
    <s v="India"/>
    <n v="600056"/>
    <x v="1"/>
    <s v="People who have changed the world for better"/>
    <s v="No I would not be pursuing Higher Education outside of India"/>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97"/>
    <s v="Manager who explains what is expected, sets a goal and helps achieve it"/>
    <x v="1"/>
    <x v="3"/>
  </r>
  <r>
    <d v="2023-04-28T08:13:06"/>
    <s v="India"/>
    <n v="531031"/>
    <x v="0"/>
    <s v="People who have changed the world for better"/>
    <s v="No, But if someone could bare the cost I will"/>
    <s v="This will be hard to do, but if it is the right company I would try"/>
    <s v="No"/>
    <s v="Will NOT work for them"/>
    <n v="8"/>
    <s v="Every Day Office Environment"/>
    <s v="Employer who pushes your limits by enabling an learning environment, and rewards you at the end"/>
    <x v="439"/>
    <s v="Manager who sets goal and helps me achieve it"/>
    <x v="4"/>
    <x v="3"/>
  </r>
  <r>
    <d v="2023-04-28T08:17:17"/>
    <s v="India"/>
    <n v="533435"/>
    <x v="0"/>
    <s v="My Parents"/>
    <s v="Yes, I will earn and do that"/>
    <s v="Will work for 3 years or more"/>
    <s v="No"/>
    <s v="Will NOT work for them"/>
    <n v="6"/>
    <s v="Hybrid Working Environment with more than 15 days a month at office"/>
    <s v="Employer who pushes your limits by enabling an learning environment, and rewards you at the end"/>
    <x v="200"/>
    <s v="Manager who explains what is expected, sets a goal and helps achieve it"/>
    <x v="15"/>
    <x v="2"/>
  </r>
  <r>
    <d v="2023-04-28T08:20:54"/>
    <s v="India"/>
    <n v="403801"/>
    <x v="1"/>
    <s v="People who have changed the world for better"/>
    <s v="Yes, I will earn and do that"/>
    <s v="Will work for 3 years or more"/>
    <s v="Yes"/>
    <s v="Will work for them"/>
    <n v="10"/>
    <s v="Every Day Office Environment"/>
    <s v="Employer who appreciates learning and enables that environment"/>
    <x v="420"/>
    <s v="Manager who clearly describes what she/he needs"/>
    <x v="1"/>
    <x v="3"/>
  </r>
  <r>
    <d v="2023-04-28T08:25:09"/>
    <s v="India"/>
    <n v="424307"/>
    <x v="0"/>
    <s v="Social Media like LinkedIn"/>
    <s v="Yes, I will earn and do that"/>
    <s v="Will work for 3 years or more"/>
    <s v="No"/>
    <s v="Will NOT work for them"/>
    <n v="8"/>
    <s v="Hybrid Working Environment with less than 3 days a month at office"/>
    <s v="Employer who appreciates learning and enables that environment"/>
    <x v="266"/>
    <s v="Manager who clearly describes what she/he needs"/>
    <x v="1"/>
    <x v="3"/>
  </r>
  <r>
    <d v="2023-04-28T08:25:13"/>
    <s v="India"/>
    <n v="201303"/>
    <x v="0"/>
    <s v="Influencers who had successful careers"/>
    <s v="Yes, I will earn and do that"/>
    <s v="This will be hard to do, but if it is the right company I would try"/>
    <s v="No"/>
    <s v="Will work for them"/>
    <n v="6"/>
    <s v="Fully Remote with Options to travel as and when needed"/>
    <s v="Employer who pushes your limits by enabling an learning environment, and rewards you at the end"/>
    <x v="118"/>
    <s v="Manager who explains what is expected, sets a goal and helps achieve it"/>
    <x v="1"/>
    <x v="3"/>
  </r>
  <r>
    <d v="2023-04-28T08:35:14"/>
    <s v="India"/>
    <n v="515122"/>
    <x v="1"/>
    <s v="Influencers who had successful careers"/>
    <s v="Yes, I will earn and do that"/>
    <s v="This will be hard to do, but if it is the right company I would try"/>
    <s v="No"/>
    <s v="Will NOT work for them"/>
    <n v="5"/>
    <s v="Fully Remote with No option to visit offices"/>
    <s v="Employer who appreciates learning and enables that environment"/>
    <x v="243"/>
    <s v="Manager who explains what is expected, sets a goal and helps achieve it"/>
    <x v="7"/>
    <x v="0"/>
  </r>
  <r>
    <d v="2023-04-28T08:47:13"/>
    <s v="India"/>
    <n v="530026"/>
    <x v="1"/>
    <s v="People who have changed the world for better"/>
    <s v="Yes, I will earn and do that"/>
    <s v="This will be hard to do, but if it is the right company I would try"/>
    <s v="No"/>
    <s v="Will NOT work for them"/>
    <n v="8"/>
    <s v="Hybrid Working Environment with less than 3 days a month at office"/>
    <s v="Employer who appreciates learning and enables that environment"/>
    <x v="140"/>
    <s v="Manager who sets unrealistic targets"/>
    <x v="1"/>
    <x v="3"/>
  </r>
  <r>
    <d v="2023-04-28T08:55:35"/>
    <s v="India"/>
    <n v="143602"/>
    <x v="0"/>
    <s v="People who have changed the world for better"/>
    <s v="No, But if someone could bare the cost I will"/>
    <s v="This will be hard to do, but if it is the right company I would try"/>
    <s v="Yes"/>
    <s v="Will work for them"/>
    <n v="9"/>
    <s v="Hybrid Working Environment with more than 15 days a month at office"/>
    <s v="Employer who pushes your limits and doesn't enables learning environment and never rewards you"/>
    <x v="441"/>
    <s v="Manager who explains what is expected, sets a goal and helps achieve it"/>
    <x v="1"/>
    <x v="0"/>
  </r>
  <r>
    <d v="2023-04-28T09:11:18"/>
    <s v="India"/>
    <n v="562106"/>
    <x v="0"/>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442"/>
    <s v="Manager who explains what is expected, sets a goal and helps achieve it"/>
    <x v="1"/>
    <x v="0"/>
  </r>
  <r>
    <d v="2023-04-28T09:13:40"/>
    <s v="India"/>
    <n v="581336"/>
    <x v="0"/>
    <s v="My Parents"/>
    <s v="No, But if someone could bare the cost I will"/>
    <s v="This will be hard to do, but if it is the right company I would try"/>
    <s v="No"/>
    <s v="Will NOT work for them"/>
    <n v="3"/>
    <s v="Hybrid Working Environment with less than 3 days a month at office"/>
    <s v="Employer who appreciates learning and enables that environment"/>
    <x v="395"/>
    <s v="Manager who clearly describes what she/he needs"/>
    <x v="2"/>
    <x v="3"/>
  </r>
  <r>
    <d v="2023-04-28T09:14:28"/>
    <s v="India"/>
    <n v="440035"/>
    <x v="1"/>
    <s v="My Parents"/>
    <s v="Yes, I will earn and do that"/>
    <s v="Will work for 3 years or more"/>
    <s v="No"/>
    <s v="Will NOT work for them"/>
    <n v="1"/>
    <s v="Fully Remote with Options to travel as and when needed"/>
    <s v="Employer who pushes your limits by enabling an learning environment, and rewards you at the end"/>
    <x v="285"/>
    <s v="Manager who explains what is expected, sets a goal and helps achieve it"/>
    <x v="3"/>
    <x v="3"/>
  </r>
  <r>
    <d v="2023-04-28T09:18:56"/>
    <s v="India"/>
    <n v="423203"/>
    <x v="0"/>
    <s v="Influencers who had successful careers"/>
    <s v="No I would not be pursuing Higher Education outside of India"/>
    <s v="This will be hard to do, but if it is the right company I would try"/>
    <s v="No"/>
    <s v="Will NOT work for them"/>
    <n v="3"/>
    <s v="Fully Remote with Options to travel as and when needed"/>
    <s v="Employers who appreciates learning but doesn't enables an learning environment"/>
    <x v="109"/>
    <s v="Manager who explains what is expected, sets a goal and helps achieve it"/>
    <x v="3"/>
    <x v="0"/>
  </r>
  <r>
    <d v="2023-04-28T09:24:10"/>
    <s v="India"/>
    <n v="201204"/>
    <x v="1"/>
    <s v="My Parents"/>
    <s v="Yes, I will earn and do that"/>
    <s v="Will work for 3 years or more"/>
    <s v="No"/>
    <s v="Will NOT work for them"/>
    <n v="5"/>
    <s v="Every Day Office Environment"/>
    <s v="Employer who appreciates learning and enables that environment"/>
    <x v="443"/>
    <s v="Manager who sets goal and helps me achieve it"/>
    <x v="6"/>
    <x v="3"/>
  </r>
  <r>
    <d v="2023-04-28T09:37:43"/>
    <s v="India"/>
    <n v="534002"/>
    <x v="1"/>
    <s v="My Parents"/>
    <s v="No I would not be pursuing Higher Education outside of India"/>
    <s v="Will work for 3 years or more"/>
    <s v="No"/>
    <s v="Will NOT work for them"/>
    <n v="3"/>
    <s v="Hybrid Working Environment with more than 15 days a month at office"/>
    <s v="Employer who rewards learning and enables that environment"/>
    <x v="132"/>
    <s v="Manager who clearly describes what she/he needs"/>
    <x v="0"/>
    <x v="3"/>
  </r>
  <r>
    <d v="2023-04-28T09:48:46"/>
    <s v="India"/>
    <n v="560068"/>
    <x v="1"/>
    <s v="My Parent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362"/>
    <s v="Manager who explains what is expected, sets a goal and helps achieve it"/>
    <x v="1"/>
    <x v="0"/>
  </r>
  <r>
    <d v="2023-04-28T09:52:50"/>
    <s v="India"/>
    <n v="530002"/>
    <x v="1"/>
    <s v="People who have changed the world for better"/>
    <s v="Yes, I will earn and do that"/>
    <s v="This will be hard to do, but if it is the right company I would try"/>
    <s v="No"/>
    <s v="Will NOT work for them"/>
    <n v="3"/>
    <s v="Fully Remote with Options to travel as and when needed"/>
    <s v="Employer who pushes your limits by enabling an learning environment, and rewards you at the end"/>
    <x v="331"/>
    <s v="Manager who explains what is expected, sets a goal and helps achieve it"/>
    <x v="1"/>
    <x v="3"/>
  </r>
  <r>
    <d v="2023-04-28T09:57:53"/>
    <s v="India"/>
    <n v="560079"/>
    <x v="0"/>
    <s v="My Parents"/>
    <s v="Yes, I will earn and do that"/>
    <s v="Will work for 3 years or more"/>
    <s v="Yes"/>
    <s v="Will work for them"/>
    <n v="5"/>
    <s v="Every Day Office Environment"/>
    <s v="Employer who pushes your limits by enabling an learning environment, and rewards you at the end"/>
    <x v="444"/>
    <s v="Manager who clearly describes what she/he needs"/>
    <x v="4"/>
    <x v="2"/>
  </r>
  <r>
    <d v="2023-04-28T10:03:25"/>
    <s v="India"/>
    <n v="530002"/>
    <x v="1"/>
    <s v="People who have changed the world for better"/>
    <s v="No, But if someone could bare the cost I will"/>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14"/>
    <s v="Manager who explains what is expected, sets a goal and helps achieve it"/>
    <x v="3"/>
    <x v="0"/>
  </r>
  <r>
    <d v="2023-04-28T10:04:59"/>
    <s v="India"/>
    <n v="110091"/>
    <x v="0"/>
    <s v="People from my circle, but not family members"/>
    <s v="No, But if someone could bare the cost I will"/>
    <s v="Will work for 3 years or more"/>
    <s v="No"/>
    <s v="Will NOT work for them"/>
    <n v="10"/>
    <s v="Every Day Office Environment"/>
    <s v="Employer who pushes your limits by enabling an learning environment, and rewards you at the end"/>
    <x v="124"/>
    <s v="Manager who explains what is expected, sets a goal and helps achieve it"/>
    <x v="1"/>
    <x v="0"/>
  </r>
  <r>
    <d v="2023-04-28T10:06:49"/>
    <s v="India"/>
    <n v="560100"/>
    <x v="0"/>
    <s v="My Parents"/>
    <s v="Yes, I will earn and do that"/>
    <s v="Will work for 3 years or more"/>
    <s v="No"/>
    <s v="Will work for them"/>
    <n v="4"/>
    <s v="Fully Remote with Options to travel as and when needed"/>
    <s v="Employer who rewards learning and enables that environment"/>
    <x v="445"/>
    <s v="Manager who clearly describes what she/he needs"/>
    <x v="6"/>
    <x v="3"/>
  </r>
  <r>
    <d v="2023-04-28T10:07:03"/>
    <s v="India"/>
    <n v="530024"/>
    <x v="0"/>
    <s v="People from my circle, but not family members"/>
    <s v="Yes, I will earn and do that"/>
    <s v="This will be hard to do, but if it is the right company I would try"/>
    <s v="No"/>
    <s v="Will NOT work for them"/>
    <n v="8"/>
    <s v="Hybrid Working Environment with more than 15 days a month at office"/>
    <s v="Employer who appreciates learning and enables that environment"/>
    <x v="301"/>
    <s v="Manager who clearly describes what she/he needs"/>
    <x v="1"/>
    <x v="0"/>
  </r>
  <r>
    <d v="2023-04-28T10:09:44"/>
    <s v="India"/>
    <n v="533005"/>
    <x v="1"/>
    <s v="People who have changed the world for better"/>
    <s v="Yes, I will earn and do that"/>
    <s v="This will be hard to do, but if it is the right company I would try"/>
    <s v="No"/>
    <s v="Will NOT work for them"/>
    <n v="7"/>
    <s v="Hybrid Working Environment with more than 15 days a month at office"/>
    <s v="Employer who appreciates learning and enables that environment"/>
    <x v="101"/>
    <s v="Manager who explains what is expected, sets a goal and helps achieve it"/>
    <x v="3"/>
    <x v="0"/>
  </r>
  <r>
    <d v="2023-04-28T10:10:36"/>
    <s v="India"/>
    <n v="501301"/>
    <x v="0"/>
    <s v="People from my circle, but not family members"/>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94"/>
    <s v="Manager who explains what is expected, sets a goal and helps achieve it"/>
    <x v="11"/>
    <x v="3"/>
  </r>
  <r>
    <d v="2023-04-28T10:11:44"/>
    <s v="India"/>
    <n v="562112"/>
    <x v="0"/>
    <s v="People who have changed the world for better"/>
    <s v="No, But if someone could bare the cost I will"/>
    <s v="This will be hard to do, but if it is the right company I would try"/>
    <s v="Yes"/>
    <s v="Will NOT work for them"/>
    <n v="2"/>
    <s v="Hybrid Working Environment with less than 3 days a month at office"/>
    <s v="Employer who pushes your limits by enabling an learning environment, and rewards you at the end"/>
    <x v="446"/>
    <s v="Manager who clearly describes what she/he needs"/>
    <x v="9"/>
    <x v="0"/>
  </r>
  <r>
    <d v="2023-04-28T10:13:08"/>
    <s v="India"/>
    <n v="500085"/>
    <x v="0"/>
    <s v="My Parents"/>
    <s v="Yes, I will earn and do that"/>
    <s v="This will be hard to do, but if it is the right company I would try"/>
    <s v="No"/>
    <s v="Will NOT work for them"/>
    <n v="6"/>
    <s v="Every Day Office Environment"/>
    <s v="Employer who appreciates learning and enables that environment"/>
    <x v="251"/>
    <s v="Manager who clearly describes what she/he needs"/>
    <x v="4"/>
    <x v="3"/>
  </r>
  <r>
    <d v="2023-04-28T10:22:51"/>
    <s v="India"/>
    <n v="110091"/>
    <x v="0"/>
    <s v="Influencers who had successful careers"/>
    <s v="Yes, I will earn and do that"/>
    <s v="Will work for 3 years or more"/>
    <s v="No"/>
    <s v="Will NOT work for them"/>
    <n v="7"/>
    <s v="Hybrid Working Environment with more than 15 days a month at office"/>
    <s v="Employer who rewards learning and enables that environment"/>
    <x v="194"/>
    <s v="Manager who sets goal and helps me achieve it"/>
    <x v="15"/>
    <x v="3"/>
  </r>
  <r>
    <d v="2023-04-28T10:23:42"/>
    <s v="India"/>
    <n v="560067"/>
    <x v="0"/>
    <s v="My Parents"/>
    <s v="No I would not be pursuing Higher Education outside of India"/>
    <s v="Will work for 3 years or more"/>
    <s v="Yes"/>
    <s v="Will work for them"/>
    <n v="7"/>
    <s v="Hybrid Working Environment with less than 3 days a month at office"/>
    <s v="Employer who pushes your limits by enabling an learning environment, and rewards you at the end"/>
    <x v="160"/>
    <s v="Manager who explains what is expected, sets a goal and helps achieve it"/>
    <x v="7"/>
    <x v="3"/>
  </r>
  <r>
    <d v="2023-04-28T10:25:18"/>
    <s v="India"/>
    <n v="462001"/>
    <x v="1"/>
    <s v="Influencers who had successful careers"/>
    <s v="Yes, I will earn and do that"/>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09"/>
    <s v="Manager who explains what is expected, sets a goal and helps achieve it"/>
    <x v="1"/>
    <x v="2"/>
  </r>
  <r>
    <d v="2023-04-28T10:25:32"/>
    <s v="India"/>
    <n v="799006"/>
    <x v="0"/>
    <s v="My Parents"/>
    <s v="Yes, I will earn and do that"/>
    <s v="No way"/>
    <s v="Yes"/>
    <s v="Will work for them"/>
    <n v="8"/>
    <s v="Fully Remote with Options to travel as and when needed"/>
    <s v="Employer who pushes your limits by enabling an learning environment, and rewards you at the end"/>
    <x v="447"/>
    <s v="Manager who sets goal and helps me achieve it"/>
    <x v="2"/>
    <x v="3"/>
  </r>
  <r>
    <d v="2023-04-28T10:35:40"/>
    <s v="India"/>
    <n v="800024"/>
    <x v="0"/>
    <s v="My Parents"/>
    <s v="No I would not be pursuing Higher Education outside of India"/>
    <s v="Will work for 3 years or more"/>
    <s v="No"/>
    <s v="Will NOT work for them"/>
    <n v="6"/>
    <s v="Hybrid Working Environment with less than 3 days a month at office"/>
    <s v="Employer who appreciates learning and enables that environment"/>
    <x v="349"/>
    <s v="Manager who clearly describes what she/he needs"/>
    <x v="15"/>
    <x v="0"/>
  </r>
  <r>
    <d v="2023-04-28T10:36:34"/>
    <s v="United Arab Emirates"/>
    <n v="111111"/>
    <x v="0"/>
    <s v="Influencers who had successful careers"/>
    <s v="No, But if someone could bare the cost I will"/>
    <s v="Will work for 3 years or more"/>
    <s v="No"/>
    <s v="Will NOT work for them"/>
    <n v="2"/>
    <s v="Hybrid Working Environment with less than 3 days a month at office"/>
    <s v="Employer who appreciates learning and enables that environment"/>
    <x v="448"/>
    <s v="Manager who sets targets and expects me to achieve it"/>
    <x v="6"/>
    <x v="2"/>
  </r>
  <r>
    <d v="2023-04-28T10:39:28"/>
    <s v="India"/>
    <n v="700157"/>
    <x v="0"/>
    <s v="My Parents"/>
    <s v="No I would not be pursuing Higher Education outside of India"/>
    <s v="This will be hard to do, but if it is the right company I would try"/>
    <s v="No"/>
    <s v="Will NOT work for them"/>
    <n v="5"/>
    <s v="Every Day Office Environment"/>
    <s v="Employer who rewards learning and enables that environment"/>
    <x v="403"/>
    <s v="Manager who sets goal and helps me achieve it"/>
    <x v="3"/>
    <x v="3"/>
  </r>
  <r>
    <d v="2023-04-28T10:42:20"/>
    <s v="India"/>
    <n v="533201"/>
    <x v="1"/>
    <s v="My Parents"/>
    <s v="No I would not be pursuing Higher Education outside of India"/>
    <s v="Will work for 3 years or more"/>
    <s v="No"/>
    <s v="Will NOT work for them"/>
    <n v="6"/>
    <s v="Hybrid Working Environment with less than 3 days a month at office"/>
    <s v="Employer who pushes your limits by enabling an learning environment, and rewards you at the end"/>
    <x v="449"/>
    <s v="Manager who explains what is expected, sets a goal and helps achieve it"/>
    <x v="11"/>
    <x v="3"/>
  </r>
  <r>
    <d v="2023-04-28T10:42:25"/>
    <s v="India"/>
    <n v="700056"/>
    <x v="0"/>
    <s v="My Parents"/>
    <s v="No I would not be pursuing Higher Education outside of India"/>
    <s v="Will work for 3 years or more"/>
    <s v="No"/>
    <s v="Will NOT work for them"/>
    <n v="4"/>
    <s v="Fully Remote with Options to travel as and when needed"/>
    <s v="Employer who rewards learning and enables that environment"/>
    <x v="217"/>
    <s v="Manager who clearly describes what she/he needs"/>
    <x v="11"/>
    <x v="3"/>
  </r>
  <r>
    <d v="2023-04-28T10:42:28"/>
    <s v="India"/>
    <n v="641402"/>
    <x v="0"/>
    <s v="People from my circle, but not family members"/>
    <s v="No I would not be pursuing Higher Education outside of India"/>
    <s v="Will work for 3 years or more"/>
    <s v="No"/>
    <s v="Will NOT work for them"/>
    <n v="5"/>
    <s v="Fully Remote with Options to travel as and when needed"/>
    <s v="Employer who pushes your limits by enabling an learning environment, and rewards you at the end"/>
    <x v="197"/>
    <s v="Manager who clearly describes what she/he needs"/>
    <x v="3"/>
    <x v="3"/>
  </r>
  <r>
    <d v="2023-04-28T10:42:52"/>
    <s v="India"/>
    <n v="700036"/>
    <x v="0"/>
    <s v="People from my circle, but not family members"/>
    <s v="No, But if someone could bare the cost I will"/>
    <s v="Will work for 3 years or more"/>
    <s v="No"/>
    <s v="Will NOT work for them"/>
    <n v="3"/>
    <s v="Fully Remote with Options to travel as and when needed"/>
    <s v="Employer who pushes your limits by enabling an learning environment, and rewards you at the end"/>
    <x v="450"/>
    <s v="Manager who explains what is expected, sets a goal and helps achieve it"/>
    <x v="5"/>
    <x v="3"/>
  </r>
  <r>
    <d v="2023-04-28T10:44:07"/>
    <s v="India"/>
    <n v="560047"/>
    <x v="0"/>
    <s v="Influencers who had successful careers"/>
    <s v="No, But if someone could bare the cost I will"/>
    <s v="This will be hard to do, but if it is the right company I would try"/>
    <s v="Yes"/>
    <s v="Will work for them"/>
    <n v="3"/>
    <s v="Fully Remote with No option to visit offices"/>
    <s v="Employer who appreciates learning and enables that environment"/>
    <x v="451"/>
    <s v="Manager who clearly describes what she/he needs"/>
    <x v="3"/>
    <x v="3"/>
  </r>
  <r>
    <d v="2023-04-28T10:44:46"/>
    <s v="India"/>
    <n v="400049"/>
    <x v="0"/>
    <s v="People from my circle, but not family members"/>
    <s v="Yes, I will earn and do that"/>
    <s v="This will be hard to do, but if it is the right company I would try"/>
    <s v="No"/>
    <s v="Will NOT work for them"/>
    <n v="10"/>
    <s v="Every Day Office Environment"/>
    <s v="Employer who pushes your limits by enabling an learning environment, and rewards you at the end"/>
    <x v="452"/>
    <s v="Manager who explains what is expected, sets a goal and helps achieve it"/>
    <x v="1"/>
    <x v="0"/>
  </r>
  <r>
    <d v="2023-04-28T10:45:06"/>
    <s v="India"/>
    <n v="741101"/>
    <x v="1"/>
    <s v="My Parent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338"/>
    <s v="Manager who explains what is expected, sets a goal and helps achieve it"/>
    <x v="4"/>
    <x v="0"/>
  </r>
  <r>
    <d v="2023-04-28T10:45:47"/>
    <s v="India"/>
    <n v="700028"/>
    <x v="0"/>
    <s v="Social Media like LinkedIn"/>
    <s v="No I would not be pursuing Higher Education outside of India"/>
    <s v="Will work for 3 years or more"/>
    <s v="Yes"/>
    <s v="Will work for them"/>
    <n v="10"/>
    <s v="Fully Remote with Options to travel as and when needed"/>
    <s v="Employer who rewards learning and enables that environment"/>
    <x v="453"/>
    <s v="Manager who clearly describes what she/he needs"/>
    <x v="3"/>
    <x v="3"/>
  </r>
  <r>
    <d v="2023-04-28T10:46:11"/>
    <s v="India"/>
    <n v="700060"/>
    <x v="0"/>
    <s v="Social Media like LinkedIn"/>
    <s v="No, But if someone could bare the cost I will"/>
    <s v="This will be hard to do, but if it is the right company I would try"/>
    <s v="No"/>
    <s v="Will NOT work for them"/>
    <n v="5"/>
    <s v="Fully Remote with No option to visit offices"/>
    <s v="Employer who pushes your limits by enabling an learning environment, and rewards you at the end"/>
    <x v="454"/>
    <s v="Manager who explains what is expected, sets a goal and helps achieve it"/>
    <x v="3"/>
    <x v="0"/>
  </r>
  <r>
    <d v="2023-04-28T10:46:41"/>
    <s v="India"/>
    <n v="530040"/>
    <x v="1"/>
    <s v="People who have changed the world for better"/>
    <s v="No I would not be pursuing Higher Education outside of India"/>
    <s v="Will work for 3 years or more"/>
    <s v="No"/>
    <s v="Will NOT work for them"/>
    <n v="3"/>
    <s v="Hybrid Working Environment with more than 15 days a month at office"/>
    <s v="Employer who appreciates learning and enables that environment"/>
    <x v="455"/>
    <s v="Manager who clearly describes what she/he needs"/>
    <x v="7"/>
    <x v="3"/>
  </r>
  <r>
    <d v="2023-04-28T10:46:42"/>
    <s v="India"/>
    <n v="563132"/>
    <x v="0"/>
    <s v="People from my circle, but not family members"/>
    <s v="No I would not be pursuing Higher Education outside of India"/>
    <s v="This will be hard to do, but if it is the right company I would try"/>
    <s v="No"/>
    <s v="Will NOT work for them"/>
    <n v="1"/>
    <s v="Hybrid Working Environment with less than 3 days a month at office"/>
    <s v="Employer who appreciates learning and enables that environment"/>
    <x v="243"/>
    <s v="Manager who explains what is expected, sets a goal and helps achieve it"/>
    <x v="1"/>
    <x v="3"/>
  </r>
  <r>
    <d v="2023-04-28T10:47:22"/>
    <s v="India"/>
    <n v="757001"/>
    <x v="0"/>
    <s v="My Parents"/>
    <s v="Yes, I will earn and do that"/>
    <s v="Will work for 3 years or more"/>
    <s v="No"/>
    <s v="Will work for them"/>
    <n v="8"/>
    <s v="Hybrid Working Environment with more than 15 days a month at office"/>
    <s v="Employer who rewards learning and enables that environment"/>
    <x v="141"/>
    <s v="Manager who sets goal and helps me achieve it"/>
    <x v="1"/>
    <x v="3"/>
  </r>
  <r>
    <d v="2023-04-28T10:48:38"/>
    <s v="India"/>
    <n v="562106"/>
    <x v="0"/>
    <s v="Influencers who had successful careers"/>
    <s v="Yes, I will earn and do that"/>
    <s v="This will be hard to do, but if it is the right company I would try"/>
    <s v="No"/>
    <s v="Will NOT work for them"/>
    <n v="1"/>
    <s v="Hybrid Working Environment with less than 3 days a month at office"/>
    <s v="Employer who pushes your limits by enabling an learning environment, and rewards you at the end"/>
    <x v="456"/>
    <s v="Manager who sets goal and helps me achieve it"/>
    <x v="3"/>
    <x v="0"/>
  </r>
  <r>
    <d v="2023-04-28T10:50:46"/>
    <s v="India"/>
    <n v="700060"/>
    <x v="0"/>
    <s v="People from my circle, but not family members"/>
    <s v="Yes, I will earn and do that"/>
    <s v="Will work for 3 years or more"/>
    <s v="Yes"/>
    <s v="Will work for them"/>
    <n v="10"/>
    <s v="Every Day Office Environment"/>
    <s v="Employer who pushes your limits by enabling an learning environment, and rewards you at the end"/>
    <x v="281"/>
    <s v="Manager who explains what is expected, sets a goal and helps achieve it"/>
    <x v="15"/>
    <x v="3"/>
  </r>
  <r>
    <d v="2023-04-28T10:51:05"/>
    <s v="India"/>
    <n v="440008"/>
    <x v="0"/>
    <s v="Social Media like LinkedIn"/>
    <s v="Yes, I will earn and do that"/>
    <s v="Will work for 3 years or more"/>
    <s v="No"/>
    <s v="Will NOT work for them"/>
    <n v="5"/>
    <s v="Fully Remote with Options to travel as and when needed"/>
    <s v="Employer who appreciates learning and enables that environment"/>
    <x v="101"/>
    <s v="Manager who explains what is expected, sets a goal and helps achieve it"/>
    <x v="1"/>
    <x v="3"/>
  </r>
  <r>
    <d v="2023-04-28T10:51:58"/>
    <s v="India"/>
    <n v="700040"/>
    <x v="0"/>
    <s v="People who have changed the world for better"/>
    <s v="No I would not be pursuing Higher Education outside of India"/>
    <s v="Will work for 3 years or more"/>
    <s v="No"/>
    <s v="Will NOT work for them"/>
    <n v="1"/>
    <s v="Fully Remote with Options to travel as and when needed"/>
    <s v="Employer who pushes your limits by enabling an learning environment, and rewards you at the end"/>
    <x v="284"/>
    <s v="Manager who clearly describes what she/he needs"/>
    <x v="1"/>
    <x v="0"/>
  </r>
  <r>
    <d v="2023-04-28T10:52:00"/>
    <s v="India"/>
    <n v="700039"/>
    <x v="0"/>
    <s v="People who have changed the world for better"/>
    <s v="Yes, I will earn and do that"/>
    <s v="Will work for 3 years or more"/>
    <s v="No"/>
    <s v="Will NOT work for them"/>
    <n v="2"/>
    <s v="Every Day Office Environment"/>
    <s v="Employer who pushes your limits by enabling an learning environment, and rewards you at the end"/>
    <x v="276"/>
    <s v="Manager who explains what is expected, sets a goal and helps achieve it"/>
    <x v="7"/>
    <x v="2"/>
  </r>
  <r>
    <d v="2023-04-28T10:52:07"/>
    <s v="India"/>
    <n v="563106"/>
    <x v="0"/>
    <s v="Influencers who had successful careers"/>
    <s v="Yes, I will earn and do that"/>
    <s v="This will be hard to do, but if it is the right company I would try"/>
    <s v="No"/>
    <s v="Will NOT work for them"/>
    <n v="1"/>
    <s v="Hybrid Working Environment with less than 3 days a month at office"/>
    <s v="Employer who rewards learning and enables that environment"/>
    <x v="308"/>
    <s v="Manager who clearly describes what she/he needs"/>
    <x v="3"/>
    <x v="3"/>
  </r>
  <r>
    <d v="2023-04-28T10:54:33"/>
    <s v="India"/>
    <n v="760001"/>
    <x v="0"/>
    <s v="People who have changed the world for better"/>
    <s v="Yes, I will earn and do that"/>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118"/>
    <s v="Manager who sets goal and helps me achieve it"/>
    <x v="15"/>
    <x v="0"/>
  </r>
  <r>
    <d v="2023-04-28T10:58:25"/>
    <s v="India"/>
    <n v="247001"/>
    <x v="0"/>
    <s v="My Parents"/>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233"/>
    <s v="Manager who explains what is expected, sets a goal and helps achieve it"/>
    <x v="3"/>
    <x v="3"/>
  </r>
  <r>
    <d v="2023-04-28T10:58:58"/>
    <s v="India"/>
    <n v="208001"/>
    <x v="1"/>
    <s v="Influencers who had successful careers"/>
    <s v="No I would not be pursuing Higher Education outside of India"/>
    <s v="Will work for 3 years or more"/>
    <s v="No"/>
    <s v="Will NOT work for them"/>
    <n v="3"/>
    <s v="Hybrid Working Environment with more than 15 days a month at office"/>
    <s v="Employer who pushes your limits by enabling an learning environment, and rewards you at the end"/>
    <x v="111"/>
    <s v="Manager who explains what is expected, sets a goal and helps achieve it"/>
    <x v="16"/>
    <x v="2"/>
  </r>
  <r>
    <d v="2023-04-28T11:00:30"/>
    <s v="India"/>
    <n v="534002"/>
    <x v="1"/>
    <s v="My Parents"/>
    <s v="Yes, I will earn and do that"/>
    <s v="This will be hard to do, but if it is the right company I would try"/>
    <s v="Yes"/>
    <s v="Will NOT work for them"/>
    <n v="3"/>
    <s v="Hybrid Working Environment with more than 15 days a month at office"/>
    <s v="Employer who appreciates learning and enables that environment"/>
    <x v="161"/>
    <s v="Manager who sets goal and helps me achieve it"/>
    <x v="3"/>
    <x v="3"/>
  </r>
  <r>
    <d v="2023-04-28T11:00:35"/>
    <s v="India"/>
    <n v="500018"/>
    <x v="0"/>
    <s v="My Parents"/>
    <s v="No, But if someone could bare the cost I will"/>
    <s v="This will be hard to do, but if it is the right company I would try"/>
    <s v="No"/>
    <s v="Will NOT work for them"/>
    <n v="7"/>
    <s v="Hybrid Working Environment with less than 3 days a month at office"/>
    <s v="Employer who appreciates learning and enables that environment"/>
    <x v="430"/>
    <s v="Manager who explains what is expected, sets a goal and helps achieve it"/>
    <x v="1"/>
    <x v="3"/>
  </r>
  <r>
    <d v="2023-04-28T11:03:45"/>
    <s v="India"/>
    <n v="530001"/>
    <x v="1"/>
    <s v="People from my circle, but not family members"/>
    <s v="No I would not be pursuing Higher Education outside of India"/>
    <s v="Will work for 3 years or more"/>
    <s v="No"/>
    <s v="Will NOT work for them"/>
    <n v="7"/>
    <s v="Hybrid Working Environment with more than 15 days a month at office"/>
    <s v="Employer who pushes your limits by enabling an learning environment, and rewards you at the end"/>
    <x v="211"/>
    <s v="Manager who explains what is expected, sets a goal and helps achieve it"/>
    <x v="7"/>
    <x v="0"/>
  </r>
  <r>
    <d v="2023-04-28T11:07:28"/>
    <s v="India"/>
    <n v="533201"/>
    <x v="0"/>
    <s v="My Parents"/>
    <s v="No I would not be pursuing Higher Education outside of India"/>
    <s v="Will work for 3 years or more"/>
    <s v="No"/>
    <s v="Will NOT work for them"/>
    <n v="6"/>
    <s v="Hybrid Working Environment with more than 15 days a month at office"/>
    <s v="Employer who appreciates learning and enables that environment"/>
    <x v="198"/>
    <s v="Manager who sets goal and helps me achieve it"/>
    <x v="1"/>
    <x v="3"/>
  </r>
  <r>
    <d v="2023-04-28T11:07:35"/>
    <s v="India"/>
    <n v="826001"/>
    <x v="1"/>
    <s v="Influencers who had successful careers"/>
    <s v="No I would not be pursuing Higher Education outside of India"/>
    <s v="This will be hard to do, but if it is the right company I would try"/>
    <s v="Yes"/>
    <s v="Will NOT work for them"/>
    <n v="9"/>
    <s v="Hybrid Working Environment with more than 15 days a month at office"/>
    <s v="Employer who appreciates learning and enables that environment"/>
    <x v="110"/>
    <s v="Manager who clearly describes what she/he needs"/>
    <x v="11"/>
    <x v="0"/>
  </r>
  <r>
    <d v="2023-04-28T11:12:26"/>
    <s v="India"/>
    <n v="533211"/>
    <x v="0"/>
    <s v="My Parents"/>
    <s v="No I would not be pursuing Higher Education outside of India"/>
    <s v="Will work for 3 years or more"/>
    <s v="Yes"/>
    <s v="Will work for them"/>
    <n v="10"/>
    <s v="Every Day Office Environment"/>
    <s v="Employer who rewards learning and enables that environment"/>
    <x v="457"/>
    <s v="Manager who sets targets and expects me to achieve it"/>
    <x v="7"/>
    <x v="0"/>
  </r>
  <r>
    <d v="2023-04-28T11:13:28"/>
    <s v="India"/>
    <n v="560047"/>
    <x v="1"/>
    <s v="My Parents"/>
    <s v="Yes, I will earn and do that"/>
    <s v="This will be hard to do, but if it is the right company I would try"/>
    <s v="Yes"/>
    <s v="Will work for them"/>
    <n v="10"/>
    <s v="Hybrid Working Environment with less than 3 days a month at office"/>
    <s v="Employer who rewards learning and enables that environment"/>
    <x v="458"/>
    <s v="Manager who clearly describes what she/he needs"/>
    <x v="3"/>
    <x v="3"/>
  </r>
  <r>
    <d v="2023-04-28T11:14:49"/>
    <s v="India"/>
    <n v="421302"/>
    <x v="0"/>
    <s v="My Parents"/>
    <s v="No, But if someone could bare the cost I will"/>
    <s v="This will be hard to do, but if it is the right company I would try"/>
    <s v="No"/>
    <s v="Will work for them"/>
    <n v="10"/>
    <s v="Hybrid Working Environment with less than 3 days a month at office"/>
    <s v="Employer who rewards learning and enables that environment"/>
    <x v="459"/>
    <s v="Manager who explains what is expected, sets a goal and helps achieve it"/>
    <x v="1"/>
    <x v="0"/>
  </r>
  <r>
    <d v="2023-04-28T11:16:27"/>
    <s v="India"/>
    <n v="395009"/>
    <x v="1"/>
    <s v="My Parents"/>
    <s v="No I would not be pursuing Higher Education outside of India"/>
    <s v="Will work for 3 years or more"/>
    <s v="No"/>
    <s v="Will NOT work for them"/>
    <n v="4"/>
    <s v="Hybrid Working Environment with less than 3 days a month at office"/>
    <s v="Employer who pushes your limits by enabling an learning environment, and rewards you at the end"/>
    <x v="124"/>
    <s v="Manager who explains what is expected, sets a goal and helps achieve it"/>
    <x v="0"/>
    <x v="2"/>
  </r>
  <r>
    <d v="2023-04-28T11:25:03"/>
    <s v="India"/>
    <n v="500018"/>
    <x v="1"/>
    <s v="My Parents"/>
    <s v="Yes, I will earn and do that"/>
    <s v="This will be hard to do, but if it is the right company I would try"/>
    <s v="Yes"/>
    <s v="Will NOT work for them"/>
    <n v="2"/>
    <s v="Hybrid Working Environment with more than 15 days a month at office"/>
    <s v="Employer who pushes your limits by enabling an learning environment, and rewards you at the end"/>
    <x v="174"/>
    <s v="Manager who sets goal and helps me achieve it"/>
    <x v="4"/>
    <x v="0"/>
  </r>
  <r>
    <d v="2023-04-28T11:25:41"/>
    <s v="India"/>
    <n v="793006"/>
    <x v="1"/>
    <s v="Influencers who had successful careers"/>
    <s v="Yes, I will earn and do that"/>
    <s v="This will be hard to do, but if it is the right company I would try"/>
    <s v="No"/>
    <s v="Will NOT work for them"/>
    <n v="6"/>
    <s v="Hybrid Working Environment with less than 3 days a month at office"/>
    <s v="Employer who pushes your limits by enabling an learning environment, and rewards you at the end"/>
    <x v="460"/>
    <s v="Manager who explains what is expected, sets a goal and helps achieve it"/>
    <x v="3"/>
    <x v="3"/>
  </r>
  <r>
    <d v="2023-04-28T11:25:42"/>
    <s v="India"/>
    <n v="560100"/>
    <x v="1"/>
    <s v="People who have changed the world for better"/>
    <s v="Yes, I will earn and do that"/>
    <s v="Will work for 3 years or more"/>
    <s v="No"/>
    <s v="Will NOT work for them"/>
    <n v="4"/>
    <s v="Hybrid Working Environment with less than 3 days a month at office"/>
    <s v="Employer who rewards learning and enables that environment"/>
    <x v="156"/>
    <s v="Manager who explains what is expected, sets a goal and helps achieve it"/>
    <x v="4"/>
    <x v="3"/>
  </r>
  <r>
    <d v="2023-04-28T11:30:57"/>
    <s v="India"/>
    <n v="110024"/>
    <x v="0"/>
    <s v="Influencers who had successful careers"/>
    <s v="Yes, I will earn and do that"/>
    <s v="Will work for 3 years or more"/>
    <s v="No"/>
    <s v="Will NOT work for them"/>
    <n v="6"/>
    <s v="Hybrid Working Environment with more than 15 days a month at office"/>
    <s v="Employer who pushes your limits by enabling an learning environment, and rewards you at the end"/>
    <x v="201"/>
    <s v="Manager who explains what is expected, sets a goal and helps achieve it"/>
    <x v="9"/>
    <x v="3"/>
  </r>
  <r>
    <d v="2023-04-28T11:31:12"/>
    <s v="India"/>
    <n v="761001"/>
    <x v="0"/>
    <s v="Social Media like LinkedIn"/>
    <s v="No I would not be pursuing Higher Education outside of India"/>
    <s v="This will be hard to do, but if it is the right company I would try"/>
    <s v="No"/>
    <s v="Will NOT work for them"/>
    <n v="4"/>
    <s v="Hybrid Working Environment with less than 3 days a month at office"/>
    <s v="Employer who appreciates learning and enables that environment"/>
    <x v="179"/>
    <s v="Manager who explains what is expected, sets a goal and helps achieve it"/>
    <x v="2"/>
    <x v="3"/>
  </r>
  <r>
    <d v="2023-04-28T11:32:24"/>
    <s v="India"/>
    <n v="250001"/>
    <x v="1"/>
    <s v="People from my circle, but not family members"/>
    <s v="No I would not be pursuing Higher Education outside of India"/>
    <s v="This will be hard to do, but if it is the right company I would try"/>
    <s v="No"/>
    <s v="Will NOT work for them"/>
    <n v="4"/>
    <s v="Every Day Office Environment"/>
    <s v="Employer who pushes your limits by enabling an learning environment, and rewards you at the end"/>
    <x v="111"/>
    <s v="Manager who explains what is expected, sets a goal and helps achieve it"/>
    <x v="1"/>
    <x v="3"/>
  </r>
  <r>
    <d v="2023-04-28T11:38:51"/>
    <s v="India"/>
    <n v="500085"/>
    <x v="1"/>
    <s v="My Parents"/>
    <s v="No I would not be pursuing Higher Education outside of India"/>
    <s v="Will work for 3 years or more"/>
    <s v="No"/>
    <s v="Will work for them"/>
    <n v="6"/>
    <s v="Fully Remote with No option to visit offices"/>
    <s v="Employer who pushes your limits by enabling an learning environment, and rewards you at the end"/>
    <x v="418"/>
    <s v="Manager who explains what is expected, sets a goal and helps achieve it"/>
    <x v="3"/>
    <x v="3"/>
  </r>
  <r>
    <d v="2023-04-28T11:40:24"/>
    <s v="India"/>
    <n v="700086"/>
    <x v="0"/>
    <s v="People who have changed the world for better"/>
    <s v="Yes, I will earn and do that"/>
    <s v="Will work for 3 years or more"/>
    <s v="No"/>
    <s v="Will NOT work for them"/>
    <n v="1"/>
    <s v="Fully Remote with Options to travel as and when needed"/>
    <s v="Employer who appreciates learning and enables that environment"/>
    <x v="195"/>
    <s v="Manager who explains what is expected, sets a goal and helps achieve it"/>
    <x v="0"/>
    <x v="3"/>
  </r>
  <r>
    <d v="2023-04-28T11:43:03"/>
    <s v="India"/>
    <n v="500097"/>
    <x v="1"/>
    <s v="My Parents"/>
    <s v="Yes, I will earn and do that"/>
    <s v="This will be hard to do, but if it is the right company I would try"/>
    <s v="Yes"/>
    <s v="Will NOT work for them"/>
    <n v="8"/>
    <s v="Hybrid Working Environment with less than 3 days a month at office"/>
    <s v="Employer who pushes your limits by enabling an learning environment, and rewards you at the end"/>
    <x v="160"/>
    <s v="Manager who explains what is expected, sets a goal and helps achieve it"/>
    <x v="15"/>
    <x v="2"/>
  </r>
  <r>
    <d v="2023-04-28T11:46:53"/>
    <s v="India"/>
    <n v="826004"/>
    <x v="0"/>
    <s v="Influencers who had successful careers"/>
    <s v="Yes, I will earn and do that"/>
    <s v="This will be hard to do, but if it is the right company I would try"/>
    <s v="No"/>
    <s v="Will NOT work for them"/>
    <n v="6"/>
    <s v="Hybrid Working Environment with less than 3 days a month at office"/>
    <s v="Employer who pushes your limits by enabling an learning environment, and rewards you at the end"/>
    <x v="380"/>
    <s v="Manager who clearly describes what she/he needs"/>
    <x v="5"/>
    <x v="0"/>
  </r>
  <r>
    <d v="2023-04-28T11:50:06"/>
    <s v="India"/>
    <n v="414003"/>
    <x v="0"/>
    <s v="People from my circle, but not family members"/>
    <s v="Yes, I will earn and do that"/>
    <s v="This will be hard to do, but if it is the right company I would try"/>
    <s v="No"/>
    <s v="Will NOT work for them"/>
    <n v="10"/>
    <s v="Fully Remote with Options to travel as and when needed"/>
    <s v="Employer who pushes your limits by enabling an learning environment, and rewards you at the end"/>
    <x v="99"/>
    <s v="Manager who explains what is expected, sets a goal and helps achieve it"/>
    <x v="2"/>
    <x v="3"/>
  </r>
  <r>
    <d v="2023-04-28T11:54:39"/>
    <s v="India"/>
    <n v="500084"/>
    <x v="1"/>
    <s v="My Parents"/>
    <s v="No I would not be pursuing Higher Education outside of India"/>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461"/>
    <s v="Manager who explains what is expected, sets a goal and helps achieve it"/>
    <x v="4"/>
    <x v="3"/>
  </r>
  <r>
    <d v="2023-04-28T11:55:29"/>
    <s v="India"/>
    <n v="560091"/>
    <x v="1"/>
    <s v="Influencers who had successful careers"/>
    <s v="No I would not be pursuing Higher Education outside of India"/>
    <s v="Will work for 3 years or more"/>
    <s v="No"/>
    <s v="Will NOT work for them"/>
    <n v="5"/>
    <s v="Hybrid Working Environment with more than 15 days a month at office"/>
    <s v="Employer who appreciates learning and enables that environment"/>
    <x v="147"/>
    <s v="Manager who clearly describes what she/he needs"/>
    <x v="1"/>
    <x v="3"/>
  </r>
  <r>
    <d v="2023-04-28T11:57:58"/>
    <s v="India"/>
    <n v="560062"/>
    <x v="0"/>
    <s v="Influencers who had successful careers"/>
    <s v="No I would not be pursuing Higher Education outside of India"/>
    <s v="Will work for 3 years or more"/>
    <s v="No"/>
    <s v="Will NOT work for them"/>
    <n v="5"/>
    <s v="Hybrid Working Environment with more than 15 days a month at office"/>
    <s v="Employer who pushes your limits by enabling an learning environment, and rewards you at the end"/>
    <x v="462"/>
    <s v="Manager who explains what is expected, sets a goal and helps achieve it"/>
    <x v="1"/>
    <x v="3"/>
  </r>
  <r>
    <d v="2023-04-28T12:02:11"/>
    <s v="India"/>
    <n v="700053"/>
    <x v="0"/>
    <s v="People who have changed the world for better"/>
    <s v="No, But if someone could bare the cost I will"/>
    <s v="This will be hard to do, but if it is the right company I would try"/>
    <s v="No"/>
    <s v="Will NOT work for them"/>
    <n v="4"/>
    <s v="Hybrid Working Environment with more than 15 days a month at office"/>
    <s v="Employer who rewards learning and enables that environment"/>
    <x v="463"/>
    <s v="Manager who explains what is expected, sets a goal and helps achieve it"/>
    <x v="1"/>
    <x v="0"/>
  </r>
  <r>
    <d v="2023-04-28T12:14:55"/>
    <s v="India"/>
    <n v="570031"/>
    <x v="1"/>
    <s v="Influencers who had successful careers"/>
    <s v="No I would not be pursuing Higher Education outside of India"/>
    <s v="Will work for 3 years or more"/>
    <s v="Yes"/>
    <s v="Will work for them"/>
    <n v="5"/>
    <s v="Hybrid Working Environment with more than 15 days a month at office"/>
    <s v="Employer who rewards learning and enables that environment"/>
    <x v="132"/>
    <s v="Manager who clearly describes what she/he needs"/>
    <x v="2"/>
    <x v="0"/>
  </r>
  <r>
    <d v="2023-04-28T12:18:50"/>
    <s v="India"/>
    <n v="700039"/>
    <x v="0"/>
    <s v="People who have changed the world for better"/>
    <s v="No, But if someone could bare the cost I will"/>
    <s v="Will work for 3 years or more"/>
    <s v="No"/>
    <s v="Will work for them"/>
    <n v="8"/>
    <s v="Hybrid Working Environment with less than 3 days a month at office"/>
    <s v="Employer who rewards learning and enables that environment"/>
    <x v="464"/>
    <s v="Manager who explains what is expected, sets a goal and helps achieve it"/>
    <x v="1"/>
    <x v="3"/>
  </r>
  <r>
    <d v="2023-04-28T12:23:50"/>
    <s v="India"/>
    <n v="825301"/>
    <x v="0"/>
    <s v="People who have changed the world for better"/>
    <s v="Yes, I will earn and do that"/>
    <s v="This will be hard to do, but if it is the right company I would try"/>
    <s v="Yes"/>
    <s v="Will NOT work for them"/>
    <n v="2"/>
    <s v="Fully Remote with Options to travel as and when needed"/>
    <s v="Employer who pushes your limits by enabling an learning environment, and rewards you at the end"/>
    <x v="97"/>
    <s v="Manager who sets goal and helps me achieve it"/>
    <x v="7"/>
    <x v="3"/>
  </r>
  <r>
    <d v="2023-04-28T12:25:17"/>
    <s v="India"/>
    <n v="682316"/>
    <x v="1"/>
    <s v="Influencers who had successful careers"/>
    <s v="Yes, I will earn and do that"/>
    <s v="This will be hard to do, but if it is the right company I would try"/>
    <s v="No"/>
    <s v="Will NOT work for them"/>
    <n v="8"/>
    <s v="Every Day Office Environment"/>
    <s v="Employer who appreciates learning and enables that environment"/>
    <x v="279"/>
    <s v="Manager who explains what is expected, sets a goal and helps achieve it"/>
    <x v="3"/>
    <x v="3"/>
  </r>
  <r>
    <d v="2023-04-28T12:27:12"/>
    <s v="India"/>
    <n v="440034"/>
    <x v="0"/>
    <s v="Influencers who had successful careers"/>
    <s v="Yes, I will earn and do that"/>
    <s v="This will be hard to do, but if it is the right company I would try"/>
    <s v="No"/>
    <s v="Will NOT work for them"/>
    <n v="8"/>
    <s v="Hybrid Working Environment with more than 15 days a month at office"/>
    <s v="Employer who appreciates learning and enables that environment"/>
    <x v="224"/>
    <s v="Manager who explains what is expected, sets a goal and helps achieve it"/>
    <x v="3"/>
    <x v="0"/>
  </r>
  <r>
    <d v="2023-04-28T12:27:57"/>
    <s v="India"/>
    <n v="390022"/>
    <x v="1"/>
    <s v="Social Media like LinkedIn"/>
    <s v="No I would not be pursuing Higher Education outside of India"/>
    <s v="This will be hard to do, but if it is the right company I would try"/>
    <s v="No"/>
    <s v="Will NOT work for them"/>
    <n v="5"/>
    <s v="Fully Remote with Options to travel as and when needed"/>
    <s v="Employer who rewards learning and enables that environment"/>
    <x v="214"/>
    <s v="Manager who explains what is expected, sets a goal and helps achieve it"/>
    <x v="7"/>
    <x v="3"/>
  </r>
  <r>
    <d v="2023-04-28T12:28:07"/>
    <s v="India"/>
    <n v="560020"/>
    <x v="1"/>
    <s v="Social Media like LinkedIn"/>
    <s v="No, But if someone could bare the cost I will"/>
    <s v="Will work for 3 years or more"/>
    <s v="No"/>
    <s v="Will NOT work for them"/>
    <n v="5"/>
    <s v="Fully Remote with Options to travel as and when needed"/>
    <s v="Employer who rewards learning and enables that environment"/>
    <x v="308"/>
    <s v="Manager who explains what is expected, sets a goal and helps achieve it"/>
    <x v="1"/>
    <x v="3"/>
  </r>
  <r>
    <d v="2023-04-28T12:30:06"/>
    <s v="India"/>
    <n v="124001"/>
    <x v="0"/>
    <s v="My Parents"/>
    <s v="No I would not be pursuing Higher Education outside of India"/>
    <s v="Will work for 3 years or more"/>
    <s v="No"/>
    <s v="Will NOT work for them"/>
    <n v="7"/>
    <s v="Hybrid Working Environment with more than 15 days a month at office"/>
    <s v="Employer who appreciates learning and enables that environment"/>
    <x v="111"/>
    <s v="Manager who sets goal and helps me achieve it"/>
    <x v="3"/>
    <x v="3"/>
  </r>
  <r>
    <d v="2023-04-28T12:30:27"/>
    <s v="India"/>
    <n v="560100"/>
    <x v="1"/>
    <s v="People who have changed the world for better"/>
    <s v="No I would not be pursuing Higher Education outside of India"/>
    <s v="Will work for 3 years or more"/>
    <s v="No"/>
    <s v="Will NOT work for them"/>
    <n v="4"/>
    <s v="Fully Remote with Options to travel as and when needed"/>
    <s v="Employer who appreciates learning and enables that environment"/>
    <x v="109"/>
    <s v="Manager who explains what is expected, sets a goal and helps achieve it"/>
    <x v="7"/>
    <x v="3"/>
  </r>
  <r>
    <d v="2023-04-28T12:30:28"/>
    <s v="India"/>
    <n v="390019"/>
    <x v="1"/>
    <s v="My Parents"/>
    <s v="Yes, I will earn and do that"/>
    <s v="Will work for 3 years or more"/>
    <s v="No"/>
    <s v="Will NOT work for them"/>
    <n v="5"/>
    <s v="Fully Remote with Options to travel as and when needed"/>
    <s v="Employer who appreciates learning and enables that environment"/>
    <x v="465"/>
    <s v="Manager who sets goal and helps me achieve it"/>
    <x v="1"/>
    <x v="0"/>
  </r>
  <r>
    <d v="2023-04-28T12:31:03"/>
    <s v="India"/>
    <n v="110093"/>
    <x v="0"/>
    <s v="People who have changed the world for better"/>
    <s v="Yes, I will earn and do that"/>
    <s v="Will work for 3 years or more"/>
    <s v="No"/>
    <s v="Will NOT work for them"/>
    <n v="5"/>
    <s v="Every Day Office Environment"/>
    <s v="Employer who pushes your limits by enabling an learning environment, and rewards you at the end"/>
    <x v="420"/>
    <s v="Manager who sets goal and helps me achieve it"/>
    <x v="1"/>
    <x v="3"/>
  </r>
  <r>
    <d v="2023-04-28T12:36:27"/>
    <s v="India"/>
    <n v="411048"/>
    <x v="0"/>
    <s v="My Parents"/>
    <s v="No I would not be pursuing Higher Education outside of India"/>
    <s v="Will work for 3 years or more"/>
    <s v="Yes"/>
    <s v="Will work for them"/>
    <n v="8"/>
    <s v="Hybrid Working Environment with more than 15 days a month at office"/>
    <s v="Employer who pushes your limits by enabling an learning environment, and rewards you at the end"/>
    <x v="466"/>
    <s v="Manager who explains what is expected, sets a goal and helps achieve it"/>
    <x v="9"/>
    <x v="3"/>
  </r>
  <r>
    <d v="2023-04-28T12:38:38"/>
    <s v="India"/>
    <n v="828105"/>
    <x v="1"/>
    <s v="My Parents"/>
    <s v="Yes, I will earn and do that"/>
    <s v="Will work for 3 years or more"/>
    <s v="Yes"/>
    <s v="Will NOT work for them"/>
    <n v="5"/>
    <s v="Every Day Office Environment"/>
    <s v="Employer who appreciates learning and enables that environment"/>
    <x v="198"/>
    <s v="Manager who sets goal and helps me achieve it"/>
    <x v="3"/>
    <x v="0"/>
  </r>
  <r>
    <d v="2023-04-28T12:39:52"/>
    <s v="India"/>
    <n v="244412"/>
    <x v="0"/>
    <s v="People who have changed the world for better"/>
    <s v="Yes, I will earn and do that"/>
    <s v="This will be hard to do, but if it is the right company I would try"/>
    <s v="No"/>
    <s v="Will NOT work for them"/>
    <n v="2"/>
    <s v="Fully Remote with Options to travel as and when needed"/>
    <s v="Employer who pushes your limits by enabling an learning environment, and rewards you at the end"/>
    <x v="119"/>
    <s v="Manager who explains what is expected, sets a goal and helps achieve it"/>
    <x v="8"/>
    <x v="0"/>
  </r>
  <r>
    <d v="2023-04-28T12:42:01"/>
    <s v="India"/>
    <n v="560047"/>
    <x v="1"/>
    <s v="Influencers who had successful careers"/>
    <s v="Yes, I will earn and do that"/>
    <s v="This will be hard to do, but if it is the right company I would try"/>
    <s v="No"/>
    <s v="Will NOT work for them"/>
    <n v="5"/>
    <s v="Fully Remote with Options to travel as and when needed"/>
    <s v="Employer who appreciates learning and enables that environment"/>
    <x v="158"/>
    <s v="Manager who sets goal and helps me achieve it"/>
    <x v="6"/>
    <x v="3"/>
  </r>
  <r>
    <d v="2023-04-28T12:43:34"/>
    <s v="Others"/>
    <n v="700032"/>
    <x v="1"/>
    <s v="People who have changed the world for better"/>
    <s v="No, But if someone could bare the cost I will"/>
    <s v="No way"/>
    <s v="Yes"/>
    <s v="Will work for them"/>
    <n v="5"/>
    <s v="Fully Remote with No option to visit offices"/>
    <s v="Employers who appreciates learning but doesn't enables an learning environment"/>
    <x v="467"/>
    <s v="Manager who sets goal and helps me achieve it"/>
    <x v="7"/>
    <x v="3"/>
  </r>
  <r>
    <d v="2023-04-28T12:45:59"/>
    <s v="India"/>
    <n v="508210"/>
    <x v="0"/>
    <s v="Influencers who had successful careers"/>
    <s v="No I would not be pursuing Higher Education outside of India"/>
    <s v="This will be hard to do, but if it is the right company I would try"/>
    <s v="No"/>
    <s v="Will NOT work for them"/>
    <n v="8"/>
    <s v="Fully Remote with Options to travel as and when needed"/>
    <s v="Employer who pushes your limits by enabling an learning environment, and rewards you at the end"/>
    <x v="113"/>
    <s v="Manager who explains what is expected, sets a goal and helps achieve it"/>
    <x v="1"/>
    <x v="3"/>
  </r>
  <r>
    <d v="2023-04-28T12:47:07"/>
    <s v="India"/>
    <n v="700006"/>
    <x v="1"/>
    <s v="Influencers who had successful careers"/>
    <s v="No, But if someone could bare the cost I will"/>
    <s v="This will be hard to do, but if it is the right company I would try"/>
    <s v="Yes"/>
    <s v="Will NOT work for them"/>
    <n v="9"/>
    <s v="Fully Remote with Options to travel as and when needed"/>
    <s v="Employer who appreciates learning and enables that environment"/>
    <x v="468"/>
    <s v="Manager who clearly describes what she/he needs"/>
    <x v="1"/>
    <x v="3"/>
  </r>
  <r>
    <d v="2023-04-28T12:50:23"/>
    <s v="India"/>
    <n v="637404"/>
    <x v="1"/>
    <s v="Influencers who had successful careers"/>
    <s v="Yes, I will earn and do that"/>
    <s v="This will be hard to do, but if it is the right company I would try"/>
    <s v="No"/>
    <s v="Will NOT work for them"/>
    <n v="7"/>
    <s v="Hybrid Working Environment with less than 3 days a month at office"/>
    <s v="Employer who appreciates learning and enables that environment"/>
    <x v="299"/>
    <s v="Manager who explains what is expected, sets a goal and helps achieve it"/>
    <x v="7"/>
    <x v="3"/>
  </r>
  <r>
    <d v="2023-04-28T12:50:52"/>
    <s v="India"/>
    <n v="854305"/>
    <x v="0"/>
    <s v="People from my circle, but not family members"/>
    <s v="Yes, I will earn and do that"/>
    <s v="This will be hard to do, but if it is the right company I would try"/>
    <s v="No"/>
    <s v="Will work for them"/>
    <n v="7"/>
    <s v="Hybrid Working Environment with more than 15 days a month at office"/>
    <s v="Employer who pushes your limits by enabling an learning environment, and rewards you at the end"/>
    <x v="469"/>
    <s v="Manager who clearly describes what she/he needs"/>
    <x v="1"/>
    <x v="3"/>
  </r>
  <r>
    <d v="2023-04-28T12:51:40"/>
    <s v="India"/>
    <n v="221011"/>
    <x v="0"/>
    <s v="My Parents"/>
    <s v="Yes, I will earn and do that"/>
    <s v="Will work for 3 years or more"/>
    <s v="Yes"/>
    <s v="Will work for them"/>
    <n v="8"/>
    <s v="Every Day Office Environment"/>
    <s v="Employer who rewards learning and enables that environment"/>
    <x v="470"/>
    <s v="Manager who explains what is expected, sets a goal and helps achieve it"/>
    <x v="1"/>
    <x v="0"/>
  </r>
  <r>
    <d v="2023-04-28T12:53:05"/>
    <s v="India"/>
    <n v="91"/>
    <x v="1"/>
    <s v="Social Media like LinkedIn"/>
    <s v="Yes, I will earn and do that"/>
    <s v="This will be hard to do, but if it is the right company I would try"/>
    <s v="No"/>
    <s v="Will NOT work for them"/>
    <n v="5"/>
    <s v="Fully Remote with Options to travel as and when needed"/>
    <s v="Employer who appreciates learning and enables that environment"/>
    <x v="126"/>
    <s v="Manager who sets goal and helps me achieve it"/>
    <x v="1"/>
    <x v="3"/>
  </r>
  <r>
    <d v="2023-04-28T12:55:03"/>
    <s v="India"/>
    <n v="396436"/>
    <x v="0"/>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335"/>
    <s v="Manager who explains what is expected, sets a goal and helps achieve it"/>
    <x v="3"/>
    <x v="3"/>
  </r>
  <r>
    <d v="2023-04-28T12:58:30"/>
    <s v="India"/>
    <n v="533005"/>
    <x v="1"/>
    <s v="Influencers who had successful careers"/>
    <s v="No I would not be pursuing Higher Education outside of India"/>
    <s v="This will be hard to do, but if it is the right company I would try"/>
    <s v="No"/>
    <s v="Will work for them"/>
    <n v="8"/>
    <s v="Hybrid Working Environment with less than 3 days a month at office"/>
    <s v="Employer who appreciates learning and enables that environment"/>
    <x v="179"/>
    <s v="Manager who sets goal and helps me achieve it"/>
    <x v="3"/>
    <x v="0"/>
  </r>
  <r>
    <d v="2023-04-28T12:59:51"/>
    <s v="India"/>
    <n v="533005"/>
    <x v="0"/>
    <s v="People from my circle, but not family members"/>
    <s v="No I would not be pursuing Higher Education outside of India"/>
    <s v="This will be hard to do, but if it is the right company I would try"/>
    <s v="No"/>
    <s v="Will NOT work for them"/>
    <n v="7"/>
    <s v="Hybrid Working Environment with more than 15 days a month at office"/>
    <s v="Employer who rewards learning and enables that environment"/>
    <x v="471"/>
    <s v="Manager who explains what is expected, sets a goal and helps achieve it"/>
    <x v="3"/>
    <x v="3"/>
  </r>
  <r>
    <d v="2023-04-28T12:59:56"/>
    <s v="India"/>
    <n v="506167"/>
    <x v="0"/>
    <s v="People from my circle, but not family members"/>
    <s v="No, But if someone could bare the cost I will"/>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261"/>
    <s v="Manager who explains what is expected, sets a goal and helps achieve it"/>
    <x v="1"/>
    <x v="0"/>
  </r>
  <r>
    <d v="2023-04-28T13:00:06"/>
    <s v="India"/>
    <n v="611001"/>
    <x v="1"/>
    <s v="Social Media like LinkedIn"/>
    <s v="Yes, I will earn and do that"/>
    <s v="This will be hard to do, but if it is the right company I would try"/>
    <s v="Yes"/>
    <s v="Will NOT work for them"/>
    <n v="3"/>
    <s v="Hybrid Working Environment with more than 15 days a month at office"/>
    <s v="Employer who pushes your limits and doesn't enables learning environment and never rewards you"/>
    <x v="121"/>
    <s v="Manager who sets targets and expects me to achieve it"/>
    <x v="8"/>
    <x v="0"/>
  </r>
  <r>
    <d v="2023-04-28T13:04:22"/>
    <s v="India"/>
    <n v="324005"/>
    <x v="0"/>
    <s v="People from my circle, but not family members"/>
    <s v="No, But if someone could bare the cost I will"/>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470"/>
    <s v="Manager who explains what is expected, sets a goal and helps achieve it"/>
    <x v="3"/>
    <x v="3"/>
  </r>
  <r>
    <d v="2023-04-28T13:09:24"/>
    <s v="India"/>
    <n v="411057"/>
    <x v="0"/>
    <s v="People who have changed the world for better"/>
    <s v="No I would not be pursuing Higher Education outside of India"/>
    <s v="This will be hard to do, but if it is the right company I would try"/>
    <s v="No"/>
    <s v="Will NOT work for them"/>
    <n v="7"/>
    <s v="Fully Remote with Options to travel as and when needed"/>
    <s v="Employer who rewards learning and enables that environment"/>
    <x v="141"/>
    <s v="Manager who clearly describes what she/he needs"/>
    <x v="1"/>
    <x v="3"/>
  </r>
  <r>
    <d v="2023-04-28T13:10:04"/>
    <s v="India"/>
    <n v="534245"/>
    <x v="1"/>
    <s v="People from my circle, but not family members"/>
    <s v="Yes, I will earn and do that"/>
    <s v="This will be hard to do, but if it is the right company I would try"/>
    <s v="No"/>
    <s v="Will NOT work for them"/>
    <n v="10"/>
    <s v="Hybrid Working Environment with more than 15 days a month at office"/>
    <s v="Employer who appreciates learning and enables that environment"/>
    <x v="155"/>
    <s v="Manager who sets goal and helps me achieve it"/>
    <x v="7"/>
    <x v="3"/>
  </r>
  <r>
    <d v="2023-04-28T13:14:41"/>
    <s v="India"/>
    <n v="110085"/>
    <x v="0"/>
    <s v="People from my circle, but not family members"/>
    <s v="No I would not be pursuing Higher Education outside of India"/>
    <s v="Will work for 3 years or more"/>
    <s v="No"/>
    <s v="Will NOT work for them"/>
    <n v="10"/>
    <s v="Hybrid Working Environment with more than 15 days a month at office"/>
    <s v="Employer who rewards learning and enables that environment"/>
    <x v="94"/>
    <s v="Manager who explains what is expected, sets a goal and helps achieve it"/>
    <x v="15"/>
    <x v="2"/>
  </r>
  <r>
    <d v="2023-04-28T13:18:48"/>
    <s v="India"/>
    <n v="506167"/>
    <x v="0"/>
    <s v="Social Media like LinkedIn"/>
    <s v="No I would not be pursuing Higher Education outside of India"/>
    <s v="Will work for 3 years or more"/>
    <s v="Yes"/>
    <s v="Will work for them"/>
    <n v="8"/>
    <s v="Fully Remote with Options to travel as and when needed"/>
    <s v="Employer who appreciates learning and enables that environment"/>
    <x v="239"/>
    <s v="Manager who clearly describes what she/he needs"/>
    <x v="7"/>
    <x v="3"/>
  </r>
  <r>
    <d v="2023-04-28T13:19:16"/>
    <s v="India"/>
    <n v="500056"/>
    <x v="0"/>
    <s v="My Parents"/>
    <s v="Yes, I will earn and do that"/>
    <s v="Will work for 3 years or more"/>
    <s v="Yes"/>
    <s v="Will NOT work for them"/>
    <n v="10"/>
    <s v="Hybrid Working Environment with less than 3 days a month at office"/>
    <s v="Employer who appreciates learning and enables that environment"/>
    <x v="301"/>
    <s v="Manager who clearly describes what she/he needs"/>
    <x v="18"/>
    <x v="0"/>
  </r>
  <r>
    <d v="2023-04-28T13:20:49"/>
    <s v="India"/>
    <n v="502279"/>
    <x v="1"/>
    <s v="My Parents"/>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402"/>
    <s v="Manager who explains what is expected, sets a goal and helps achieve it"/>
    <x v="1"/>
    <x v="3"/>
  </r>
  <r>
    <d v="2023-04-28T13:21:41"/>
    <s v="India"/>
    <n v="533448"/>
    <x v="1"/>
    <s v="My Parents"/>
    <s v="No, But if someone could bare the cost I will"/>
    <s v="This will be hard to do, but if it is the right company I would try"/>
    <s v="No"/>
    <s v="Will NOT work for them"/>
    <n v="5"/>
    <s v="Fully Remote with Options to travel as and when needed"/>
    <s v="Employer who pushes your limits by enabling an learning environment, and rewards you at the end"/>
    <x v="224"/>
    <s v="Manager who explains what is expected, sets a goal and helps achieve it"/>
    <x v="0"/>
    <x v="3"/>
  </r>
  <r>
    <d v="2023-04-28T13:25:21"/>
    <s v="India"/>
    <n v="533201"/>
    <x v="0"/>
    <s v="People from my circle, but not family members"/>
    <s v="No, But if someone could bare the cost I will"/>
    <s v="Will work for 3 years or more"/>
    <s v="Yes"/>
    <s v="Will NOT work for them"/>
    <n v="8"/>
    <s v="Hybrid Working Environment with more than 15 days a month at office"/>
    <s v="Employer who pushes your limits by enabling an learning environment, and rewards you at the end"/>
    <x v="139"/>
    <s v="Manager who explains what is expected, sets a goal and helps achieve it"/>
    <x v="2"/>
    <x v="3"/>
  </r>
  <r>
    <d v="2023-04-28T13:31:44"/>
    <s v="India"/>
    <n v="560076"/>
    <x v="1"/>
    <s v="People who have changed the world for better"/>
    <s v="No, But if someone could bare the cost I will"/>
    <s v="This will be hard to do, but if it is the right company I would try"/>
    <s v="No"/>
    <s v="Will NOT work for them"/>
    <n v="1"/>
    <s v="Fully Remote with Options to travel as and when needed"/>
    <s v="Employer who pushes your limits by enabling an learning environment, and rewards you at the end"/>
    <x v="358"/>
    <s v="Manager who explains what is expected, sets a goal and helps achieve it"/>
    <x v="7"/>
    <x v="3"/>
  </r>
  <r>
    <d v="2023-04-28T13:37:41"/>
    <s v="India"/>
    <n v="440024"/>
    <x v="0"/>
    <s v="People who have changed the world for better"/>
    <s v="No I would not be pursuing Higher Education outside of India"/>
    <s v="Will work for 3 years or more"/>
    <s v="No"/>
    <s v="Will NOT work for them"/>
    <n v="6"/>
    <s v="Every Day Office Environment"/>
    <s v="Employer who pushes your limits by enabling an learning environment, and rewards you at the end"/>
    <x v="282"/>
    <s v="Manager who explains what is expected, sets a goal and helps achieve it"/>
    <x v="0"/>
    <x v="0"/>
  </r>
  <r>
    <d v="2023-04-28T13:43:06"/>
    <s v="India"/>
    <n v="533201"/>
    <x v="0"/>
    <s v="My Parents"/>
    <s v="No I would not be pursuing Higher Education outside of India"/>
    <s v="This will be hard to do, but if it is the right company I would try"/>
    <s v="No"/>
    <s v="Will NOT work for them"/>
    <n v="7"/>
    <s v="Fully Remote with Options to travel as and when needed"/>
    <s v="Employer who pushes your limits by enabling an learning environment, and rewards you at the end"/>
    <x v="123"/>
    <s v="Manager who sets goal and helps me achieve it"/>
    <x v="4"/>
    <x v="3"/>
  </r>
  <r>
    <d v="2023-04-28T13:48:41"/>
    <s v="India"/>
    <n v="413001"/>
    <x v="0"/>
    <s v="People who have changed the world for better"/>
    <s v="Yes, I will earn and do that"/>
    <s v="This will be hard to do, but if it is the right company I would try"/>
    <s v="No"/>
    <s v="Will NOT work for them"/>
    <n v="5"/>
    <s v="Fully Remote with Options to travel as and when needed"/>
    <s v="Employer who rewards learning and enables that environment"/>
    <x v="111"/>
    <s v="Manager who explains what is expected, sets a goal and helps achieve it"/>
    <x v="2"/>
    <x v="3"/>
  </r>
  <r>
    <d v="2023-04-28T13:50:55"/>
    <s v="India"/>
    <n v="518512"/>
    <x v="0"/>
    <s v="My Parents"/>
    <s v="No I would not be pursuing Higher Education outside of India"/>
    <s v="Will work for 3 years or more"/>
    <s v="No"/>
    <s v="Will NOT work for them"/>
    <n v="5"/>
    <s v="Hybrid Working Environment with more than 15 days a month at office"/>
    <s v="Employer who appreciates learning and enables that environment"/>
    <x v="111"/>
    <s v="Manager who explains what is expected, sets a goal and helps achieve it"/>
    <x v="7"/>
    <x v="0"/>
  </r>
  <r>
    <d v="2023-04-28T13:51:44"/>
    <s v="India"/>
    <n v="506314"/>
    <x v="0"/>
    <s v="People who have changed the world for better"/>
    <s v="No I would not be pursuing Higher Education outside of India"/>
    <s v="This will be hard to do, but if it is the right company I would try"/>
    <s v="No"/>
    <s v="Will work for them"/>
    <n v="8"/>
    <s v="Fully Remote with No option to visit offices"/>
    <s v="Employer who appreciates learning and enables that environment"/>
    <x v="379"/>
    <s v="Manager who clearly describes what she/he needs"/>
    <x v="8"/>
    <x v="0"/>
  </r>
  <r>
    <d v="2023-04-28T13:51:46"/>
    <s v="India"/>
    <n v="500018"/>
    <x v="0"/>
    <s v="People who have changed the world for better"/>
    <s v="No, But if someone could bare the cost I will"/>
    <s v="Will work for 3 years or more"/>
    <s v="No"/>
    <s v="Will NOT work for them"/>
    <n v="1"/>
    <s v="Every Day Office Environment"/>
    <s v="Employer who pushes your limits by enabling an learning environment, and rewards you at the end"/>
    <x v="472"/>
    <s v="Manager who explains what is expected, sets a goal and helps achieve it"/>
    <x v="3"/>
    <x v="3"/>
  </r>
  <r>
    <d v="2023-04-28T13:52:55"/>
    <s v="India"/>
    <n v="421503"/>
    <x v="0"/>
    <s v="People who have changed the world for better"/>
    <s v="No, But if someone could bare the cost I will"/>
    <s v="This will be hard to do, but if it is the right company I would try"/>
    <s v="No"/>
    <s v="Will NOT work for them"/>
    <n v="8"/>
    <s v="Hybrid Working Environment with less than 3 days a month at office"/>
    <s v="Employer who pushes your limits by enabling an learning environment, and rewards you at the end"/>
    <x v="109"/>
    <s v="Manager who clearly describes what she/he needs"/>
    <x v="1"/>
    <x v="0"/>
  </r>
  <r>
    <d v="2023-04-28T13:53:35"/>
    <s v="India"/>
    <n v="411057"/>
    <x v="0"/>
    <s v="People who have changed the world for better"/>
    <s v="No, But if someone could bare the cost I will"/>
    <s v="This will be hard to do, but if it is the right company I would try"/>
    <s v="Yes"/>
    <s v="Will work for them"/>
    <n v="8"/>
    <s v="Fully Remote with Options to travel as and when needed"/>
    <s v="Employer who appreciates learning and enables that environment"/>
    <x v="433"/>
    <s v="Manager who clearly describes what she/he needs"/>
    <x v="5"/>
    <x v="3"/>
  </r>
  <r>
    <d v="2023-04-28T13:57:40"/>
    <s v="India"/>
    <n v="700029"/>
    <x v="0"/>
    <s v="Social Media like LinkedIn"/>
    <s v="Yes, I will earn and do that"/>
    <s v="Will work for 3 years or more"/>
    <s v="No"/>
    <s v="Will NOT work for them"/>
    <n v="4"/>
    <s v="Hybrid Working Environment with more than 15 days a month at office"/>
    <s v="Employer who pushes your limits by enabling an learning environment, and rewards you at the end"/>
    <x v="114"/>
    <s v="Manager who explains what is expected, sets a goal and helps achieve it"/>
    <x v="1"/>
    <x v="0"/>
  </r>
  <r>
    <d v="2023-04-28T14:03:43"/>
    <s v="India"/>
    <n v="400009"/>
    <x v="1"/>
    <s v="My Parents"/>
    <s v="No, But if someone could bare the cost I will"/>
    <s v="Will work for 3 years or more"/>
    <s v="No"/>
    <s v="Will NOT work for them"/>
    <n v="3"/>
    <s v="Hybrid Working Environment with more than 15 days a month at office"/>
    <s v="Employer who pushes your limits by enabling an learning environment, and rewards you at the end"/>
    <x v="128"/>
    <s v="Manager who explains what is expected, sets a goal and helps achieve it"/>
    <x v="8"/>
    <x v="0"/>
  </r>
  <r>
    <d v="2023-04-28T14:07:20"/>
    <s v="India"/>
    <n v="411044"/>
    <x v="0"/>
    <s v="People who have changed the world for better"/>
    <s v="Yes, I will earn and do that"/>
    <s v="This will be hard to do, but if it is the right company I would try"/>
    <s v="No"/>
    <s v="Will NOT work for them"/>
    <n v="4"/>
    <s v="Hybrid Working Environment with less than 3 days a month at office"/>
    <s v="Employer who pushes your limits by enabling an learning environment, and rewards you at the end"/>
    <x v="346"/>
    <s v="Manager who explains what is expected, sets a goal and helps achieve it"/>
    <x v="1"/>
    <x v="3"/>
  </r>
  <r>
    <d v="2023-04-28T14:07:45"/>
    <s v="India"/>
    <n v="560036"/>
    <x v="0"/>
    <s v="Social Media like LinkedIn"/>
    <s v="No I would not be pursuing Higher Education outside of India"/>
    <s v="This will be hard to do, but if it is the right company I would try"/>
    <s v="Yes"/>
    <s v="Will work for them"/>
    <n v="9"/>
    <s v="Hybrid Working Environment with more than 15 days a month at office"/>
    <s v="Employer who rewards learning and enables that environment"/>
    <x v="109"/>
    <s v="Manager who explains what is expected, sets a goal and helps achieve it"/>
    <x v="7"/>
    <x v="3"/>
  </r>
  <r>
    <d v="2023-04-28T14:09:02"/>
    <s v="India"/>
    <n v="500053"/>
    <x v="0"/>
    <s v="People who have changed the world for better"/>
    <s v="No I would not be pursuing Higher Education outside of India"/>
    <s v="Will work for 3 years or more"/>
    <s v="No"/>
    <s v="Will NOT work for them"/>
    <n v="1"/>
    <s v="Fully Remote with Options to travel as and when needed"/>
    <s v="Employer who pushes your limits by enabling an learning environment, and rewards you at the end"/>
    <x v="286"/>
    <s v="Manager who clearly describes what she/he needs"/>
    <x v="6"/>
    <x v="3"/>
  </r>
  <r>
    <d v="2023-04-28T14:09:55"/>
    <s v="India"/>
    <n v="440013"/>
    <x v="0"/>
    <s v="Influencers who had successful careers"/>
    <s v="No, But if someone could bare the cost I will"/>
    <s v="This will be hard to do, but if it is the right company I would try"/>
    <s v="Yes"/>
    <s v="Will NOT work for them"/>
    <n v="7"/>
    <s v="Fully Remote with No option to visit offices"/>
    <s v="Employer who rewards learning and enables that environment"/>
    <x v="332"/>
    <s v="Manager who explains what is expected, sets a goal and helps achieve it"/>
    <x v="7"/>
    <x v="0"/>
  </r>
  <r>
    <d v="2023-04-28T14:11:02"/>
    <s v="India"/>
    <n v="221405"/>
    <x v="1"/>
    <s v="My Parents"/>
    <s v="No, But if someone could bare the cost I will"/>
    <s v="Will work for 3 years or more"/>
    <s v="No"/>
    <s v="Will NOT work for them"/>
    <n v="6"/>
    <s v="Every Day Office Environment"/>
    <s v="Employer who appreciates learning and enables that environment"/>
    <x v="340"/>
    <s v="Manager who sets goal and helps me achieve it"/>
    <x v="1"/>
    <x v="3"/>
  </r>
  <r>
    <d v="2023-04-28T14:16:06"/>
    <s v="India"/>
    <n v="411058"/>
    <x v="0"/>
    <s v="People from my circle, but not family members"/>
    <s v="No, But if someone could bare the cost I will"/>
    <s v="This will be hard to do, but if it is the right company I would try"/>
    <s v="Yes"/>
    <s v="Will NOT work for them"/>
    <n v="8"/>
    <s v="Fully Remote with Options to travel as and when needed"/>
    <s v="Employer who rewards learning and enables that environment"/>
    <x v="473"/>
    <s v="Manager who clearly describes what she/he needs"/>
    <x v="3"/>
    <x v="3"/>
  </r>
  <r>
    <d v="2023-04-28T14:19:38"/>
    <s v="India"/>
    <n v="520012"/>
    <x v="1"/>
    <s v="People from my circle, but not family members"/>
    <s v="No I would not be pursuing Higher Education outside of India"/>
    <s v="This will be hard to do, but if it is the right company I would try"/>
    <s v="No"/>
    <s v="Will NOT work for them"/>
    <n v="5"/>
    <s v="Every Day Office Environment"/>
    <s v="Employer who appreciates learning and enables that environment"/>
    <x v="331"/>
    <s v="Manager who clearly describes what she/he needs"/>
    <x v="3"/>
    <x v="0"/>
  </r>
  <r>
    <d v="2023-04-28T14:19:51"/>
    <s v="India"/>
    <n v="535002"/>
    <x v="1"/>
    <s v="Social Media like LinkedIn"/>
    <s v="No, But if someone could bare the cost I will"/>
    <s v="This will be hard to do, but if it is the right company I would try"/>
    <s v="No"/>
    <s v="Will NOT work for them"/>
    <n v="10"/>
    <s v="Fully Remote with Options to travel as and when needed"/>
    <s v="Employer who pushes your limits by enabling an learning environment, and rewards you at the end"/>
    <x v="474"/>
    <s v="Manager who explains what is expected, sets a goal and helps achieve it"/>
    <x v="14"/>
    <x v="3"/>
  </r>
  <r>
    <d v="2023-04-28T14:20:10"/>
    <s v="India"/>
    <n v="638401"/>
    <x v="1"/>
    <s v="Influencers who had successful careers"/>
    <s v="Yes, I will earn and do that"/>
    <s v="Will work for 3 years or more"/>
    <s v="Yes"/>
    <s v="Will work for them"/>
    <n v="3"/>
    <s v="Hybrid Working Environment with more than 15 days a month at office"/>
    <s v="Employer who appreciates learning and enables that environment"/>
    <x v="475"/>
    <s v="Manager who explains what is expected, sets a goal and helps achieve it"/>
    <x v="16"/>
    <x v="2"/>
  </r>
  <r>
    <d v="2023-04-28T14:20:16"/>
    <s v="India"/>
    <n v="500040"/>
    <x v="1"/>
    <s v="People from my circle, but not family members"/>
    <s v="Yes, I will earn and do that"/>
    <s v="Will work for 3 years or more"/>
    <s v="No"/>
    <s v="Will NOT work for them"/>
    <n v="6"/>
    <s v="Fully Remote with Options to travel as and when needed"/>
    <s v="Employer who pushes your limits by enabling an learning environment, and rewards you at the end"/>
    <x v="301"/>
    <s v="Manager who explains what is expected, sets a goal and helps achieve it"/>
    <x v="2"/>
    <x v="0"/>
  </r>
  <r>
    <d v="2023-04-28T14:23:36"/>
    <s v="India"/>
    <n v="641006"/>
    <x v="1"/>
    <s v="My Parents"/>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476"/>
    <s v="Manager who explains what is expected, sets a goal and helps achieve it"/>
    <x v="4"/>
    <x v="3"/>
  </r>
  <r>
    <d v="2023-04-28T14:23:46"/>
    <s v="India"/>
    <n v="600097"/>
    <x v="1"/>
    <s v="Social Media like LinkedIn"/>
    <s v="No I would not be pursuing Higher Education outside of India"/>
    <s v="Will work for 3 years or more"/>
    <s v="Yes"/>
    <s v="Will work for them"/>
    <n v="7"/>
    <s v="Every Day Office Environment"/>
    <s v="Employer who appreciates learning and enables that environment"/>
    <x v="179"/>
    <s v="Manager who sets goal and helps me achieve it"/>
    <x v="1"/>
    <x v="3"/>
  </r>
  <r>
    <d v="2023-04-28T14:26:52"/>
    <s v="India"/>
    <n v="620002"/>
    <x v="0"/>
    <s v="People from my circle, but not family members"/>
    <s v="No I would not be pursuing Higher Education outside of India"/>
    <s v="This will be hard to do, but if it is the right company I would try"/>
    <s v="Yes"/>
    <s v="Will work for them"/>
    <n v="8"/>
    <s v="Fully Remote with Options to travel as and when needed"/>
    <s v="Employer who pushes your limits by enabling an learning environment, and rewards you at the end"/>
    <x v="433"/>
    <s v="Manager who explains what is expected, sets a goal and helps achieve it"/>
    <x v="1"/>
    <x v="3"/>
  </r>
  <r>
    <d v="2023-04-28T14:33:00"/>
    <s v="India"/>
    <n v="642114"/>
    <x v="0"/>
    <s v="People from my circle, but not family members"/>
    <s v="No I would not be pursuing Higher Education outside of India"/>
    <s v="No way"/>
    <s v="No"/>
    <s v="Will NOT work for them"/>
    <n v="1"/>
    <s v="Hybrid Working Environment with more than 15 days a month at office"/>
    <s v="Employers who appreciates learning but doesn't enables an learning environment"/>
    <x v="243"/>
    <s v="Manager who clearly describes what she/he needs"/>
    <x v="8"/>
    <x v="3"/>
  </r>
  <r>
    <d v="2023-04-28T14:36:25"/>
    <s v="India"/>
    <n v="122016"/>
    <x v="0"/>
    <s v="People who have changed the world for better"/>
    <s v="No, But if someone could bare the cost I will"/>
    <s v="Will work for 3 years or more"/>
    <s v="Yes"/>
    <s v="Will NOT work for them"/>
    <n v="8"/>
    <s v="Hybrid Working Environment with more than 15 days a month at office"/>
    <s v="Employer who pushes your limits by enabling an learning environment, and rewards you at the end"/>
    <x v="425"/>
    <s v="Manager who explains what is expected, sets a goal and helps achieve it"/>
    <x v="0"/>
    <x v="3"/>
  </r>
  <r>
    <d v="2023-04-28T14:38:01"/>
    <s v="India"/>
    <n v="631151"/>
    <x v="0"/>
    <s v="My Parents"/>
    <s v="Yes, I will earn and do that"/>
    <s v="Will work for 3 years or more"/>
    <s v="No"/>
    <s v="Will NOT work for them"/>
    <n v="5"/>
    <s v="Every Day Office Environment"/>
    <s v="Employer who pushes your limits by enabling an learning environment, and rewards you at the end"/>
    <x v="111"/>
    <s v="Manager who clearly describes what she/he needs"/>
    <x v="1"/>
    <x v="3"/>
  </r>
  <r>
    <d v="2023-04-28T14:38:04"/>
    <s v="India"/>
    <n v="411044"/>
    <x v="0"/>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477"/>
    <s v="Manager who explains what is expected, sets a goal and helps achieve it"/>
    <x v="0"/>
    <x v="3"/>
  </r>
  <r>
    <d v="2023-04-28T14:39:36"/>
    <s v="India"/>
    <n v="440013"/>
    <x v="0"/>
    <s v="Influencers who had successful careers"/>
    <s v="No, But if someone could bare the cost I will"/>
    <s v="This will be hard to do, but if it is the right company I would try"/>
    <s v="No"/>
    <s v="Will NOT work for them"/>
    <n v="10"/>
    <s v="Every Day Office Environment"/>
    <s v="Employer who appreciates learning and enables that environment"/>
    <x v="310"/>
    <s v="Manager who sets goal and helps me achieve it"/>
    <x v="1"/>
    <x v="3"/>
  </r>
  <r>
    <d v="2023-04-28T14:40:43"/>
    <s v="India"/>
    <n v="110006"/>
    <x v="0"/>
    <s v="People who have changed the world for better"/>
    <s v="Yes, I will earn and do that"/>
    <s v="Will work for 3 years or more"/>
    <s v="Yes"/>
    <s v="Will NOT work for them"/>
    <n v="5"/>
    <s v="Fully Remote with Options to travel as and when needed"/>
    <s v="Employer who pushes your limits by enabling an learning environment, and rewards you at the end"/>
    <x v="478"/>
    <s v="Manager who explains what is expected, sets a goal and helps achieve it"/>
    <x v="3"/>
    <x v="0"/>
  </r>
  <r>
    <d v="2023-04-28T14:40:43"/>
    <s v="India"/>
    <n v="410210"/>
    <x v="0"/>
    <s v="People who have changed the world for better"/>
    <s v="No I would not be pursuing Higher Education outside of India"/>
    <s v="Will work for 3 years or more"/>
    <s v="Yes"/>
    <s v="Will work for them"/>
    <n v="7"/>
    <s v="Hybrid Working Environment with more than 15 days a month at office"/>
    <s v="Employer who pushes your limits by enabling an learning environment, and rewards you at the end"/>
    <x v="141"/>
    <s v="Manager who sets goal and helps me achieve it"/>
    <x v="0"/>
    <x v="3"/>
  </r>
  <r>
    <d v="2023-04-28T14:40:51"/>
    <s v="India"/>
    <n v="603102"/>
    <x v="0"/>
    <s v="People who have changed the world for better"/>
    <s v="Yes, I will earn and do that"/>
    <s v="This will be hard to do, but if it is the right company I would try"/>
    <s v="No"/>
    <s v="Will NOT work for them"/>
    <n v="2"/>
    <s v="Hybrid Working Environment with more than 15 days a month at office"/>
    <s v="Employer who appreciates learning and enables that environment"/>
    <x v="178"/>
    <s v="Manager who explains what is expected, sets a goal and helps achieve it"/>
    <x v="4"/>
    <x v="3"/>
  </r>
  <r>
    <d v="2023-04-28T14:42:50"/>
    <s v="India"/>
    <n v="828307"/>
    <x v="1"/>
    <s v="People who have changed the world for better"/>
    <s v="No I would not be pursuing Higher Education outside of India"/>
    <s v="This will be hard to do, but if it is the right company I would try"/>
    <s v="Yes"/>
    <s v="Will NOT work for them"/>
    <n v="5"/>
    <s v="Fully Remote with Options to travel as and when needed"/>
    <s v="Employer who appreciates learning and enables that environment"/>
    <x v="96"/>
    <s v="Manager who clearly describes what she/he needs"/>
    <x v="3"/>
    <x v="3"/>
  </r>
  <r>
    <d v="2023-04-28T14:44:51"/>
    <s v="India"/>
    <n v="600049"/>
    <x v="1"/>
    <s v="My Parents"/>
    <s v="No, But if someone could bare the cost I will"/>
    <s v="Will work for 3 years or more"/>
    <s v="No"/>
    <s v="Will NOT work for them"/>
    <n v="10"/>
    <s v="Hybrid Working Environment with more than 15 days a month at office"/>
    <s v="Employer who appreciates learning and enables that environment"/>
    <x v="479"/>
    <s v="Manager who sets goal and helps me achieve it"/>
    <x v="7"/>
    <x v="0"/>
  </r>
  <r>
    <d v="2023-04-28T14:52:21"/>
    <s v="India"/>
    <n v="600032"/>
    <x v="0"/>
    <s v="People from my circle, but not family members"/>
    <s v="No I would not be pursuing Higher Education outside of India"/>
    <s v="This will be hard to do, but if it is the right company I would try"/>
    <s v="No"/>
    <s v="Will NOT work for them"/>
    <n v="8"/>
    <s v="Hybrid Working Environment with less than 3 days a month at office"/>
    <s v="Employer who appreciates learning and enables that environment"/>
    <x v="480"/>
    <s v="Manager who sets goal and helps me achieve it"/>
    <x v="4"/>
    <x v="3"/>
  </r>
  <r>
    <d v="2023-04-28T14:53:29"/>
    <s v="India"/>
    <n v="89"/>
    <x v="0"/>
    <s v="People from my circle, but not family members"/>
    <s v="Yes, I will earn and do that"/>
    <s v="This will be hard to do, but if it is the right company I would try"/>
    <s v="Yes"/>
    <s v="Will NOT work for them"/>
    <n v="5"/>
    <s v="Fully Remote with No option to visit offices"/>
    <s v="Employer who rewards learning and enables that environment"/>
    <x v="115"/>
    <s v="Manager who sets goal and helps me achieve it"/>
    <x v="3"/>
    <x v="3"/>
  </r>
  <r>
    <d v="2023-04-28T14:58:23"/>
    <s v="India"/>
    <n v="600083"/>
    <x v="1"/>
    <s v="People who have changed the world for better"/>
    <s v="Yes, I will earn and do that"/>
    <s v="Will work for 3 years or more"/>
    <s v="No"/>
    <s v="Will NOT work for them"/>
    <n v="3"/>
    <s v="Fully Remote with Options to travel as and when needed"/>
    <s v="Employer who pushes your limits and doesn't enables learning environment and never rewards you"/>
    <x v="481"/>
    <s v="Manager who sets goal and helps me achieve it"/>
    <x v="7"/>
    <x v="2"/>
  </r>
  <r>
    <d v="2023-04-28T15:01:35"/>
    <s v="India"/>
    <n v="562106"/>
    <x v="1"/>
    <s v="Social Media like LinkedIn"/>
    <s v="Yes, I will earn and do that"/>
    <s v="This will be hard to do, but if it is the right company I would try"/>
    <s v="No"/>
    <s v="Will NOT work for them"/>
    <n v="10"/>
    <s v="Hybrid Working Environment with more than 15 days a month at office"/>
    <s v="Employer who pushes your limits by enabling an learning environment, and rewards you at the end"/>
    <x v="141"/>
    <s v="Manager who explains what is expected, sets a goal and helps achieve it"/>
    <x v="1"/>
    <x v="3"/>
  </r>
  <r>
    <d v="2023-04-28T15:01:42"/>
    <s v="India"/>
    <n v="201003"/>
    <x v="1"/>
    <s v="My Parents"/>
    <s v="Yes, I will earn and do that"/>
    <s v="Will work for 3 years or more"/>
    <s v="No"/>
    <s v="Will NOT work for them"/>
    <n v="5"/>
    <s v="Every Day Office Environment"/>
    <s v="Employer who appreciates learning and enables that environment"/>
    <x v="140"/>
    <s v="Manager who explains what is expected, sets a goal and helps achieve it"/>
    <x v="1"/>
    <x v="0"/>
  </r>
  <r>
    <d v="2023-04-28T15:06:22"/>
    <s v="India"/>
    <n v="500072"/>
    <x v="0"/>
    <s v="Influencers who had successful careers"/>
    <s v="Yes, I will earn and do that"/>
    <s v="This will be hard to do, but if it is the right company I would try"/>
    <s v="No"/>
    <s v="Will NOT work for them"/>
    <n v="5"/>
    <s v="Hybrid Working Environment with less than 3 days a month at office"/>
    <s v="Employer who appreciates learning and enables that environment"/>
    <x v="482"/>
    <s v="Manager who explains what is expected, sets a goal and helps achieve it"/>
    <x v="1"/>
    <x v="3"/>
  </r>
  <r>
    <d v="2023-04-28T15:07:32"/>
    <s v="India"/>
    <n v="520007"/>
    <x v="0"/>
    <s v="My Parents"/>
    <s v="Yes, I will earn and do that"/>
    <s v="Will work for 3 years or more"/>
    <s v="No"/>
    <s v="Will NOT work for them"/>
    <n v="3"/>
    <s v="Hybrid Working Environment with more than 15 days a month at office"/>
    <s v="Employer who pushes your limits by enabling an learning environment, and rewards you at the end"/>
    <x v="141"/>
    <s v="Manager who clearly describes what she/he needs"/>
    <x v="23"/>
    <x v="3"/>
  </r>
  <r>
    <d v="2023-04-28T15:15:26"/>
    <s v="India"/>
    <n v="600095"/>
    <x v="0"/>
    <s v="People from my circle, but not family members"/>
    <s v="No I would not be pursuing Higher Education outside of India"/>
    <s v="This will be hard to do, but if it is the right company I would try"/>
    <s v="No"/>
    <s v="Will NOT work for them"/>
    <n v="6"/>
    <s v="Hybrid Working Environment with more than 15 days a month at office"/>
    <s v="Employer who appreciates learning and enables that environment"/>
    <x v="227"/>
    <s v="Manager who explains what is expected, sets a goal and helps achieve it"/>
    <x v="1"/>
    <x v="0"/>
  </r>
  <r>
    <d v="2023-04-28T15:19:25"/>
    <s v="India"/>
    <n v="400601"/>
    <x v="0"/>
    <s v="People who have changed the world for better"/>
    <s v="Yes, I will earn and do that"/>
    <s v="Will work for 3 years or more"/>
    <s v="No"/>
    <s v="Will NOT work for them"/>
    <n v="3"/>
    <s v="Every Day Office Environment"/>
    <s v="Employer who appreciates learning and enables that environment"/>
    <x v="132"/>
    <s v="Manager who sets targets and expects me to achieve it"/>
    <x v="24"/>
    <x v="3"/>
  </r>
  <r>
    <d v="2023-04-28T15:25:13"/>
    <s v="India"/>
    <n v="410206"/>
    <x v="0"/>
    <s v="People from my circle, but not family members"/>
    <s v="No I would not be pursuing Higher Education outside of India"/>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159"/>
    <s v="Manager who explains what is expected, sets a goal and helps achieve it"/>
    <x v="4"/>
    <x v="3"/>
  </r>
  <r>
    <d v="2023-04-28T15:47:53"/>
    <s v="India"/>
    <n v="122101"/>
    <x v="0"/>
    <s v="People who have changed the world for better"/>
    <s v="No, But if someone could bare the cost I will"/>
    <s v="This will be hard to do, but if it is the right company I would try"/>
    <s v="Yes"/>
    <s v="Will NOT work for them"/>
    <n v="10"/>
    <s v="Fully Remote with Options to travel as and when needed"/>
    <s v="Employer who pushes your limits by enabling an learning environment, and rewards you at the end"/>
    <x v="243"/>
    <s v="Manager who explains what is expected, sets a goal and helps achieve it"/>
    <x v="3"/>
    <x v="3"/>
  </r>
  <r>
    <d v="2023-04-28T15:57:41"/>
    <s v="United States of America"/>
    <n v="21228"/>
    <x v="1"/>
    <s v="People who have changed the world for better"/>
    <s v="Yes, I will earn and do that"/>
    <s v="This will be hard to do, but if it is the right company I would try"/>
    <s v="No"/>
    <s v="Will NOT work for them"/>
    <n v="3"/>
    <s v="Hybrid Working Environment with more than 15 days a month at office"/>
    <s v="Employer who appreciates learning and enables that environment"/>
    <x v="483"/>
    <s v="Manager who explains what is expected, sets a goal and helps achieve it"/>
    <x v="11"/>
    <x v="0"/>
  </r>
  <r>
    <d v="2023-04-28T16:00:09"/>
    <s v="India"/>
    <n v="600083"/>
    <x v="0"/>
    <s v="Influencers who had successful careers"/>
    <s v="No I would not be pursuing Higher Education outside of India"/>
    <s v="This will be hard to do, but if it is the right company I would try"/>
    <s v="No"/>
    <s v="Will NOT work for them"/>
    <n v="6"/>
    <s v="Hybrid Working Environment with more than 15 days a month at office"/>
    <s v="Employer who pushes your limits and doesn't enables learning environment and never rewards you"/>
    <x v="153"/>
    <s v="Manager who explains what is expected, sets a goal and helps achieve it"/>
    <x v="4"/>
    <x v="3"/>
  </r>
  <r>
    <d v="2023-04-28T16:04:04"/>
    <s v="India"/>
    <n v="110045"/>
    <x v="0"/>
    <s v="My Parents"/>
    <s v="Yes, I will earn and do that"/>
    <s v="Will work for 3 years or more"/>
    <s v="No"/>
    <s v="Will work for them"/>
    <n v="3"/>
    <s v="Hybrid Working Environment with more than 15 days a month at office"/>
    <s v="Employer who appreciates learning and enables that environment"/>
    <x v="110"/>
    <s v="Manager who clearly describes what she/he needs"/>
    <x v="4"/>
    <x v="3"/>
  </r>
  <r>
    <d v="2023-04-28T16:04:34"/>
    <s v="India"/>
    <n v="522007"/>
    <x v="0"/>
    <s v="My Parents"/>
    <s v="No, But if someone could bare the cost I will"/>
    <s v="Will work for 3 years or more"/>
    <s v="No"/>
    <s v="Will NOT work for them"/>
    <n v="5"/>
    <s v="Every Day Office Environment"/>
    <s v="Employer who pushes your limits by enabling an learning environment, and rewards you at the end"/>
    <x v="416"/>
    <s v="Manager who explains what is expected, sets a goal and helps achieve it"/>
    <x v="7"/>
    <x v="3"/>
  </r>
  <r>
    <d v="2023-04-28T16:05:00"/>
    <s v="India"/>
    <n v="636302"/>
    <x v="0"/>
    <s v="People who have changed the world for better"/>
    <s v="Yes, I will earn and do that"/>
    <s v="This will be hard to do, but if it is the right company I would try"/>
    <s v="Yes"/>
    <s v="Will NOT work for them"/>
    <n v="3"/>
    <s v="Hybrid Working Environment with less than 3 days a month at office"/>
    <s v="Employer who appreciates learning and enables that environment"/>
    <x v="216"/>
    <s v="Manager who explains what is expected, sets a goal and helps achieve it"/>
    <x v="1"/>
    <x v="2"/>
  </r>
  <r>
    <d v="2023-04-28T16:08:23"/>
    <s v="India"/>
    <n v="492008"/>
    <x v="1"/>
    <s v="Influencers who had successful careers"/>
    <s v="Yes, I will earn and do that"/>
    <s v="Will work for 3 years or more"/>
    <s v="No"/>
    <s v="Will NOT work for them"/>
    <n v="7"/>
    <s v="Fully Remote with Options to travel as and when needed"/>
    <s v="Employer who rewards learning and enables that environment"/>
    <x v="484"/>
    <s v="Manager who explains what is expected, sets a goal and helps achieve it"/>
    <x v="3"/>
    <x v="3"/>
  </r>
  <r>
    <d v="2023-04-28T16:09:18"/>
    <s v="India"/>
    <n v="500074"/>
    <x v="0"/>
    <s v="My Parents"/>
    <s v="Yes, I will earn and do that"/>
    <s v="Will work for 3 years or more"/>
    <s v="Yes"/>
    <s v="Will work for them"/>
    <n v="10"/>
    <s v="Every Day Office Environment"/>
    <s v="Employer who appreciates learning and enables that environment"/>
    <x v="197"/>
    <s v="Manager who explains what is expected, sets a goal and helps achieve it"/>
    <x v="18"/>
    <x v="3"/>
  </r>
  <r>
    <d v="2023-04-28T16:10:11"/>
    <s v="India"/>
    <n v="482003"/>
    <x v="1"/>
    <s v="Influencers who had successful careers"/>
    <s v="No I would not be pursuing Higher Education outside of India"/>
    <s v="Will work for 3 years or more"/>
    <s v="No"/>
    <s v="Will NOT work for them"/>
    <n v="6"/>
    <s v="Every Day Office Environment"/>
    <s v="Employer who appreciates learning and enables that environment"/>
    <x v="224"/>
    <s v="Manager who sets goal and helps me achieve it"/>
    <x v="1"/>
    <x v="3"/>
  </r>
  <r>
    <d v="2023-04-28T16:11:44"/>
    <s v="India"/>
    <n v="760002"/>
    <x v="0"/>
    <s v="My Parents"/>
    <s v="No I would not be pursuing Higher Education outside of India"/>
    <s v="Will work for 3 years or more"/>
    <s v="No"/>
    <s v="Will NOT work for them"/>
    <n v="3"/>
    <s v="Every Day Office Environment"/>
    <s v="Employer who pushes your limits by enabling an learning environment, and rewards you at the end"/>
    <x v="197"/>
    <s v="Manager who explains what is expected, sets a goal and helps achieve it"/>
    <x v="0"/>
    <x v="3"/>
  </r>
  <r>
    <d v="2023-04-28T16:11:52"/>
    <s v="India"/>
    <n v="600033"/>
    <x v="1"/>
    <s v="Social Media like LinkedIn"/>
    <s v="Yes, I will earn and do that"/>
    <s v="Will work for 3 years or more"/>
    <s v="No"/>
    <s v="Will NOT work for them"/>
    <n v="5"/>
    <s v="Every Day Office Environment"/>
    <s v="Employer who pushes your limits by enabling an learning environment, and rewards you at the end"/>
    <x v="197"/>
    <s v="Manager who explains what is expected, sets a goal and helps achieve it"/>
    <x v="3"/>
    <x v="0"/>
  </r>
  <r>
    <d v="2023-04-28T16:13:23"/>
    <s v="India"/>
    <n v="411041"/>
    <x v="1"/>
    <s v="People from my circle, but not family members"/>
    <s v="No I would not be pursuing Higher Education outside of India"/>
    <s v="Will work for 3 years or more"/>
    <s v="No"/>
    <s v="Will NOT work for them"/>
    <n v="4"/>
    <s v="Hybrid Working Environment with more than 15 days a month at office"/>
    <s v="Employer who pushes your limits by enabling an learning environment, and rewards you at the end"/>
    <x v="485"/>
    <s v="Manager who explains what is expected, sets a goal and helps achieve it"/>
    <x v="3"/>
    <x v="3"/>
  </r>
  <r>
    <d v="2023-04-28T16:14:01"/>
    <s v="India"/>
    <n v="560100"/>
    <x v="1"/>
    <s v="My Parents"/>
    <s v="No I would not be pursuing Higher Education outside of India"/>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486"/>
    <s v="Manager who clearly describes what she/he needs"/>
    <x v="1"/>
    <x v="0"/>
  </r>
  <r>
    <d v="2023-04-28T16:26:17"/>
    <s v="India"/>
    <n v="505208"/>
    <x v="1"/>
    <s v="People from my circle, but not family members"/>
    <s v="Yes, I will earn and do that"/>
    <s v="This will be hard to do, but if it is the right company I would try"/>
    <s v="No"/>
    <s v="Will NOT work for them"/>
    <n v="4"/>
    <s v="Fully Remote with Options to travel as and when needed"/>
    <s v="Employer who pushes your limits by enabling an learning environment, and rewards you at the end"/>
    <x v="101"/>
    <s v="Manager who clearly describes what she/he needs"/>
    <x v="1"/>
    <x v="3"/>
  </r>
  <r>
    <d v="2023-04-28T16:29:43"/>
    <s v="India"/>
    <n v="637107"/>
    <x v="1"/>
    <s v="People who have changed the world for better"/>
    <s v="Yes, I will earn and do that"/>
    <s v="This will be hard to do, but if it is the right company I would try"/>
    <s v="No"/>
    <s v="Will NOT work for them"/>
    <n v="5"/>
    <s v="Every Day Office Environment"/>
    <s v="Employer who rewards learning and enables that environment"/>
    <x v="132"/>
    <s v="Manager who sets goal and helps me achieve it"/>
    <x v="3"/>
    <x v="3"/>
  </r>
  <r>
    <d v="2023-04-28T16:32:48"/>
    <s v="India"/>
    <n v="678706"/>
    <x v="0"/>
    <s v="People from my circle, but not family members"/>
    <s v="No, But if someone could bare the cost I will"/>
    <s v="This will be hard to do, but if it is the right company I would try"/>
    <s v="No"/>
    <s v="Will NOT work for them"/>
    <n v="10"/>
    <s v="Hybrid Working Environment with more than 15 days a month at office"/>
    <s v="Employer who pushes your limits by enabling an learning environment, and rewards you at the end"/>
    <x v="487"/>
    <s v="Manager who sets goal and helps me achieve it"/>
    <x v="2"/>
    <x v="0"/>
  </r>
  <r>
    <d v="2023-04-28T16:37:10"/>
    <s v="India"/>
    <n v="506366"/>
    <x v="0"/>
    <s v="My Parents"/>
    <s v="No I would not be pursuing Higher Education outside of India"/>
    <s v="Will work for 3 years or more"/>
    <s v="No"/>
    <s v="Will work for them"/>
    <n v="5"/>
    <s v="Fully Remote with Options to travel as and when needed"/>
    <s v="Employer who appreciates learning and enables that environment"/>
    <x v="346"/>
    <s v="Manager who explains what is expected, sets a goal and helps achieve it"/>
    <x v="4"/>
    <x v="3"/>
  </r>
  <r>
    <d v="2023-04-28T16:37:11"/>
    <s v="India"/>
    <n v="600056"/>
    <x v="0"/>
    <s v="Influencers who had successful careers"/>
    <s v="No I would not be pursuing Higher Education outside of India"/>
    <s v="Will work for 3 years or more"/>
    <s v="No"/>
    <s v="Will NOT work for them"/>
    <n v="3"/>
    <s v="Hybrid Working Environment with less than 3 days a month at office"/>
    <s v="Employer who pushes your limits and doesn't enables learning environment and never rewards you"/>
    <x v="436"/>
    <s v="Manager who explains what is expected, sets a goal and helps achieve it"/>
    <x v="12"/>
    <x v="3"/>
  </r>
  <r>
    <d v="2023-04-28T16:39:01"/>
    <s v="India"/>
    <n v="627117"/>
    <x v="1"/>
    <s v="My Parents"/>
    <s v="No, But if someone could bare the cost I will"/>
    <s v="Will work for 3 years or more"/>
    <s v="No"/>
    <s v="Will NOT work for them"/>
    <n v="5"/>
    <s v="Fully Remote with No option to visit offices"/>
    <s v="Employer who appreciates learning and enables that environment"/>
    <x v="449"/>
    <s v="Manager who explains what is expected, sets a goal and helps achieve it"/>
    <x v="1"/>
    <x v="3"/>
  </r>
  <r>
    <d v="2023-04-28T16:39:52"/>
    <s v="India"/>
    <n v="226017"/>
    <x v="1"/>
    <s v="Influencers who had successful careers"/>
    <s v="Yes, I will earn and do that"/>
    <s v="This will be hard to do, but if it is the right company I would try"/>
    <s v="No"/>
    <s v="Will NOT work for them"/>
    <n v="1"/>
    <s v="Fully Remote with Options to travel as and when needed"/>
    <s v="Employer who appreciates learning and enables that environment"/>
    <x v="488"/>
    <s v="Manager who explains what is expected, sets a goal and helps achieve it"/>
    <x v="1"/>
    <x v="0"/>
  </r>
  <r>
    <d v="2023-04-28T16:41:17"/>
    <s v="India"/>
    <n v="201013"/>
    <x v="1"/>
    <s v="My Parents"/>
    <s v="No, But if someone could bare the cost I will"/>
    <s v="Will work for 3 years or more"/>
    <s v="Yes"/>
    <s v="Will work for them"/>
    <n v="8"/>
    <s v="Hybrid Working Environment with less than 3 days a month at office"/>
    <s v="Employer who pushes your limits by enabling an learning environment, and rewards you at the end"/>
    <x v="432"/>
    <s v="Manager who explains what is expected, sets a goal and helps achieve it"/>
    <x v="1"/>
    <x v="3"/>
  </r>
  <r>
    <d v="2023-04-28T16:42:53"/>
    <s v="India"/>
    <n v="505001"/>
    <x v="0"/>
    <s v="Influencers who had successful careers"/>
    <s v="Yes, I will earn and do that"/>
    <s v="This will be hard to do, but if it is the right company I would try"/>
    <s v="Yes"/>
    <s v="Will work for them"/>
    <n v="9"/>
    <s v="Hybrid Working Environment with more than 15 days a month at office"/>
    <s v="Employer who pushes your limits by enabling an learning environment, and rewards you at the end"/>
    <x v="122"/>
    <s v="Manager who explains what is expected, sets a goal and helps achieve it"/>
    <x v="4"/>
    <x v="0"/>
  </r>
  <r>
    <d v="2023-04-28T16:42:56"/>
    <s v="India"/>
    <n v="638401"/>
    <x v="1"/>
    <s v="People from my circle, but not family members"/>
    <s v="Yes, I will earn and do that"/>
    <s v="Will work for 3 years or more"/>
    <s v="No"/>
    <s v="Will NOT work for them"/>
    <n v="4"/>
    <s v="Hybrid Working Environment with less than 3 days a month at office"/>
    <s v="Employer who rewards learning and enables that environment"/>
    <x v="489"/>
    <s v="Manager who sets targets and expects me to achieve it"/>
    <x v="7"/>
    <x v="3"/>
  </r>
  <r>
    <d v="2023-04-28T16:45:52"/>
    <s v="India"/>
    <n v="505209"/>
    <x v="1"/>
    <s v="Social Media like LinkedIn"/>
    <s v="Yes, I will earn and do that"/>
    <s v="This will be hard to do, but if it is the right company I would try"/>
    <s v="No"/>
    <s v="Will NOT work for them"/>
    <n v="8"/>
    <s v="Fully Remote with Options to travel as and when needed"/>
    <s v="Employer who appreciates learning and enables that environment"/>
    <x v="490"/>
    <s v="Manager who explains what is expected, sets a goal and helps achieve it"/>
    <x v="1"/>
    <x v="0"/>
  </r>
  <r>
    <d v="2023-04-28T16:48:10"/>
    <s v="India"/>
    <n v="508111"/>
    <x v="1"/>
    <s v="My Parents"/>
    <s v="No, But if someone could bare the cost I will"/>
    <s v="This will be hard to do, but if it is the right company I would try"/>
    <s v="No"/>
    <s v="Will NOT work for them"/>
    <n v="5"/>
    <s v="Hybrid Working Environment with more than 15 days a month at office"/>
    <s v="Employer who pushes your limits and doesn't enables learning environment and never rewards you"/>
    <x v="274"/>
    <s v="Manager who explains what is expected, sets a goal and helps achieve it"/>
    <x v="12"/>
    <x v="3"/>
  </r>
  <r>
    <d v="2023-04-28T16:51:43"/>
    <s v="India"/>
    <n v="505209"/>
    <x v="1"/>
    <s v="My Parents"/>
    <s v="Yes, I will earn and do that"/>
    <s v="This will be hard to do, but if it is the right company I would try"/>
    <s v="No"/>
    <s v="Will work for them"/>
    <n v="10"/>
    <s v="Hybrid Working Environment with more than 15 days a month at office"/>
    <s v="Employer who appreciates learning and enables that environment"/>
    <x v="164"/>
    <s v="Manager who explains what is expected, sets a goal and helps achieve it"/>
    <x v="2"/>
    <x v="3"/>
  </r>
  <r>
    <d v="2023-04-28T16:54:10"/>
    <s v="India"/>
    <n v="635801"/>
    <x v="0"/>
    <s v="Influencers who had successful careers"/>
    <s v="No, But if someone could bare the cost I will"/>
    <s v="This will be hard to do, but if it is the right company I would try"/>
    <s v="No"/>
    <s v="Will work for them"/>
    <n v="10"/>
    <s v="Fully Remote with Options to travel as and when needed"/>
    <s v="Employer who appreciates learning and enables that environment"/>
    <x v="124"/>
    <s v="Manager who explains what is expected, sets a goal and helps achieve it"/>
    <x v="7"/>
    <x v="3"/>
  </r>
  <r>
    <d v="2023-04-28T16:56:56"/>
    <s v="India"/>
    <n v="505209"/>
    <x v="1"/>
    <s v="People who have changed the world for better"/>
    <s v="Yes, I will earn and do that"/>
    <s v="This will be hard to do, but if it is the right company I would try"/>
    <s v="Yes"/>
    <s v="Will NOT work for them"/>
    <n v="8"/>
    <s v="Fully Remote with Options to travel as and when needed"/>
    <s v="Employer who pushes your limits by enabling an learning environment, and rewards you at the end"/>
    <x v="110"/>
    <s v="Manager who explains what is expected, sets a goal and helps achieve it"/>
    <x v="3"/>
    <x v="2"/>
  </r>
  <r>
    <d v="2023-04-28T17:13:17"/>
    <s v="India"/>
    <n v="508234"/>
    <x v="0"/>
    <s v="Influencers who had successful careers"/>
    <s v="No I would not be pursuing Higher Education outside of India"/>
    <s v="This will be hard to do, but if it is the right company I would try"/>
    <s v="No"/>
    <s v="Will work for them"/>
    <n v="10"/>
    <s v="Fully Remote with Options to travel as and when needed"/>
    <s v="Employer who rewards learning and enables that environment"/>
    <x v="491"/>
    <s v="Manager who sets goal and helps me achieve it"/>
    <x v="14"/>
    <x v="3"/>
  </r>
  <r>
    <d v="2023-04-28T17:20:54"/>
    <s v="India"/>
    <n v="826004"/>
    <x v="0"/>
    <s v="People who have changed the world for better"/>
    <s v="No I would not be pursuing Higher Education outside of India"/>
    <s v="This will be hard to do, but if it is the right company I would try"/>
    <s v="Yes"/>
    <s v="Will work for them"/>
    <n v="8"/>
    <s v="Fully Remote with Options to travel as and when needed"/>
    <s v="Employer who rewards learning and enables that environment"/>
    <x v="188"/>
    <s v="Manager who explains what is expected, sets a goal and helps achieve it"/>
    <x v="2"/>
    <x v="0"/>
  </r>
  <r>
    <d v="2023-04-28T17:25:02"/>
    <s v="India"/>
    <n v="201002"/>
    <x v="1"/>
    <s v="My Parents"/>
    <s v="Yes, I will earn and do that"/>
    <s v="This will be hard to do, but if it is the right company I would try"/>
    <s v="No"/>
    <s v="Will NOT work for them"/>
    <n v="1"/>
    <s v="Every Day Office Environment"/>
    <s v="Employer who pushes your limits by enabling an learning environment, and rewards you at the end"/>
    <x v="416"/>
    <s v="Manager who explains what is expected, sets a goal and helps achieve it"/>
    <x v="15"/>
    <x v="0"/>
  </r>
  <r>
    <d v="2023-04-28T17:26:22"/>
    <s v="India"/>
    <n v="600049"/>
    <x v="1"/>
    <s v="Influencers who had successful careers"/>
    <s v="No, But if someone could bare the cost I will"/>
    <s v="This will be hard to do, but if it is the right company I would try"/>
    <s v="No"/>
    <s v="Will NOT work for them"/>
    <n v="1"/>
    <s v="Hybrid Working Environment with less than 3 days a month at office"/>
    <s v="Employer who pushes your limits by enabling an learning environment, and rewards you at the end"/>
    <x v="351"/>
    <s v="Manager who explains what is expected, sets a goal and helps achieve it"/>
    <x v="3"/>
    <x v="3"/>
  </r>
  <r>
    <d v="2023-04-28T17:29:56"/>
    <s v="India"/>
    <n v="826001"/>
    <x v="0"/>
    <s v="People who have changed the world for better"/>
    <s v="Yes, I will earn and do that"/>
    <s v="This will be hard to do, but if it is the right company I would try"/>
    <s v="No"/>
    <s v="Will NOT work for them"/>
    <n v="3"/>
    <s v="Hybrid Working Environment with less than 3 days a month at office"/>
    <s v="Employer who pushes your limits by enabling an learning environment, and rewards you at the end"/>
    <x v="113"/>
    <s v="Manager who sets goal and helps me achieve it"/>
    <x v="0"/>
    <x v="3"/>
  </r>
  <r>
    <d v="2023-04-28T17:31:42"/>
    <s v="India"/>
    <n v="492001"/>
    <x v="0"/>
    <s v="People who have changed the world for better"/>
    <s v="Yes, I will earn and do that"/>
    <s v="This will be hard to do, but if it is the right company I would try"/>
    <s v="No"/>
    <s v="Will NOT work for them"/>
    <n v="8"/>
    <s v="Fully Remote with Options to travel as and when needed"/>
    <s v="Employer who pushes your limits by enabling an learning environment, and rewards you at the end"/>
    <x v="358"/>
    <s v="Manager who sets goal and helps me achieve it"/>
    <x v="1"/>
    <x v="3"/>
  </r>
  <r>
    <d v="2023-04-28T17:37:10"/>
    <s v="India"/>
    <n v="560073"/>
    <x v="0"/>
    <s v="Social Media like LinkedIn"/>
    <s v="No I would not be pursuing Higher Education outside of India"/>
    <s v="Will work for 3 years or more"/>
    <s v="Yes"/>
    <s v="Will work for them"/>
    <n v="6"/>
    <s v="Hybrid Working Environment with less than 3 days a month at office"/>
    <s v="Employer who rewards learning and enables that environment"/>
    <x v="170"/>
    <s v="Manager who explains what is expected, sets a goal and helps achieve it"/>
    <x v="7"/>
    <x v="2"/>
  </r>
  <r>
    <d v="2023-04-28T17:39:45"/>
    <s v="India"/>
    <n v="759001"/>
    <x v="0"/>
    <s v="People who have changed the world for better"/>
    <s v="No I would not be pursuing Higher Education outside of India"/>
    <s v="Will work for 3 years or more"/>
    <s v="No"/>
    <s v="Will NOT work for them"/>
    <n v="8"/>
    <s v="Fully Remote with Options to travel as and when needed"/>
    <s v="Employer who rewards learning and enables that environment"/>
    <x v="111"/>
    <s v="Manager who clearly describes what she/he needs"/>
    <x v="6"/>
    <x v="3"/>
  </r>
  <r>
    <d v="2023-04-28T17:40:28"/>
    <s v="India"/>
    <n v="505209"/>
    <x v="0"/>
    <s v="My Parents"/>
    <s v="Yes, I will earn and do that"/>
    <s v="This will be hard to do, but if it is the right company I would try"/>
    <s v="No"/>
    <s v="Will NOT work for them"/>
    <n v="5"/>
    <s v="Fully Remote with Options to travel as and when needed"/>
    <s v="Employer who pushes your limits and doesn't enables learning environment and never rewards you"/>
    <x v="454"/>
    <s v="Manager who sets goal and helps me achieve it"/>
    <x v="1"/>
    <x v="3"/>
  </r>
  <r>
    <d v="2023-04-28T17:43:33"/>
    <s v="India"/>
    <n v="600005"/>
    <x v="0"/>
    <s v="My Parents"/>
    <s v="No I would not be pursuing Higher Education outside of India"/>
    <s v="Will work for 3 years or more"/>
    <s v="No"/>
    <s v="Will NOT work for them"/>
    <n v="1"/>
    <s v="Every Day Office Environment"/>
    <s v="Employer who appreciates learning and enables that environment"/>
    <x v="356"/>
    <s v="Manager who clearly describes what she/he needs"/>
    <x v="7"/>
    <x v="3"/>
  </r>
  <r>
    <d v="2023-04-28T17:45:12"/>
    <s v="India"/>
    <n v="607001"/>
    <x v="0"/>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356"/>
    <s v="Manager who explains what is expected, sets a goal and helps achieve it"/>
    <x v="7"/>
    <x v="3"/>
  </r>
  <r>
    <d v="2023-04-28T17:47:55"/>
    <s v="India"/>
    <n v="560096"/>
    <x v="0"/>
    <s v="Influencers who had successful careers"/>
    <s v="No, But if someone could bare the cost I will"/>
    <s v="No way"/>
    <s v="Yes"/>
    <s v="Will work for them"/>
    <n v="7"/>
    <s v="Hybrid Working Environment with less than 3 days a month at office"/>
    <s v="Employer who pushes your limits by enabling an learning environment, and rewards you at the end"/>
    <x v="492"/>
    <s v="Manager who sets goal and helps me achieve it"/>
    <x v="8"/>
    <x v="4"/>
  </r>
  <r>
    <d v="2023-04-28T17:49:49"/>
    <s v="India"/>
    <n v="500013"/>
    <x v="1"/>
    <s v="Influencers who had successful careers"/>
    <s v="No I would not be pursuing Higher Education outside of India"/>
    <s v="This will be hard to do, but if it is the right company I would try"/>
    <s v="No"/>
    <s v="Will NOT work for them"/>
    <n v="8"/>
    <s v="Fully Remote with No option to visit offices"/>
    <s v="Employer who appreciates learning and enables that environment"/>
    <x v="183"/>
    <s v="Manager who sets goal and helps me achieve it"/>
    <x v="23"/>
    <x v="3"/>
  </r>
  <r>
    <d v="2023-04-28T17:50:13"/>
    <s v="India"/>
    <n v="765002"/>
    <x v="0"/>
    <s v="People who have changed the world for better"/>
    <s v="No I would not be pursuing Higher Education outside of India"/>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416"/>
    <s v="Manager who explains what is expected, sets a goal and helps achieve it"/>
    <x v="1"/>
    <x v="3"/>
  </r>
  <r>
    <d v="2023-04-28T17:52:19"/>
    <s v="India"/>
    <n v="505209"/>
    <x v="1"/>
    <s v="People who have changed the world for better"/>
    <s v="Yes, I will earn and do that"/>
    <s v="This will be hard to do, but if it is the right company I would try"/>
    <s v="No"/>
    <s v="Will work for them"/>
    <n v="5"/>
    <s v="Fully Remote with Options to travel as and when needed"/>
    <s v="Employer who pushes your limits by enabling an learning environment, and rewards you at the end"/>
    <x v="264"/>
    <s v="Manager who explains what is expected, sets a goal and helps achieve it"/>
    <x v="1"/>
    <x v="3"/>
  </r>
  <r>
    <d v="2023-04-28T17:53:54"/>
    <s v="India"/>
    <n v="560107"/>
    <x v="0"/>
    <s v="People from my circle, but not family members"/>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25"/>
    <s v="Manager who explains what is expected, sets a goal and helps achieve it"/>
    <x v="1"/>
    <x v="3"/>
  </r>
  <r>
    <d v="2023-04-28T17:53:57"/>
    <s v="India"/>
    <n v="505122"/>
    <x v="0"/>
    <s v="People who have changed the world for better"/>
    <s v="No I would not be pursuing Higher Education outside of India"/>
    <s v="Will work for 3 years or more"/>
    <s v="No"/>
    <s v="Will NOT work for them"/>
    <n v="5"/>
    <s v="Fully Remote with Options to travel as and when needed"/>
    <s v="Employer who pushes your limits by enabling an learning environment, and rewards you at the end"/>
    <x v="218"/>
    <s v="Manager who explains what is expected, sets a goal and helps achieve it"/>
    <x v="3"/>
    <x v="3"/>
  </r>
  <r>
    <d v="2023-04-28T17:57:19"/>
    <s v="India"/>
    <n v="763002"/>
    <x v="1"/>
    <s v="My Parents"/>
    <s v="Yes, I will earn and do that"/>
    <s v="Will work for 3 years or more"/>
    <s v="No"/>
    <s v="Will NOT work for them"/>
    <n v="7"/>
    <s v="Fully Remote with No option to visit offices"/>
    <s v="Employer who appreciates learning and enables that environment"/>
    <x v="150"/>
    <s v="Manager who sets targets and expects me to achieve it"/>
    <x v="1"/>
    <x v="3"/>
  </r>
  <r>
    <d v="2023-04-28T17:59:14"/>
    <s v="India"/>
    <n v="500072"/>
    <x v="1"/>
    <s v="My Parents"/>
    <s v="No I would not be pursuing Higher Education outside of India"/>
    <s v="Will work for 3 years or more"/>
    <s v="No"/>
    <s v="Will NOT work for them"/>
    <n v="1"/>
    <s v="Fully Remote with No option to visit offices"/>
    <s v="Employer who appreciates learning and enables that environment"/>
    <x v="359"/>
    <s v="Manager who clearly describes what she/he needs"/>
    <x v="1"/>
    <x v="0"/>
  </r>
  <r>
    <d v="2023-04-28T17:59:18"/>
    <s v="India"/>
    <n v="505208"/>
    <x v="1"/>
    <s v="My Parents"/>
    <s v="Yes, I will earn and do that"/>
    <s v="This will be hard to do, but if it is the right company I would try"/>
    <s v="No"/>
    <s v="Will NOT work for them"/>
    <n v="1"/>
    <s v="Fully Remote with Options to travel as and when needed"/>
    <s v="Employer who appreciates learning and enables that environment"/>
    <x v="416"/>
    <s v="Manager who sets targets and expects me to achieve it"/>
    <x v="3"/>
    <x v="3"/>
  </r>
  <r>
    <d v="2023-04-28T17:59:35"/>
    <s v="India"/>
    <n v="560068"/>
    <x v="1"/>
    <s v="People from my circle, but not family members"/>
    <s v="Yes, I will earn and do that"/>
    <s v="Will work for 3 years or more"/>
    <s v="No"/>
    <s v="Will NOT work for them"/>
    <n v="8"/>
    <s v="Hybrid Working Environment with more than 15 days a month at office"/>
    <s v="Employer who pushes your limits by enabling an learning environment, and rewards you at the end"/>
    <x v="109"/>
    <s v="Manager who explains what is expected, sets a goal and helps achieve it"/>
    <x v="1"/>
    <x v="3"/>
  </r>
  <r>
    <d v="2023-04-28T17:59:35"/>
    <s v="India"/>
    <n v="600054"/>
    <x v="1"/>
    <s v="Influencers who had successful careers"/>
    <s v="No, But if someone could bare the cost I will"/>
    <s v="This will be hard to do, but if it is the right company I would try"/>
    <s v="No"/>
    <s v="Will work for them"/>
    <n v="6"/>
    <s v="Hybrid Working Environment with more than 15 days a month at office"/>
    <s v="Employer who pushes your limits by enabling an learning environment, and rewards you at the end"/>
    <x v="493"/>
    <s v="Manager who explains what is expected, sets a goal and helps achieve it"/>
    <x v="2"/>
    <x v="3"/>
  </r>
  <r>
    <d v="2023-04-28T18:00:53"/>
    <s v="India"/>
    <n v="560107"/>
    <x v="0"/>
    <s v="People from my circle, but not family members"/>
    <s v="No, But if someone could bare the cost I will"/>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494"/>
    <s v="Manager who sets goal and helps me achieve it"/>
    <x v="1"/>
    <x v="0"/>
  </r>
  <r>
    <d v="2023-04-28T18:01:52"/>
    <s v="India"/>
    <n v="600119"/>
    <x v="0"/>
    <s v="People who have changed the world for better"/>
    <s v="Yes, I will earn and do that"/>
    <s v="Will work for 3 years or more"/>
    <s v="No"/>
    <s v="Will NOT work for them"/>
    <n v="10"/>
    <s v="Every Day Office Environment"/>
    <s v="Employer who appreciates learning and enables that environment"/>
    <x v="132"/>
    <s v="Manager who explains what is expected, sets a goal and helps achieve it"/>
    <x v="14"/>
    <x v="3"/>
  </r>
  <r>
    <d v="2023-04-28T18:09:45"/>
    <s v="India"/>
    <n v="700082"/>
    <x v="0"/>
    <s v="People from my circle, but not family members"/>
    <s v="No, But if someone could bare the cost I will"/>
    <s v="Will work for 3 years or more"/>
    <s v="No"/>
    <s v="Will NOT work for them"/>
    <n v="6"/>
    <s v="Hybrid Working Environment with more than 15 days a month at office"/>
    <s v="Employer who pushes your limits by enabling an learning environment, and rewards you at the end"/>
    <x v="181"/>
    <s v="Manager who sets goal and helps me achieve it"/>
    <x v="1"/>
    <x v="3"/>
  </r>
  <r>
    <d v="2023-04-28T18:32:23"/>
    <s v="India"/>
    <n v="530004"/>
    <x v="1"/>
    <s v="My Parents"/>
    <s v="No, But if someone could bare the cost I will"/>
    <s v="This will be hard to do, but if it is the right company I would try"/>
    <s v="Yes"/>
    <s v="Will work for them"/>
    <n v="1"/>
    <s v="Hybrid Working Environment with less than 3 days a month at office"/>
    <s v="Employer who pushes your limits by enabling an learning environment, and rewards you at the end"/>
    <x v="436"/>
    <s v="Manager who sets goal and helps me achieve it"/>
    <x v="6"/>
    <x v="3"/>
  </r>
  <r>
    <d v="2023-04-28T18:33:39"/>
    <s v="India"/>
    <n v="190015"/>
    <x v="1"/>
    <s v="My Parents"/>
    <s v="Yes, I will earn and do that"/>
    <s v="No way"/>
    <s v="No"/>
    <s v="Will NOT work for them"/>
    <n v="6"/>
    <s v="Hybrid Working Environment with less than 3 days a month at office"/>
    <s v="Employer who rewards learning and enables that environment"/>
    <x v="338"/>
    <s v="Manager who sets goal and helps me achieve it"/>
    <x v="7"/>
    <x v="3"/>
  </r>
  <r>
    <d v="2023-04-28T18:43:49"/>
    <s v="India"/>
    <n v="110062"/>
    <x v="0"/>
    <s v="People who have changed the world for better"/>
    <s v="Yes, I will earn and do that"/>
    <s v="This will be hard to do, but if it is the right company I would try"/>
    <s v="Yes"/>
    <s v="Will work for them"/>
    <n v="10"/>
    <s v="Hybrid Working Environment with more than 15 days a month at office"/>
    <s v="Employer who pushes your limits by enabling an learning environment, and rewards you at the end"/>
    <x v="495"/>
    <s v="Manager who clearly describes what she/he needs"/>
    <x v="8"/>
    <x v="3"/>
  </r>
  <r>
    <d v="2023-04-28T18:53:20"/>
    <s v="India"/>
    <n v="804453"/>
    <x v="0"/>
    <s v="People who have changed the world for better"/>
    <s v="Yes, I will earn and do that"/>
    <s v="Will work for 3 years or more"/>
    <s v="Yes"/>
    <s v="Will work for them"/>
    <n v="6"/>
    <s v="Fully Remote with Options to travel as and when needed"/>
    <s v="Employer who appreciates learning and enables that environment"/>
    <x v="496"/>
    <s v="Manager who clearly describes what she/he needs"/>
    <x v="3"/>
    <x v="0"/>
  </r>
  <r>
    <d v="2023-04-28T18:53:38"/>
    <s v="India"/>
    <n v="560107"/>
    <x v="0"/>
    <s v="My Parents"/>
    <s v="Yes, I will earn and do that"/>
    <s v="Will work for 3 years or more"/>
    <s v="Yes"/>
    <s v="Will work for them"/>
    <n v="1"/>
    <s v="Every Day Office Environment"/>
    <s v="Employer who appreciates learning and enables that environment"/>
    <x v="497"/>
    <s v="Manager who clearly describes what she/he needs"/>
    <x v="13"/>
    <x v="3"/>
  </r>
  <r>
    <d v="2023-04-28T18:54:02"/>
    <s v="India"/>
    <n v="560022"/>
    <x v="0"/>
    <s v="People who have changed the world for better"/>
    <s v="Yes, I will earn and do that"/>
    <s v="This will be hard to do, but if it is the right company I would try"/>
    <s v="No"/>
    <s v="Will work for them"/>
    <n v="3"/>
    <s v="Hybrid Working Environment with less than 3 days a month at office"/>
    <s v="Employer who pushes your limits by enabling an learning environment, and rewards you at the end"/>
    <x v="109"/>
    <s v="Manager who explains what is expected, sets a goal and helps achieve it"/>
    <x v="10"/>
    <x v="3"/>
  </r>
  <r>
    <d v="2023-04-28T18:56:47"/>
    <s v="India"/>
    <n v="500020"/>
    <x v="0"/>
    <s v="People who have changed the world for better"/>
    <s v="Yes, I will earn and do that"/>
    <s v="This will be hard to do, but if it is the right company I would try"/>
    <s v="Yes"/>
    <s v="Will NOT work for them"/>
    <n v="8"/>
    <s v="Fully Remote with Options to travel as and when needed"/>
    <s v="Employer who pushes your limits by enabling an learning environment, and rewards you at the end"/>
    <x v="96"/>
    <s v="Manager who sets goal and helps me achieve it"/>
    <x v="6"/>
    <x v="3"/>
  </r>
  <r>
    <d v="2023-04-28T19:00:45"/>
    <s v="India"/>
    <n v="192202"/>
    <x v="1"/>
    <s v="People who have changed the world for better"/>
    <s v="No I would not be pursuing Higher Education outside of India"/>
    <s v="This will be hard to do, but if it is the right company I would try"/>
    <s v="No"/>
    <s v="Will NOT work for them"/>
    <n v="3"/>
    <s v="Hybrid Working Environment with more than 15 days a month at office"/>
    <s v="Employer who appreciates learning and enables that environment"/>
    <x v="498"/>
    <s v="Manager who sets goal and helps me achieve it"/>
    <x v="3"/>
    <x v="3"/>
  </r>
  <r>
    <d v="2023-04-28T19:07:46"/>
    <s v="India"/>
    <n v="759001"/>
    <x v="1"/>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211"/>
    <s v="Manager who explains what is expected, sets a goal and helps achieve it"/>
    <x v="1"/>
    <x v="3"/>
  </r>
  <r>
    <d v="2023-04-28T19:10:47"/>
    <s v="India"/>
    <n v="847211"/>
    <x v="0"/>
    <s v="My Parents"/>
    <s v="No I would not be pursuing Higher Education outside of India"/>
    <s v="This will be hard to do, but if it is the right company I would try"/>
    <s v="No"/>
    <s v="Will work for them"/>
    <n v="3"/>
    <s v="Fully Remote with Options to travel as and when needed"/>
    <s v="Employer who appreciates learning and enables that environment"/>
    <x v="100"/>
    <s v="Manager who clearly describes what she/he needs"/>
    <x v="1"/>
    <x v="3"/>
  </r>
  <r>
    <d v="2023-04-28T19:11:54"/>
    <s v="India"/>
    <n v="440024"/>
    <x v="0"/>
    <s v="People who have changed the world for better"/>
    <s v="No I would not be pursuing Higher Education outside of India"/>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91"/>
    <s v="Manager who explains what is expected, sets a goal and helps achieve it"/>
    <x v="1"/>
    <x v="3"/>
  </r>
  <r>
    <d v="2023-04-28T19:14:11"/>
    <s v="India"/>
    <n v="581336"/>
    <x v="1"/>
    <s v="My Parents"/>
    <s v="No I would not be pursuing Higher Education outside of India"/>
    <s v="Will work for 3 years or more"/>
    <s v="No"/>
    <s v="Will NOT work for them"/>
    <n v="10"/>
    <s v="Fully Remote with No option to visit offices"/>
    <s v="Employer who rewards learning and enables that environment"/>
    <x v="397"/>
    <s v="Manager who clearly describes what she/he needs"/>
    <x v="2"/>
    <x v="3"/>
  </r>
  <r>
    <d v="2023-04-28T19:18:53"/>
    <s v="India"/>
    <n v="500089"/>
    <x v="1"/>
    <s v="My Parents"/>
    <s v="No I would not be pursuing Higher Education outside of India"/>
    <s v="This will be hard to do, but if it is the right company I would try"/>
    <s v="No"/>
    <s v="Will NOT work for them"/>
    <n v="1"/>
    <s v="Fully Remote with Options to travel as and when needed"/>
    <s v="Employer who pushes your limits by enabling an learning environment, and rewards you at the end"/>
    <x v="181"/>
    <s v="Manager who sets goal and helps me achieve it"/>
    <x v="1"/>
    <x v="3"/>
  </r>
  <r>
    <d v="2023-04-28T19:33:05"/>
    <s v="India"/>
    <n v="560107"/>
    <x v="0"/>
    <s v="People from my circle, but not family members"/>
    <s v="No I would not be pursuing Higher Education outside of India"/>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382"/>
    <s v="Manager who explains what is expected, sets a goal and helps achieve it"/>
    <x v="16"/>
    <x v="0"/>
  </r>
  <r>
    <d v="2023-04-28T19:34:20"/>
    <s v="India"/>
    <n v="144021"/>
    <x v="0"/>
    <s v="My Parents"/>
    <s v="Yes, I will earn and do that"/>
    <s v="This will be hard to do, but if it is the right company I would try"/>
    <s v="Yes"/>
    <s v="Will work for them"/>
    <n v="6"/>
    <s v="Hybrid Working Environment with more than 15 days a month at office"/>
    <s v="Employer who pushes your limits by enabling an learning environment, and rewards you at the end"/>
    <x v="499"/>
    <s v="Manager who explains what is expected, sets a goal and helps achieve it"/>
    <x v="4"/>
    <x v="2"/>
  </r>
  <r>
    <d v="2023-04-28T19:34:42"/>
    <s v="India"/>
    <n v="690514"/>
    <x v="0"/>
    <s v="People who have changed the world for better"/>
    <s v="Yes, I will earn and do that"/>
    <s v="This will be hard to do, but if it is the right company I would try"/>
    <s v="No"/>
    <s v="Will NOT work for them"/>
    <n v="1"/>
    <s v="Every Day Office Environment"/>
    <s v="Employer who appreciates learning and enables that environment"/>
    <x v="431"/>
    <s v="Manager who sets goal and helps me achieve it"/>
    <x v="7"/>
    <x v="0"/>
  </r>
  <r>
    <d v="2023-04-28T19:36:08"/>
    <s v="India"/>
    <n v="110009"/>
    <x v="0"/>
    <s v="My Parents"/>
    <s v="No I would not be pursuing Higher Education outside of India"/>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500"/>
    <s v="Manager who sets goal and helps me achieve it"/>
    <x v="6"/>
    <x v="3"/>
  </r>
  <r>
    <d v="2023-04-28T19:37:57"/>
    <s v="India"/>
    <n v="603001"/>
    <x v="0"/>
    <s v="Influencers who had successful careers"/>
    <s v="No, But if someone could bare the cost I will"/>
    <s v="Will work for 3 years or more"/>
    <s v="No"/>
    <s v="Will NOT work for them"/>
    <n v="2"/>
    <s v="Fully Remote with Options to travel as and when needed"/>
    <s v="Employer who appreciates learning and enables that environment"/>
    <x v="501"/>
    <s v="Manager who clearly describes what she/he needs"/>
    <x v="4"/>
    <x v="3"/>
  </r>
  <r>
    <d v="2023-04-28T19:42:00"/>
    <s v="India"/>
    <n v="530016"/>
    <x v="1"/>
    <s v="My Parents"/>
    <s v="Yes, I will earn and do that"/>
    <s v="Will work for 3 years or more"/>
    <s v="No"/>
    <s v="Will NOT work for them"/>
    <n v="6"/>
    <s v="Every Day Office Environment"/>
    <s v="Employer who appreciates learning and enables that environment"/>
    <x v="301"/>
    <s v="Manager who explains what is expected, sets a goal and helps achieve it"/>
    <x v="7"/>
    <x v="3"/>
  </r>
  <r>
    <d v="2023-04-28T19:44:29"/>
    <s v="India"/>
    <n v="603001"/>
    <x v="1"/>
    <s v="People from my circle, but not family members"/>
    <s v="No I would not be pursuing Higher Education outside of India"/>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141"/>
    <s v="Manager who explains what is expected, sets a goal and helps achieve it"/>
    <x v="1"/>
    <x v="3"/>
  </r>
  <r>
    <d v="2023-04-28T19:46:23"/>
    <s v="India"/>
    <n v="753001"/>
    <x v="1"/>
    <s v="My Parents"/>
    <s v="No, But if someone could bare the cost I will"/>
    <s v="Will work for 3 years or more"/>
    <s v="Yes"/>
    <s v="Will work for them"/>
    <n v="3"/>
    <s v="Every Day Office Environment"/>
    <s v="Employer who pushes your limits by enabling an learning environment, and rewards you at the end"/>
    <x v="502"/>
    <s v="Manager who explains what is expected, sets a goal and helps achieve it"/>
    <x v="1"/>
    <x v="0"/>
  </r>
  <r>
    <d v="2023-04-28T19:50:32"/>
    <s v="India"/>
    <n v="600073"/>
    <x v="1"/>
    <s v="Influencers who had successful careers"/>
    <s v="No, But if someone could bare the cost I will"/>
    <s v="This will be hard to do, but if it is the right company I would try"/>
    <s v="No"/>
    <s v="Will NOT work for them"/>
    <n v="5"/>
    <s v="Hybrid Working Environment with less than 3 days a month at office"/>
    <s v="Employer who pushes your limits by enabling an learning environment, and rewards you at the end"/>
    <x v="308"/>
    <s v="Manager who explains what is expected, sets a goal and helps achieve it"/>
    <x v="7"/>
    <x v="0"/>
  </r>
  <r>
    <d v="2023-04-28T19:51:00"/>
    <s v="India"/>
    <n v="500010"/>
    <x v="0"/>
    <s v="My Parents"/>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79"/>
    <s v="Manager who explains what is expected, sets a goal and helps achieve it"/>
    <x v="1"/>
    <x v="3"/>
  </r>
  <r>
    <d v="2023-04-28T19:56:45"/>
    <s v="India"/>
    <n v="530072"/>
    <x v="1"/>
    <s v="People from my circle, but not family members"/>
    <s v="No I would not be pursuing Higher Education outside of India"/>
    <s v="This will be hard to do, but if it is the right company I would try"/>
    <s v="No"/>
    <s v="Will work for them"/>
    <n v="6"/>
    <s v="Hybrid Working Environment with less than 3 days a month at office"/>
    <s v="Employer who rewards learning and enables that environment"/>
    <x v="255"/>
    <s v="Manager who explains what is expected, sets a goal and helps achieve it"/>
    <x v="3"/>
    <x v="3"/>
  </r>
  <r>
    <d v="2023-04-28T20:00:29"/>
    <s v="India"/>
    <n v="530001"/>
    <x v="1"/>
    <s v="My Parents"/>
    <s v="No I would not be pursuing Higher Education outside of India"/>
    <s v="Will work for 3 years or more"/>
    <s v="No"/>
    <s v="Will NOT work for them"/>
    <n v="5"/>
    <s v="Fully Remote with Options to travel as and when needed"/>
    <s v="Employer who appreciates learning and enables that environment"/>
    <x v="155"/>
    <s v="Manager who explains what is expected, sets a goal and helps achieve it"/>
    <x v="7"/>
    <x v="3"/>
  </r>
  <r>
    <d v="2023-04-28T20:01:02"/>
    <s v="India"/>
    <n v="502032"/>
    <x v="1"/>
    <s v="People who have changed the world for better"/>
    <s v="No, But if someone could bare the cost I will"/>
    <s v="Will work for 3 years or more"/>
    <s v="No"/>
    <s v="Will NOT work for them"/>
    <n v="3"/>
    <s v="Every Day Office Environment"/>
    <s v="Employer who appreciates learning and enables that environment"/>
    <x v="485"/>
    <s v="Manager who clearly describes what she/he needs"/>
    <x v="1"/>
    <x v="3"/>
  </r>
  <r>
    <d v="2023-04-28T20:01:46"/>
    <s v="India"/>
    <n v="533201"/>
    <x v="0"/>
    <s v="My Parents"/>
    <s v="No, But if someone could bare the cost I will"/>
    <s v="This will be hard to do, but if it is the right company I would try"/>
    <s v="No"/>
    <s v="Will NOT work for them"/>
    <n v="5"/>
    <s v="Fully Remote with Options to travel as and when needed"/>
    <s v="Employer who appreciates learning and enables that environment"/>
    <x v="227"/>
    <s v="Manager who explains what is expected, sets a goal and helps achieve it"/>
    <x v="11"/>
    <x v="3"/>
  </r>
  <r>
    <d v="2023-04-28T20:05:15"/>
    <s v="India"/>
    <n v="607803"/>
    <x v="1"/>
    <s v="People who have changed the world for better"/>
    <s v="Yes, I will earn and do that"/>
    <s v="This will be hard to do, but if it is the right company I would try"/>
    <s v="No"/>
    <s v="Will NOT work for them"/>
    <n v="5"/>
    <s v="Hybrid Working Environment with more than 15 days a month at office"/>
    <s v="Employer who appreciates learning and enables that environment"/>
    <x v="285"/>
    <s v="Manager who sets goal and helps me achieve it"/>
    <x v="4"/>
    <x v="3"/>
  </r>
  <r>
    <d v="2023-04-28T20:16:14"/>
    <s v="India"/>
    <n v="560094"/>
    <x v="1"/>
    <s v="People who have changed the world for better"/>
    <s v="Yes, I will earn and do that"/>
    <s v="This will be hard to do, but if it is the right company I would try"/>
    <s v="No"/>
    <s v="Will NOT work for them"/>
    <n v="2"/>
    <s v="Fully Remote with Options to travel as and when needed"/>
    <s v="Employer who appreciates learning and enables that environment"/>
    <x v="141"/>
    <s v="Manager who clearly describes what she/he needs"/>
    <x v="1"/>
    <x v="3"/>
  </r>
  <r>
    <d v="2023-04-28T20:18:02"/>
    <s v="India"/>
    <n v="509334"/>
    <x v="1"/>
    <s v="People who have changed the world for better"/>
    <s v="Yes, I will earn and do that"/>
    <s v="This will be hard to do, but if it is the right company I would try"/>
    <s v="No"/>
    <s v="Will NOT work for them"/>
    <n v="1"/>
    <s v="Fully Remote with Options to travel as and when needed"/>
    <s v="Employer who pushes your limits by enabling an learning environment, and rewards you at the end"/>
    <x v="200"/>
    <s v="Manager who explains what is expected, sets a goal and helps achieve it"/>
    <x v="1"/>
    <x v="0"/>
  </r>
  <r>
    <d v="2023-04-28T20:21:09"/>
    <s v="India"/>
    <n v="531034"/>
    <x v="0"/>
    <s v="People from my circle, but not family members"/>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229"/>
    <s v="Manager who explains what is expected, sets a goal and helps achieve it"/>
    <x v="5"/>
    <x v="3"/>
  </r>
  <r>
    <d v="2023-04-28T20:21:38"/>
    <s v="India"/>
    <n v="500085"/>
    <x v="1"/>
    <s v="My Parents"/>
    <s v="No I would not be pursuing Higher Education outside of India"/>
    <s v="This will be hard to do, but if it is the right company I would try"/>
    <s v="No"/>
    <s v="Will NOT work for them"/>
    <n v="5"/>
    <s v="Fully Remote with Options to travel as and when needed"/>
    <s v="Employer who pushes your limits by enabling an learning environment, and rewards you at the end"/>
    <x v="503"/>
    <s v="Manager who explains what is expected, sets a goal and helps achieve it"/>
    <x v="3"/>
    <x v="0"/>
  </r>
  <r>
    <d v="2023-04-28T20:25:40"/>
    <s v="India"/>
    <n v="760001"/>
    <x v="1"/>
    <s v="My Parents"/>
    <s v="No I would not be pursuing Higher Education outside of India"/>
    <s v="This will be hard to do, but if it is the right company I would try"/>
    <s v="No"/>
    <s v="Will NOT work for them"/>
    <n v="1"/>
    <s v="Every Day Office Environment"/>
    <s v="Employer who appreciates learning and enables that environment"/>
    <x v="504"/>
    <s v="Manager who explains what is expected, sets a goal and helps achieve it"/>
    <x v="1"/>
    <x v="3"/>
  </r>
  <r>
    <d v="2023-04-28T20:30:01"/>
    <s v="India"/>
    <n v="410210"/>
    <x v="0"/>
    <s v="People who have changed the world for better"/>
    <s v="No, But if someone could bare the cost I will"/>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21"/>
    <s v="Manager who explains what is expected, sets a goal and helps achieve it"/>
    <x v="2"/>
    <x v="3"/>
  </r>
  <r>
    <d v="2023-04-28T20:33:40"/>
    <s v="India"/>
    <n v="641035"/>
    <x v="0"/>
    <s v="People from my circle, but not family members"/>
    <s v="Yes, I will earn and do that"/>
    <s v="Will work for 3 years or more"/>
    <s v="No"/>
    <s v="Will NOT work for them"/>
    <n v="8"/>
    <s v="Hybrid Working Environment with more than 15 days a month at office"/>
    <s v="Employer who appreciates learning and enables that environment"/>
    <x v="505"/>
    <s v="Manager who explains what is expected, sets a goal and helps achieve it"/>
    <x v="1"/>
    <x v="3"/>
  </r>
  <r>
    <d v="2023-04-28T20:42:52"/>
    <s v="India"/>
    <n v="560073"/>
    <x v="0"/>
    <s v="People who have changed the world for better"/>
    <s v="No, But if someone could bare the cost I will"/>
    <s v="This will be hard to do, but if it is the right company I would try"/>
    <s v="Yes"/>
    <s v="Will work for them"/>
    <n v="4"/>
    <s v="Fully Remote with Options to travel as and when needed"/>
    <s v="Employer who pushes your limits by enabling an learning environment, and rewards you at the end"/>
    <x v="486"/>
    <s v="Manager who explains what is expected, sets a goal and helps achieve it"/>
    <x v="3"/>
    <x v="0"/>
  </r>
  <r>
    <d v="2023-04-28T20:47:30"/>
    <s v="India"/>
    <n v="503110"/>
    <x v="1"/>
    <s v="People from my circle, but not family members"/>
    <s v="No I would not be pursuing Higher Education outside of India"/>
    <s v="This will be hard to do, but if it is the right company I would try"/>
    <s v="No"/>
    <s v="Will NOT work for them"/>
    <n v="9"/>
    <s v="Fully Remote with Options to travel as and when needed"/>
    <s v="Employer who pushes your limits by enabling an learning environment, and rewards you at the end"/>
    <x v="122"/>
    <s v="Manager who explains what is expected, sets a goal and helps achieve it"/>
    <x v="3"/>
    <x v="3"/>
  </r>
  <r>
    <d v="2023-04-28T20:47:48"/>
    <s v="India"/>
    <n v="400601"/>
    <x v="1"/>
    <s v="Social Media like LinkedIn"/>
    <s v="Yes, I will earn and do that"/>
    <s v="Will work for 3 years or more"/>
    <s v="Yes"/>
    <s v="Will work for them"/>
    <n v="7"/>
    <s v="Every Day Office Environment"/>
    <s v="Employer who pushes your limits by enabling an learning environment, and rewards you at the end"/>
    <x v="284"/>
    <s v="Manager who explains what is expected, sets a goal and helps achieve it"/>
    <x v="4"/>
    <x v="0"/>
  </r>
  <r>
    <d v="2023-04-28T20:51:24"/>
    <s v="India"/>
    <n v="192301"/>
    <x v="1"/>
    <s v="People from my circle, but not family members"/>
    <s v="Yes, I will earn and do that"/>
    <s v="Will work for 3 years or more"/>
    <s v="No"/>
    <s v="Will NOT work for them"/>
    <n v="2"/>
    <s v="Every Day Office Environment"/>
    <s v="Employer who appreciates learning and enables that environment"/>
    <x v="506"/>
    <s v="Manager who clearly describes what she/he needs"/>
    <x v="7"/>
    <x v="3"/>
  </r>
  <r>
    <d v="2023-04-28T20:54:40"/>
    <s v="India"/>
    <n v="560003"/>
    <x v="1"/>
    <s v="My Parents"/>
    <s v="No, But if someone could bare the cost I will"/>
    <s v="No way"/>
    <s v="No"/>
    <s v="Will NOT work for them"/>
    <n v="1"/>
    <s v="Hybrid Working Environment with more than 15 days a month at office"/>
    <s v="Employer who pushes your limits by enabling an learning environment, and rewards you at the end"/>
    <x v="109"/>
    <s v="Manager who explains what is expected, sets a goal and helps achieve it"/>
    <x v="3"/>
    <x v="3"/>
  </r>
  <r>
    <d v="2023-04-28T20:55:42"/>
    <s v="India"/>
    <n v="500028"/>
    <x v="0"/>
    <s v="Social Media like LinkedIn"/>
    <s v="No, But if someone could bare the cost I will"/>
    <s v="This will be hard to do, but if it is the right company I would try"/>
    <s v="No"/>
    <s v="Will NOT work for them"/>
    <n v="6"/>
    <s v="Fully Remote with No option to visit offices"/>
    <s v="Employer who pushes your limits by enabling an learning environment, and rewards you at the end"/>
    <x v="156"/>
    <s v="Manager who explains what is expected, sets a goal and helps achieve it"/>
    <x v="4"/>
    <x v="3"/>
  </r>
  <r>
    <d v="2023-04-28T20:55:52"/>
    <s v="India"/>
    <n v="424001"/>
    <x v="0"/>
    <s v="Influencers who had successful careers"/>
    <s v="Yes, I will earn and do that"/>
    <s v="Will work for 3 years or more"/>
    <s v="No"/>
    <s v="Will NOT work for them"/>
    <n v="8"/>
    <s v="Hybrid Working Environment with less than 3 days a month at office"/>
    <s v="Employer who pushes your limits by enabling an learning environment, and rewards you at the end"/>
    <x v="111"/>
    <s v="Manager who explains what is expected, sets a goal and helps achieve it"/>
    <x v="1"/>
    <x v="3"/>
  </r>
  <r>
    <d v="2023-04-28T20:59:06"/>
    <s v="India"/>
    <n v="500077"/>
    <x v="0"/>
    <s v="My Parents"/>
    <s v="Yes, I will earn and do that"/>
    <s v="Will work for 3 years or more"/>
    <s v="No"/>
    <s v="Will NOT work for them"/>
    <n v="4"/>
    <s v="Hybrid Working Environment with more than 15 days a month at office"/>
    <s v="Employer who pushes your limits by enabling an learning environment, and rewards you at the end"/>
    <x v="507"/>
    <s v="Manager who sets targets and expects me to achieve it"/>
    <x v="4"/>
    <x v="0"/>
  </r>
  <r>
    <d v="2023-04-28T20:59:41"/>
    <s v="India"/>
    <n v="600041"/>
    <x v="1"/>
    <s v="People who have changed the world for better"/>
    <s v="No I would not be pursuing Higher Education outside of India"/>
    <s v="Will work for 3 years or more"/>
    <s v="No"/>
    <s v="Will NOT work for them"/>
    <n v="1"/>
    <s v="Hybrid Working Environment with more than 15 days a month at office"/>
    <s v="Employer who appreciates learning and enables that environment"/>
    <x v="139"/>
    <s v="Manager who explains what is expected, sets a goal and helps achieve it"/>
    <x v="14"/>
    <x v="3"/>
  </r>
  <r>
    <d v="2023-04-28T21:00:32"/>
    <s v="India"/>
    <n v="560090"/>
    <x v="0"/>
    <s v="People who have changed the world for better"/>
    <s v="Yes, I will earn and do that"/>
    <s v="This will be hard to do, but if it is the right company I would try"/>
    <s v="No"/>
    <s v="Will NOT work for them"/>
    <n v="1"/>
    <s v="Every Day Office Environment"/>
    <s v="Employer who pushes your limits by enabling an learning environment, and rewards you at the end"/>
    <x v="100"/>
    <s v="Manager who sets targets and expects me to achieve it"/>
    <x v="7"/>
    <x v="3"/>
  </r>
  <r>
    <d v="2023-04-28T21:03:29"/>
    <s v="India"/>
    <n v="500028"/>
    <x v="0"/>
    <s v="People who have changed the world for better"/>
    <s v="No, But if someone could bare the cost I will"/>
    <s v="This will be hard to do, but if it is the right company I would try"/>
    <s v="No"/>
    <s v="Will NOT work for them"/>
    <n v="5"/>
    <s v="Fully Remote with No option to visit offices"/>
    <s v="Employer who pushes your limits by enabling an learning environment, and rewards you at the end"/>
    <x v="161"/>
    <s v="Manager who explains what is expected, sets a goal and helps achieve it"/>
    <x v="4"/>
    <x v="3"/>
  </r>
  <r>
    <d v="2023-04-28T21:07:34"/>
    <s v="India"/>
    <n v="492001"/>
    <x v="0"/>
    <s v="People from my circle, but not family members"/>
    <s v="No I would not be pursuing Higher Education outside of India"/>
    <s v="Will work for 3 years or more"/>
    <s v="No"/>
    <s v="Will work for them"/>
    <n v="5"/>
    <s v="Hybrid Working Environment with more than 15 days a month at office"/>
    <s v="Employer who appreciates learning and enables that environment"/>
    <x v="508"/>
    <s v="Manager who clearly describes what she/he needs"/>
    <x v="3"/>
    <x v="3"/>
  </r>
  <r>
    <d v="2023-04-28T21:10:54"/>
    <s v="India"/>
    <n v="191101"/>
    <x v="1"/>
    <s v="My Parents"/>
    <s v="No, But if someone could bare the cost I will"/>
    <s v="This will be hard to do, but if it is the right company I would try"/>
    <s v="Yes"/>
    <s v="Will NOT work for them"/>
    <n v="10"/>
    <s v="Fully Remote with Options to travel as and when needed"/>
    <s v="Employer who pushes your limits by enabling an learning environment, and rewards you at the end"/>
    <x v="307"/>
    <s v="Manager who sets goal and helps me achieve it"/>
    <x v="7"/>
    <x v="0"/>
  </r>
  <r>
    <d v="2023-04-28T21:17:32"/>
    <s v="India"/>
    <n v="500028"/>
    <x v="0"/>
    <s v="People who have changed the world for better"/>
    <s v="Yes, I will earn and do that"/>
    <s v="This will be hard to do, but if it is the right company I would try"/>
    <s v="No"/>
    <s v="Will work for them"/>
    <n v="10"/>
    <s v="Fully Remote with Options to travel as and when needed"/>
    <s v="Employer who pushes your limits by enabling an learning environment, and rewards you at the end"/>
    <x v="371"/>
    <s v="Manager who sets goal and helps me achieve it"/>
    <x v="7"/>
    <x v="3"/>
  </r>
  <r>
    <d v="2023-04-28T21:19:48"/>
    <s v="India"/>
    <n v="563125"/>
    <x v="1"/>
    <s v="My Parents"/>
    <s v="Yes, I will earn and do that"/>
    <s v="Will work for 3 years or more"/>
    <s v="Yes"/>
    <s v="Will work for them"/>
    <n v="5"/>
    <s v="Fully Remote with No option to visit offices"/>
    <s v="Employer who appreciates learning and enables that environment"/>
    <x v="167"/>
    <s v="Manager who sets goal and helps me achieve it"/>
    <x v="4"/>
    <x v="3"/>
  </r>
  <r>
    <d v="2023-04-28T21:20:41"/>
    <s v="India"/>
    <n v="110044"/>
    <x v="0"/>
    <s v="My Parents"/>
    <s v="Yes, I will earn and do that"/>
    <s v="Will work for 3 years or more"/>
    <s v="Yes"/>
    <s v="Will work for them"/>
    <n v="1"/>
    <s v="Every Day Office Environment"/>
    <s v="Employer who appreciates learning and enables that environment"/>
    <x v="509"/>
    <s v="Manager who clearly describes what she/he needs"/>
    <x v="5"/>
    <x v="2"/>
  </r>
  <r>
    <d v="2023-04-28T21:23:05"/>
    <s v="India"/>
    <n v="505209"/>
    <x v="0"/>
    <s v="Influencers who had successful careers"/>
    <s v="No I would not be pursuing Higher Education outside of India"/>
    <s v="No way"/>
    <s v="No"/>
    <s v="Will NOT work for them"/>
    <n v="1"/>
    <s v="Fully Remote with Options to travel as and when needed"/>
    <s v="Employer who appreciates learning and enables that environment"/>
    <x v="198"/>
    <s v="Manager who explains what is expected, sets a goal and helps achieve it"/>
    <x v="1"/>
    <x v="0"/>
  </r>
  <r>
    <d v="2023-04-28T21:24:52"/>
    <s v="India"/>
    <n v="505211"/>
    <x v="0"/>
    <s v="People who have changed the world for better"/>
    <s v="Yes, I will earn and do that"/>
    <s v="This will be hard to do, but if it is the right company I would try"/>
    <s v="Yes"/>
    <s v="Will work for them"/>
    <n v="1"/>
    <s v="Every Day Office Environment"/>
    <s v="Employer who appreciates learning and enables that environment"/>
    <x v="510"/>
    <s v="Manager who explains what is expected, sets a goal and helps achieve it"/>
    <x v="12"/>
    <x v="3"/>
  </r>
  <r>
    <d v="2023-04-28T21:28:05"/>
    <s v="India"/>
    <n v="713103"/>
    <x v="1"/>
    <s v="Social Media like LinkedIn"/>
    <s v="Yes, I will earn and do that"/>
    <s v="This will be hard to do, but if it is the right company I would try"/>
    <s v="Yes"/>
    <s v="Will work for them"/>
    <n v="6"/>
    <s v="Hybrid Working Environment with less than 3 days a month at office"/>
    <s v="Employer who pushes your limits by enabling an learning environment, and rewards you at the end"/>
    <x v="114"/>
    <s v="Manager who sets goal and helps me achieve it"/>
    <x v="3"/>
    <x v="3"/>
  </r>
  <r>
    <d v="2023-04-28T21:37:39"/>
    <s v="India"/>
    <n v="411014"/>
    <x v="0"/>
    <s v="People who have changed the world for better"/>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224"/>
    <s v="Manager who explains what is expected, sets a goal and helps achieve it"/>
    <x v="7"/>
    <x v="3"/>
  </r>
  <r>
    <d v="2023-04-28T21:40:53"/>
    <s v="India"/>
    <n v="68"/>
    <x v="0"/>
    <s v="People from my circle, but not family members"/>
    <s v="No I would not be pursuing Higher Education outside of India"/>
    <s v="This will be hard to do, but if it is the right company I would try"/>
    <s v="Yes"/>
    <s v="Will NOT work for them"/>
    <n v="6"/>
    <s v="Fully Remote with Options to travel as and when needed"/>
    <s v="Employer who pushes your limits by enabling an learning environment, and rewards you at the end"/>
    <x v="114"/>
    <s v="Manager who explains what is expected, sets a goal and helps achieve it"/>
    <x v="1"/>
    <x v="0"/>
  </r>
  <r>
    <d v="2023-04-28T21:43:10"/>
    <s v="India"/>
    <n v="411032"/>
    <x v="0"/>
    <s v="Influencers who had successful careers"/>
    <s v="Yes, I will earn and do that"/>
    <s v="This will be hard to do, but if it is the right company I would try"/>
    <s v="Yes"/>
    <s v="Will work for them"/>
    <n v="7"/>
    <s v="Hybrid Working Environment with more than 15 days a month at office"/>
    <s v="Employer who pushes your limits by enabling an learning environment, and rewards you at the end"/>
    <x v="442"/>
    <s v="Manager who explains what is expected, sets a goal and helps achieve it"/>
    <x v="7"/>
    <x v="0"/>
  </r>
  <r>
    <d v="2023-04-28T21:47:37"/>
    <s v="India"/>
    <n v="603209"/>
    <x v="0"/>
    <s v="People from my circle, but not family members"/>
    <s v="Yes, I will earn and do that"/>
    <s v="Will work for 3 years or more"/>
    <s v="No"/>
    <s v="Will NOT work for them"/>
    <n v="2"/>
    <s v="Hybrid Working Environment with more than 15 days a month at office"/>
    <s v="Employer who pushes your limits by enabling an learning environment, and rewards you at the end"/>
    <x v="109"/>
    <s v="Manager who explains what is expected, sets a goal and helps achieve it"/>
    <x v="9"/>
    <x v="3"/>
  </r>
  <r>
    <d v="2023-04-28T21:50:26"/>
    <s v="India"/>
    <n v="841221"/>
    <x v="1"/>
    <s v="People who have changed the world for better"/>
    <s v="Yes, I will earn and do that"/>
    <s v="Will work for 3 years or more"/>
    <s v="Yes"/>
    <s v="Will work for them"/>
    <n v="3"/>
    <s v="Every Day Office Environment"/>
    <s v="Employer who rewards learning and enables that environment"/>
    <x v="511"/>
    <s v="Manager who sets targets and expects me to achieve it"/>
    <x v="1"/>
    <x v="3"/>
  </r>
  <r>
    <d v="2023-04-28T21:52:14"/>
    <s v="India"/>
    <n v="803302"/>
    <x v="1"/>
    <s v="My Parents"/>
    <s v="No, But if someone could bare the cost I will"/>
    <s v="This will be hard to do, but if it is the right company I would try"/>
    <s v="No"/>
    <s v="Will work for them"/>
    <n v="4"/>
    <s v="Every Day Office Environment"/>
    <s v="Employer who appreciates learning and enables that environment"/>
    <x v="512"/>
    <s v="Manager who sets targets and expects me to achieve it"/>
    <x v="3"/>
    <x v="2"/>
  </r>
  <r>
    <d v="2023-04-28T21:55:52"/>
    <s v="India"/>
    <n v="201310"/>
    <x v="1"/>
    <s v="People from my circle, but not family members"/>
    <s v="No I would not be pursuing Higher Education outside of India"/>
    <s v="This will be hard to do, but if it is the right company I would try"/>
    <s v="Yes"/>
    <s v="Will NOT work for them"/>
    <n v="4"/>
    <s v="Every Day Office Environment"/>
    <s v="Employer who rewards learning and enables that environment"/>
    <x v="350"/>
    <s v="Manager who explains what is expected, sets a goal and helps achieve it"/>
    <x v="2"/>
    <x v="0"/>
  </r>
  <r>
    <d v="2023-04-28T21:56:36"/>
    <s v="India"/>
    <n v="201308"/>
    <x v="1"/>
    <s v="People from my circle, but not family members"/>
    <s v="No, But if someone could bare the cost I will"/>
    <s v="Will work for 3 years or more"/>
    <s v="No"/>
    <s v="Will NOT work for them"/>
    <n v="4"/>
    <s v="Fully Remote with No option to visit offices"/>
    <s v="Employer who appreciates learning and enables that environment"/>
    <x v="277"/>
    <s v="Manager who explains what is expected, sets a goal and helps achieve it"/>
    <x v="11"/>
    <x v="3"/>
  </r>
  <r>
    <d v="2023-04-28T21:58:09"/>
    <s v="India"/>
    <n v="803302"/>
    <x v="1"/>
    <s v="My Parents"/>
    <s v="No, But if someone could bare the cost I will"/>
    <s v="This will be hard to do, but if it is the right company I would try"/>
    <s v="No"/>
    <s v="Will NOT work for them"/>
    <n v="5"/>
    <s v="Fully Remote with No option to visit offices"/>
    <s v="Employer who pushes your limits by enabling an learning environment, and rewards you at the end"/>
    <x v="513"/>
    <s v="Manager who explains what is expected, sets a goal and helps achieve it"/>
    <x v="3"/>
    <x v="0"/>
  </r>
  <r>
    <d v="2023-04-28T21:58:33"/>
    <s v="India"/>
    <n v="600073"/>
    <x v="1"/>
    <s v="Influencers who had successful careers"/>
    <s v="No, But if someone could bare the cost I will"/>
    <s v="No way"/>
    <s v="No"/>
    <s v="Will NOT work for them"/>
    <n v="9"/>
    <s v="Hybrid Working Environment with more than 15 days a month at office"/>
    <s v="Employer who rewards learning and enables that environment"/>
    <x v="514"/>
    <s v="Manager who clearly describes what she/he needs"/>
    <x v="6"/>
    <x v="0"/>
  </r>
  <r>
    <d v="2023-04-28T21:59:52"/>
    <s v="India"/>
    <n v="803303"/>
    <x v="0"/>
    <s v="My Parents"/>
    <s v="No, But if someone could bare the cost I will"/>
    <s v="Will work for 3 years or more"/>
    <s v="No"/>
    <s v="Will NOT work for them"/>
    <n v="1"/>
    <s v="Fully Remote with Options to travel as and when needed"/>
    <s v="Employer who pushes your limits by enabling an learning environment, and rewards you at the end"/>
    <x v="515"/>
    <s v="Manager who explains what is expected, sets a goal and helps achieve it"/>
    <x v="4"/>
    <x v="0"/>
  </r>
  <r>
    <d v="2023-04-28T22:05:45"/>
    <s v="India"/>
    <n v="247667"/>
    <x v="1"/>
    <s v="People who have changed the world for better"/>
    <s v="No I would not be pursuing Higher Education outside of India"/>
    <s v="Will work for 3 years or more"/>
    <s v="No"/>
    <s v="Will work for them"/>
    <n v="5"/>
    <s v="Hybrid Working Environment with more than 15 days a month at office"/>
    <s v="Employer who pushes your limits by enabling an learning environment, and rewards you at the end"/>
    <x v="248"/>
    <s v="Manager who clearly describes what she/he needs"/>
    <x v="7"/>
    <x v="3"/>
  </r>
  <r>
    <d v="2023-04-28T22:06:40"/>
    <s v="India"/>
    <n v="201310"/>
    <x v="1"/>
    <s v="Social Media like LinkedIn"/>
    <s v="No, But if someone could bare the cost I will"/>
    <s v="This will be hard to do, but if it is the right company I would try"/>
    <s v="Yes"/>
    <s v="Will work for them"/>
    <n v="8"/>
    <s v="Hybrid Working Environment with more than 15 days a month at office"/>
    <s v="Employer who appreciates learning and enables that environment"/>
    <x v="516"/>
    <s v="Manager who sets unrealistic targets"/>
    <x v="6"/>
    <x v="3"/>
  </r>
  <r>
    <d v="2023-04-28T22:10:35"/>
    <s v="India"/>
    <n v="201310"/>
    <x v="1"/>
    <s v="People who have changed the world for better"/>
    <s v="Yes, I will earn and do that"/>
    <s v="This will be hard to do, but if it is the right company I would try"/>
    <s v="No"/>
    <s v="Will NOT work for them"/>
    <n v="4"/>
    <s v="Hybrid Working Environment with less than 3 days a month at office"/>
    <s v="Employer who pushes your limits by enabling an learning environment, and rewards you at the end"/>
    <x v="198"/>
    <s v="Manager who explains what is expected, sets a goal and helps achieve it"/>
    <x v="5"/>
    <x v="0"/>
  </r>
  <r>
    <d v="2023-04-28T22:11:48"/>
    <s v="India"/>
    <n v="440013"/>
    <x v="0"/>
    <s v="My Parents"/>
    <s v="No I would not be pursuing Higher Education outside of India"/>
    <s v="Will work for 3 years or more"/>
    <s v="No"/>
    <s v="Will NOT work for them"/>
    <n v="10"/>
    <s v="Every Day Office Environment"/>
    <s v="Employer who pushes your limits by enabling an learning environment, and rewards you at the end"/>
    <x v="117"/>
    <s v="Manager who explains what is expected, sets a goal and helps achieve it"/>
    <x v="11"/>
    <x v="3"/>
  </r>
  <r>
    <d v="2023-04-28T22:30:49"/>
    <s v="India"/>
    <n v="246174"/>
    <x v="0"/>
    <s v="Social Media like LinkedIn"/>
    <s v="Yes, I will earn and do that"/>
    <s v="Will work for 3 years or more"/>
    <s v="No"/>
    <s v="Will NOT work for them"/>
    <n v="5"/>
    <s v="Fully Remote with Options to travel as and when needed"/>
    <s v="Employer who appreciates learning and enables that environment"/>
    <x v="262"/>
    <s v="Manager who sets goal and helps me achieve it"/>
    <x v="1"/>
    <x v="0"/>
  </r>
  <r>
    <d v="2023-04-28T22:34:30"/>
    <s v="India"/>
    <n v="452010"/>
    <x v="0"/>
    <s v="Influencers who had successful careers"/>
    <s v="Yes, I will earn and do that"/>
    <s v="Will work for 3 years or more"/>
    <s v="No"/>
    <s v="Will work for them"/>
    <n v="5"/>
    <s v="Every Day Office Environment"/>
    <s v="Employer who pushes your limits by enabling an learning environment, and rewards you at the end"/>
    <x v="111"/>
    <s v="Manager who sets goal and helps me achieve it"/>
    <x v="25"/>
    <x v="3"/>
  </r>
  <r>
    <d v="2023-04-28T22:34:54"/>
    <s v="India"/>
    <n v="411007"/>
    <x v="0"/>
    <s v="My Parents"/>
    <s v="Yes, I will earn and do that"/>
    <s v="Will work for 3 years or more"/>
    <s v="No"/>
    <s v="Will NOT work for them"/>
    <n v="5"/>
    <s v="Hybrid Working Environment with more than 15 days a month at office"/>
    <s v="Employer who pushes your limits by enabling an learning environment, and rewards you at the end"/>
    <x v="301"/>
    <s v="Manager who sets goal and helps me achieve it"/>
    <x v="7"/>
    <x v="0"/>
  </r>
  <r>
    <d v="2023-04-28T22:36:57"/>
    <s v="India"/>
    <n v="606603"/>
    <x v="1"/>
    <s v="People who have changed the world for better"/>
    <s v="No I would not be pursuing Higher Education outside of India"/>
    <s v="This will be hard to do, but if it is the right company I would try"/>
    <s v="No"/>
    <s v="Will NOT work for them"/>
    <n v="6"/>
    <s v="Every Day Office Environment"/>
    <s v="Employer who pushes your limits by enabling an learning environment, and rewards you at the end"/>
    <x v="517"/>
    <s v="Manager who explains what is expected, sets a goal and helps achieve it"/>
    <x v="7"/>
    <x v="2"/>
  </r>
  <r>
    <d v="2023-04-28T22:39:00"/>
    <s v="India"/>
    <n v="500072"/>
    <x v="1"/>
    <s v="Influencers who had successful careers"/>
    <s v="No I would not be pursuing Higher Education outside of India"/>
    <s v="Will work for 3 years or more"/>
    <s v="No"/>
    <s v="Will NOT work for them"/>
    <n v="1"/>
    <s v="Fully Remote with Options to travel as and when needed"/>
    <s v="Employer who appreciates learning and enables that environment"/>
    <x v="179"/>
    <s v="Manager who explains what is expected, sets a goal and helps achieve it"/>
    <x v="7"/>
    <x v="3"/>
  </r>
  <r>
    <d v="2023-04-28T22:40:42"/>
    <s v="India"/>
    <n v="411044"/>
    <x v="1"/>
    <s v="My Parents"/>
    <s v="No, But if someone could bare the cost I will"/>
    <s v="Will work for 3 years or more"/>
    <s v="No"/>
    <s v="Will NOT work for them"/>
    <n v="2"/>
    <s v="Fully Remote with Options to travel as and when needed"/>
    <s v="Employer who appreciates learning and enables that environment"/>
    <x v="150"/>
    <s v="Manager who explains what is expected, sets a goal and helps achieve it"/>
    <x v="3"/>
    <x v="3"/>
  </r>
  <r>
    <d v="2023-04-28T22:42:57"/>
    <s v="India"/>
    <n v="560075"/>
    <x v="0"/>
    <s v="People who have changed the world for better"/>
    <s v="No I would not be pursuing Higher Education outside of India"/>
    <s v="Will work for 3 years or more"/>
    <s v="No"/>
    <s v="Will NOT work for them"/>
    <n v="7"/>
    <s v="Hybrid Working Environment with more than 15 days a month at office"/>
    <s v="Employer who appreciates learning and enables that environment"/>
    <x v="141"/>
    <s v="Manager who sets goal and helps me achieve it"/>
    <x v="1"/>
    <x v="0"/>
  </r>
  <r>
    <d v="2023-04-28T22:44:11"/>
    <s v="India"/>
    <n v="411014"/>
    <x v="1"/>
    <s v="My Parents"/>
    <s v="No I would not be pursuing Higher Education outside of India"/>
    <s v="This will be hard to do, but if it is the right company I would try"/>
    <s v="No"/>
    <s v="Will NOT work for them"/>
    <n v="8"/>
    <s v="Every Day Office Environment"/>
    <s v="Employer who appreciates learning and enables that environment"/>
    <x v="183"/>
    <s v="Manager who clearly describes what she/he needs"/>
    <x v="9"/>
    <x v="3"/>
  </r>
  <r>
    <d v="2023-04-28T22:51:08"/>
    <s v="India"/>
    <n v="92"/>
    <x v="1"/>
    <s v="Influencers who had successful careers"/>
    <s v="Yes, I will earn and do that"/>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385"/>
    <s v="Manager who explains what is expected, sets a goal and helps achieve it"/>
    <x v="1"/>
    <x v="3"/>
  </r>
  <r>
    <d v="2023-04-28T23:03:35"/>
    <s v="India"/>
    <n v="765022"/>
    <x v="1"/>
    <s v="My Parents"/>
    <s v="Yes, I will earn and do that"/>
    <s v="Will work for 3 years or more"/>
    <s v="No"/>
    <s v="Will NOT work for them"/>
    <n v="1"/>
    <s v="Hybrid Working Environment with more than 15 days a month at office"/>
    <s v="Employer who appreciates learning and enables that environment"/>
    <x v="164"/>
    <s v="Manager who explains what is expected, sets a goal and helps achieve it"/>
    <x v="7"/>
    <x v="3"/>
  </r>
  <r>
    <d v="2023-04-28T23:08:50"/>
    <s v="India"/>
    <n v="530051"/>
    <x v="1"/>
    <s v="People who have changed the world for better"/>
    <s v="Yes, I will earn and do that"/>
    <s v="Will work for 3 years or more"/>
    <s v="No"/>
    <s v="Will NOT work for them"/>
    <n v="5"/>
    <s v="Hybrid Working Environment with more than 15 days a month at office"/>
    <s v="Employer who pushes your limits by enabling an learning environment, and rewards you at the end"/>
    <x v="518"/>
    <s v="Manager who sets goal and helps me achieve it"/>
    <x v="1"/>
    <x v="2"/>
  </r>
  <r>
    <d v="2023-04-28T23:09:38"/>
    <s v="India"/>
    <n v="560067"/>
    <x v="0"/>
    <s v="People from my circle, but not family members"/>
    <s v="No, But if someone could bare the cost I will"/>
    <s v="Will work for 3 years or more"/>
    <s v="No"/>
    <s v="Will NOT work for them"/>
    <n v="1"/>
    <s v="Fully Remote with Options to travel as and when needed"/>
    <s v="Employer who pushes your limits by enabling an learning environment, and rewards you at the end"/>
    <x v="141"/>
    <s v="Manager who explains what is expected, sets a goal and helps achieve it"/>
    <x v="7"/>
    <x v="3"/>
  </r>
  <r>
    <d v="2023-04-28T23:14:34"/>
    <s v="India"/>
    <n v="600015"/>
    <x v="1"/>
    <s v="People who have changed the world for better"/>
    <s v="Yes, I will earn and do that"/>
    <s v="This will be hard to do, but if it is the right company I would try"/>
    <s v="No"/>
    <s v="Will NOT work for them"/>
    <n v="9"/>
    <s v="Hybrid Working Environment with less than 3 days a month at office"/>
    <s v="Employer who appreciates learning and enables that environment"/>
    <x v="132"/>
    <s v="Manager who sets goal and helps me achieve it"/>
    <x v="15"/>
    <x v="3"/>
  </r>
  <r>
    <d v="2023-04-28T23:26:06"/>
    <s v="India"/>
    <n v="560090"/>
    <x v="0"/>
    <s v="My Parents"/>
    <s v="No, But if someone could bare the cost I will"/>
    <s v="No way"/>
    <s v="No"/>
    <s v="Will NOT work for them"/>
    <n v="6"/>
    <s v="Hybrid Working Environment with more than 15 days a month at office"/>
    <s v="Employer who pushes your limits by enabling an learning environment, and rewards you at the end"/>
    <x v="291"/>
    <s v="Manager who sets targets and expects me to achieve it"/>
    <x v="1"/>
    <x v="3"/>
  </r>
  <r>
    <d v="2023-04-28T23:37:46"/>
    <s v="India"/>
    <n v="410206"/>
    <x v="1"/>
    <s v="Social Media like LinkedIn"/>
    <s v="Yes, I will earn and do that"/>
    <s v="This will be hard to do, but if it is the right company I would try"/>
    <s v="No"/>
    <s v="Will NOT work for them"/>
    <n v="7"/>
    <s v="Hybrid Working Environment with more than 15 days a month at office"/>
    <s v="Employer who appreciates learning and enables that environment"/>
    <x v="194"/>
    <s v="Manager who explains what is expected, sets a goal and helps achieve it"/>
    <x v="1"/>
    <x v="0"/>
  </r>
  <r>
    <d v="2023-04-28T23:49:56"/>
    <s v="India"/>
    <n v="562107"/>
    <x v="1"/>
    <s v="People who have changed the world for better"/>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211"/>
    <s v="Manager who explains what is expected, sets a goal and helps achieve it"/>
    <x v="1"/>
    <x v="3"/>
  </r>
  <r>
    <d v="2023-04-28T23:50:09"/>
    <s v="India"/>
    <n v="638004"/>
    <x v="0"/>
    <s v="My Parents"/>
    <s v="Yes, I will earn and do that"/>
    <s v="Will work for 3 years or more"/>
    <s v="No"/>
    <s v="Will NOT work for them"/>
    <n v="8"/>
    <s v="Every Day Office Environment"/>
    <s v="Employer who rewards learning and enables that environment"/>
    <x v="140"/>
    <s v="Manager who clearly describes what she/he needs"/>
    <x v="3"/>
    <x v="3"/>
  </r>
  <r>
    <d v="2023-04-29T00:09:10"/>
    <s v="India"/>
    <n v="500001"/>
    <x v="0"/>
    <s v="People from my circle, but not family members"/>
    <s v="Yes, I will earn and do that"/>
    <s v="Will work for 3 years or more"/>
    <s v="Yes"/>
    <s v="Will work for them"/>
    <n v="2"/>
    <s v="Fully Remote with Options to travel as and when needed"/>
    <s v="Employer who pushes your limits by enabling an learning environment, and rewards you at the end"/>
    <x v="157"/>
    <s v="Manager who explains what is expected, sets a goal and helps achieve it"/>
    <x v="8"/>
    <x v="3"/>
  </r>
  <r>
    <d v="2023-04-29T00:17:35"/>
    <s v="India"/>
    <n v="400074"/>
    <x v="0"/>
    <s v="People from my circle, but not family members"/>
    <s v="No, But if someone could bare the cost I will"/>
    <s v="Will work for 3 years or more"/>
    <s v="Yes"/>
    <s v="Will NOT work for them"/>
    <n v="5"/>
    <s v="Hybrid Working Environment with more than 15 days a month at office"/>
    <s v="Employer who rewards learning and enables that environment"/>
    <x v="120"/>
    <s v="Manager who explains what is expected, sets a goal and helps achieve it"/>
    <x v="21"/>
    <x v="3"/>
  </r>
  <r>
    <d v="2023-04-29T00:24:08"/>
    <s v="India"/>
    <n v="500001"/>
    <x v="1"/>
    <s v="My Parents"/>
    <s v="Yes, I will earn and do that"/>
    <s v="This will be hard to do, but if it is the right company I would try"/>
    <s v="No"/>
    <s v="Will NOT work for them"/>
    <n v="4"/>
    <s v="Fully Remote with Options to travel as and when needed"/>
    <s v="Employer who rewards learning and enables that environment"/>
    <x v="135"/>
    <s v="Manager who explains what is expected, sets a goal and helps achieve it"/>
    <x v="11"/>
    <x v="3"/>
  </r>
  <r>
    <d v="2023-04-29T00:34:49"/>
    <s v="India"/>
    <n v="247667"/>
    <x v="0"/>
    <s v="People who have changed the world for better"/>
    <s v="Yes, I will earn and do that"/>
    <s v="Will work for 3 years or more"/>
    <s v="No"/>
    <s v="Will NOT work for them"/>
    <n v="7"/>
    <s v="Hybrid Working Environment with less than 3 days a month at office"/>
    <s v="Employer who pushes your limits by enabling an learning environment, and rewards you at the end"/>
    <x v="440"/>
    <s v="Manager who clearly describes what she/he needs"/>
    <x v="7"/>
    <x v="3"/>
  </r>
  <r>
    <d v="2023-04-29T00:59:02"/>
    <s v="India"/>
    <n v="500016"/>
    <x v="0"/>
    <s v="My Parents"/>
    <s v="No, But if someone could bare the cost I will"/>
    <s v="This will be hard to do, but if it is the right company I would try"/>
    <s v="No"/>
    <s v="Will NOT work for them"/>
    <n v="1"/>
    <s v="Hybrid Working Environment with more than 15 days a month at office"/>
    <s v="Employer who appreciates learning and enables that environment"/>
    <x v="155"/>
    <s v="Manager who explains what is expected, sets a goal and helps achieve it"/>
    <x v="3"/>
    <x v="3"/>
  </r>
  <r>
    <d v="2023-04-29T01:10:31"/>
    <s v="India"/>
    <n v="560064"/>
    <x v="0"/>
    <s v="People from my circle, but not family members"/>
    <s v="No I would not be pursuing Higher Education outside of India"/>
    <s v="Will work for 3 years or more"/>
    <s v="Yes"/>
    <s v="Will NOT work for them"/>
    <n v="6"/>
    <s v="Hybrid Working Environment with more than 15 days a month at office"/>
    <s v="Employer who pushes your limits by enabling an learning environment, and rewards you at the end"/>
    <x v="125"/>
    <s v="Manager who explains what is expected, sets a goal and helps achieve it"/>
    <x v="8"/>
    <x v="0"/>
  </r>
  <r>
    <d v="2023-04-29T01:43:42"/>
    <s v="India"/>
    <n v="695033"/>
    <x v="0"/>
    <s v="Influencers who had successful careers"/>
    <s v="No, But if someone could bare the cost I will"/>
    <s v="This will be hard to do, but if it is the right company I would try"/>
    <s v="Yes"/>
    <s v="Will NOT work for them"/>
    <n v="5"/>
    <s v="Hybrid Working Environment with less than 3 days a month at office"/>
    <s v="Employer who appreciates learning and enables that environment"/>
    <x v="519"/>
    <s v="Manager who sets goal and helps me achieve it"/>
    <x v="3"/>
    <x v="0"/>
  </r>
  <r>
    <d v="2023-04-29T05:24:12"/>
    <s v="India"/>
    <n v="500008"/>
    <x v="1"/>
    <s v="My Parents"/>
    <s v="Yes, I will earn and do that"/>
    <s v="No way"/>
    <s v="No"/>
    <s v="Will NOT work for them"/>
    <n v="6"/>
    <s v="Fully Remote with Options to travel as and when needed"/>
    <s v="Employer who pushes your limits by enabling an learning environment, and rewards you at the end"/>
    <x v="434"/>
    <s v="Manager who explains what is expected, sets a goal and helps achieve it"/>
    <x v="3"/>
    <x v="3"/>
  </r>
  <r>
    <d v="2023-04-29T06:40:45"/>
    <s v="India"/>
    <n v="500043"/>
    <x v="1"/>
    <s v="My Parents"/>
    <s v="No, But if someone could bare the cost I will"/>
    <s v="Will work for 3 years or more"/>
    <s v="No"/>
    <s v="Will NOT work for them"/>
    <n v="1"/>
    <s v="Fully Remote with Options to travel as and when needed"/>
    <s v="Employer who rewards learning and enables that environment"/>
    <x v="301"/>
    <s v="Manager who clearly describes what she/he needs"/>
    <x v="4"/>
    <x v="3"/>
  </r>
  <r>
    <d v="2023-04-29T07:48:25"/>
    <s v="India"/>
    <n v="500088"/>
    <x v="1"/>
    <s v="People who have changed the world for better"/>
    <s v="No I would not be pursuing Higher Education outside of India"/>
    <s v="This will be hard to do, but if it is the right company I would try"/>
    <s v="Yes"/>
    <s v="Will NOT work for them"/>
    <n v="10"/>
    <s v="Hybrid Working Environment with more than 15 days a month at office"/>
    <s v="Employer who appreciates learning and enables that environment"/>
    <x v="197"/>
    <s v="Manager who explains what is expected, sets a goal and helps achieve it"/>
    <x v="4"/>
    <x v="3"/>
  </r>
  <r>
    <d v="2023-04-29T08:09:22"/>
    <s v="India"/>
    <n v="505460"/>
    <x v="0"/>
    <s v="My Parents"/>
    <s v="No I would not be pursuing Higher Education outside of India"/>
    <s v="This will be hard to do, but if it is the right company I would try"/>
    <s v="No"/>
    <s v="Will NOT work for them"/>
    <n v="7"/>
    <s v="Hybrid Working Environment with less than 3 days a month at office"/>
    <s v="Employer who appreciates learning and enables that environment"/>
    <x v="310"/>
    <s v="Manager who explains what is expected, sets a goal and helps achieve it"/>
    <x v="2"/>
    <x v="3"/>
  </r>
  <r>
    <d v="2023-04-29T08:09:44"/>
    <s v="India"/>
    <n v="500070"/>
    <x v="1"/>
    <s v="People from my circle, but not family members"/>
    <s v="No, But if someone could bare the cost I will"/>
    <s v="No way"/>
    <s v="No"/>
    <s v="Will NOT work for them"/>
    <n v="1"/>
    <s v="Fully Remote with Options to travel as and when needed"/>
    <s v="Employer who pushes your limits by enabling an learning environment, and rewards you at the end"/>
    <x v="520"/>
    <s v="Manager who explains what is expected, sets a goal and helps achieve it"/>
    <x v="6"/>
    <x v="3"/>
  </r>
  <r>
    <d v="2023-04-29T08:12:43"/>
    <s v="India"/>
    <n v="508234"/>
    <x v="1"/>
    <s v="My Parents"/>
    <s v="Yes, I will earn and do that"/>
    <s v="This will be hard to do, but if it is the right company I would try"/>
    <s v="Yes"/>
    <s v="Will NOT work for them"/>
    <n v="5"/>
    <s v="Every Day Office Environment"/>
    <s v="Employer who appreciates learning and enables that environment"/>
    <x v="521"/>
    <s v="Manager who clearly describes what she/he needs"/>
    <x v="1"/>
    <x v="3"/>
  </r>
  <r>
    <d v="2023-04-29T08:44:22"/>
    <s v="India"/>
    <n v="224135"/>
    <x v="0"/>
    <s v="My Parents"/>
    <s v="No I would not be pursuing Higher Education outside of India"/>
    <s v="Will work for 3 years or more"/>
    <s v="No"/>
    <s v="Will work for them"/>
    <n v="1"/>
    <s v="Hybrid Working Environment with more than 15 days a month at office"/>
    <s v="Employer who appreciates learning and enables that environment"/>
    <x v="522"/>
    <s v="Manager who explains what is expected, sets a goal and helps achieve it"/>
    <x v="14"/>
    <x v="0"/>
  </r>
  <r>
    <d v="2023-04-29T09:17:42"/>
    <s v="India"/>
    <n v="641006"/>
    <x v="1"/>
    <s v="People who have changed the world for better"/>
    <s v="No I would not be pursuing Higher Education outside of India"/>
    <s v="This will be hard to do, but if it is the right company I would try"/>
    <s v="No"/>
    <s v="Will work for them"/>
    <n v="7"/>
    <s v="Every Day Office Environment"/>
    <s v="Employer who pushes your limits by enabling an learning environment, and rewards you at the end"/>
    <x v="161"/>
    <s v="Manager who clearly describes what she/he needs"/>
    <x v="18"/>
    <x v="0"/>
  </r>
  <r>
    <d v="2023-04-29T09:48:31"/>
    <s v="India"/>
    <n v="201306"/>
    <x v="0"/>
    <s v="My Parents"/>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359"/>
    <s v="Manager who explains what is expected, sets a goal and helps achieve it"/>
    <x v="7"/>
    <x v="3"/>
  </r>
  <r>
    <d v="2023-04-29T09:53:55"/>
    <s v="India"/>
    <n v="110092"/>
    <x v="0"/>
    <s v="Social Media like LinkedIn"/>
    <s v="No I would not be pursuing Higher Education outside of India"/>
    <s v="Will work for 3 years or more"/>
    <s v="No"/>
    <s v="Will NOT work for them"/>
    <n v="1"/>
    <s v="Every Day Office Environment"/>
    <s v="Employer who pushes your limits by enabling an learning environment, and rewards you at the end"/>
    <x v="523"/>
    <s v="Manager who explains what is expected, sets a goal and helps achieve it"/>
    <x v="7"/>
    <x v="0"/>
  </r>
  <r>
    <d v="2023-04-29T09:57:02"/>
    <s v="India"/>
    <n v="201301"/>
    <x v="1"/>
    <s v="People who have changed the world for better"/>
    <s v="Yes, I will earn and do that"/>
    <s v="Will work for 3 years or more"/>
    <s v="Yes"/>
    <s v="Will NOT work for them"/>
    <n v="8"/>
    <s v="Hybrid Working Environment with less than 3 days a month at office"/>
    <s v="Employer who appreciates learning and enables that environment"/>
    <x v="142"/>
    <s v="Manager who explains what is expected, sets a goal and helps achieve it"/>
    <x v="12"/>
    <x v="3"/>
  </r>
  <r>
    <d v="2023-04-29T09:58:04"/>
    <s v="India"/>
    <n v="628552"/>
    <x v="0"/>
    <s v="Social Media like LinkedIn"/>
    <s v="Yes, I will earn and do that"/>
    <s v="This will be hard to do, but if it is the right company I would try"/>
    <s v="Yes"/>
    <s v="Will work for them"/>
    <n v="7"/>
    <s v="Every Day Office Environment"/>
    <s v="Employer who appreciates learning and enables that environment"/>
    <x v="207"/>
    <s v="Manager who explains what is expected, sets a goal and helps achieve it"/>
    <x v="3"/>
    <x v="3"/>
  </r>
  <r>
    <d v="2023-04-29T10:03:17"/>
    <s v="India"/>
    <n v="110096"/>
    <x v="0"/>
    <s v="Social Media like LinkedIn"/>
    <s v="Yes, I will earn and do that"/>
    <s v="Will work for 3 years or more"/>
    <s v="Yes"/>
    <s v="Will NOT work for them"/>
    <n v="10"/>
    <s v="Hybrid Working Environment with more than 15 days a month at office"/>
    <s v="Employer who appreciates learning and enables that environment"/>
    <x v="524"/>
    <s v="Manager who explains what is expected, sets a goal and helps achieve it"/>
    <x v="7"/>
    <x v="3"/>
  </r>
  <r>
    <d v="2023-04-29T10:15:56"/>
    <s v="India"/>
    <n v="201301"/>
    <x v="1"/>
    <s v="Social Media like LinkedIn"/>
    <s v="Yes, I will earn and do that"/>
    <s v="This will be hard to do, but if it is the right company I would try"/>
    <s v="Yes"/>
    <s v="Will NOT work for them"/>
    <n v="8"/>
    <s v="Every Day Office Environment"/>
    <s v="Employer who pushes your limits by enabling an learning environment, and rewards you at the end"/>
    <x v="231"/>
    <s v="Manager who explains what is expected, sets a goal and helps achieve it"/>
    <x v="7"/>
    <x v="3"/>
  </r>
  <r>
    <d v="2023-04-29T10:18:05"/>
    <s v="India"/>
    <n v="201301"/>
    <x v="1"/>
    <s v="Social Media like LinkedIn"/>
    <s v="Yes, I will earn and do that"/>
    <s v="This will be hard to do, but if it is the right company I would try"/>
    <s v="No"/>
    <s v="Will NOT work for them"/>
    <n v="9"/>
    <s v="Hybrid Working Environment with less than 3 days a month at office"/>
    <s v="Employer who rewards learning and enables that environment"/>
    <x v="366"/>
    <s v="Manager who clearly describes what she/he needs"/>
    <x v="3"/>
    <x v="3"/>
  </r>
  <r>
    <d v="2023-04-29T10:21:54"/>
    <s v="India"/>
    <n v="110092"/>
    <x v="0"/>
    <s v="Social Media like LinkedIn"/>
    <s v="Yes, I will earn and do that"/>
    <s v="This will be hard to do, but if it is the right company I would try"/>
    <s v="Yes"/>
    <s v="Will NOT work for them"/>
    <n v="3"/>
    <s v="Fully Remote with Options to travel as and when needed"/>
    <s v="Employer who pushes your limits and doesn't enables learning environment and never rewards you"/>
    <x v="525"/>
    <s v="Manager who sets goal and helps me achieve it"/>
    <x v="7"/>
    <x v="3"/>
  </r>
  <r>
    <d v="2023-04-29T10:22:12"/>
    <s v="India"/>
    <n v="201301"/>
    <x v="0"/>
    <s v="People from my circle, but not family members"/>
    <s v="No, But if someone could bare the cost I will"/>
    <s v="This will be hard to do, but if it is the right company I would try"/>
    <s v="Yes"/>
    <s v="Will NOT work for them"/>
    <n v="3"/>
    <s v="Fully Remote with Options to travel as and when needed"/>
    <s v="Employer who rewards learning and enables that environment"/>
    <x v="526"/>
    <s v="Manager who sets goal and helps me achieve it"/>
    <x v="7"/>
    <x v="3"/>
  </r>
  <r>
    <d v="2023-04-29T10:35:33"/>
    <s v="India"/>
    <n v="121003"/>
    <x v="0"/>
    <s v="My Parents"/>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520"/>
    <s v="Manager who explains what is expected, sets a goal and helps achieve it"/>
    <x v="4"/>
    <x v="3"/>
  </r>
  <r>
    <d v="2023-04-29T10:45:49"/>
    <s v="India"/>
    <n v="201010"/>
    <x v="0"/>
    <s v="People from my circle, but not family members"/>
    <s v="Yes, I will earn and do that"/>
    <s v="This will be hard to do, but if it is the right company I would try"/>
    <s v="Yes"/>
    <s v="Will NOT work for them"/>
    <n v="8"/>
    <s v="Fully Remote with Options to travel as and when needed"/>
    <s v="Employer who pushes your limits by enabling an learning environment, and rewards you at the end"/>
    <x v="118"/>
    <s v="Manager who explains what is expected, sets a goal and helps achieve it"/>
    <x v="19"/>
    <x v="3"/>
  </r>
  <r>
    <d v="2023-04-29T10:47:29"/>
    <s v="India"/>
    <n v="743127"/>
    <x v="0"/>
    <s v="People who have changed the world for better"/>
    <s v="Yes, I will earn and do that"/>
    <s v="Will work for 3 years or more"/>
    <s v="Yes"/>
    <s v="Will work for them"/>
    <n v="7"/>
    <s v="Hybrid Working Environment with more than 15 days a month at office"/>
    <s v="Employer who appreciates learning and enables that environment"/>
    <x v="149"/>
    <s v="Manager who clearly describes what she/he needs"/>
    <x v="3"/>
    <x v="3"/>
  </r>
  <r>
    <d v="2023-04-29T11:05:31"/>
    <s v="India"/>
    <n v="587102"/>
    <x v="0"/>
    <s v="Influencers who had successful careers"/>
    <s v="No, But if someone could bare the cost I will"/>
    <s v="This will be hard to do, but if it is the right company I would try"/>
    <s v="No"/>
    <s v="Will NOT work for them"/>
    <n v="5"/>
    <s v="Fully Remote with Options to travel as and when needed"/>
    <s v="Employer who pushes your limits by enabling an learning environment, and rewards you at the end"/>
    <x v="111"/>
    <s v="Manager who explains what is expected, sets a goal and helps achieve it"/>
    <x v="24"/>
    <x v="3"/>
  </r>
  <r>
    <d v="2023-04-29T11:06:55"/>
    <s v="India"/>
    <n v="500008"/>
    <x v="1"/>
    <s v="My Parents"/>
    <s v="No, But if someone could bare the cost I will"/>
    <s v="This will be hard to do, but if it is the right company I would try"/>
    <s v="No"/>
    <s v="Will NOT work for them"/>
    <n v="6"/>
    <s v="Fully Remote with Options to travel as and when needed"/>
    <s v="Employer who rewards learning and enables that environment"/>
    <x v="316"/>
    <s v="Manager who explains what is expected, sets a goal and helps achieve it"/>
    <x v="3"/>
    <x v="3"/>
  </r>
  <r>
    <d v="2023-04-29T11:11:37"/>
    <s v="India"/>
    <n v="147003"/>
    <x v="0"/>
    <s v="People who have changed the world for better"/>
    <s v="No I would not be pursuing Higher Education outside of India"/>
    <s v="This will be hard to do, but if it is the right company I would try"/>
    <s v="No"/>
    <s v="Will NOT work for them"/>
    <n v="2"/>
    <s v="Fully Remote with Options to travel as and when needed"/>
    <s v="Employer who pushes your limits by enabling an learning environment, and rewards you at the end"/>
    <x v="385"/>
    <s v="Manager who explains what is expected, sets a goal and helps achieve it"/>
    <x v="1"/>
    <x v="3"/>
  </r>
  <r>
    <d v="2023-04-29T11:27:23"/>
    <s v="India"/>
    <n v="600087"/>
    <x v="0"/>
    <s v="My Parents"/>
    <s v="No I would not be pursuing Higher Education outside of India"/>
    <s v="Will work for 3 years or more"/>
    <s v="No"/>
    <s v="Will work for them"/>
    <n v="8"/>
    <s v="Every Day Office Environment"/>
    <s v="Employer who pushes your limits by enabling an learning environment, and rewards you at the end"/>
    <x v="139"/>
    <s v="Manager who clearly describes what she/he needs"/>
    <x v="3"/>
    <x v="3"/>
  </r>
  <r>
    <d v="2023-04-29T11:27:24"/>
    <s v="India"/>
    <n v="452002"/>
    <x v="0"/>
    <s v="Social Media like LinkedIn"/>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289"/>
    <s v="Manager who explains what is expected, sets a goal and helps achieve it"/>
    <x v="3"/>
    <x v="0"/>
  </r>
  <r>
    <d v="2023-04-29T11:27:40"/>
    <s v="India"/>
    <n v="147001"/>
    <x v="0"/>
    <s v="People who have changed the world for better"/>
    <s v="No, But if someone could bare the cost I will"/>
    <s v="Will work for 3 years or more"/>
    <s v="No"/>
    <s v="Will NOT work for them"/>
    <n v="5"/>
    <s v="Fully Remote with Options to travel as and when needed"/>
    <s v="Employer who pushes your limits by enabling an learning environment, and rewards you at the end"/>
    <x v="227"/>
    <s v="Manager who explains what is expected, sets a goal and helps achieve it"/>
    <x v="3"/>
    <x v="3"/>
  </r>
  <r>
    <d v="2023-04-29T11:31:45"/>
    <s v="India"/>
    <n v="452007"/>
    <x v="0"/>
    <s v="Influencers who had successful careers"/>
    <s v="Yes, I will earn and do that"/>
    <s v="This will be hard to do, but if it is the right company I would try"/>
    <s v="No"/>
    <s v="Will NOT work for them"/>
    <n v="3"/>
    <s v="Hybrid Working Environment with less than 3 days a month at office"/>
    <s v="Employer who pushes your limits by enabling an learning environment, and rewards you at the end"/>
    <x v="527"/>
    <s v="Manager who explains what is expected, sets a goal and helps achieve it"/>
    <x v="1"/>
    <x v="0"/>
  </r>
  <r>
    <d v="2023-04-29T11:34:54"/>
    <s v="India"/>
    <n v="560039"/>
    <x v="1"/>
    <s v="My Parents"/>
    <s v="No I would not be pursuing Higher Education outside of India"/>
    <s v="This will be hard to do, but if it is the right company I would try"/>
    <s v="No"/>
    <s v="Will NOT work for them"/>
    <n v="5"/>
    <s v="Hybrid Working Environment with more than 15 days a month at office"/>
    <s v="Employer who rewards learning and enables that environment"/>
    <x v="231"/>
    <s v="Manager who explains what is expected, sets a goal and helps achieve it"/>
    <x v="1"/>
    <x v="2"/>
  </r>
  <r>
    <d v="2023-04-29T11:36:31"/>
    <s v="India"/>
    <n v="571401"/>
    <x v="1"/>
    <s v="People who have changed the world for better"/>
    <s v="No, But if someone could bare the cost I will"/>
    <s v="Will work for 3 years or more"/>
    <s v="No"/>
    <s v="Will NOT work for them"/>
    <n v="5"/>
    <s v="Hybrid Working Environment with more than 15 days a month at office"/>
    <s v="Employer who appreciates learning and enables that environment"/>
    <x v="507"/>
    <s v="Manager who clearly describes what she/he needs"/>
    <x v="3"/>
    <x v="3"/>
  </r>
  <r>
    <d v="2023-04-29T11:48:06"/>
    <s v="India"/>
    <n v="533201"/>
    <x v="1"/>
    <s v="People from my circle, but not family members"/>
    <s v="Yes, I will earn and do that"/>
    <s v="This will be hard to do, but if it is the right company I would try"/>
    <s v="Yes"/>
    <s v="Will work for them"/>
    <n v="6"/>
    <s v="Fully Remote with No option to visit offices"/>
    <s v="Employer who appreciates learning and enables that environment"/>
    <x v="116"/>
    <s v="Manager who clearly describes what she/he needs"/>
    <x v="1"/>
    <x v="3"/>
  </r>
  <r>
    <d v="2023-04-29T11:49:25"/>
    <s v="India"/>
    <n v="560073"/>
    <x v="1"/>
    <s v="My Parents"/>
    <s v="No I would not be pursuing Higher Education outside of India"/>
    <s v="This will be hard to do, but if it is the right company I would try"/>
    <s v="Yes"/>
    <s v="Will work for them"/>
    <n v="9"/>
    <s v="Hybrid Working Environment with more than 15 days a month at office"/>
    <s v="Employer who rewards learning and enables that environment"/>
    <x v="231"/>
    <s v="Manager who explains what is expected, sets a goal and helps achieve it"/>
    <x v="7"/>
    <x v="0"/>
  </r>
  <r>
    <d v="2023-04-29T12:05:12"/>
    <s v="India"/>
    <n v="560068"/>
    <x v="0"/>
    <s v="People from my circle, but not family members"/>
    <s v="No I would not be pursuing Higher Education outside of India"/>
    <s v="Will work for 3 years or more"/>
    <s v="No"/>
    <s v="Will NOT work for them"/>
    <n v="3"/>
    <s v="Every Day Office Environment"/>
    <s v="Employer who pushes your limits by enabling an learning environment, and rewards you at the end"/>
    <x v="191"/>
    <s v="Manager who explains what is expected, sets a goal and helps achieve it"/>
    <x v="3"/>
    <x v="3"/>
  </r>
  <r>
    <d v="2023-04-29T12:09:20"/>
    <s v="India"/>
    <n v="201301"/>
    <x v="0"/>
    <s v="People from my circle, but not family members"/>
    <s v="No I would not be pursuing Higher Education outside of India"/>
    <s v="This will be hard to do, but if it is the right company I would try"/>
    <s v="No"/>
    <s v="Will NOT work for them"/>
    <n v="5"/>
    <s v="Every Day Office Environment"/>
    <s v="Employer who pushes your limits by enabling an learning environment, and rewards you at the end"/>
    <x v="528"/>
    <s v="Manager who explains what is expected, sets a goal and helps achieve it"/>
    <x v="7"/>
    <x v="0"/>
  </r>
  <r>
    <d v="2023-04-29T12:09:42"/>
    <s v="India"/>
    <n v="571128"/>
    <x v="1"/>
    <s v="Influencers who had successful careers"/>
    <s v="No I would not be pursuing Higher Education outside of India"/>
    <s v="This will be hard to do, but if it is the right company I would try"/>
    <s v="No"/>
    <s v="Will NOT work for them"/>
    <n v="1"/>
    <s v="Every Day Office Environment"/>
    <s v="Employer who rewards learning and enables that environment"/>
    <x v="135"/>
    <s v="Manager who explains what is expected, sets a goal and helps achieve it"/>
    <x v="3"/>
    <x v="3"/>
  </r>
  <r>
    <d v="2023-04-29T12:12:59"/>
    <s v="India"/>
    <n v="208017"/>
    <x v="0"/>
    <s v="My Parents"/>
    <s v="Yes, I will earn and do that"/>
    <s v="This will be hard to do, but if it is the right company I would try"/>
    <s v="No"/>
    <s v="Will NOT work for them"/>
    <n v="2"/>
    <s v="Fully Remote with No option to visit offices"/>
    <s v="Employer who rewards learning and enables that environment"/>
    <x v="502"/>
    <s v="Manager who explains what is expected, sets a goal and helps achieve it"/>
    <x v="15"/>
    <x v="0"/>
  </r>
  <r>
    <d v="2023-04-29T12:13:25"/>
    <s v="India"/>
    <n v="201301"/>
    <x v="0"/>
    <s v="People from my circle, but not family members"/>
    <s v="No I would not be pursuing Higher Education outside of India"/>
    <s v="This will be hard to do, but if it is the right company I would try"/>
    <s v="No"/>
    <s v="Will NOT work for them"/>
    <n v="5"/>
    <s v="Every Day Office Environment"/>
    <s v="Employer who pushes your limits by enabling an learning environment, and rewards you at the end"/>
    <x v="529"/>
    <s v="Manager who explains what is expected, sets a goal and helps achieve it"/>
    <x v="7"/>
    <x v="0"/>
  </r>
  <r>
    <d v="2023-04-29T12:28:46"/>
    <s v="India"/>
    <n v="146109"/>
    <x v="0"/>
    <s v="People who have changed the world for better"/>
    <s v="No I would not be pursuing Higher Education outside of India"/>
    <s v="Will work for 3 years or more"/>
    <s v="No"/>
    <s v="Will NOT work for them"/>
    <n v="1"/>
    <s v="Hybrid Working Environment with more than 15 days a month at office"/>
    <s v="Employer who pushes your limits by enabling an learning environment, and rewards you at the end"/>
    <x v="179"/>
    <s v="Manager who explains what is expected, sets a goal and helps achieve it"/>
    <x v="1"/>
    <x v="2"/>
  </r>
  <r>
    <d v="2023-04-29T12:37:41"/>
    <s v="India"/>
    <n v="731204"/>
    <x v="0"/>
    <s v="People who have changed the world for better"/>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160"/>
    <s v="Manager who explains what is expected, sets a goal and helps achieve it"/>
    <x v="3"/>
    <x v="3"/>
  </r>
  <r>
    <d v="2023-04-29T12:51:00"/>
    <s v="India"/>
    <n v="454775"/>
    <x v="0"/>
    <s v="Social Media like LinkedIn"/>
    <s v="No, But if someone could bare the cost I will"/>
    <s v="No way"/>
    <s v="Yes"/>
    <s v="Will work for them"/>
    <n v="10"/>
    <s v="Hybrid Working Environment with more than 15 days a month at office"/>
    <s v="Employer who pushes your limits and doesn't enables learning environment and never rewards you"/>
    <x v="530"/>
    <s v="Manager who sets unrealistic targets"/>
    <x v="6"/>
    <x v="4"/>
  </r>
  <r>
    <d v="2023-04-29T12:57:51"/>
    <s v="India"/>
    <n v="40089"/>
    <x v="1"/>
    <s v="People from my circle, but not family members"/>
    <s v="No, But if someone could bare the cost I will"/>
    <s v="Will work for 3 years or more"/>
    <s v="No"/>
    <s v="Will NOT work for them"/>
    <n v="5"/>
    <s v="Hybrid Working Environment with less than 3 days a month at office"/>
    <s v="Employer who pushes your limits by enabling an learning environment, and rewards you at the end"/>
    <x v="141"/>
    <s v="Manager who explains what is expected, sets a goal and helps achieve it"/>
    <x v="1"/>
    <x v="3"/>
  </r>
  <r>
    <d v="2023-04-29T13:04:39"/>
    <s v="India"/>
    <n v="122052"/>
    <x v="1"/>
    <s v="Social Media like LinkedIn"/>
    <s v="No, But if someone could bare the cost I will"/>
    <s v="Will work for 3 years or more"/>
    <s v="Yes"/>
    <s v="Will NOT work for them"/>
    <n v="4"/>
    <s v="Hybrid Working Environment with less than 3 days a month at office"/>
    <s v="Employer who pushes your limits by enabling an learning environment, and rewards you at the end"/>
    <x v="223"/>
    <s v="Manager who explains what is expected, sets a goal and helps achieve it"/>
    <x v="1"/>
    <x v="0"/>
  </r>
  <r>
    <d v="2023-04-29T13:28:34"/>
    <s v="India"/>
    <n v="560048"/>
    <x v="0"/>
    <s v="My Parents"/>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07"/>
    <s v="Manager who explains what is expected, sets a goal and helps achieve it"/>
    <x v="4"/>
    <x v="0"/>
  </r>
  <r>
    <d v="2023-04-29T13:31:20"/>
    <s v="India"/>
    <n v="440023"/>
    <x v="0"/>
    <s v="My Parents"/>
    <s v="No, But if someone could bare the cost I will"/>
    <s v="Will work for 3 years or more"/>
    <s v="No"/>
    <s v="Will NOT work for them"/>
    <n v="1"/>
    <s v="Fully Remote with Options to travel as and when needed"/>
    <s v="Employer who appreciates learning and enables that environment"/>
    <x v="224"/>
    <s v="Manager who explains what is expected, sets a goal and helps achieve it"/>
    <x v="3"/>
    <x v="0"/>
  </r>
  <r>
    <d v="2023-04-29T13:32:25"/>
    <s v="India"/>
    <n v="560093"/>
    <x v="1"/>
    <s v="My Parents"/>
    <s v="No, But if someone could bare the cost I will"/>
    <s v="Will work for 3 years or more"/>
    <s v="Yes"/>
    <s v="Will work for them"/>
    <n v="10"/>
    <s v="Fully Remote with Options to travel as and when needed"/>
    <s v="Employer who appreciates learning and enables that environment"/>
    <x v="402"/>
    <s v="Manager who clearly describes what she/he needs"/>
    <x v="4"/>
    <x v="0"/>
  </r>
  <r>
    <d v="2023-04-29T13:53:36"/>
    <s v="India"/>
    <n v="431122"/>
    <x v="0"/>
    <s v="My Parents"/>
    <s v="Yes, I will earn and do that"/>
    <s v="Will work for 3 years or more"/>
    <s v="No"/>
    <s v="Will NOT work for them"/>
    <n v="8"/>
    <s v="Fully Remote with Options to travel as and when needed"/>
    <s v="Employer who appreciates learning and enables that environment"/>
    <x v="402"/>
    <s v="Manager who explains what is expected, sets a goal and helps achieve it"/>
    <x v="4"/>
    <x v="3"/>
  </r>
  <r>
    <d v="2023-04-29T13:55:34"/>
    <s v="India"/>
    <n v="530068"/>
    <x v="0"/>
    <s v="My Parents"/>
    <s v="Yes, I will earn and do that"/>
    <s v="This will be hard to do, but if it is the right company I would try"/>
    <s v="No"/>
    <s v="Will NOT work for them"/>
    <n v="1"/>
    <s v="Hybrid Working Environment with less than 3 days a month at office"/>
    <s v="Employer who appreciates learning and enables that environment"/>
    <x v="129"/>
    <s v="Manager who explains what is expected, sets a goal and helps achieve it"/>
    <x v="15"/>
    <x v="0"/>
  </r>
  <r>
    <d v="2023-04-29T14:24:41"/>
    <s v="India"/>
    <n v="313002"/>
    <x v="1"/>
    <s v="My Parents"/>
    <s v="No, But if someone could bare the cost I will"/>
    <s v="Will work for 3 years or more"/>
    <s v="No"/>
    <s v="Will NOT work for them"/>
    <n v="5"/>
    <s v="Hybrid Working Environment with more than 15 days a month at office"/>
    <s v="Employer who pushes your limits by enabling an learning environment, and rewards you at the end"/>
    <x v="99"/>
    <s v="Manager who sets goal and helps me achieve it"/>
    <x v="3"/>
    <x v="3"/>
  </r>
  <r>
    <d v="2023-04-29T14:31:53"/>
    <s v="India"/>
    <n v="395006"/>
    <x v="0"/>
    <s v="People from my circle, but not family members"/>
    <s v="Yes, I will earn and do that"/>
    <s v="This will be hard to do, but if it is the right company I would try"/>
    <s v="No"/>
    <s v="Will NOT work for them"/>
    <n v="1"/>
    <s v="Every Day Office Environment"/>
    <s v="Employer who pushes your limits by enabling an learning environment, and rewards you at the end"/>
    <x v="415"/>
    <s v="Manager who sets goal and helps me achieve it"/>
    <x v="1"/>
    <x v="2"/>
  </r>
  <r>
    <d v="2023-04-29T14:46:42"/>
    <s v="India"/>
    <n v="600097"/>
    <x v="0"/>
    <s v="My Parents"/>
    <s v="No, But if someone could bare the cost I will"/>
    <s v="This will be hard to do, but if it is the right company I would try"/>
    <s v="Yes"/>
    <s v="Will work for them"/>
    <n v="10"/>
    <s v="Hybrid Working Environment with more than 15 days a month at office"/>
    <s v="Employer who rewards learning and enables that environment"/>
    <x v="128"/>
    <s v="Manager who explains what is expected, sets a goal and helps achieve it"/>
    <x v="12"/>
    <x v="3"/>
  </r>
  <r>
    <d v="2023-04-29T14:49:12"/>
    <s v="India"/>
    <n v="421301"/>
    <x v="1"/>
    <s v="My Parents"/>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109"/>
    <s v="Manager who explains what is expected, sets a goal and helps achieve it"/>
    <x v="9"/>
    <x v="3"/>
  </r>
  <r>
    <d v="2023-04-29T14:49:53"/>
    <s v="India"/>
    <n v="400102"/>
    <x v="0"/>
    <s v="My Parents"/>
    <s v="Yes, I will earn and do that"/>
    <s v="Will work for 3 years or more"/>
    <s v="No"/>
    <s v="Will work for them"/>
    <n v="6"/>
    <s v="Hybrid Working Environment with more than 15 days a month at office"/>
    <s v="Employer who pushes your limits by enabling an learning environment, and rewards you at the end"/>
    <x v="493"/>
    <s v="Manager who explains what is expected, sets a goal and helps achieve it"/>
    <x v="2"/>
    <x v="3"/>
  </r>
  <r>
    <d v="2023-04-29T14:52:24"/>
    <s v="India"/>
    <n v="92"/>
    <x v="1"/>
    <s v="People who have changed the world for better"/>
    <s v="No I would not be pursuing Higher Education outside of India"/>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217"/>
    <s v="Manager who explains what is expected, sets a goal and helps achieve it"/>
    <x v="1"/>
    <x v="0"/>
  </r>
  <r>
    <d v="2023-04-29T14:52:52"/>
    <s v="Others"/>
    <s v="PR17QS"/>
    <x v="1"/>
    <s v="My Parents"/>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299"/>
    <s v="Manager who explains what is expected, sets a goal and helps achieve it"/>
    <x v="1"/>
    <x v="3"/>
  </r>
  <r>
    <d v="2023-04-29T14:55:41"/>
    <s v="India"/>
    <n v="400008"/>
    <x v="0"/>
    <s v="My Parents"/>
    <s v="No I would not be pursuing Higher Education outside of India"/>
    <s v="This will be hard to do, but if it is the right company I would try"/>
    <s v="Yes"/>
    <s v="Will NOT work for them"/>
    <n v="5"/>
    <s v="Hybrid Working Environment with more than 15 days a month at office"/>
    <s v="Employer who pushes your limits by enabling an learning environment, and rewards you at the end"/>
    <x v="281"/>
    <s v="Manager who explains what is expected, sets a goal and helps achieve it"/>
    <x v="7"/>
    <x v="2"/>
  </r>
  <r>
    <d v="2023-04-29T15:01:12"/>
    <s v="India"/>
    <n v="410206"/>
    <x v="1"/>
    <s v="People who have changed the world for better"/>
    <s v="Yes, I will earn and do that"/>
    <s v="This will be hard to do, but if it is the right company I would try"/>
    <s v="No"/>
    <s v="Will NOT work for them"/>
    <n v="3"/>
    <s v="Every Day Office Environment"/>
    <s v="Employer who pushes your limits by enabling an learning environment, and rewards you at the end"/>
    <x v="110"/>
    <s v="Manager who explains what is expected, sets a goal and helps achieve it"/>
    <x v="3"/>
    <x v="3"/>
  </r>
  <r>
    <d v="2023-04-29T15:04:22"/>
    <s v="India"/>
    <n v="242401"/>
    <x v="0"/>
    <s v="People from my circle, but not family members"/>
    <s v="No I would not be pursuing Higher Education outside of India"/>
    <s v="Will work for 3 years or more"/>
    <s v="No"/>
    <s v="Will NOT work for them"/>
    <n v="3"/>
    <s v="Hybrid Working Environment with more than 15 days a month at office"/>
    <s v="Employer who rewards learning and enables that environment"/>
    <x v="449"/>
    <s v="Manager who explains what is expected, sets a goal and helps achieve it"/>
    <x v="3"/>
    <x v="0"/>
  </r>
  <r>
    <d v="2023-04-29T15:12:47"/>
    <s v="India"/>
    <n v="410206"/>
    <x v="1"/>
    <s v="People from my circle, but not family members"/>
    <s v="No, But if someone could bare the cost I will"/>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284"/>
    <s v="Manager who explains what is expected, sets a goal and helps achieve it"/>
    <x v="3"/>
    <x v="3"/>
  </r>
  <r>
    <d v="2023-04-29T15:17:05"/>
    <s v="India"/>
    <n v="500090"/>
    <x v="1"/>
    <s v="My Parents"/>
    <s v="No I would not be pursuing Higher Education outside of India"/>
    <s v="This will be hard to do, but if it is the right company I would try"/>
    <s v="No"/>
    <s v="Will NOT work for them"/>
    <n v="3"/>
    <s v="Hybrid Working Environment with less than 3 days a month at office"/>
    <s v="Employer who rewards learning and enables that environment"/>
    <x v="124"/>
    <s v="Manager who explains what is expected, sets a goal and helps achieve it"/>
    <x v="1"/>
    <x v="3"/>
  </r>
  <r>
    <d v="2023-04-29T15:18:08"/>
    <s v="India"/>
    <n v="370465"/>
    <x v="1"/>
    <s v="People from my circle, but not family members"/>
    <s v="Yes, I will earn and do that"/>
    <s v="Will work for 3 years or more"/>
    <s v="No"/>
    <s v="Will NOT work for them"/>
    <n v="3"/>
    <s v="Hybrid Working Environment with more than 15 days a month at office"/>
    <s v="Employer who pushes your limits by enabling an learning environment, and rewards you at the end"/>
    <x v="531"/>
    <s v="Manager who explains what is expected, sets a goal and helps achieve it"/>
    <x v="1"/>
    <x v="0"/>
  </r>
  <r>
    <d v="2023-04-29T15:19:04"/>
    <s v="India"/>
    <n v="410206"/>
    <x v="1"/>
    <s v="People from my circle, but not family members"/>
    <s v="Yes, I will earn and do that"/>
    <s v="This will be hard to do, but if it is the right company I would try"/>
    <s v="No"/>
    <s v="Will NOT work for them"/>
    <n v="2"/>
    <s v="Hybrid Working Environment with less than 3 days a month at office"/>
    <s v="Employer who pushes your limits by enabling an learning environment, and rewards you at the end"/>
    <x v="338"/>
    <s v="Manager who explains what is expected, sets a goal and helps achieve it"/>
    <x v="3"/>
    <x v="3"/>
  </r>
  <r>
    <d v="2023-04-29T15:31:55"/>
    <s v="India"/>
    <n v="421103"/>
    <x v="0"/>
    <s v="Influencers who had successful careers"/>
    <s v="Yes, I will earn and do that"/>
    <s v="This will be hard to do, but if it is the right company I would try"/>
    <s v="No"/>
    <s v="Will NOT work for them"/>
    <n v="7"/>
    <s v="Fully Remote with Options to travel as and when needed"/>
    <s v="Employer who pushes your limits by enabling an learning environment, and rewards you at the end"/>
    <x v="385"/>
    <s v="Manager who explains what is expected, sets a goal and helps achieve it"/>
    <x v="6"/>
    <x v="3"/>
  </r>
  <r>
    <d v="2023-04-29T15:34:17"/>
    <s v="India"/>
    <n v="751012"/>
    <x v="1"/>
    <s v="People who have changed the world for better"/>
    <s v="No I would not be pursuing Higher Education outside of India"/>
    <s v="Will work for 3 years or more"/>
    <s v="No"/>
    <s v="Will NOT work for them"/>
    <n v="6"/>
    <s v="Fully Remote with Options to travel as and when needed"/>
    <s v="Employer who pushes your limits by enabling an learning environment, and rewards you at the end"/>
    <x v="404"/>
    <s v="Manager who explains what is expected, sets a goal and helps achieve it"/>
    <x v="13"/>
    <x v="0"/>
  </r>
  <r>
    <d v="2023-04-29T15:36:38"/>
    <s v="India"/>
    <n v="560107"/>
    <x v="0"/>
    <s v="People who have changed the world for better"/>
    <s v="Yes, I will earn and do that"/>
    <s v="This will be hard to do, but if it is the right company I would try"/>
    <s v="No"/>
    <s v="Will work for them"/>
    <n v="7"/>
    <s v="Hybrid Working Environment with more than 15 days a month at office"/>
    <s v="Employer who pushes your limits by enabling an learning environment, and rewards you at the end"/>
    <x v="125"/>
    <s v="Manager who sets goal and helps me achieve it"/>
    <x v="12"/>
    <x v="3"/>
  </r>
  <r>
    <d v="2023-04-29T15:43:07"/>
    <s v="India"/>
    <n v="590005"/>
    <x v="0"/>
    <s v="Social Media like LinkedIn"/>
    <s v="No I would not be pursuing Higher Education outside of India"/>
    <s v="Will work for 3 years or more"/>
    <s v="No"/>
    <s v="Will NOT work for them"/>
    <n v="6"/>
    <s v="Hybrid Working Environment with less than 3 days a month at office"/>
    <s v="Employer who pushes your limits by enabling an learning environment, and rewards you at the end"/>
    <x v="532"/>
    <s v="Manager who explains what is expected, sets a goal and helps achieve it"/>
    <x v="7"/>
    <x v="0"/>
  </r>
  <r>
    <d v="2023-04-29T15:43:17"/>
    <s v="India"/>
    <n v="533201"/>
    <x v="0"/>
    <s v="People from my circle, but not family members"/>
    <s v="No I would not be pursuing Higher Education outside of India"/>
    <s v="Will work for 3 years or more"/>
    <s v="No"/>
    <s v="Will NOT work for them"/>
    <n v="1"/>
    <s v="Every Day Office Environment"/>
    <s v="Employer who pushes your limits by enabling an learning environment, and rewards you at the end"/>
    <x v="533"/>
    <s v="Manager who explains what is expected, sets a goal and helps achieve it"/>
    <x v="7"/>
    <x v="3"/>
  </r>
  <r>
    <d v="2023-04-29T15:47:10"/>
    <s v="India"/>
    <n v="560038"/>
    <x v="0"/>
    <s v="People from my circle, but not family members"/>
    <s v="No I would not be pursuing Higher Education outside of India"/>
    <s v="This will be hard to do, but if it is the right company I would try"/>
    <s v="Yes"/>
    <s v="Will NOT work for them"/>
    <n v="4"/>
    <s v="Every Day Office Environment"/>
    <s v="Employer who pushes your limits by enabling an learning environment, and rewards you at the end"/>
    <x v="353"/>
    <s v="Manager who explains what is expected, sets a goal and helps achieve it"/>
    <x v="3"/>
    <x v="3"/>
  </r>
  <r>
    <d v="2023-04-29T16:07:16"/>
    <s v="India"/>
    <n v="400103"/>
    <x v="1"/>
    <s v="My Parents"/>
    <s v="No I would not be pursuing Higher Education outside of India"/>
    <s v="Will work for 3 years or more"/>
    <s v="Yes"/>
    <s v="Will NOT work for them"/>
    <n v="7"/>
    <s v="Fully Remote with Options to travel as and when needed"/>
    <s v="Employer who pushes your limits by enabling an learning environment, and rewards you at the end"/>
    <x v="109"/>
    <s v="Manager who explains what is expected, sets a goal and helps achieve it"/>
    <x v="14"/>
    <x v="3"/>
  </r>
  <r>
    <d v="2023-04-29T16:28:57"/>
    <s v="India"/>
    <n v="410210"/>
    <x v="0"/>
    <s v="People from my circle, but not family members"/>
    <s v="No I would not be pursuing Higher Education outside of India"/>
    <s v="Will work for 3 years or more"/>
    <s v="Yes"/>
    <s v="Will NOT work for them"/>
    <n v="8"/>
    <s v="Fully Remote with Options to travel as and when needed"/>
    <s v="Employer who pushes your limits by enabling an learning environment, and rewards you at the end"/>
    <x v="433"/>
    <s v="Manager who explains what is expected, sets a goal and helps achieve it"/>
    <x v="7"/>
    <x v="3"/>
  </r>
  <r>
    <d v="2023-04-29T16:34:31"/>
    <s v="India"/>
    <n v="400709"/>
    <x v="0"/>
    <s v="My Parents"/>
    <s v="No I would not be pursuing Higher Education outside of India"/>
    <s v="No way"/>
    <s v="Yes"/>
    <s v="Will work for them"/>
    <n v="10"/>
    <s v="Every Day Office Environment"/>
    <s v="Employer who appreciates learning and enables that environment"/>
    <x v="203"/>
    <s v="Manager who sets goal and helps me achieve it"/>
    <x v="11"/>
    <x v="3"/>
  </r>
  <r>
    <d v="2023-04-29T16:55:34"/>
    <s v="India"/>
    <n v="147003"/>
    <x v="0"/>
    <s v="People from my circle, but not family members"/>
    <s v="No I would not be pursuing Higher Education outside of India"/>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41"/>
    <s v="Manager who explains what is expected, sets a goal and helps achieve it"/>
    <x v="11"/>
    <x v="0"/>
  </r>
  <r>
    <d v="2023-04-29T16:58:43"/>
    <s v="India"/>
    <n v="456010"/>
    <x v="1"/>
    <s v="Social Media like LinkedIn"/>
    <s v="Yes, I will earn and do that"/>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308"/>
    <s v="Manager who sets goal and helps me achieve it"/>
    <x v="2"/>
    <x v="3"/>
  </r>
  <r>
    <d v="2023-04-29T16:59:21"/>
    <s v="India"/>
    <n v="142026"/>
    <x v="1"/>
    <s v="People who have changed the world for better"/>
    <s v="Yes, I will earn and do that"/>
    <s v="Will work for 3 years or more"/>
    <s v="No"/>
    <s v="Will NOT work for them"/>
    <n v="4"/>
    <s v="Fully Remote with Options to travel as and when needed"/>
    <s v="Employer who pushes your limits by enabling an learning environment, and rewards you at the end"/>
    <x v="371"/>
    <s v="Manager who explains what is expected, sets a goal and helps achieve it"/>
    <x v="3"/>
    <x v="3"/>
  </r>
  <r>
    <d v="2023-04-29T17:08:47"/>
    <s v="India"/>
    <n v="605004"/>
    <x v="1"/>
    <s v="Influencers who had successful careers"/>
    <s v="No, But if someone could bare the cost I will"/>
    <s v="This will be hard to do, but if it is the right company I would try"/>
    <s v="No"/>
    <s v="Will NOT work for them"/>
    <n v="8"/>
    <s v="Fully Remote with Options to travel as and when needed"/>
    <s v="Employer who pushes your limits by enabling an learning environment, and rewards you at the end"/>
    <x v="224"/>
    <s v="Manager who explains what is expected, sets a goal and helps achieve it"/>
    <x v="1"/>
    <x v="0"/>
  </r>
  <r>
    <d v="2023-04-29T17:10:22"/>
    <s v="India"/>
    <n v="456010"/>
    <x v="1"/>
    <s v="My Parents"/>
    <s v="No, But if someone could bare the cost I will"/>
    <s v="Will work for 3 years or more"/>
    <s v="No"/>
    <s v="Will NOT work for them"/>
    <n v="1"/>
    <s v="Fully Remote with No option to visit offices"/>
    <s v="Employer who rewards learning and enables that environment"/>
    <x v="243"/>
    <s v="Manager who clearly describes what she/he needs"/>
    <x v="6"/>
    <x v="3"/>
  </r>
  <r>
    <d v="2023-04-29T17:15:39"/>
    <s v="India"/>
    <n v="456006"/>
    <x v="0"/>
    <s v="My Parents"/>
    <s v="Yes, I will earn and do that"/>
    <s v="No way"/>
    <s v="Yes"/>
    <s v="Will work for them"/>
    <n v="1"/>
    <s v="Every Day Office Environment"/>
    <s v="Employer who appreciates learning and enables that environment"/>
    <x v="302"/>
    <s v="Manager who clearly describes what she/he needs"/>
    <x v="3"/>
    <x v="3"/>
  </r>
  <r>
    <d v="2023-04-29T17:18:20"/>
    <s v="India"/>
    <n v="452010"/>
    <x v="0"/>
    <s v="People from my circle, but not family members"/>
    <s v="No I would not be pursuing Higher Education outside of India"/>
    <s v="Will work for 3 years or more"/>
    <s v="No"/>
    <s v="Will NOT work for them"/>
    <n v="10"/>
    <s v="Fully Remote with Options to travel as and when needed"/>
    <s v="Employer who appreciates learning and enables that environment"/>
    <x v="349"/>
    <s v="Manager who explains what is expected, sets a goal and helps achieve it"/>
    <x v="7"/>
    <x v="4"/>
  </r>
  <r>
    <d v="2023-04-29T17:20:56"/>
    <s v="India"/>
    <n v="456010"/>
    <x v="1"/>
    <s v="My Parents"/>
    <s v="Yes, I will earn and do that"/>
    <s v="This will be hard to do, but if it is the right company I would try"/>
    <s v="Yes"/>
    <s v="Will work for them"/>
    <n v="5"/>
    <s v="Hybrid Working Environment with less than 3 days a month at office"/>
    <s v="Employer who pushes your limits by enabling an learning environment, and rewards you at the end"/>
    <x v="179"/>
    <s v="Manager who explains what is expected, sets a goal and helps achieve it"/>
    <x v="15"/>
    <x v="3"/>
  </r>
  <r>
    <d v="2023-04-29T17:36:01"/>
    <s v="India"/>
    <n v="721302"/>
    <x v="1"/>
    <s v="People who have changed the world for better"/>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357"/>
    <s v="Manager who explains what is expected, sets a goal and helps achieve it"/>
    <x v="2"/>
    <x v="3"/>
  </r>
  <r>
    <d v="2023-04-29T17:41:30"/>
    <s v="India"/>
    <n v="731130"/>
    <x v="0"/>
    <s v="My Parents"/>
    <s v="Yes, I will earn and do that"/>
    <s v="This will be hard to do, but if it is the right company I would try"/>
    <s v="Yes"/>
    <s v="Will work for them"/>
    <n v="1"/>
    <s v="Hybrid Working Environment with less than 3 days a month at office"/>
    <s v="Employer who pushes your limits by enabling an learning environment, and rewards you at the end"/>
    <x v="155"/>
    <s v="Manager who clearly describes what she/he needs"/>
    <x v="3"/>
    <x v="3"/>
  </r>
  <r>
    <d v="2023-04-29T17:43:37"/>
    <s v="India"/>
    <n v="600049"/>
    <x v="1"/>
    <s v="Influencers who had successful careers"/>
    <s v="Yes, I will earn and do that"/>
    <s v="Will work for 3 years or more"/>
    <s v="No"/>
    <s v="Will NOT work for them"/>
    <n v="5"/>
    <s v="Hybrid Working Environment with less than 3 days a month at office"/>
    <s v="Employer who rewards learning and enables that environment"/>
    <x v="382"/>
    <s v="Manager who explains what is expected, sets a goal and helps achieve it"/>
    <x v="4"/>
    <x v="3"/>
  </r>
  <r>
    <d v="2023-04-29T17:46:34"/>
    <s v="India"/>
    <n v="781014"/>
    <x v="0"/>
    <s v="People from my circle, but not family members"/>
    <s v="No I would not be pursuing Higher Education outside of India"/>
    <s v="Will work for 3 years or more"/>
    <s v="No"/>
    <s v="Will NOT work for them"/>
    <n v="5"/>
    <s v="Hybrid Working Environment with more than 15 days a month at office"/>
    <s v="Employer who pushes your limits by enabling an learning environment, and rewards you at the end"/>
    <x v="288"/>
    <s v="Manager who explains what is expected, sets a goal and helps achieve it"/>
    <x v="14"/>
    <x v="0"/>
  </r>
  <r>
    <d v="2023-04-29T17:58:50"/>
    <s v="India"/>
    <n v="144602"/>
    <x v="0"/>
    <s v="People from my circle, but not family members"/>
    <s v="Yes, I will earn and do that"/>
    <s v="This will be hard to do, but if it is the right company I would try"/>
    <s v="No"/>
    <s v="Will NOT work for them"/>
    <n v="9"/>
    <s v="Hybrid Working Environment with more than 15 days a month at office"/>
    <s v="Employer who pushes your limits by enabling an learning environment, and rewards you at the end"/>
    <x v="277"/>
    <s v="Manager who explains what is expected, sets a goal and helps achieve it"/>
    <x v="1"/>
    <x v="3"/>
  </r>
  <r>
    <d v="2023-04-29T17:58:52"/>
    <s v="India"/>
    <n v="110006"/>
    <x v="0"/>
    <s v="Social Media like LinkedIn"/>
    <s v="No I would not be pursuing Higher Education outside of India"/>
    <s v="This will be hard to do, but if it is the right company I would try"/>
    <s v="No"/>
    <s v="Will NOT work for them"/>
    <n v="8"/>
    <s v="Hybrid Working Environment with more than 15 days a month at office"/>
    <s v="Employer who pushes your limits by enabling an learning environment, and rewards you at the end"/>
    <x v="109"/>
    <s v="Manager who clearly describes what she/he needs"/>
    <x v="7"/>
    <x v="0"/>
  </r>
  <r>
    <d v="2023-04-29T17:59:13"/>
    <s v="India"/>
    <n v="452009"/>
    <x v="1"/>
    <s v="Influencers who had successful careers"/>
    <s v="Yes, I will earn and do that"/>
    <s v="This will be hard to do, but if it is the right company I would try"/>
    <s v="No"/>
    <s v="Will NOT work for them"/>
    <n v="5"/>
    <s v="Fully Remote with Options to travel as and when needed"/>
    <s v="Employer who appreciates learning and enables that environment"/>
    <x v="371"/>
    <s v="Manager who explains what is expected, sets a goal and helps achieve it"/>
    <x v="3"/>
    <x v="3"/>
  </r>
  <r>
    <d v="2023-04-29T17:59:20"/>
    <s v="India"/>
    <n v="456010"/>
    <x v="1"/>
    <s v="People who have changed the world for better"/>
    <s v="No, But if someone could bare the cost I will"/>
    <s v="Will work for 3 years or more"/>
    <s v="Yes"/>
    <s v="Will NOT work for them"/>
    <n v="7"/>
    <s v="Fully Remote with Options to travel as and when needed"/>
    <s v="Employer who pushes your limits by enabling an learning environment, and rewards you at the end"/>
    <x v="276"/>
    <s v="Manager who sets goal and helps me achieve it"/>
    <x v="3"/>
    <x v="3"/>
  </r>
  <r>
    <d v="2023-04-29T18:02:18"/>
    <s v="India"/>
    <n v="400067"/>
    <x v="1"/>
    <s v="People from my circle, but not family members"/>
    <s v="Yes, I will earn and do that"/>
    <s v="This will be hard to do, but if it is the right company I would try"/>
    <s v="No"/>
    <s v="Will NOT work for them"/>
    <n v="5"/>
    <s v="Fully Remote with Options to travel as and when needed"/>
    <s v="Employer who pushes your limits by enabling an learning environment, and rewards you at the end"/>
    <x v="163"/>
    <s v="Manager who explains what is expected, sets a goal and helps achieve it"/>
    <x v="4"/>
    <x v="0"/>
  </r>
  <r>
    <d v="2023-04-29T18:08:38"/>
    <s v="India"/>
    <n v="713212"/>
    <x v="1"/>
    <s v="People from my circle, but not family members"/>
    <s v="Yes, I will earn and do that"/>
    <s v="Will work for 3 years or more"/>
    <s v="No"/>
    <s v="Will NOT work for them"/>
    <n v="1"/>
    <s v="Every Day Office Environment"/>
    <s v="Employer who rewards learning and enables that environment"/>
    <x v="534"/>
    <s v="Manager who explains what is expected, sets a goal and helps achieve it"/>
    <x v="3"/>
    <x v="3"/>
  </r>
  <r>
    <d v="2023-04-29T18:13:20"/>
    <s v="Others"/>
    <n v="641183"/>
    <x v="0"/>
    <s v="Social Media like LinkedIn"/>
    <s v="Yes, I will earn and do that"/>
    <s v="This will be hard to do, but if it is the right company I would try"/>
    <s v="No"/>
    <s v="Will work for them"/>
    <n v="7"/>
    <s v="Hybrid Working Environment with more than 15 days a month at office"/>
    <s v="Employer who pushes your limits by enabling an learning environment, and rewards you at the end"/>
    <x v="121"/>
    <s v="Manager who explains what is expected, sets a goal and helps achieve it"/>
    <x v="2"/>
    <x v="3"/>
  </r>
  <r>
    <d v="2023-04-29T18:24:49"/>
    <s v="India"/>
    <n v="560001"/>
    <x v="0"/>
    <s v="People from my circle, but not family members"/>
    <s v="Yes, I will earn and do that"/>
    <s v="Will work for 3 years or more"/>
    <s v="No"/>
    <s v="Will NOT work for them"/>
    <n v="3"/>
    <s v="Hybrid Working Environment with less than 3 days a month at office"/>
    <s v="Employer who appreciates learning and enables that environment"/>
    <x v="235"/>
    <s v="Manager who sets targets and expects me to achieve it"/>
    <x v="9"/>
    <x v="2"/>
  </r>
  <r>
    <d v="2023-04-29T18:26:23"/>
    <s v="India"/>
    <n v="533201"/>
    <x v="1"/>
    <s v="People from my circle, but not family members"/>
    <s v="No I would not be pursuing Higher Education outside of India"/>
    <s v="This will be hard to do, but if it is the right company I would try"/>
    <s v="No"/>
    <s v="Will NOT work for them"/>
    <n v="10"/>
    <s v="Fully Remote with No option to visit offices"/>
    <s v="Employer who appreciates learning and enables that environment"/>
    <x v="416"/>
    <s v="Manager who explains what is expected, sets a goal and helps achieve it"/>
    <x v="7"/>
    <x v="3"/>
  </r>
  <r>
    <d v="2023-04-29T18:32:19"/>
    <s v="India"/>
    <n v="456010"/>
    <x v="0"/>
    <s v="My Parents"/>
    <s v="No, But if someone could bare the cost I will"/>
    <s v="Will work for 3 years or more"/>
    <s v="No"/>
    <s v="Will NOT work for them"/>
    <n v="4"/>
    <s v="Every Day Office Environment"/>
    <s v="Employer who appreciates learning and enables that environment"/>
    <x v="392"/>
    <s v="Manager who sets goal and helps me achieve it"/>
    <x v="7"/>
    <x v="3"/>
  </r>
  <r>
    <d v="2023-04-29T18:46:16"/>
    <s v="India"/>
    <n v="122008"/>
    <x v="0"/>
    <s v="My Parents"/>
    <s v="No, But if someone could bare the cost I will"/>
    <s v="Will work for 3 years or more"/>
    <s v="No"/>
    <s v="Will NOT work for them"/>
    <n v="8"/>
    <s v="Hybrid Working Environment with more than 15 days a month at office"/>
    <s v="Employer who pushes your limits by enabling an learning environment, and rewards you at the end"/>
    <x v="188"/>
    <s v="Manager who explains what is expected, sets a goal and helps achieve it"/>
    <x v="7"/>
    <x v="3"/>
  </r>
  <r>
    <d v="2023-04-29T19:03:14"/>
    <s v="India"/>
    <n v="160062"/>
    <x v="1"/>
    <s v="Influencers who had successful careers"/>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218"/>
    <s v="Manager who explains what is expected, sets a goal and helps achieve it"/>
    <x v="1"/>
    <x v="3"/>
  </r>
  <r>
    <d v="2023-04-29T19:07:43"/>
    <s v="India"/>
    <n v="400703"/>
    <x v="0"/>
    <s v="My Parents"/>
    <s v="No, But if someone could bare the cost I will"/>
    <s v="Will work for 3 years or more"/>
    <s v="Yes"/>
    <s v="Will work for them"/>
    <n v="8"/>
    <s v="Hybrid Working Environment with more than 15 days a month at office"/>
    <s v="Employer who pushes your limits by enabling an learning environment, and rewards you at the end"/>
    <x v="356"/>
    <s v="Manager who explains what is expected, sets a goal and helps achieve it"/>
    <x v="4"/>
    <x v="0"/>
  </r>
  <r>
    <d v="2023-04-29T19:08:52"/>
    <s v="India"/>
    <n v="110019"/>
    <x v="1"/>
    <s v="My Parents"/>
    <s v="Yes, I will earn and do that"/>
    <s v="This will be hard to do, but if it is the right company I would try"/>
    <s v="Yes"/>
    <s v="Will NOT work for them"/>
    <n v="5"/>
    <s v="Fully Remote with Options to travel as and when needed"/>
    <s v="Employer who pushes your limits by enabling an learning environment, and rewards you at the end"/>
    <x v="224"/>
    <s v="Manager who explains what is expected, sets a goal and helps achieve it"/>
    <x v="3"/>
    <x v="3"/>
  </r>
  <r>
    <d v="2023-04-29T19:14:46"/>
    <s v="India"/>
    <n v="410206"/>
    <x v="0"/>
    <s v="My Parents"/>
    <s v="Yes, I will earn and do that"/>
    <s v="Will work for 3 years or more"/>
    <s v="No"/>
    <s v="Will NOT work for them"/>
    <n v="3"/>
    <s v="Hybrid Working Environment with more than 15 days a month at office"/>
    <s v="Employer who appreciates learning and enables that environment"/>
    <x v="535"/>
    <s v="Manager who explains what is expected, sets a goal and helps achieve it"/>
    <x v="3"/>
    <x v="3"/>
  </r>
  <r>
    <d v="2023-04-29T19:18:36"/>
    <s v="India"/>
    <n v="533262"/>
    <x v="0"/>
    <s v="My Parents"/>
    <s v="No, But if someone could bare the cost I will"/>
    <s v="Will work for 3 years or more"/>
    <s v="No"/>
    <s v="Will NOT work for them"/>
    <n v="5"/>
    <s v="Every Day Office Environment"/>
    <s v="Employer who appreciates learning and enables that environment"/>
    <x v="536"/>
    <s v="Manager who explains what is expected, sets a goal and helps achieve it"/>
    <x v="2"/>
    <x v="3"/>
  </r>
  <r>
    <d v="2023-04-29T19:31:15"/>
    <s v="India"/>
    <n v="400050"/>
    <x v="1"/>
    <s v="People from my circle, but not family members"/>
    <s v="No I would not be pursuing Higher Education outside of India"/>
    <s v="This will be hard to do, but if it is the right company I would try"/>
    <s v="No"/>
    <s v="Will NOT work for them"/>
    <n v="7"/>
    <s v="Fully Remote with Options to travel as and when needed"/>
    <s v="Employer who rewards learning and enables that environment"/>
    <x v="458"/>
    <s v="Manager who explains what is expected, sets a goal and helps achieve it"/>
    <x v="2"/>
    <x v="0"/>
  </r>
  <r>
    <d v="2023-04-29T19:40:39"/>
    <s v="India"/>
    <n v="700118"/>
    <x v="0"/>
    <s v="People who have changed the world for better"/>
    <s v="No I would not be pursuing Higher Education outside of India"/>
    <s v="This will be hard to do, but if it is the right company I would try"/>
    <s v="No"/>
    <s v="Will NOT work for them"/>
    <n v="1"/>
    <s v="Hybrid Working Environment with more than 15 days a month at office"/>
    <s v="Employer who appreciates learning and enables that environment"/>
    <x v="132"/>
    <s v="Manager who sets goal and helps me achieve it"/>
    <x v="1"/>
    <x v="3"/>
  </r>
  <r>
    <d v="2023-04-29T19:48:19"/>
    <s v="India"/>
    <n v="605010"/>
    <x v="1"/>
    <s v="Influencers who had successful careers"/>
    <s v="No, But if someone could bare the cost I will"/>
    <s v="Will work for 3 years or more"/>
    <s v="No"/>
    <s v="Will NOT work for them"/>
    <n v="3"/>
    <s v="Hybrid Working Environment with more than 15 days a month at office"/>
    <s v="Employer who rewards learning and enables that environment"/>
    <x v="537"/>
    <s v="Manager who explains what is expected, sets a goal and helps achieve it"/>
    <x v="1"/>
    <x v="0"/>
  </r>
  <r>
    <d v="2023-04-29T19:49:40"/>
    <s v="Others"/>
    <n v="2145"/>
    <x v="1"/>
    <s v="People who have changed the world for better"/>
    <s v="No, But if someone could bare the cost I will"/>
    <s v="This will be hard to do, but if it is the right company I would try"/>
    <s v="No"/>
    <s v="Will NOT work for them"/>
    <n v="1"/>
    <s v="Fully Remote with Options to travel as and when needed"/>
    <s v="Employer who rewards learning and enables that environment"/>
    <x v="538"/>
    <s v="Manager who explains what is expected, sets a goal and helps achieve it"/>
    <x v="1"/>
    <x v="3"/>
  </r>
  <r>
    <d v="2023-04-29T20:08:38"/>
    <s v="India"/>
    <n v="600004"/>
    <x v="1"/>
    <s v="My Parents"/>
    <s v="No I would not be pursuing Higher Education outside of India"/>
    <s v="This will be hard to do, but if it is the right company I would try"/>
    <s v="No"/>
    <s v="Will NOT work for them"/>
    <n v="1"/>
    <s v="Every Day Office Environment"/>
    <s v="Employer who rewards learning and enables that environment"/>
    <x v="160"/>
    <s v="Manager who sets targets and expects me to achieve it"/>
    <x v="7"/>
    <x v="3"/>
  </r>
  <r>
    <d v="2023-04-29T20:09:54"/>
    <s v="Canada"/>
    <s v="V5Z3G7"/>
    <x v="0"/>
    <s v="People from my circle, but not family members"/>
    <s v="Yes, I will earn and do that"/>
    <s v="Will work for 3 years or more"/>
    <s v="No"/>
    <s v="Will NOT work for them"/>
    <n v="6"/>
    <s v="Every Day Office Environment"/>
    <s v="Employer who appreciates learning and enables that environment"/>
    <x v="539"/>
    <s v="Manager who clearly describes what she/he needs"/>
    <x v="15"/>
    <x v="3"/>
  </r>
  <r>
    <d v="2023-04-29T20:12:28"/>
    <s v="India"/>
    <n v="110076"/>
    <x v="1"/>
    <s v="People from my circle, but not family members"/>
    <s v="Yes, I will earn and do that"/>
    <s v="Will work for 3 years or more"/>
    <s v="No"/>
    <s v="Will NOT work for them"/>
    <n v="3"/>
    <s v="Hybrid Working Environment with more than 15 days a month at office"/>
    <s v="Employer who rewards learning and enables that environment"/>
    <x v="540"/>
    <s v="Manager who explains what is expected, sets a goal and helps achieve it"/>
    <x v="1"/>
    <x v="0"/>
  </r>
  <r>
    <d v="2023-04-29T20:12:34"/>
    <s v="India"/>
    <n v="500003"/>
    <x v="1"/>
    <s v="People from my circle, but not family members"/>
    <s v="No I would not be pursuing Higher Education outside of India"/>
    <s v="No way"/>
    <s v="No"/>
    <s v="Will work for them"/>
    <n v="7"/>
    <s v="Fully Remote with Options to travel as and when needed"/>
    <s v="Employer who pushes your limits by enabling an learning environment, and rewards you at the end"/>
    <x v="239"/>
    <s v="Manager who clearly describes what she/he needs"/>
    <x v="3"/>
    <x v="0"/>
  </r>
  <r>
    <d v="2023-04-29T20:13:15"/>
    <s v="India"/>
    <n v="160062"/>
    <x v="0"/>
    <s v="My Parents"/>
    <s v="No, But if someone could bare the cost I will"/>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214"/>
    <s v="Manager who explains what is expected, sets a goal and helps achieve it"/>
    <x v="1"/>
    <x v="0"/>
  </r>
  <r>
    <d v="2023-04-29T20:13:17"/>
    <s v="India"/>
    <n v="505001"/>
    <x v="1"/>
    <s v="People who have changed the world for better"/>
    <s v="Yes, I will earn and do that"/>
    <s v="This will be hard to do, but if it is the right company I would try"/>
    <s v="No"/>
    <s v="Will NOT work for them"/>
    <n v="7"/>
    <s v="Hybrid Working Environment with less than 3 days a month at office"/>
    <s v="Employer who pushes your limits by enabling an learning environment, and rewards you at the end"/>
    <x v="245"/>
    <s v="Manager who sets goal and helps me achieve it"/>
    <x v="4"/>
    <x v="3"/>
  </r>
  <r>
    <d v="2023-04-29T20:14:34"/>
    <s v="India"/>
    <n v="160062"/>
    <x v="0"/>
    <s v="Social Media like LinkedIn"/>
    <s v="No, But if someone could bare the cost I will"/>
    <s v="This will be hard to do, but if it is the right company I would try"/>
    <s v="No"/>
    <s v="Will NOT work for them"/>
    <n v="1"/>
    <s v="Fully Remote with Options to travel as and when needed"/>
    <s v="Employer who pushes your limits by enabling an learning environment, and rewards you at the end"/>
    <x v="541"/>
    <s v="Manager who explains what is expected, sets a goal and helps achieve it"/>
    <x v="3"/>
    <x v="3"/>
  </r>
  <r>
    <d v="2023-04-29T20:19:27"/>
    <s v="India"/>
    <n v="533262"/>
    <x v="0"/>
    <s v="People from my circle, but not family members"/>
    <s v="No I would not be pursuing Higher Education outside of India"/>
    <s v="This will be hard to do, but if it is the right company I would try"/>
    <s v="Yes"/>
    <s v="Will work for them"/>
    <n v="4"/>
    <s v="Hybrid Working Environment with less than 3 days a month at office"/>
    <s v="Employer who appreciates learning and enables that environment"/>
    <x v="186"/>
    <s v="Manager who explains what is expected, sets a goal and helps achieve it"/>
    <x v="4"/>
    <x v="0"/>
  </r>
  <r>
    <d v="2023-04-29T20:22:00"/>
    <s v="India"/>
    <n v="505001"/>
    <x v="0"/>
    <s v="My Parents"/>
    <s v="No, But if someone could bare the cost I will"/>
    <s v="This will be hard to do, but if it is the right company I would try"/>
    <s v="No"/>
    <s v="Will NOT work for them"/>
    <n v="5"/>
    <s v="Every Day Office Environment"/>
    <s v="Employer who pushes your limits by enabling an learning environment, and rewards you at the end"/>
    <x v="167"/>
    <s v="Manager who explains what is expected, sets a goal and helps achieve it"/>
    <x v="1"/>
    <x v="2"/>
  </r>
  <r>
    <d v="2023-04-29T20:22:23"/>
    <s v="India"/>
    <n v="533005"/>
    <x v="0"/>
    <s v="My Parents"/>
    <s v="Yes, I will earn and do that"/>
    <s v="This will be hard to do, but if it is the right company I would try"/>
    <s v="Yes"/>
    <s v="Will work for them"/>
    <n v="2"/>
    <s v="Fully Remote with Options to travel as and when needed"/>
    <s v="Employer who pushes your limits by enabling an learning environment, and rewards you at the end"/>
    <x v="542"/>
    <s v="Manager who explains what is expected, sets a goal and helps achieve it"/>
    <x v="1"/>
    <x v="0"/>
  </r>
  <r>
    <d v="2023-04-29T20:22:50"/>
    <s v="India"/>
    <n v="500026"/>
    <x v="1"/>
    <s v="My Parents"/>
    <s v="Yes, I will earn and do that"/>
    <s v="This will be hard to do, but if it is the right company I would try"/>
    <s v="No"/>
    <s v="Will work for them"/>
    <n v="6"/>
    <s v="Fully Remote with Options to travel as and when needed"/>
    <s v="Employer who appreciates learning and enables that environment"/>
    <x v="274"/>
    <s v="Manager who sets targets and expects me to achieve it"/>
    <x v="24"/>
    <x v="3"/>
  </r>
  <r>
    <d v="2023-04-29T20:23:50"/>
    <s v="India"/>
    <n v="533262"/>
    <x v="1"/>
    <s v="My Parents"/>
    <s v="Yes, I will earn and do that"/>
    <s v="Will work for 3 years or more"/>
    <s v="Yes"/>
    <s v="Will work for them"/>
    <n v="3"/>
    <s v="Every Day Office Environment"/>
    <s v="Employer who appreciates learning and enables that environment"/>
    <x v="143"/>
    <s v="Manager who clearly describes what she/he needs"/>
    <x v="1"/>
    <x v="3"/>
  </r>
  <r>
    <d v="2023-04-29T20:24:02"/>
    <s v="India"/>
    <n v="110060"/>
    <x v="0"/>
    <s v="People who have changed the world for better"/>
    <s v="No I would not be pursuing Higher Education outside of India"/>
    <s v="No way"/>
    <s v="No"/>
    <s v="Will NOT work for them"/>
    <n v="1"/>
    <s v="Hybrid Working Environment with less than 3 days a month at office"/>
    <s v="Employer who appreciates learning and enables that environment"/>
    <x v="193"/>
    <s v="Manager who clearly describes what she/he needs"/>
    <x v="6"/>
    <x v="3"/>
  </r>
  <r>
    <d v="2023-04-29T20:29:08"/>
    <s v="India"/>
    <n v="500009"/>
    <x v="0"/>
    <s v="My Parents"/>
    <s v="Yes, I will earn and do that"/>
    <s v="This will be hard to do, but if it is the right company I would try"/>
    <s v="No"/>
    <s v="Will NOT work for them"/>
    <n v="6"/>
    <s v="Every Day Office Environment"/>
    <s v="Employer who pushes your limits by enabling an learning environment, and rewards you at the end"/>
    <x v="161"/>
    <s v="Manager who clearly describes what she/he needs"/>
    <x v="4"/>
    <x v="0"/>
  </r>
  <r>
    <d v="2023-04-29T20:30:37"/>
    <s v="India"/>
    <n v="500057"/>
    <x v="1"/>
    <s v="My Parents"/>
    <s v="No, But if someone could bare the cost I will"/>
    <s v="This will be hard to do, but if it is the right company I would try"/>
    <s v="No"/>
    <s v="Will NOT work for them"/>
    <n v="10"/>
    <s v="Every Day Office Environment"/>
    <s v="Employer who rewards learning and enables that environment"/>
    <x v="109"/>
    <s v="Manager who explains what is expected, sets a goal and helps achieve it"/>
    <x v="6"/>
    <x v="3"/>
  </r>
  <r>
    <d v="2023-04-29T20:30:38"/>
    <s v="India"/>
    <n v="500083"/>
    <x v="0"/>
    <s v="Influencers who had successful careers"/>
    <s v="No, But if someone could bare the cost I will"/>
    <s v="This will be hard to do, but if it is the right company I would try"/>
    <s v="No"/>
    <s v="Will work for them"/>
    <n v="10"/>
    <s v="Hybrid Working Environment with more than 15 days a month at office"/>
    <s v="Employer who rewards learning and enables that environment"/>
    <x v="281"/>
    <s v="Manager who explains what is expected, sets a goal and helps achieve it"/>
    <x v="2"/>
    <x v="3"/>
  </r>
  <r>
    <d v="2023-04-29T20:33:27"/>
    <s v="India"/>
    <n v="411028"/>
    <x v="0"/>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450"/>
    <s v="Manager who explains what is expected, sets a goal and helps achieve it"/>
    <x v="8"/>
    <x v="0"/>
  </r>
  <r>
    <d v="2023-04-29T20:36:51"/>
    <s v="India"/>
    <n v="533005"/>
    <x v="0"/>
    <s v="People from my circle, but not family members"/>
    <s v="No, But if someone could bare the cost I will"/>
    <s v="This will be hard to do, but if it is the right company I would try"/>
    <s v="Yes"/>
    <s v="Will NOT work for them"/>
    <n v="4"/>
    <s v="Hybrid Working Environment with more than 15 days a month at office"/>
    <s v="Employer who pushes your limits by enabling an learning environment, and rewards you at the end"/>
    <x v="153"/>
    <s v="Manager who explains what is expected, sets a goal and helps achieve it"/>
    <x v="11"/>
    <x v="3"/>
  </r>
  <r>
    <d v="2023-04-29T20:39:29"/>
    <s v="India"/>
    <n v="505001"/>
    <x v="1"/>
    <s v="My Parents"/>
    <s v="No I would not be pursuing Higher Education outside of India"/>
    <s v="This will be hard to do, but if it is the right company I would try"/>
    <s v="No"/>
    <s v="Will NOT work for them"/>
    <n v="1"/>
    <s v="Fully Remote with No option to visit offices"/>
    <s v="Employer who appreciates learning and enables that environment"/>
    <x v="132"/>
    <s v="Manager who explains what is expected, sets a goal and helps achieve it"/>
    <x v="1"/>
    <x v="3"/>
  </r>
  <r>
    <d v="2023-04-29T20:43:28"/>
    <s v="India"/>
    <n v="500029"/>
    <x v="0"/>
    <s v="My Parents"/>
    <s v="Yes, I will earn and do that"/>
    <s v="Will work for 3 years or more"/>
    <s v="Yes"/>
    <s v="Will NOT work for them"/>
    <n v="7"/>
    <s v="Hybrid Working Environment with more than 15 days a month at office"/>
    <s v="Employer who pushes your limits by enabling an learning environment, and rewards you at the end"/>
    <x v="179"/>
    <s v="Manager who sets goal and helps me achieve it"/>
    <x v="1"/>
    <x v="0"/>
  </r>
  <r>
    <d v="2023-04-29T20:45:36"/>
    <s v="India"/>
    <n v="500094"/>
    <x v="1"/>
    <s v="My Parents"/>
    <s v="Yes, I will earn and do that"/>
    <s v="This will be hard to do, but if it is the right company I would try"/>
    <s v="No"/>
    <s v="Will work for them"/>
    <n v="3"/>
    <s v="Fully Remote with Options to travel as and when needed"/>
    <s v="Employer who pushes your limits by enabling an learning environment, and rewards you at the end"/>
    <x v="308"/>
    <s v="Manager who sets goal and helps me achieve it"/>
    <x v="3"/>
    <x v="0"/>
  </r>
  <r>
    <d v="2023-04-29T20:52:34"/>
    <s v="India"/>
    <n v="522501"/>
    <x v="1"/>
    <s v="People who have changed the world for better"/>
    <s v="No I would not be pursuing Higher Education outside of India"/>
    <s v="This will be hard to do, but if it is the right company I would try"/>
    <s v="No"/>
    <s v="Will NOT work for them"/>
    <n v="5"/>
    <s v="Fully Remote with No option to visit offices"/>
    <s v="Employer who pushes your limits by enabling an learning environment, and rewards you at the end"/>
    <x v="543"/>
    <s v="Manager who clearly describes what she/he needs"/>
    <x v="1"/>
    <x v="3"/>
  </r>
  <r>
    <d v="2023-04-29T20:57:47"/>
    <s v="India"/>
    <n v="125111"/>
    <x v="1"/>
    <s v="My Parents"/>
    <s v="Yes, I will earn and do that"/>
    <s v="Will work for 3 years or more"/>
    <s v="Yes"/>
    <s v="Will work for them"/>
    <n v="6"/>
    <s v="Fully Remote with No option to visit offices"/>
    <s v="Employer who pushes your limits by enabling an learning environment, and rewards you at the end"/>
    <x v="353"/>
    <s v="Manager who explains what is expected, sets a goal and helps achieve it"/>
    <x v="6"/>
    <x v="3"/>
  </r>
  <r>
    <d v="2023-04-29T20:58:18"/>
    <s v="India"/>
    <n v="505524"/>
    <x v="0"/>
    <s v="People who have changed the world for better"/>
    <s v="No I would not be pursuing Higher Education outside of India"/>
    <s v="Will work for 3 years or more"/>
    <s v="No"/>
    <s v="Will work for them"/>
    <n v="5"/>
    <s v="Hybrid Working Environment with more than 15 days a month at office"/>
    <s v="Employer who appreciates learning and enables that environment"/>
    <x v="179"/>
    <s v="Manager who explains what is expected, sets a goal and helps achieve it"/>
    <x v="1"/>
    <x v="3"/>
  </r>
  <r>
    <d v="2023-04-29T20:58:25"/>
    <s v="India"/>
    <n v="500019"/>
    <x v="0"/>
    <s v="People from my circle, but not family members"/>
    <s v="No, But if someone could bare the cost I will"/>
    <s v="No way"/>
    <s v="No"/>
    <s v="Will NOT work for them"/>
    <n v="8"/>
    <s v="Hybrid Working Environment with less than 3 days a month at office"/>
    <s v="Employer who pushes your limits by enabling an learning environment, and rewards you at the end"/>
    <x v="325"/>
    <s v="Manager who sets goal and helps me achieve it"/>
    <x v="4"/>
    <x v="3"/>
  </r>
  <r>
    <d v="2023-04-29T21:00:00"/>
    <s v="India"/>
    <n v="508101"/>
    <x v="1"/>
    <s v="Influencers who had successful careers"/>
    <s v="Yes, I will earn and do that"/>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358"/>
    <s v="Manager who explains what is expected, sets a goal and helps achieve it"/>
    <x v="15"/>
    <x v="3"/>
  </r>
  <r>
    <d v="2023-04-29T21:01:39"/>
    <s v="India"/>
    <n v="452001"/>
    <x v="0"/>
    <s v="My Parents"/>
    <s v="No I would not be pursuing Higher Education outside of India"/>
    <s v="Will work for 3 years or more"/>
    <s v="No"/>
    <s v="Will NOT work for them"/>
    <n v="1"/>
    <s v="Hybrid Working Environment with more than 15 days a month at office"/>
    <s v="Employer who appreciates learning and enables that environment"/>
    <x v="198"/>
    <s v="Manager who sets targets and expects me to achieve it"/>
    <x v="3"/>
    <x v="3"/>
  </r>
  <r>
    <d v="2023-04-29T21:02:25"/>
    <s v="India"/>
    <n v="500013"/>
    <x v="0"/>
    <s v="People from my circle, but not family members"/>
    <s v="Yes, I will earn and do that"/>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544"/>
    <s v="Manager who explains what is expected, sets a goal and helps achieve it"/>
    <x v="3"/>
    <x v="0"/>
  </r>
  <r>
    <d v="2023-04-29T21:08:33"/>
    <s v="India"/>
    <n v="828116"/>
    <x v="0"/>
    <s v="People from my circle, but not family members"/>
    <s v="No, But if someone could bare the cost I will"/>
    <s v="Will work for 3 years or more"/>
    <s v="Yes"/>
    <s v="Will work for them"/>
    <n v="10"/>
    <s v="Hybrid Working Environment with more than 15 days a month at office"/>
    <s v="Employer who pushes your limits by enabling an learning environment, and rewards you at the end"/>
    <x v="414"/>
    <s v="Manager who explains what is expected, sets a goal and helps achieve it"/>
    <x v="3"/>
    <x v="3"/>
  </r>
  <r>
    <d v="2023-04-29T21:11:04"/>
    <s v="India"/>
    <n v="500011"/>
    <x v="1"/>
    <s v="My Parents"/>
    <s v="No I would not be pursuing Higher Education outside of India"/>
    <s v="This will be hard to do, but if it is the right company I would try"/>
    <s v="Yes"/>
    <s v="Will work for them"/>
    <n v="3"/>
    <s v="Hybrid Working Environment with less than 3 days a month at office"/>
    <s v="Employer who appreciates learning and enables that environment"/>
    <x v="156"/>
    <s v="Manager who clearly describes what she/he needs"/>
    <x v="6"/>
    <x v="3"/>
  </r>
  <r>
    <d v="2023-04-29T21:11:07"/>
    <s v="Canada"/>
    <s v="Xxxxx"/>
    <x v="0"/>
    <s v="People from my circle, but not family members"/>
    <s v="No, But if someone could bare the cost I will"/>
    <s v="This will be hard to do, but if it is the right company I would try"/>
    <s v="No"/>
    <s v="Will NOT work for them"/>
    <n v="5"/>
    <s v="Hybrid Working Environment with more than 15 days a month at office"/>
    <s v="Employer who appreciates learning and enables that environment"/>
    <x v="519"/>
    <s v="Manager who explains what is expected, sets a goal and helps achieve it"/>
    <x v="1"/>
    <x v="2"/>
  </r>
  <r>
    <d v="2023-04-29T21:13:37"/>
    <s v="India"/>
    <n v="500062"/>
    <x v="0"/>
    <s v="People from my circle, but not family members"/>
    <s v="No I would not be pursuing Higher Education outside of India"/>
    <s v="This will be hard to do, but if it is the right company I would try"/>
    <s v="No"/>
    <s v="Will NOT work for them"/>
    <n v="2"/>
    <s v="Hybrid Working Environment with more than 15 days a month at office"/>
    <s v="Employer who appreciates learning and enables that environment"/>
    <x v="217"/>
    <s v="Manager who sets goal and helps me achieve it"/>
    <x v="5"/>
    <x v="0"/>
  </r>
  <r>
    <d v="2023-04-29T21:14:11"/>
    <s v="Canada"/>
    <s v="H3X2V2"/>
    <x v="0"/>
    <s v="My Parents"/>
    <s v="Yes, I will earn and do that"/>
    <s v="Will work for 3 years or more"/>
    <s v="No"/>
    <s v="Will NOT work for them"/>
    <n v="1"/>
    <s v="Hybrid Working Environment with less than 3 days a month at office"/>
    <s v="Employer who pushes your limits by enabling an learning environment, and rewards you at the end"/>
    <x v="453"/>
    <s v="Manager who explains what is expected, sets a goal and helps achieve it"/>
    <x v="8"/>
    <x v="3"/>
  </r>
  <r>
    <d v="2023-04-29T21:14:39"/>
    <s v="India"/>
    <n v="421201"/>
    <x v="0"/>
    <s v="People who have changed the world for better"/>
    <s v="Yes, I will earn and do that"/>
    <s v="This will be hard to do, but if it is the right company I would try"/>
    <s v="No"/>
    <s v="Will NOT work for them"/>
    <n v="5"/>
    <s v="Hybrid Working Environment with more than 15 days a month at office"/>
    <s v="Employer who appreciates learning and enables that environment"/>
    <x v="174"/>
    <s v="Manager who clearly describes what she/he needs"/>
    <x v="1"/>
    <x v="3"/>
  </r>
  <r>
    <d v="2023-04-29T21:16:31"/>
    <s v="Canada"/>
    <s v="Xxxx"/>
    <x v="0"/>
    <s v="My Parents"/>
    <s v="No, But if someone could bare the cost I will"/>
    <s v="Will work for 3 years or more"/>
    <s v="No"/>
    <s v="Will work for them"/>
    <n v="5"/>
    <s v="Hybrid Working Environment with more than 15 days a month at office"/>
    <s v="Employer who pushes your limits and doesn't enables learning environment and never rewards you"/>
    <x v="183"/>
    <s v="Manager who explains what is expected, sets a goal and helps achieve it"/>
    <x v="1"/>
    <x v="0"/>
  </r>
  <r>
    <d v="2023-04-29T21:21:31"/>
    <s v="India"/>
    <n v="110076"/>
    <x v="0"/>
    <s v="People from my circle, but not family members"/>
    <s v="Yes, I will earn and do that"/>
    <s v="Will work for 3 years or more"/>
    <s v="No"/>
    <s v="Will NOT work for them"/>
    <n v="5"/>
    <s v="Every Day Office Environment"/>
    <s v="Employer who pushes your limits by enabling an learning environment, and rewards you at the end"/>
    <x v="245"/>
    <s v="Manager who explains what is expected, sets a goal and helps achieve it"/>
    <x v="7"/>
    <x v="3"/>
  </r>
  <r>
    <d v="2023-04-29T21:21:38"/>
    <s v="India"/>
    <n v="462042"/>
    <x v="0"/>
    <s v="Influencers who had successful careers"/>
    <s v="Yes, I will earn and do that"/>
    <s v="Will work for 3 years or more"/>
    <s v="No"/>
    <s v="Will NOT work for them"/>
    <n v="8"/>
    <s v="Fully Remote with Options to travel as and when needed"/>
    <s v="Employer who pushes your limits by enabling an learning environment, and rewards you at the end"/>
    <x v="180"/>
    <s v="Manager who explains what is expected, sets a goal and helps achieve it"/>
    <x v="3"/>
    <x v="0"/>
  </r>
  <r>
    <d v="2023-04-29T21:21:41"/>
    <s v="India"/>
    <n v="110096"/>
    <x v="1"/>
    <s v="People from my circle, but not family members"/>
    <s v="Yes, I will earn and do that"/>
    <s v="Will work for 3 years or more"/>
    <s v="No"/>
    <s v="Will NOT work for them"/>
    <n v="2"/>
    <s v="Hybrid Working Environment with more than 15 days a month at office"/>
    <s v="Employer who appreciates learning and enables that environment"/>
    <x v="200"/>
    <s v="Manager who explains what is expected, sets a goal and helps achieve it"/>
    <x v="3"/>
    <x v="3"/>
  </r>
  <r>
    <d v="2023-04-29T21:25:20"/>
    <s v="India"/>
    <n v="110008"/>
    <x v="1"/>
    <s v="My Parents"/>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545"/>
    <s v="Manager who clearly describes what she/he needs"/>
    <x v="2"/>
    <x v="3"/>
  </r>
  <r>
    <d v="2023-04-29T21:25:54"/>
    <s v="India"/>
    <n v="533005"/>
    <x v="0"/>
    <s v="My Parents"/>
    <s v="No I would not be pursuing Higher Education outside of India"/>
    <s v="Will work for 3 years or more"/>
    <s v="Yes"/>
    <s v="Will NOT work for them"/>
    <n v="5"/>
    <s v="Fully Remote with Options to travel as and when needed"/>
    <s v="Employer who pushes your limits by enabling an learning environment, and rewards you at the end"/>
    <x v="191"/>
    <s v="Manager who explains what is expected, sets a goal and helps achieve it"/>
    <x v="4"/>
    <x v="3"/>
  </r>
  <r>
    <d v="2023-04-29T21:26:12"/>
    <s v="Canada"/>
    <s v="H3N1W9"/>
    <x v="0"/>
    <s v="Influencers who had successful careers"/>
    <s v="Yes, I will earn and do that"/>
    <s v="Will work for 3 years or more"/>
    <s v="No"/>
    <s v="Will NOT work for them"/>
    <n v="5"/>
    <s v="Every Day Office Environment"/>
    <s v="Employer who appreciates learning and enables that environment"/>
    <x v="420"/>
    <s v="Manager who sets targets and expects me to achieve it"/>
    <x v="3"/>
    <x v="2"/>
  </r>
  <r>
    <d v="2023-04-29T21:28:26"/>
    <s v="United States of America"/>
    <n v="78363"/>
    <x v="0"/>
    <s v="My Parents"/>
    <s v="Yes, I will earn and do that"/>
    <s v="This will be hard to do, but if it is the right company I would try"/>
    <s v="Yes"/>
    <s v="Will work for them"/>
    <n v="10"/>
    <s v="Every Day Office Environment"/>
    <s v="Employer who pushes your limits by enabling an learning environment, and rewards you at the end"/>
    <x v="546"/>
    <s v="Manager who explains what is expected, sets a goal and helps achieve it"/>
    <x v="1"/>
    <x v="2"/>
  </r>
  <r>
    <d v="2023-04-29T21:29:38"/>
    <s v="Canada"/>
    <s v="H3S"/>
    <x v="0"/>
    <s v="People who have changed the world for better"/>
    <s v="Yes, I will earn and do that"/>
    <s v="This will be hard to do, but if it is the right company I would try"/>
    <s v="No"/>
    <s v="Will NOT work for them"/>
    <n v="1"/>
    <s v="Every Day Office Environment"/>
    <s v="Employer who appreciates learning and enables that environment"/>
    <x v="230"/>
    <s v="Manager who sets goal and helps me achieve it"/>
    <x v="7"/>
    <x v="3"/>
  </r>
  <r>
    <d v="2023-04-29T21:32:20"/>
    <s v="India"/>
    <n v="509301"/>
    <x v="1"/>
    <s v="My Parents"/>
    <s v="Yes, I will earn and do that"/>
    <s v="This will be hard to do, but if it is the right company I would try"/>
    <s v="Yes"/>
    <s v="Will work for them"/>
    <n v="9"/>
    <s v="Hybrid Working Environment with more than 15 days a month at office"/>
    <s v="Employer who pushes your limits by enabling an learning environment, and rewards you at the end"/>
    <x v="243"/>
    <s v="Manager who explains what is expected, sets a goal and helps achieve it"/>
    <x v="1"/>
    <x v="3"/>
  </r>
  <r>
    <d v="2023-04-29T21:35:14"/>
    <s v="India"/>
    <n v="110027"/>
    <x v="1"/>
    <s v="People who have changed the world for better"/>
    <s v="No, But if someone could bare the cost I will"/>
    <s v="This will be hard to do, but if it is the right company I would try"/>
    <s v="No"/>
    <s v="Will NOT work for them"/>
    <n v="7"/>
    <s v="Hybrid Working Environment with less than 3 days a month at office"/>
    <s v="Employer who appreciates learning and enables that environment"/>
    <x v="101"/>
    <s v="Manager who explains what is expected, sets a goal and helps achieve it"/>
    <x v="3"/>
    <x v="3"/>
  </r>
  <r>
    <d v="2023-04-29T21:38:05"/>
    <s v="India"/>
    <n v="581301"/>
    <x v="0"/>
    <s v="Influencers who had successful careers"/>
    <s v="No I would not be pursuing Higher Education outside of India"/>
    <s v="This will be hard to do, but if it is the right company I would try"/>
    <s v="Yes"/>
    <s v="Will NOT work for them"/>
    <n v="5"/>
    <s v="Fully Remote with Options to travel as and when needed"/>
    <s v="Employer who rewards learning and enables that environment"/>
    <x v="101"/>
    <s v="Manager who explains what is expected, sets a goal and helps achieve it"/>
    <x v="11"/>
    <x v="0"/>
  </r>
  <r>
    <d v="2023-04-29T21:45:45"/>
    <s v="India"/>
    <n v="110027"/>
    <x v="1"/>
    <s v="People who have changed the world for better"/>
    <s v="Yes, I will earn and do that"/>
    <s v="This will be hard to do, but if it is the right company I would try"/>
    <s v="Yes"/>
    <s v="Will NOT work for them"/>
    <n v="5"/>
    <s v="Hybrid Working Environment with more than 15 days a month at office"/>
    <s v="Employer who pushes your limits by enabling an learning environment, and rewards you at the end"/>
    <x v="114"/>
    <s v="Manager who explains what is expected, sets a goal and helps achieve it"/>
    <x v="7"/>
    <x v="0"/>
  </r>
  <r>
    <d v="2023-04-29T21:53:51"/>
    <s v="India"/>
    <n v="201002"/>
    <x v="0"/>
    <s v="Influencers who had successful careers"/>
    <s v="Yes, I will earn and do that"/>
    <s v="This will be hard to do, but if it is the right company I would try"/>
    <s v="No"/>
    <s v="Will NOT work for them"/>
    <n v="1"/>
    <s v="Hybrid Working Environment with less than 3 days a month at office"/>
    <s v="Employer who pushes your limits by enabling an learning environment, and rewards you at the end"/>
    <x v="266"/>
    <s v="Manager who explains what is expected, sets a goal and helps achieve it"/>
    <x v="1"/>
    <x v="3"/>
  </r>
  <r>
    <d v="2023-04-29T21:54:32"/>
    <s v="India"/>
    <n v="43002"/>
    <x v="1"/>
    <s v="My Parents"/>
    <s v="No I would not be pursuing Higher Education outside of India"/>
    <s v="This will be hard to do, but if it is the right company I would try"/>
    <s v="No"/>
    <s v="Will NOT work for them"/>
    <n v="8"/>
    <s v="Every Day Office Environment"/>
    <s v="Employer who pushes your limits by enabling an learning environment, and rewards you at the end"/>
    <x v="206"/>
    <s v="Manager who explains what is expected, sets a goal and helps achieve it"/>
    <x v="3"/>
    <x v="0"/>
  </r>
  <r>
    <d v="2023-04-29T21:57:55"/>
    <s v="India"/>
    <n v="110003"/>
    <x v="0"/>
    <s v="People who have changed the world for better"/>
    <s v="Yes, I will earn and do that"/>
    <s v="This will be hard to do, but if it is the right company I would try"/>
    <s v="No"/>
    <s v="Will NOT work for them"/>
    <n v="8"/>
    <s v="Fully Remote with Options to travel as and when needed"/>
    <s v="Employer who appreciates learning and enables that environment"/>
    <x v="141"/>
    <s v="Manager who sets goal and helps me achieve it"/>
    <x v="3"/>
    <x v="3"/>
  </r>
  <r>
    <d v="2023-04-29T22:07:13"/>
    <s v="Canada"/>
    <s v="H3X2V2"/>
    <x v="0"/>
    <s v="People who have changed the world for better"/>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363"/>
    <s v="Manager who explains what is expected, sets a goal and helps achieve it"/>
    <x v="8"/>
    <x v="3"/>
  </r>
  <r>
    <d v="2023-04-29T22:08:42"/>
    <s v="India"/>
    <n v="500072"/>
    <x v="1"/>
    <s v="Influencers who had successful careers"/>
    <s v="Yes, I will earn and do that"/>
    <s v="Will work for 3 years or more"/>
    <s v="No"/>
    <s v="Will NOT work for them"/>
    <n v="6"/>
    <s v="Every Day Office Environment"/>
    <s v="Employer who pushes your limits by enabling an learning environment, and rewards you at the end"/>
    <x v="415"/>
    <s v="Manager who sets targets and expects me to achieve it"/>
    <x v="11"/>
    <x v="0"/>
  </r>
  <r>
    <d v="2023-04-29T22:09:38"/>
    <s v="India"/>
    <n v="495001"/>
    <x v="1"/>
    <s v="My Parents"/>
    <s v="Yes, I will earn and do that"/>
    <s v="Will work for 3 years or more"/>
    <s v="No"/>
    <s v="Will NOT work for them"/>
    <n v="4"/>
    <s v="Hybrid Working Environment with more than 15 days a month at office"/>
    <s v="Employer who pushes your limits by enabling an learning environment, and rewards you at the end"/>
    <x v="200"/>
    <s v="Manager who explains what is expected, sets a goal and helps achieve it"/>
    <x v="2"/>
    <x v="0"/>
  </r>
  <r>
    <d v="2023-04-29T22:11:58"/>
    <s v="India"/>
    <n v="456006"/>
    <x v="1"/>
    <s v="People from my circle, but not family members"/>
    <s v="No, But if someone could bare the cost I will"/>
    <s v="This will be hard to do, but if it is the right company I would try"/>
    <s v="No"/>
    <s v="Will NOT work for them"/>
    <n v="10"/>
    <s v="Fully Remote with Options to travel as and when needed"/>
    <s v="Employer who pushes your limits by enabling an learning environment, and rewards you at the end"/>
    <x v="125"/>
    <s v="Manager who explains what is expected, sets a goal and helps achieve it"/>
    <x v="4"/>
    <x v="0"/>
  </r>
  <r>
    <d v="2023-04-29T22:13:31"/>
    <s v="India"/>
    <n v="473001"/>
    <x v="0"/>
    <s v="People from my circle, but not family members"/>
    <s v="No I would not be pursuing Higher Education outside of India"/>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400"/>
    <s v="Manager who sets goal and helps me achieve it"/>
    <x v="1"/>
    <x v="2"/>
  </r>
  <r>
    <d v="2023-04-29T22:15:31"/>
    <s v="India"/>
    <n v="110006"/>
    <x v="1"/>
    <s v="People from my circle, but not family members"/>
    <s v="No, But if someone could bare the cost I will"/>
    <s v="This will be hard to do, but if it is the right company I would try"/>
    <s v="No"/>
    <s v="Will NOT work for them"/>
    <n v="4"/>
    <s v="Hybrid Working Environment with less than 3 days a month at office"/>
    <s v="Employer who pushes your limits by enabling an learning environment, and rewards you at the end"/>
    <x v="205"/>
    <s v="Manager who explains what is expected, sets a goal and helps achieve it"/>
    <x v="2"/>
    <x v="3"/>
  </r>
  <r>
    <d v="2023-04-29T22:18:16"/>
    <s v="United States of America"/>
    <n v="27606"/>
    <x v="1"/>
    <s v="People who have changed the world for better"/>
    <s v="No, But if someone could bare the cost I will"/>
    <s v="Will work for 3 years or more"/>
    <s v="No"/>
    <s v="Will NOT work for them"/>
    <n v="5"/>
    <s v="Hybrid Working Environment with more than 15 days a month at office"/>
    <s v="Employer who pushes your limits by enabling an learning environment, and rewards you at the end"/>
    <x v="140"/>
    <s v="Manager who explains what is expected, sets a goal and helps achieve it"/>
    <x v="1"/>
    <x v="3"/>
  </r>
  <r>
    <d v="2023-04-29T22:20:03"/>
    <s v="India"/>
    <n v="721302"/>
    <x v="0"/>
    <s v="Social Media like LinkedIn"/>
    <s v="No I would not be pursuing Higher Education outside of India"/>
    <s v="This will be hard to do, but if it is the right company I would try"/>
    <s v="No"/>
    <s v="Will NOT work for them"/>
    <n v="6"/>
    <s v="Every Day Office Environment"/>
    <s v="Employer who pushes your limits by enabling an learning environment, and rewards you at the end"/>
    <x v="159"/>
    <s v="Manager who sets goal and helps me achieve it"/>
    <x v="1"/>
    <x v="3"/>
  </r>
  <r>
    <d v="2023-04-29T22:22:02"/>
    <s v="India"/>
    <n v="452001"/>
    <x v="1"/>
    <s v="People who have changed the world for better"/>
    <s v="No I would not be pursuing Higher Education outside of India"/>
    <s v="This will be hard to do, but if it is the right company I would try"/>
    <s v="No"/>
    <s v="Will NOT work for them"/>
    <n v="3"/>
    <s v="Hybrid Working Environment with less than 3 days a month at office"/>
    <s v="Employer who pushes your limits by enabling an learning environment, and rewards you at the end"/>
    <x v="547"/>
    <s v="Manager who explains what is expected, sets a goal and helps achieve it"/>
    <x v="1"/>
    <x v="0"/>
  </r>
  <r>
    <d v="2023-04-29T22:22:46"/>
    <s v="India"/>
    <n v="828302"/>
    <x v="0"/>
    <s v="Social Media like LinkedIn"/>
    <s v="No I would not be pursuing Higher Education outside of India"/>
    <s v="This will be hard to do, but if it is the right company I would try"/>
    <s v="Yes"/>
    <s v="Will NOT work for them"/>
    <n v="6"/>
    <s v="Fully Remote with Options to travel as and when needed"/>
    <s v="Employer who appreciates learning and enables that environment"/>
    <x v="198"/>
    <s v="Manager who clearly describes what she/he needs"/>
    <x v="1"/>
    <x v="3"/>
  </r>
  <r>
    <d v="2023-04-29T22:27:03"/>
    <s v="India"/>
    <n v="505001"/>
    <x v="0"/>
    <s v="My Parents"/>
    <s v="Yes, I will earn and do that"/>
    <s v="Will work for 3 years or more"/>
    <s v="Yes"/>
    <s v="Will NOT work for them"/>
    <n v="7"/>
    <s v="Every Day Office Environment"/>
    <s v="Employer who pushes your limits by enabling an learning environment, and rewards you at the end"/>
    <x v="548"/>
    <s v="Manager who sets unrealistic targets"/>
    <x v="4"/>
    <x v="0"/>
  </r>
  <r>
    <d v="2023-04-29T22:37:26"/>
    <s v="India"/>
    <n v="576101"/>
    <x v="1"/>
    <s v="People from my circle, but not family members"/>
    <s v="Yes, I will earn and do that"/>
    <s v="Will work for 3 years or more"/>
    <s v="No"/>
    <s v="Will NOT work for them"/>
    <n v="2"/>
    <s v="Hybrid Working Environment with more than 15 days a month at office"/>
    <s v="Employer who rewards learning and enables that environment"/>
    <x v="141"/>
    <s v="Manager who explains what is expected, sets a goal and helps achieve it"/>
    <x v="1"/>
    <x v="3"/>
  </r>
  <r>
    <d v="2023-04-29T22:45:13"/>
    <s v="India"/>
    <n v="515002"/>
    <x v="1"/>
    <s v="My Parents"/>
    <s v="Yes, I will earn and do that"/>
    <s v="Will work for 3 years or more"/>
    <s v="No"/>
    <s v="Will work for them"/>
    <n v="5"/>
    <s v="Hybrid Working Environment with less than 3 days a month at office"/>
    <s v="Employer who appreciates learning and enables that environment"/>
    <x v="348"/>
    <s v="Manager who explains what is expected, sets a goal and helps achieve it"/>
    <x v="4"/>
    <x v="3"/>
  </r>
  <r>
    <d v="2023-04-29T22:47:03"/>
    <s v="India"/>
    <n v="518003"/>
    <x v="1"/>
    <s v="My Parents"/>
    <s v="No I would not be pursuing Higher Education outside of India"/>
    <s v="This will be hard to do, but if it is the right company I would try"/>
    <s v="No"/>
    <s v="Will work for them"/>
    <n v="7"/>
    <s v="Fully Remote with Options to travel as and when needed"/>
    <s v="Employer who pushes your limits by enabling an learning environment, and rewards you at the end"/>
    <x v="179"/>
    <s v="Manager who sets goal and helps me achieve it"/>
    <x v="1"/>
    <x v="3"/>
  </r>
  <r>
    <d v="2023-04-29T22:53:10"/>
    <s v="India"/>
    <n v="524004"/>
    <x v="1"/>
    <s v="My Parents"/>
    <s v="Yes, I will earn and do that"/>
    <s v="This will be hard to do, but if it is the right company I would try"/>
    <s v="No"/>
    <s v="Will work for them"/>
    <n v="10"/>
    <s v="Every Day Office Environment"/>
    <s v="Employer who appreciates learning and enables that environment"/>
    <x v="116"/>
    <s v="Manager who clearly describes what she/he needs"/>
    <x v="1"/>
    <x v="3"/>
  </r>
  <r>
    <d v="2023-04-29T22:54:43"/>
    <s v="India"/>
    <n v="516434"/>
    <x v="1"/>
    <s v="My Parents"/>
    <s v="No I would not be pursuing Higher Education outside of India"/>
    <s v="Will work for 3 years or more"/>
    <s v="No"/>
    <s v="Will NOT work for them"/>
    <n v="2"/>
    <s v="Every Day Office Environment"/>
    <s v="Employer who appreciates learning and enables that environment"/>
    <x v="316"/>
    <s v="Manager who explains what is expected, sets a goal and helps achieve it"/>
    <x v="1"/>
    <x v="3"/>
  </r>
  <r>
    <d v="2023-04-29T22:59:26"/>
    <s v="Others"/>
    <s v="0000"/>
    <x v="1"/>
    <s v="People who have changed the world for better"/>
    <s v="No I would not be pursuing Higher Education outside of India"/>
    <s v="This will be hard to do, but if it is the right company I would try"/>
    <s v="No"/>
    <s v="Will NOT work for them"/>
    <n v="4"/>
    <s v="Hybrid Working Environment with more than 15 days a month at office"/>
    <s v="Employer who appreciates learning and enables that environment"/>
    <x v="129"/>
    <s v="Manager who clearly describes what she/he needs"/>
    <x v="1"/>
    <x v="3"/>
  </r>
  <r>
    <d v="2023-04-29T23:02:12"/>
    <s v="India"/>
    <n v="500045"/>
    <x v="0"/>
    <s v="Social Media like LinkedIn"/>
    <s v="Yes, I will earn and do that"/>
    <s v="This will be hard to do, but if it is the right company I would try"/>
    <s v="No"/>
    <s v="Will work for them"/>
    <n v="2"/>
    <s v="Hybrid Working Environment with more than 15 days a month at office"/>
    <s v="Employer who appreciates learning and enables that environment"/>
    <x v="353"/>
    <s v="Manager who clearly describes what she/he needs"/>
    <x v="1"/>
    <x v="3"/>
  </r>
  <r>
    <d v="2023-04-29T23:08:46"/>
    <s v="India"/>
    <n v="751002"/>
    <x v="1"/>
    <s v="Influencers who had successful careers"/>
    <s v="No, But if someone could bare the cost I will"/>
    <s v="This will be hard to do, but if it is the right company I would try"/>
    <s v="No"/>
    <s v="Will NOT work for them"/>
    <n v="1"/>
    <s v="Hybrid Working Environment with less than 3 days a month at office"/>
    <s v="Employer who pushes your limits by enabling an learning environment, and rewards you at the end"/>
    <x v="338"/>
    <s v="Manager who explains what is expected, sets a goal and helps achieve it"/>
    <x v="1"/>
    <x v="3"/>
  </r>
  <r>
    <d v="2023-04-29T23:16:50"/>
    <s v="India"/>
    <n v="505001"/>
    <x v="0"/>
    <s v="People who have changed the world for better"/>
    <s v="Yes, I will earn and do that"/>
    <s v="Will work for 3 years or more"/>
    <s v="No"/>
    <s v="Will NOT work for them"/>
    <n v="4"/>
    <s v="Fully Remote with Options to travel as and when needed"/>
    <s v="Employer who appreciates learning and enables that environment"/>
    <x v="143"/>
    <s v="Manager who sets goal and helps me achieve it"/>
    <x v="7"/>
    <x v="3"/>
  </r>
  <r>
    <d v="2023-04-30T00:00:52"/>
    <s v="India"/>
    <n v="600089"/>
    <x v="0"/>
    <s v="My Parents"/>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416"/>
    <s v="Manager who sets goal and helps me achieve it"/>
    <x v="1"/>
    <x v="3"/>
  </r>
  <r>
    <d v="2023-04-30T00:38:54"/>
    <s v="India"/>
    <n v="470001"/>
    <x v="1"/>
    <s v="Influencers who had successful careers"/>
    <s v="Yes, I will earn and do that"/>
    <s v="This will be hard to do, but if it is the right company I would try"/>
    <s v="No"/>
    <s v="Will NOT work for them"/>
    <n v="6"/>
    <s v="Fully Remote with Options to travel as and when needed"/>
    <s v="Employer who pushes your limits by enabling an learning environment, and rewards you at the end"/>
    <x v="143"/>
    <s v="Manager who explains what is expected, sets a goal and helps achieve it"/>
    <x v="6"/>
    <x v="0"/>
  </r>
  <r>
    <d v="2023-04-30T00:40:10"/>
    <s v="India"/>
    <n v="18"/>
    <x v="0"/>
    <s v="My Parents"/>
    <s v="Yes, I will earn and do that"/>
    <s v="This will be hard to do, but if it is the right company I would try"/>
    <s v="No"/>
    <s v="Will NOT work for them"/>
    <n v="5"/>
    <s v="Hybrid Working Environment with more than 15 days a month at office"/>
    <s v="Employer who appreciates learning and enables that environment"/>
    <x v="96"/>
    <s v="Manager who explains what is expected, sets a goal and helps achieve it"/>
    <x v="1"/>
    <x v="0"/>
  </r>
  <r>
    <d v="2023-04-30T00:50:43"/>
    <s v="India"/>
    <n v="500091"/>
    <x v="0"/>
    <s v="People from my circle, but not family members"/>
    <s v="Yes, I will earn and do that"/>
    <s v="This will be hard to do, but if it is the right company I would try"/>
    <s v="No"/>
    <s v="Will NOT work for them"/>
    <n v="5"/>
    <s v="Hybrid Working Environment with less than 3 days a month at office"/>
    <s v="Employer who rewards learning and enables that environment"/>
    <x v="310"/>
    <s v="Manager who explains what is expected, sets a goal and helps achieve it"/>
    <x v="11"/>
    <x v="0"/>
  </r>
  <r>
    <d v="2023-04-30T01:01:42"/>
    <s v="India"/>
    <n v="605003"/>
    <x v="1"/>
    <s v="People who have changed the world for better"/>
    <s v="No I would not be pursuing Higher Education outside of India"/>
    <s v="Will work for 3 years or more"/>
    <s v="No"/>
    <s v="Will NOT work for them"/>
    <n v="7"/>
    <s v="Hybrid Working Environment with less than 3 days a month at office"/>
    <s v="Employer who pushes your limits by enabling an learning environment, and rewards you at the end"/>
    <x v="201"/>
    <s v="Manager who sets targets and expects me to achieve it"/>
    <x v="7"/>
    <x v="3"/>
  </r>
  <r>
    <d v="2023-04-30T01:08:39"/>
    <s v="Canada"/>
    <s v="V4C4G1"/>
    <x v="1"/>
    <s v="Social Media like LinkedIn"/>
    <s v="Yes, I will earn and do that"/>
    <s v="This will be hard to do, but if it is the right company I would try"/>
    <s v="No"/>
    <s v="Will NOT work for them"/>
    <n v="5"/>
    <s v="Hybrid Working Environment with less than 3 days a month at office"/>
    <s v="Employer who pushes your limits by enabling an learning environment, and rewards you at the end"/>
    <x v="109"/>
    <s v="Manager who sets targets and expects me to achieve it"/>
    <x v="1"/>
    <x v="3"/>
  </r>
  <r>
    <d v="2023-04-30T03:43:00"/>
    <s v="India"/>
    <n v="110007"/>
    <x v="0"/>
    <s v="Influencers who had successful careers"/>
    <s v="Yes, I will earn and do that"/>
    <s v="Will work for 3 years or more"/>
    <s v="No"/>
    <s v="Will NOT work for them"/>
    <n v="4"/>
    <s v="Hybrid Working Environment with more than 15 days a month at office"/>
    <s v="Employer who pushes your limits by enabling an learning environment, and rewards you at the end"/>
    <x v="549"/>
    <s v="Manager who sets targets and expects me to achieve it"/>
    <x v="1"/>
    <x v="2"/>
  </r>
  <r>
    <d v="2023-04-30T04:24:12"/>
    <s v="India"/>
    <n v="110062"/>
    <x v="0"/>
    <s v="Influencers who had successful careers"/>
    <s v="No I would not be pursuing Higher Education outside of India"/>
    <s v="No way"/>
    <s v="No"/>
    <s v="Will NOT work for them"/>
    <n v="5"/>
    <s v="Fully Remote with Options to travel as and when needed"/>
    <s v="Employer who rewards learning and enables that environment"/>
    <x v="318"/>
    <s v="Manager who explains what is expected, sets a goal and helps achieve it"/>
    <x v="7"/>
    <x v="3"/>
  </r>
  <r>
    <d v="2023-04-30T07:12:03"/>
    <s v="India"/>
    <n v="473001"/>
    <x v="0"/>
    <s v="My Parents"/>
    <s v="No, But if someone could bare the cost I will"/>
    <s v="No way"/>
    <s v="No"/>
    <s v="Will NOT work for them"/>
    <n v="4"/>
    <s v="Every Day Office Environment"/>
    <s v="Employer who pushes your limits by enabling an learning environment, and rewards you at the end"/>
    <x v="488"/>
    <s v="Manager who explains what is expected, sets a goal and helps achieve it"/>
    <x v="3"/>
    <x v="3"/>
  </r>
  <r>
    <d v="2023-04-30T07:23:30"/>
    <s v="India"/>
    <n v="505460"/>
    <x v="1"/>
    <s v="My Parents"/>
    <s v="No, But if someone could bare the cost I will"/>
    <s v="No way"/>
    <s v="Yes"/>
    <s v="Will NOT work for them"/>
    <n v="5"/>
    <s v="Hybrid Working Environment with less than 3 days a month at office"/>
    <s v="Employer who appreciates learning and enables that environment"/>
    <x v="107"/>
    <s v="Manager who sets goal and helps me achieve it"/>
    <x v="1"/>
    <x v="0"/>
  </r>
  <r>
    <d v="2023-04-30T07:45:16"/>
    <s v="India"/>
    <n v="110006"/>
    <x v="1"/>
    <s v="My Parents"/>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325"/>
    <s v="Manager who explains what is expected, sets a goal and helps achieve it"/>
    <x v="4"/>
    <x v="3"/>
  </r>
  <r>
    <d v="2023-04-30T07:56:45"/>
    <s v="India"/>
    <n v="560066"/>
    <x v="1"/>
    <s v="People from my circle, but not family members"/>
    <s v="No, But if someone could bare the cost I will"/>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550"/>
    <s v="Manager who explains what is expected, sets a goal and helps achieve it"/>
    <x v="4"/>
    <x v="3"/>
  </r>
  <r>
    <d v="2023-04-30T08:36:21"/>
    <s v="India"/>
    <n v="160002"/>
    <x v="1"/>
    <s v="My Parents"/>
    <s v="No I would not be pursuing Higher Education outside of India"/>
    <s v="This will be hard to do, but if it is the right company I would try"/>
    <s v="No"/>
    <s v="Will NOT work for them"/>
    <n v="1"/>
    <s v="Fully Remote with No option to visit offices"/>
    <s v="Employer who appreciates learning and enables that environment"/>
    <x v="164"/>
    <s v="Manager who clearly describes what she/he needs"/>
    <x v="3"/>
    <x v="3"/>
  </r>
  <r>
    <d v="2023-04-30T10:01:45"/>
    <s v="India"/>
    <n v="605010"/>
    <x v="1"/>
    <s v="People from my circle, but not family members"/>
    <s v="No, But if someone could bare the cost I will"/>
    <s v="Will work for 3 years or more"/>
    <s v="No"/>
    <s v="Will NOT work for them"/>
    <n v="6"/>
    <s v="Fully Remote with Options to travel as and when needed"/>
    <s v="Employer who rewards learning and enables that environment"/>
    <x v="95"/>
    <s v="Manager who sets goal and helps me achieve it"/>
    <x v="3"/>
    <x v="0"/>
  </r>
  <r>
    <d v="2023-04-30T10:06:37"/>
    <s v="India"/>
    <n v="571301"/>
    <x v="0"/>
    <s v="My Parents"/>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229"/>
    <s v="Manager who clearly describes what she/he needs"/>
    <x v="7"/>
    <x v="3"/>
  </r>
  <r>
    <d v="2023-04-30T10:19:04"/>
    <s v="Canada"/>
    <s v="M3J0E5"/>
    <x v="1"/>
    <s v="People from my circle, but not family members"/>
    <s v="Yes, I will earn and do that"/>
    <s v="No way"/>
    <s v="No"/>
    <s v="Will work for them"/>
    <n v="8"/>
    <s v="Fully Remote with Options to travel as and when needed"/>
    <s v="Employer who pushes your limits by enabling an learning environment, and rewards you at the end"/>
    <x v="219"/>
    <s v="Manager who sets goal and helps me achieve it"/>
    <x v="7"/>
    <x v="0"/>
  </r>
  <r>
    <d v="2023-04-30T10:36:44"/>
    <s v="India"/>
    <n v="243006"/>
    <x v="0"/>
    <s v="Influencers who had successful careers"/>
    <s v="No I would not be pursuing Higher Education outside of India"/>
    <s v="This will be hard to do, but if it is the right company I would try"/>
    <s v="Yes"/>
    <s v="Will NOT work for them"/>
    <n v="5"/>
    <s v="Hybrid Working Environment with less than 3 days a month at office"/>
    <s v="Employer who pushes your limits by enabling an learning environment, and rewards you at the end"/>
    <x v="373"/>
    <s v="Manager who explains what is expected, sets a goal and helps achieve it"/>
    <x v="1"/>
    <x v="3"/>
  </r>
  <r>
    <d v="2023-04-30T10:48:23"/>
    <s v="India"/>
    <n v="142026"/>
    <x v="1"/>
    <s v="My Parents"/>
    <s v="Yes, I will earn and do that"/>
    <s v="Will work for 3 years or more"/>
    <s v="No"/>
    <s v="Will NOT work for them"/>
    <n v="8"/>
    <s v="Fully Remote with Options to travel as and when needed"/>
    <s v="Employer who pushes your limits by enabling an learning environment, and rewards you at the end"/>
    <x v="292"/>
    <s v="Manager who sets goal and helps me achieve it"/>
    <x v="6"/>
    <x v="3"/>
  </r>
  <r>
    <d v="2023-04-30T11:09:59"/>
    <s v="India"/>
    <n v="605013"/>
    <x v="1"/>
    <s v="My Parents"/>
    <s v="Yes, I will earn and do that"/>
    <s v="Will work for 3 years or more"/>
    <s v="No"/>
    <s v="Will NOT work for them"/>
    <n v="9"/>
    <s v="Hybrid Working Environment with more than 15 days a month at office"/>
    <s v="Employer who appreciates learning and enables that environment"/>
    <x v="114"/>
    <s v="Manager who explains what is expected, sets a goal and helps achieve it"/>
    <x v="0"/>
    <x v="3"/>
  </r>
  <r>
    <d v="2023-04-30T11:27:56"/>
    <s v="India"/>
    <n v="201010"/>
    <x v="0"/>
    <s v="People from my circle, but not family members"/>
    <s v="No I would not be pursuing Higher Education outside of India"/>
    <s v="Will work for 3 years or more"/>
    <s v="No"/>
    <s v="Will work for them"/>
    <n v="10"/>
    <s v="Every Day Office Environment"/>
    <s v="Employer who pushes your limits by enabling an learning environment, and rewards you at the end"/>
    <x v="389"/>
    <s v="Manager who explains what is expected, sets a goal and helps achieve it"/>
    <x v="4"/>
    <x v="2"/>
  </r>
  <r>
    <d v="2023-04-30T12:24:51"/>
    <s v="India"/>
    <n v="518395"/>
    <x v="0"/>
    <s v="People who have changed the world for better"/>
    <s v="No I would not be pursuing Higher Education outside of India"/>
    <s v="Will work for 3 years or more"/>
    <s v="No"/>
    <s v="Will NOT work for them"/>
    <n v="8"/>
    <s v="Fully Remote with Options to travel as and when needed"/>
    <s v="Employer who appreciates learning and enables that environment"/>
    <x v="426"/>
    <s v="Manager who clearly describes what she/he needs"/>
    <x v="7"/>
    <x v="3"/>
  </r>
  <r>
    <d v="2023-04-30T12:29:16"/>
    <s v="India"/>
    <n v="700032"/>
    <x v="1"/>
    <s v="Influencers who had successful careers"/>
    <s v="No, But if someone could bare the cost I will"/>
    <s v="Will work for 3 years or more"/>
    <s v="Yes"/>
    <s v="Will work for them"/>
    <n v="7"/>
    <s v="Hybrid Working Environment with less than 3 days a month at office"/>
    <s v="Employer who pushes your limits by enabling an learning environment, and rewards you at the end"/>
    <x v="551"/>
    <s v="Manager who explains what is expected, sets a goal and helps achieve it"/>
    <x v="3"/>
    <x v="3"/>
  </r>
  <r>
    <d v="2023-04-30T12:31:17"/>
    <s v="India"/>
    <n v="395006"/>
    <x v="0"/>
    <s v="People who have changed the world for better"/>
    <s v="Yes, I will earn and do that"/>
    <s v="This will be hard to do, but if it is the right company I would try"/>
    <s v="No"/>
    <s v="Will NOT work for them"/>
    <n v="8"/>
    <s v="Fully Remote with Options to travel as and when needed"/>
    <s v="Employer who pushes your limits by enabling an learning environment, and rewards you at the end"/>
    <x v="521"/>
    <s v="Manager who sets goal and helps me achieve it"/>
    <x v="0"/>
    <x v="0"/>
  </r>
  <r>
    <d v="2023-04-30T12:35:37"/>
    <s v="India"/>
    <n v="395004"/>
    <x v="0"/>
    <s v="My Parents"/>
    <s v="No, But if someone could bare the cost I will"/>
    <s v="This will be hard to do, but if it is the right company I would try"/>
    <s v="No"/>
    <s v="Will NOT work for them"/>
    <n v="1"/>
    <s v="Every Day Office Environment"/>
    <s v="Employer who rewards learning and enables that environment"/>
    <x v="449"/>
    <s v="Manager who explains what is expected, sets a goal and helps achieve it"/>
    <x v="5"/>
    <x v="0"/>
  </r>
  <r>
    <d v="2023-04-30T12:40:26"/>
    <s v="India"/>
    <n v="395006"/>
    <x v="1"/>
    <s v="My Parents"/>
    <s v="No I would not be pursuing Higher Education outside of India"/>
    <s v="This will be hard to do, but if it is the right company I would try"/>
    <s v="No"/>
    <s v="Will NOT work for them"/>
    <n v="3"/>
    <s v="Every Day Office Environment"/>
    <s v="Employer who appreciates learning and enables that environment"/>
    <x v="301"/>
    <s v="Manager who sets goal and helps me achieve it"/>
    <x v="4"/>
    <x v="3"/>
  </r>
  <r>
    <d v="2023-04-30T12:41:09"/>
    <s v="India"/>
    <n v="492001"/>
    <x v="0"/>
    <s v="My Parents"/>
    <s v="No I would not be pursuing Higher Education outside of India"/>
    <s v="Will work for 3 years or more"/>
    <s v="No"/>
    <s v="Will NOT work for them"/>
    <n v="9"/>
    <s v="Every Day Office Environment"/>
    <s v="Employer who appreciates learning and enables that environment"/>
    <x v="363"/>
    <s v="Manager who explains what is expected, sets a goal and helps achieve it"/>
    <x v="1"/>
    <x v="0"/>
  </r>
  <r>
    <d v="2023-04-30T13:03:30"/>
    <s v="India"/>
    <n v="394327"/>
    <x v="0"/>
    <s v="My Parents"/>
    <s v="No, But if someone could bare the cost I will"/>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552"/>
    <s v="Manager who clearly describes what she/he needs"/>
    <x v="3"/>
    <x v="0"/>
  </r>
  <r>
    <d v="2023-04-30T13:05:44"/>
    <s v="India"/>
    <n v="231304"/>
    <x v="0"/>
    <s v="Social Media like LinkedIn"/>
    <s v="Yes, I will earn and do that"/>
    <s v="Will work for 3 years or more"/>
    <s v="No"/>
    <s v="Will NOT work for them"/>
    <n v="1"/>
    <s v="Every Day Office Environment"/>
    <s v="Employer who appreciates learning and enables that environment"/>
    <x v="284"/>
    <s v="Manager who explains what is expected, sets a goal and helps achieve it"/>
    <x v="7"/>
    <x v="3"/>
  </r>
  <r>
    <d v="2023-04-30T13:06:00"/>
    <s v="India"/>
    <n v="473001"/>
    <x v="0"/>
    <s v="Social Media like LinkedIn"/>
    <s v="Yes, I will earn and do that"/>
    <s v="This will be hard to do, but if it is the right company I would try"/>
    <s v="Yes"/>
    <s v="Will work for them"/>
    <n v="10"/>
    <s v="Hybrid Working Environment with less than 3 days a month at office"/>
    <s v="Employer who appreciates learning and enables that environment"/>
    <x v="182"/>
    <s v="Manager who clearly describes what she/he needs"/>
    <x v="14"/>
    <x v="3"/>
  </r>
  <r>
    <d v="2023-04-30T13:20:06"/>
    <s v="India"/>
    <n v="248001"/>
    <x v="0"/>
    <s v="People from my circle, but not family members"/>
    <s v="No I would not be pursuing Higher Education outside of India"/>
    <s v="Will work for 3 years or more"/>
    <s v="Yes"/>
    <s v="Will NOT work for them"/>
    <n v="8"/>
    <s v="Fully Remote with Options to travel as and when needed"/>
    <s v="Employer who pushes your limits by enabling an learning environment, and rewards you at the end"/>
    <x v="146"/>
    <s v="Manager who explains what is expected, sets a goal and helps achieve it"/>
    <x v="1"/>
    <x v="3"/>
  </r>
  <r>
    <d v="2023-04-30T13:24:13"/>
    <s v="India"/>
    <n v="600504"/>
    <x v="1"/>
    <s v="My Parents"/>
    <s v="No I would not be pursuing Higher Education outside of India"/>
    <s v="Will work for 3 years or more"/>
    <s v="No"/>
    <s v="Will NOT work for them"/>
    <n v="3"/>
    <s v="Every Day Office Environment"/>
    <s v="Employer who appreciates learning and enables that environment"/>
    <x v="444"/>
    <s v="Manager who sets goal and helps me achieve it"/>
    <x v="3"/>
    <x v="3"/>
  </r>
  <r>
    <d v="2023-04-30T13:40:12"/>
    <s v="India"/>
    <n v="94587"/>
    <x v="0"/>
    <s v="My Parents"/>
    <s v="No I would not be pursuing Higher Education outside of India"/>
    <s v="No way"/>
    <s v="No"/>
    <s v="Will NOT work for them"/>
    <n v="7"/>
    <s v="Every Day Office Environment"/>
    <s v="Employer who pushes your limits by enabling an learning environment, and rewards you at the end"/>
    <x v="243"/>
    <s v="Manager who clearly describes what she/he needs"/>
    <x v="7"/>
    <x v="0"/>
  </r>
  <r>
    <d v="2023-04-30T13:45:12"/>
    <s v="India"/>
    <n v="395006"/>
    <x v="0"/>
    <s v="People who have changed the world for better"/>
    <s v="Yes, I will earn and do that"/>
    <s v="This will be hard to do, but if it is the right company I would try"/>
    <s v="Yes"/>
    <s v="Will work for them"/>
    <n v="2"/>
    <s v="Hybrid Working Environment with more than 15 days a month at office"/>
    <s v="Employer who pushes your limits and doesn't enables learning environment and never rewards you"/>
    <x v="359"/>
    <s v="Manager who sets unrealistic targets"/>
    <x v="7"/>
    <x v="3"/>
  </r>
  <r>
    <d v="2023-04-30T13:51:04"/>
    <s v="India"/>
    <n v="686503"/>
    <x v="0"/>
    <s v="People from my circle, but not family members"/>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197"/>
    <s v="Manager who sets targets and expects me to achieve it"/>
    <x v="7"/>
    <x v="3"/>
  </r>
  <r>
    <d v="2023-04-30T14:08:48"/>
    <s v="India"/>
    <n v="110025"/>
    <x v="0"/>
    <s v="People who have changed the world for better"/>
    <s v="Yes, I will earn and do that"/>
    <s v="Will work for 3 years or more"/>
    <s v="No"/>
    <s v="Will NOT work for them"/>
    <n v="5"/>
    <s v="Hybrid Working Environment with less than 3 days a month at office"/>
    <s v="Employer who pushes your limits by enabling an learning environment, and rewards you at the end"/>
    <x v="196"/>
    <s v="Manager who sets goal and helps me achieve it"/>
    <x v="1"/>
    <x v="3"/>
  </r>
  <r>
    <d v="2023-04-30T14:20:31"/>
    <s v="India"/>
    <n v="841230"/>
    <x v="0"/>
    <s v="My Parents"/>
    <s v="No I would not be pursuing Higher Education outside of India"/>
    <s v="This will be hard to do, but if it is the right company I would try"/>
    <s v="Yes"/>
    <s v="Will work for them"/>
    <n v="9"/>
    <s v="Fully Remote with Options to travel as and when needed"/>
    <s v="Employer who rewards learning and enables that environment"/>
    <x v="284"/>
    <s v="Manager who explains what is expected, sets a goal and helps achieve it"/>
    <x v="7"/>
    <x v="3"/>
  </r>
  <r>
    <d v="2023-04-30T14:43:47"/>
    <s v="India"/>
    <n v="440035"/>
    <x v="0"/>
    <s v="People from my circle, but not family members"/>
    <s v="Yes, I will earn and do that"/>
    <s v="This will be hard to do, but if it is the right company I would try"/>
    <s v="No"/>
    <s v="Will NOT work for them"/>
    <n v="6"/>
    <s v="Fully Remote with Options to travel as and when needed"/>
    <s v="Employer who appreciates learning and enables that environment"/>
    <x v="506"/>
    <s v="Manager who explains what is expected, sets a goal and helps achieve it"/>
    <x v="5"/>
    <x v="2"/>
  </r>
  <r>
    <d v="2023-04-30T14:57:23"/>
    <s v="India"/>
    <n v="395006"/>
    <x v="1"/>
    <s v="People from my circle, but not family members"/>
    <s v="No I would not be pursuing Higher Education outside of India"/>
    <s v="This will be hard to do, but if it is the right company I would try"/>
    <s v="No"/>
    <s v="Will NOT work for them"/>
    <n v="1"/>
    <s v="Fully Remote with Options to travel as and when needed"/>
    <s v="Employer who rewards learning and enables that environment"/>
    <x v="114"/>
    <s v="Manager who explains what is expected, sets a goal and helps achieve it"/>
    <x v="3"/>
    <x v="3"/>
  </r>
  <r>
    <d v="2023-04-30T15:11:13"/>
    <s v="India"/>
    <n v="395006"/>
    <x v="0"/>
    <s v="People from my circle, but not family members"/>
    <s v="No I would not be pursuing Higher Education outside of India"/>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126"/>
    <s v="Manager who explains what is expected, sets a goal and helps achieve it"/>
    <x v="3"/>
    <x v="3"/>
  </r>
  <r>
    <d v="2023-04-30T15:25:13"/>
    <s v="India"/>
    <n v="395004"/>
    <x v="0"/>
    <s v="My Parents"/>
    <s v="No I would not be pursuing Higher Education outside of India"/>
    <s v="This will be hard to do, but if it is the right company I would try"/>
    <s v="No"/>
    <s v="Will NOT work for them"/>
    <n v="4"/>
    <s v="Hybrid Working Environment with more than 15 days a month at office"/>
    <s v="Employer who pushes your limits by enabling an learning environment, and rewards you at the end"/>
    <x v="331"/>
    <s v="Manager who explains what is expected, sets a goal and helps achieve it"/>
    <x v="1"/>
    <x v="0"/>
  </r>
  <r>
    <d v="2023-04-30T15:52:07"/>
    <s v="India"/>
    <n v="605009"/>
    <x v="0"/>
    <s v="Social Media like LinkedIn"/>
    <s v="Yes, I will earn and do that"/>
    <s v="This will be hard to do, but if it is the right company I would try"/>
    <s v="No"/>
    <s v="Will NOT work for them"/>
    <n v="4"/>
    <s v="Fully Remote with Options to travel as and when needed"/>
    <s v="Employer who pushes your limits by enabling an learning environment, and rewards you at the end"/>
    <x v="149"/>
    <s v="Manager who explains what is expected, sets a goal and helps achieve it"/>
    <x v="1"/>
    <x v="3"/>
  </r>
  <r>
    <d v="2023-04-30T16:00:13"/>
    <s v="India"/>
    <n v="302020"/>
    <x v="1"/>
    <s v="Influencers who had successful careers"/>
    <s v="Yes, I will earn and do that"/>
    <s v="This will be hard to do, but if it is the right company I would try"/>
    <s v="Yes"/>
    <s v="Will NOT work for them"/>
    <n v="7"/>
    <s v="Fully Remote with Options to travel as and when needed"/>
    <s v="Employer who pushes your limits by enabling an learning environment, and rewards you at the end"/>
    <x v="318"/>
    <s v="Manager who explains what is expected, sets a goal and helps achieve it"/>
    <x v="3"/>
    <x v="3"/>
  </r>
  <r>
    <d v="2023-04-30T16:04:51"/>
    <s v="India"/>
    <n v="410206"/>
    <x v="0"/>
    <s v="Influencers who had successful careers"/>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96"/>
    <s v="Manager who explains what is expected, sets a goal and helps achieve it"/>
    <x v="1"/>
    <x v="0"/>
  </r>
  <r>
    <d v="2023-04-30T17:49:15"/>
    <s v="India"/>
    <n v="110025"/>
    <x v="0"/>
    <s v="Social Media like LinkedIn"/>
    <s v="Yes, I will earn and do that"/>
    <s v="Will work for 3 years or more"/>
    <s v="Yes"/>
    <s v="Will work for them"/>
    <n v="3"/>
    <s v="Every Day Office Environment"/>
    <s v="Employer who pushes your limits by enabling an learning environment, and rewards you at the end"/>
    <x v="553"/>
    <s v="Manager who explains what is expected, sets a goal and helps achieve it"/>
    <x v="2"/>
    <x v="0"/>
  </r>
  <r>
    <d v="2023-04-30T18:06:43"/>
    <s v="India"/>
    <n v="201301"/>
    <x v="0"/>
    <s v="Influencers who had successful careers"/>
    <s v="No I would not be pursuing Higher Education outside of India"/>
    <s v="No way"/>
    <s v="Yes"/>
    <s v="Will NOT work for them"/>
    <n v="10"/>
    <s v="Every Day Office Environment"/>
    <s v="Employer who appreciates learning and enables that environment"/>
    <x v="521"/>
    <s v="Manager who clearly describes what she/he needs"/>
    <x v="7"/>
    <x v="0"/>
  </r>
  <r>
    <d v="2023-04-30T18:20:18"/>
    <s v="India"/>
    <n v="501301"/>
    <x v="0"/>
    <s v="People who have changed the world for better"/>
    <s v="No I would not be pursuing Higher Education outside of India"/>
    <s v="This will be hard to do, but if it is the right company I would try"/>
    <s v="No"/>
    <s v="Will NOT work for them"/>
    <n v="2"/>
    <s v="Every Day Office Environment"/>
    <s v="Employer who pushes your limits by enabling an learning environment, and rewards you at the end"/>
    <x v="309"/>
    <s v="Manager who clearly describes what she/he needs"/>
    <x v="3"/>
    <x v="3"/>
  </r>
  <r>
    <d v="2023-04-30T19:15:36"/>
    <s v="Canada"/>
    <s v="N9b2l3"/>
    <x v="0"/>
    <s v="My Parents"/>
    <s v="Yes, I will earn and do that"/>
    <s v="Will work for 3 years or more"/>
    <s v="No"/>
    <s v="Will NOT work for them"/>
    <n v="5"/>
    <s v="Fully Remote with Options to travel as and when needed"/>
    <s v="Employer who pushes your limits by enabling an learning environment, and rewards you at the end"/>
    <x v="353"/>
    <s v="Manager who sets goal and helps me achieve it"/>
    <x v="3"/>
    <x v="0"/>
  </r>
  <r>
    <d v="2023-04-30T19:51:30"/>
    <s v="India"/>
    <n v="201010"/>
    <x v="1"/>
    <s v="My Parents"/>
    <s v="No, But if someone could bare the cost I will"/>
    <s v="This will be hard to do, but if it is the right company I would try"/>
    <s v="No"/>
    <s v="Will NOT work for them"/>
    <n v="7"/>
    <s v="Hybrid Working Environment with more than 15 days a month at office"/>
    <s v="Employer who rewards learning and enables that environment"/>
    <x v="171"/>
    <s v="Manager who explains what is expected, sets a goal and helps achieve it"/>
    <x v="8"/>
    <x v="3"/>
  </r>
  <r>
    <d v="2023-04-30T20:40:07"/>
    <s v="India"/>
    <n v="231001"/>
    <x v="0"/>
    <s v="People from my circle, but not family members"/>
    <s v="No, But if someone could bare the cost I will"/>
    <s v="No way"/>
    <s v="No"/>
    <s v="Will work for them"/>
    <n v="7"/>
    <s v="Hybrid Working Environment with less than 3 days a month at office"/>
    <s v="Employer who appreciates learning and enables that environment"/>
    <x v="522"/>
    <s v="Manager who explains what is expected, sets a goal and helps achieve it"/>
    <x v="1"/>
    <x v="0"/>
  </r>
  <r>
    <d v="2023-04-30T20:44:26"/>
    <s v="India"/>
    <n v="605001"/>
    <x v="0"/>
    <s v="My Parents"/>
    <s v="Yes, I will earn and do that"/>
    <s v="This will be hard to do, but if it is the right company I would try"/>
    <s v="No"/>
    <s v="Will NOT work for them"/>
    <n v="1"/>
    <s v="Fully Remote with Options to travel as and when needed"/>
    <s v="Employer who appreciates learning and enables that environment"/>
    <x v="108"/>
    <s v="Manager who explains what is expected, sets a goal and helps achieve it"/>
    <x v="3"/>
    <x v="3"/>
  </r>
  <r>
    <d v="2023-04-30T21:01:53"/>
    <s v="India"/>
    <n v="250002"/>
    <x v="1"/>
    <s v="My Parents"/>
    <s v="No I would not be pursuing Higher Education outside of India"/>
    <s v="Will work for 3 years or more"/>
    <s v="No"/>
    <s v="Will NOT work for them"/>
    <n v="8"/>
    <s v="Hybrid Working Environment with more than 15 days a month at office"/>
    <s v="Employer who pushes your limits by enabling an learning environment, and rewards you at the end"/>
    <x v="554"/>
    <s v="Manager who explains what is expected, sets a goal and helps achieve it"/>
    <x v="15"/>
    <x v="3"/>
  </r>
  <r>
    <d v="2023-04-30T21:14:22"/>
    <s v="India"/>
    <n v="500094"/>
    <x v="1"/>
    <s v="My Parents"/>
    <s v="No I would not be pursuing Higher Education outside of India"/>
    <s v="Will work for 3 years or more"/>
    <s v="No"/>
    <s v="Will NOT work for them"/>
    <n v="2"/>
    <s v="Every Day Office Environment"/>
    <s v="Employer who appreciates learning and enables that environment"/>
    <x v="555"/>
    <s v="Manager who sets goal and helps me achieve it"/>
    <x v="1"/>
    <x v="3"/>
  </r>
  <r>
    <d v="2023-04-30T21:33:00"/>
    <s v="India"/>
    <n v="501510"/>
    <x v="0"/>
    <s v="My Parents"/>
    <s v="No, But if someone could bare the cost I will"/>
    <s v="Will work for 3 years or more"/>
    <s v="No"/>
    <s v="Will NOT work for them"/>
    <n v="6"/>
    <s v="Hybrid Working Environment with less than 3 days a month at office"/>
    <s v="Employer who pushes your limits by enabling an learning environment, and rewards you at the end"/>
    <x v="289"/>
    <s v="Manager who explains what is expected, sets a goal and helps achieve it"/>
    <x v="8"/>
    <x v="0"/>
  </r>
  <r>
    <d v="2023-04-30T21:45:59"/>
    <s v="India"/>
    <n v="110072"/>
    <x v="0"/>
    <s v="People from my circle, but not family members"/>
    <s v="No, But if someone could bare the cost I will"/>
    <s v="This will be hard to do, but if it is the right company I would try"/>
    <s v="Yes"/>
    <s v="Will work for them"/>
    <n v="8"/>
    <s v="Hybrid Working Environment with more than 15 days a month at office"/>
    <s v="Employer who appreciates learning and enables that environment"/>
    <x v="111"/>
    <s v="Manager who clearly describes what she/he needs"/>
    <x v="0"/>
    <x v="3"/>
  </r>
  <r>
    <d v="2023-04-30T21:53:26"/>
    <s v="India"/>
    <n v="482001"/>
    <x v="0"/>
    <s v="Social Media like LinkedIn"/>
    <s v="Yes, I will earn and do that"/>
    <s v="Will work for 3 years or more"/>
    <s v="No"/>
    <s v="Will work for them"/>
    <n v="3"/>
    <s v="Hybrid Working Environment with more than 15 days a month at office"/>
    <s v="Employer who appreciates learning and enables that environment"/>
    <x v="503"/>
    <s v="Manager who sets goal and helps me achieve it"/>
    <x v="12"/>
    <x v="3"/>
  </r>
  <r>
    <d v="2023-04-30T22:04:35"/>
    <s v="United States of America"/>
    <s v="06511"/>
    <x v="0"/>
    <s v="People who have changed the world for better"/>
    <s v="No, But if someone could bare the cost I will"/>
    <s v="Will work for 3 years or more"/>
    <s v="No"/>
    <s v="Will NOT work for them"/>
    <n v="10"/>
    <s v="Every Day Office Environment"/>
    <s v="Employer who rewards learning and enables that environment"/>
    <x v="412"/>
    <s v="Manager who explains what is expected, sets a goal and helps achieve it"/>
    <x v="1"/>
    <x v="3"/>
  </r>
  <r>
    <d v="2023-04-30T22:21:42"/>
    <s v="India"/>
    <n v="500094"/>
    <x v="0"/>
    <s v="My Parents"/>
    <s v="No, But if someone could bare the cost I will"/>
    <s v="Will work for 3 years or more"/>
    <s v="Yes"/>
    <s v="Will work for them"/>
    <n v="5"/>
    <s v="Every Day Office Environment"/>
    <s v="Employer who appreciates learning and enables that environment"/>
    <x v="428"/>
    <s v="Manager who explains what is expected, sets a goal and helps achieve it"/>
    <x v="1"/>
    <x v="3"/>
  </r>
  <r>
    <d v="2023-04-30T22:52:18"/>
    <s v="India"/>
    <n v="454001"/>
    <x v="0"/>
    <s v="My Parents"/>
    <s v="No, But if someone could bare the cost I will"/>
    <s v="Will work for 3 years or more"/>
    <s v="No"/>
    <s v="Will NOT work for them"/>
    <n v="7"/>
    <s v="Hybrid Working Environment with more than 15 days a month at office"/>
    <s v="Employer who pushes your limits by enabling an learning environment, and rewards you at the end"/>
    <x v="194"/>
    <s v="Manager who explains what is expected, sets a goal and helps achieve it"/>
    <x v="1"/>
    <x v="0"/>
  </r>
  <r>
    <d v="2023-04-30T23:51:56"/>
    <s v="India"/>
    <n v="607001"/>
    <x v="0"/>
    <s v="Influencers who had successful careers"/>
    <s v="Yes, I will earn and do that"/>
    <s v="Will work for 3 years or more"/>
    <s v="No"/>
    <s v="Will NOT work for them"/>
    <n v="6"/>
    <s v="Hybrid Working Environment with more than 15 days a month at office"/>
    <s v="Employer who rewards learning and enables that environment"/>
    <x v="556"/>
    <s v="Manager who explains what is expected, sets a goal and helps achieve it"/>
    <x v="1"/>
    <x v="3"/>
  </r>
  <r>
    <d v="2023-04-30T23:56:15"/>
    <s v="India"/>
    <n v="621211"/>
    <x v="0"/>
    <s v="Influencers who had successful careers"/>
    <s v="Yes, I will earn and do that"/>
    <s v="This will be hard to do, but if it is the right company I would try"/>
    <s v="Yes"/>
    <s v="Will work for them"/>
    <n v="5"/>
    <s v="Every Day Office Environment"/>
    <s v="Employer who appreciates learning and enables that environment"/>
    <x v="492"/>
    <s v="Manager who sets targets and expects me to achieve it"/>
    <x v="6"/>
    <x v="3"/>
  </r>
  <r>
    <d v="2023-05-01T00:03:28"/>
    <s v="India"/>
    <n v="395006"/>
    <x v="0"/>
    <s v="People who have changed the world for better"/>
    <s v="No I would not be pursuing Higher Education outside of India"/>
    <s v="This will be hard to do, but if it is the right company I would try"/>
    <s v="No"/>
    <s v="Will NOT work for them"/>
    <n v="5"/>
    <s v="Hybrid Working Environment with more than 15 days a month at office"/>
    <s v="Employer who appreciates learning and enables that environment"/>
    <x v="317"/>
    <s v="Manager who clearly describes what she/he needs"/>
    <x v="1"/>
    <x v="2"/>
  </r>
  <r>
    <d v="2023-05-01T00:08:15"/>
    <s v="India"/>
    <n v="576213"/>
    <x v="1"/>
    <s v="My Parents"/>
    <s v="Yes, I will earn and do that"/>
    <s v="This will be hard to do, but if it is the right company I would try"/>
    <s v="Yes"/>
    <s v="Will work for them"/>
    <n v="9"/>
    <s v="Fully Remote with No option to visit offices"/>
    <s v="Employer who pushes your limits by enabling an learning environment, and rewards you at the end"/>
    <x v="197"/>
    <s v="Manager who explains what is expected, sets a goal and helps achieve it"/>
    <x v="2"/>
    <x v="0"/>
  </r>
  <r>
    <d v="2023-05-01T00:30:50"/>
    <s v="India"/>
    <n v="456010"/>
    <x v="0"/>
    <s v="People who have changed the world for better"/>
    <s v="No I would not be pursuing Higher Education outside of India"/>
    <s v="Will work for 3 years or more"/>
    <s v="No"/>
    <s v="Will NOT work for them"/>
    <n v="6"/>
    <s v="Hybrid Working Environment with more than 15 days a month at office"/>
    <s v="Employer who rewards learning and enables that environment"/>
    <x v="153"/>
    <s v="Manager who explains what is expected, sets a goal and helps achieve it"/>
    <x v="1"/>
    <x v="3"/>
  </r>
  <r>
    <d v="2023-05-01T01:06:10"/>
    <s v="India"/>
    <n v="500019"/>
    <x v="0"/>
    <s v="My Parents"/>
    <s v="Yes, I will earn and do that"/>
    <s v="This will be hard to do, but if it is the right company I would try"/>
    <s v="No"/>
    <s v="Will NOT work for them"/>
    <n v="1"/>
    <s v="Hybrid Working Environment with more than 15 days a month at office"/>
    <s v="Employer who pushes your limits by enabling an learning environment, and rewards you at the end"/>
    <x v="109"/>
    <s v="Manager who clearly describes what she/he needs"/>
    <x v="3"/>
    <x v="0"/>
  </r>
  <r>
    <d v="2023-05-01T01:49:12"/>
    <s v="India"/>
    <n v="452001"/>
    <x v="0"/>
    <s v="Social Media like LinkedIn"/>
    <s v="Yes, I will earn and do that"/>
    <s v="Will work for 3 years or more"/>
    <s v="Yes"/>
    <s v="Will NOT work for them"/>
    <n v="10"/>
    <s v="Hybrid Working Environment with more than 15 days a month at office"/>
    <s v="Employer who appreciates learning and enables that environment"/>
    <x v="473"/>
    <s v="Manager who explains what is expected, sets a goal and helps achieve it"/>
    <x v="3"/>
    <x v="3"/>
  </r>
  <r>
    <d v="2023-05-01T01:51:11"/>
    <s v="India"/>
    <n v="452001"/>
    <x v="1"/>
    <s v="My Parents"/>
    <s v="No, But if someone could bare the cost I will"/>
    <s v="This will be hard to do, but if it is the right company I would try"/>
    <s v="No"/>
    <s v="Will NOT work for them"/>
    <n v="3"/>
    <s v="Fully Remote with Options to travel as and when needed"/>
    <s v="Employer who pushes your limits and doesn't enables learning environment and never rewards you"/>
    <x v="557"/>
    <s v="Manager who sets goal and helps me achieve it"/>
    <x v="3"/>
    <x v="0"/>
  </r>
  <r>
    <d v="2023-05-01T01:54:09"/>
    <s v="India"/>
    <n v="452010"/>
    <x v="1"/>
    <s v="People who have changed the world for better"/>
    <s v="No I would not be pursuing Higher Education outside of India"/>
    <s v="This will be hard to do, but if it is the right company I would try"/>
    <s v="Yes"/>
    <s v="Will NOT work for them"/>
    <n v="6"/>
    <s v="Fully Remote with No option to visit offices"/>
    <s v="Employer who pushes your limits by enabling an learning environment, and rewards you at the end"/>
    <x v="276"/>
    <s v="Manager who explains what is expected, sets a goal and helps achieve it"/>
    <x v="7"/>
    <x v="0"/>
  </r>
  <r>
    <d v="2023-05-01T07:14:04"/>
    <s v="India"/>
    <n v="201014"/>
    <x v="1"/>
    <s v="Influencers who had successful careers"/>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530"/>
    <s v="Manager who explains what is expected, sets a goal and helps achieve it"/>
    <x v="1"/>
    <x v="0"/>
  </r>
  <r>
    <d v="2023-05-01T07:47:00"/>
    <s v="India"/>
    <n v="587102"/>
    <x v="0"/>
    <s v="Social Media like LinkedIn"/>
    <s v="No I would not be pursuing Higher Education outside of India"/>
    <s v="Will work for 3 years or more"/>
    <s v="No"/>
    <s v="Will NOT work for them"/>
    <n v="5"/>
    <s v="Fully Remote with No option to visit offices"/>
    <s v="Employer who pushes your limits by enabling an learning environment, and rewards you at the end"/>
    <x v="537"/>
    <s v="Manager who sets goal and helps me achieve it"/>
    <x v="13"/>
    <x v="3"/>
  </r>
  <r>
    <d v="2023-05-01T08:42:20"/>
    <s v="India"/>
    <n v="530068"/>
    <x v="0"/>
    <s v="People who have changed the world for better"/>
    <s v="No I would not be pursuing Higher Education outside of India"/>
    <s v="This will be hard to do, but if it is the right company I would try"/>
    <s v="Yes"/>
    <s v="Will NOT work for them"/>
    <n v="5"/>
    <s v="Fully Remote with Options to travel as and when needed"/>
    <s v="Employer who appreciates learning and enables that environment"/>
    <x v="135"/>
    <s v="Manager who sets goal and helps me achieve it"/>
    <x v="2"/>
    <x v="3"/>
  </r>
  <r>
    <d v="2023-05-01T09:09:27"/>
    <s v="India"/>
    <n v="456010"/>
    <x v="0"/>
    <s v="People who have changed the world for better"/>
    <s v="Yes, I will earn and do that"/>
    <s v="Will work for 3 years or more"/>
    <s v="Yes"/>
    <s v="Will work for them"/>
    <n v="6"/>
    <s v="Every Day Office Environment"/>
    <s v="Employer who pushes your limits by enabling an learning environment, and rewards you at the end"/>
    <x v="148"/>
    <s v="Manager who sets targets and expects me to achieve it"/>
    <x v="7"/>
    <x v="0"/>
  </r>
  <r>
    <d v="2023-05-01T09:39:13"/>
    <s v="India"/>
    <n v="560045"/>
    <x v="1"/>
    <s v="People from my circle, but not family members"/>
    <s v="Yes, I will earn and do that"/>
    <s v="This will be hard to do, but if it is the right company I would try"/>
    <s v="No"/>
    <s v="Will work for them"/>
    <n v="6"/>
    <s v="Hybrid Working Environment with more than 15 days a month at office"/>
    <s v="Employer who pushes your limits by enabling an learning environment, and rewards you at the end"/>
    <x v="558"/>
    <s v="Manager who explains what is expected, sets a goal and helps achieve it"/>
    <x v="1"/>
    <x v="3"/>
  </r>
  <r>
    <d v="2023-05-01T10:37:16"/>
    <s v="India"/>
    <n v="605007"/>
    <x v="1"/>
    <s v="People from my circle, but not family members"/>
    <s v="No, But if someone could bare the cost I will"/>
    <s v="This will be hard to do, but if it is the right company I would try"/>
    <s v="No"/>
    <s v="Will NOT work for them"/>
    <n v="5"/>
    <s v="Hybrid Working Environment with less than 3 days a month at office"/>
    <s v="Employer who rewards learning and enables that environment"/>
    <x v="253"/>
    <s v="Manager who explains what is expected, sets a goal and helps achieve it"/>
    <x v="1"/>
    <x v="0"/>
  </r>
  <r>
    <d v="2023-05-01T10:55:05"/>
    <s v="India"/>
    <n v="201002"/>
    <x v="1"/>
    <s v="People from my circle, but not family members"/>
    <s v="No, But if someone could bare the cost I will"/>
    <s v="This will be hard to do, but if it is the right company I would try"/>
    <s v="No"/>
    <s v="Will NOT work for them"/>
    <n v="6"/>
    <s v="Hybrid Working Environment with more than 15 days a month at office"/>
    <s v="Employer who pushes your limits by enabling an learning environment, and rewards you at the end"/>
    <x v="111"/>
    <s v="Manager who explains what is expected, sets a goal and helps achieve it"/>
    <x v="1"/>
    <x v="3"/>
  </r>
  <r>
    <d v="2023-05-01T11:45:18"/>
    <s v="India"/>
    <n v="530002"/>
    <x v="0"/>
    <s v="People from my circle, but not family members"/>
    <s v="No, But if someone could bare the cost I will"/>
    <s v="Will work for 3 years or more"/>
    <s v="No"/>
    <s v="Will NOT work for them"/>
    <n v="2"/>
    <s v="Fully Remote with Options to travel as and when needed"/>
    <s v="Employer who rewards learning and enables that environment"/>
    <x v="108"/>
    <s v="Manager who sets goal and helps me achieve it"/>
    <x v="1"/>
    <x v="0"/>
  </r>
  <r>
    <d v="2023-05-01T12:15:17"/>
    <s v="India"/>
    <n v="388001"/>
    <x v="1"/>
    <s v="People from my circle, but not family members"/>
    <s v="No I would not be pursuing Higher Education outside of India"/>
    <s v="This will be hard to do, but if it is the right company I would try"/>
    <s v="No"/>
    <s v="Will NOT work for them"/>
    <n v="6"/>
    <s v="Fully Remote with No option to visit offices"/>
    <s v="Employer who pushes your limits by enabling an learning environment, and rewards you at the end"/>
    <x v="111"/>
    <s v="Manager who explains what is expected, sets a goal and helps achieve it"/>
    <x v="1"/>
    <x v="3"/>
  </r>
  <r>
    <d v="2023-05-01T12:27:39"/>
    <s v="India"/>
    <n v="679103"/>
    <x v="0"/>
    <s v="My Parents"/>
    <s v="No I would not be pursuing Higher Education outside of India"/>
    <s v="No way"/>
    <s v="No"/>
    <s v="Will NOT work for them"/>
    <n v="6"/>
    <s v="Fully Remote with Options to travel as and when needed"/>
    <s v="Employers who appreciates learning but doesn't enables an learning environment"/>
    <x v="207"/>
    <s v="Manager who sets unrealistic targets"/>
    <x v="7"/>
    <x v="4"/>
  </r>
  <r>
    <d v="2023-05-01T12:28:40"/>
    <s v="India"/>
    <n v="678008"/>
    <x v="0"/>
    <s v="Social Media like LinkedIn"/>
    <s v="Yes, I will earn and do that"/>
    <s v="Will work for 3 years or more"/>
    <s v="No"/>
    <s v="Will NOT work for them"/>
    <n v="9"/>
    <s v="Hybrid Working Environment with less than 3 days a month at office"/>
    <s v="Employer who appreciates learning and enables that environment"/>
    <x v="296"/>
    <s v="Manager who explains what is expected, sets a goal and helps achieve it"/>
    <x v="1"/>
    <x v="3"/>
  </r>
  <r>
    <d v="2023-05-01T12:29:54"/>
    <s v="India"/>
    <n v="560016"/>
    <x v="1"/>
    <s v="Influencers who had successful careers"/>
    <s v="No I would not be pursuing Higher Education outside of India"/>
    <s v="Will work for 3 years or more"/>
    <s v="No"/>
    <s v="Will NOT work for them"/>
    <n v="5"/>
    <s v="Fully Remote with Options to travel as and when needed"/>
    <s v="Employer who appreciates learning and enables that environment"/>
    <x v="226"/>
    <s v="Manager who explains what is expected, sets a goal and helps achieve it"/>
    <x v="2"/>
    <x v="2"/>
  </r>
  <r>
    <d v="2023-05-01T13:04:44"/>
    <s v="India"/>
    <n v="572120"/>
    <x v="0"/>
    <s v="Social Media like LinkedIn"/>
    <s v="Yes, I will earn and do that"/>
    <s v="This will be hard to do, but if it is the right company I would try"/>
    <s v="No"/>
    <s v="Will NOT work for them"/>
    <n v="8"/>
    <s v="Hybrid Working Environment with more than 15 days a month at office"/>
    <s v="Employer who rewards learning and enables that environment"/>
    <x v="559"/>
    <s v="Manager who sets goal and helps me achieve it"/>
    <x v="3"/>
    <x v="0"/>
  </r>
  <r>
    <d v="2023-05-01T14:28:10"/>
    <s v="India"/>
    <n v="679101"/>
    <x v="1"/>
    <s v="My Parents"/>
    <s v="Yes, I will earn and do that"/>
    <s v="Will work for 3 years or more"/>
    <s v="Yes"/>
    <s v="Will NOT work for them"/>
    <n v="1"/>
    <s v="Every Day Office Environment"/>
    <s v="Employer who pushes your limits and doesn't enables learning environment and never rewards you"/>
    <x v="202"/>
    <s v="Manager who sets goal and helps me achieve it"/>
    <x v="1"/>
    <x v="0"/>
  </r>
  <r>
    <d v="2023-05-01T14:55:26"/>
    <s v="India"/>
    <n v="827012"/>
    <x v="0"/>
    <s v="Social Media like LinkedIn"/>
    <s v="Yes, I will earn and do that"/>
    <s v="This will be hard to do, but if it is the right company I would try"/>
    <s v="No"/>
    <s v="Will work for them"/>
    <n v="6"/>
    <s v="Hybrid Working Environment with less than 3 days a month at office"/>
    <s v="Employer who pushes your limits by enabling an learning environment, and rewards you at the end"/>
    <x v="553"/>
    <s v="Manager who explains what is expected, sets a goal and helps achieve it"/>
    <x v="4"/>
    <x v="0"/>
  </r>
  <r>
    <d v="2023-05-01T14:56:49"/>
    <s v="India"/>
    <n v="827004"/>
    <x v="0"/>
    <s v="My Parents"/>
    <s v="Yes, I will earn and do that"/>
    <s v="This will be hard to do, but if it is the right company I would try"/>
    <s v="Yes"/>
    <s v="Will work for them"/>
    <n v="1"/>
    <s v="Every Day Office Environment"/>
    <s v="Employer who appreciates learning and enables that environment"/>
    <x v="560"/>
    <s v="Manager who clearly describes what she/he needs"/>
    <x v="7"/>
    <x v="3"/>
  </r>
  <r>
    <d v="2023-05-01T14:58:35"/>
    <s v="India"/>
    <n v="827013"/>
    <x v="0"/>
    <s v="My Parents"/>
    <s v="Yes, I will earn and do that"/>
    <s v="This will be hard to do, but if it is the right company I would try"/>
    <s v="No"/>
    <s v="Will NOT work for them"/>
    <n v="8"/>
    <s v="Every Day Office Environment"/>
    <s v="Employer who appreciates learning and enables that environment"/>
    <x v="214"/>
    <s v="Manager who clearly describes what she/he needs"/>
    <x v="1"/>
    <x v="3"/>
  </r>
  <r>
    <d v="2023-05-01T15:02:37"/>
    <s v="India"/>
    <n v="160030"/>
    <x v="1"/>
    <s v="My Parents"/>
    <s v="No, But if someone could bare the cost I will"/>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114"/>
    <s v="Manager who explains what is expected, sets a goal and helps achieve it"/>
    <x v="1"/>
    <x v="2"/>
  </r>
  <r>
    <d v="2023-05-01T15:04:00"/>
    <s v="India"/>
    <n v="678001"/>
    <x v="0"/>
    <s v="Influencers who had successful careers"/>
    <s v="No I would not be pursuing Higher Education outside of India"/>
    <s v="This will be hard to do, but if it is the right company I would try"/>
    <s v="No"/>
    <s v="Will NOT work for them"/>
    <n v="3"/>
    <s v="Fully Remote with Options to travel as and when needed"/>
    <s v="Employer who pushes your limits by enabling an learning environment, and rewards you at the end"/>
    <x v="120"/>
    <s v="Manager who sets goal and helps me achieve it"/>
    <x v="4"/>
    <x v="0"/>
  </r>
  <r>
    <d v="2023-05-01T15:19:10"/>
    <s v="India"/>
    <n v="422003"/>
    <x v="1"/>
    <s v="My Parents"/>
    <s v="No, But if someone could bare the cost I will"/>
    <s v="This will be hard to do, but if it is the right company I would try"/>
    <s v="No"/>
    <s v="Will NOT work for them"/>
    <n v="4"/>
    <s v="Hybrid Working Environment with less than 3 days a month at office"/>
    <s v="Employer who rewards learning and enables that environment"/>
    <x v="561"/>
    <s v="Manager who clearly describes what she/he needs"/>
    <x v="3"/>
    <x v="3"/>
  </r>
  <r>
    <d v="2023-05-01T15:30:46"/>
    <s v="India"/>
    <n v="827012"/>
    <x v="0"/>
    <s v="Social Media like LinkedIn"/>
    <s v="Yes, I will earn and do that"/>
    <s v="This will be hard to do, but if it is the right company I would try"/>
    <s v="No"/>
    <s v="Will NOT work for them"/>
    <n v="7"/>
    <s v="Hybrid Working Environment with more than 15 days a month at office"/>
    <s v="Employer who pushes your limits by enabling an learning environment, and rewards you at the end"/>
    <x v="302"/>
    <s v="Manager who explains what is expected, sets a goal and helps achieve it"/>
    <x v="3"/>
    <x v="3"/>
  </r>
  <r>
    <d v="2023-05-01T16:01:23"/>
    <s v="India"/>
    <n v="700023"/>
    <x v="1"/>
    <s v="People from my circle, but not family members"/>
    <s v="Yes, I will earn and do that"/>
    <s v="Will work for 3 years or more"/>
    <s v="No"/>
    <s v="Will NOT work for them"/>
    <n v="9"/>
    <s v="Hybrid Working Environment with less than 3 days a month at office"/>
    <s v="Employer who pushes your limits by enabling an learning environment, and rewards you at the end"/>
    <x v="303"/>
    <s v="Manager who sets goal and helps me achieve it"/>
    <x v="1"/>
    <x v="2"/>
  </r>
  <r>
    <d v="2023-05-01T16:02:50"/>
    <s v="India"/>
    <n v="605010"/>
    <x v="0"/>
    <s v="My Parents"/>
    <s v="No I would not be pursuing Higher Education outside of India"/>
    <s v="Will work for 3 years or more"/>
    <s v="No"/>
    <s v="Will NOT work for them"/>
    <n v="5"/>
    <s v="Hybrid Working Environment with more than 15 days a month at office"/>
    <s v="Employer who appreciates learning and enables that environment"/>
    <x v="318"/>
    <s v="Manager who sets goal and helps me achieve it"/>
    <x v="7"/>
    <x v="3"/>
  </r>
  <r>
    <d v="2023-05-01T16:56:48"/>
    <s v="India"/>
    <n v="7"/>
    <x v="1"/>
    <s v="People who have changed the world for better"/>
    <s v="No, But if someone could bare the cost I will"/>
    <s v="This will be hard to do, but if it is the right company I would try"/>
    <s v="Yes"/>
    <s v="Will NOT work for them"/>
    <n v="4"/>
    <s v="Hybrid Working Environment with less than 3 days a month at office"/>
    <s v="Employer who pushes your limits by enabling an learning environment, and rewards you at the end"/>
    <x v="436"/>
    <s v="Manager who explains what is expected, sets a goal and helps achieve it"/>
    <x v="1"/>
    <x v="3"/>
  </r>
  <r>
    <d v="2023-05-01T17:30:49"/>
    <s v="India"/>
    <n v="700000"/>
    <x v="1"/>
    <s v="People who have changed the world for better"/>
    <s v="No, But if someone could bare the cost I will"/>
    <s v="This will be hard to do, but if it is the right company I would try"/>
    <s v="Yes"/>
    <s v="Will NOT work for them"/>
    <n v="4"/>
    <s v="Fully Remote with Options to travel as and when needed"/>
    <s v="Employer who rewards learning and enables that environment"/>
    <x v="371"/>
    <s v="Manager who clearly describes what she/he needs"/>
    <x v="3"/>
    <x v="3"/>
  </r>
  <r>
    <d v="2023-05-01T18:39:19"/>
    <s v="India"/>
    <n v="474006"/>
    <x v="0"/>
    <s v="Influencers who had successful careers"/>
    <s v="Yes, I will earn and do that"/>
    <s v="This will be hard to do, but if it is the right company I would try"/>
    <s v="No"/>
    <s v="Will NOT work for them"/>
    <n v="3"/>
    <s v="Hybrid Working Environment with more than 15 days a month at office"/>
    <s v="Employer who pushes your limits by enabling an learning environment, and rewards you at the end"/>
    <x v="99"/>
    <s v="Manager who explains what is expected, sets a goal and helps achieve it"/>
    <x v="3"/>
    <x v="0"/>
  </r>
  <r>
    <d v="2023-05-01T19:19:46"/>
    <s v="India"/>
    <n v="700032"/>
    <x v="0"/>
    <s v="Influencers who had successful careers"/>
    <s v="Yes, I will earn and do that"/>
    <s v="Will work for 3 years or more"/>
    <s v="No"/>
    <s v="Will NOT work for them"/>
    <n v="1"/>
    <s v="Hybrid Working Environment with more than 15 days a month at office"/>
    <s v="Employer who pushes your limits by enabling an learning environment, and rewards you at the end"/>
    <x v="396"/>
    <s v="Manager who explains what is expected, sets a goal and helps achieve it"/>
    <x v="1"/>
    <x v="2"/>
  </r>
  <r>
    <d v="2023-05-01T20:05:02"/>
    <s v="India"/>
    <n v="829111"/>
    <x v="0"/>
    <s v="Social Media like LinkedIn"/>
    <s v="No, But if someone could bare the cost I will"/>
    <s v="Will work for 3 years or more"/>
    <s v="Yes"/>
    <s v="Will work for them"/>
    <n v="8"/>
    <s v="Every Day Office Environment"/>
    <s v="Employer who appreciates learning and enables that environment"/>
    <x v="308"/>
    <s v="Manager who sets goal and helps me achieve it"/>
    <x v="7"/>
    <x v="3"/>
  </r>
  <r>
    <d v="2023-05-01T21:46:21"/>
    <s v="India"/>
    <n v="110019"/>
    <x v="0"/>
    <s v="People who have changed the world for better"/>
    <s v="No, But if someone could bare the cost I will"/>
    <s v="This will be hard to do, but if it is the right company I would try"/>
    <s v="Yes"/>
    <s v="Will NOT work for them"/>
    <n v="5"/>
    <s v="Hybrid Working Environment with more than 15 days a month at office"/>
    <s v="Employer who pushes your limits by enabling an learning environment, and rewards you at the end"/>
    <x v="181"/>
    <s v="Manager who explains what is expected, sets a goal and helps achieve it"/>
    <x v="1"/>
    <x v="3"/>
  </r>
  <r>
    <d v="2023-05-01T21:47:46"/>
    <s v="India"/>
    <n v="382421"/>
    <x v="0"/>
    <s v="My Parents"/>
    <s v="Yes, I will earn and do that"/>
    <s v="Will work for 3 years or more"/>
    <s v="No"/>
    <s v="Will NOT work for them"/>
    <n v="3"/>
    <s v="Every Day Office Environment"/>
    <s v="Employer who pushes your limits by enabling an learning environment, and rewards you at the end"/>
    <x v="176"/>
    <s v="Manager who clearly describes what she/he needs"/>
    <x v="4"/>
    <x v="3"/>
  </r>
  <r>
    <d v="2023-05-01T21:51:28"/>
    <s v="India"/>
    <n v="382470"/>
    <x v="0"/>
    <s v="People from my circle, but not family members"/>
    <s v="No I would not be pursuing Higher Education outside of India"/>
    <s v="Will work for 3 years or more"/>
    <s v="No"/>
    <s v="Will NOT work for them"/>
    <n v="5"/>
    <s v="Every Day Office Environment"/>
    <s v="Employer who appreciates learning and enables that environment"/>
    <x v="466"/>
    <s v="Manager who sets goal and helps me achieve it"/>
    <x v="7"/>
    <x v="3"/>
  </r>
  <r>
    <d v="2023-05-01T21:55:33"/>
    <s v="India"/>
    <n v="380005"/>
    <x v="0"/>
    <s v="People who have changed the world for better"/>
    <s v="No I would not be pursuing Higher Education outside of India"/>
    <s v="Will work for 3 years or more"/>
    <s v="No"/>
    <s v="Will NOT work for them"/>
    <n v="2"/>
    <s v="Hybrid Working Environment with less than 3 days a month at office"/>
    <s v="Employer who pushes your limits by enabling an learning environment, and rewards you at the end"/>
    <x v="350"/>
    <s v="Manager who explains what is expected, sets a goal and helps achieve it"/>
    <x v="4"/>
    <x v="0"/>
  </r>
  <r>
    <d v="2023-05-01T22:02:41"/>
    <s v="India"/>
    <n v="382424"/>
    <x v="0"/>
    <s v="My Parents"/>
    <s v="No, But if someone could bare the cost I will"/>
    <s v="This will be hard to do, but if it is the right company I would try"/>
    <s v="No"/>
    <s v="Will NOT work for them"/>
    <n v="8"/>
    <s v="Hybrid Working Environment with less than 3 days a month at office"/>
    <s v="Employer who rewards learning and enables that environment"/>
    <x v="194"/>
    <s v="Manager who explains what is expected, sets a goal and helps achieve it"/>
    <x v="1"/>
    <x v="0"/>
  </r>
  <r>
    <d v="2023-05-01T22:03:49"/>
    <s v="India"/>
    <n v="382424"/>
    <x v="0"/>
    <s v="My Parents"/>
    <s v="No, But if someone could bare the cost I will"/>
    <s v="Will work for 3 years or more"/>
    <s v="No"/>
    <s v="Will NOT work for them"/>
    <n v="10"/>
    <s v="Hybrid Working Environment with more than 15 days a month at office"/>
    <s v="Employer who pushes your limits by enabling an learning environment, and rewards you at the end"/>
    <x v="181"/>
    <s v="Manager who sets goal and helps me achieve it"/>
    <x v="7"/>
    <x v="3"/>
  </r>
  <r>
    <d v="2023-05-01T22:07:35"/>
    <s v="India"/>
    <n v="382421"/>
    <x v="0"/>
    <s v="People from my circle, but not family members"/>
    <s v="Yes, I will earn and do that"/>
    <s v="No way"/>
    <s v="Yes"/>
    <s v="Will NOT work for them"/>
    <n v="3"/>
    <s v="Fully Remote with Options to travel as and when needed"/>
    <s v="Employer who appreciates learning and enables that environment"/>
    <x v="140"/>
    <s v="Manager who explains what is expected, sets a goal and helps achieve it"/>
    <x v="3"/>
    <x v="3"/>
  </r>
  <r>
    <d v="2023-05-01T22:12:00"/>
    <s v="India"/>
    <n v="380019"/>
    <x v="0"/>
    <s v="People from my circle, but not family members"/>
    <s v="Yes, I will earn and do that"/>
    <s v="Will work for 3 years or more"/>
    <s v="No"/>
    <s v="Will work for them"/>
    <n v="5"/>
    <s v="Hybrid Working Environment with less than 3 days a month at office"/>
    <s v="Employer who pushes your limits by enabling an learning environment, and rewards you at the end"/>
    <x v="325"/>
    <s v="Manager who sets goal and helps me achieve it"/>
    <x v="0"/>
    <x v="3"/>
  </r>
  <r>
    <d v="2023-05-01T22:38:31"/>
    <s v="India"/>
    <n v="382421"/>
    <x v="0"/>
    <s v="My Parents"/>
    <s v="No I would not be pursuing Higher Education outside of India"/>
    <s v="This will be hard to do, but if it is the right company I would try"/>
    <s v="No"/>
    <s v="Will NOT work for them"/>
    <n v="1"/>
    <s v="Every Day Office Environment"/>
    <s v="Employer who rewards learning and enables that environment"/>
    <x v="139"/>
    <s v="Manager who clearly describes what she/he needs"/>
    <x v="8"/>
    <x v="3"/>
  </r>
  <r>
    <d v="2023-05-02T05:10:06"/>
    <s v="India"/>
    <n v="144411"/>
    <x v="0"/>
    <s v="My Parents"/>
    <s v="No, But if someone could bare the cost I will"/>
    <s v="This will be hard to do, but if it is the right company I would try"/>
    <s v="No"/>
    <s v="Will NOT work for them"/>
    <n v="1"/>
    <s v="Every Day Office Environment"/>
    <s v="Employer who pushes your limits by enabling an learning environment, and rewards you at the end"/>
    <x v="109"/>
    <s v="Manager who explains what is expected, sets a goal and helps achieve it"/>
    <x v="1"/>
    <x v="0"/>
  </r>
  <r>
    <d v="2023-05-02T05:32:58"/>
    <s v="India"/>
    <n v="600122"/>
    <x v="0"/>
    <s v="People from my circle, but not family members"/>
    <s v="No, But if someone could bare the cost I will"/>
    <s v="This will be hard to do, but if it is the right company I would try"/>
    <s v="No"/>
    <s v="Will NOT work for them"/>
    <n v="4"/>
    <s v="Hybrid Working Environment with more than 15 days a month at office"/>
    <s v="Employer who appreciates learning and enables that environment"/>
    <x v="371"/>
    <s v="Manager who clearly describes what she/he needs"/>
    <x v="1"/>
    <x v="3"/>
  </r>
  <r>
    <d v="2023-05-02T06:20:14"/>
    <s v="India"/>
    <n v="380005"/>
    <x v="0"/>
    <s v="Influencers who had successful careers"/>
    <s v="No, But if someone could bare the cost I will"/>
    <s v="Will work for 3 years or more"/>
    <s v="No"/>
    <s v="Will work for them"/>
    <n v="8"/>
    <s v="Hybrid Working Environment with more than 15 days a month at office"/>
    <s v="Employer who appreciates learning and enables that environment"/>
    <x v="562"/>
    <s v="Manager who clearly describes what she/he needs"/>
    <x v="1"/>
    <x v="3"/>
  </r>
  <r>
    <d v="2023-05-02T08:01:20"/>
    <s v="India"/>
    <n v="515870"/>
    <x v="0"/>
    <s v="Influencers who had successful careers"/>
    <s v="No I would not be pursuing Higher Education outside of India"/>
    <s v="This will be hard to do, but if it is the right company I would try"/>
    <s v="No"/>
    <s v="Will NOT work for them"/>
    <n v="4"/>
    <s v="Fully Remote with Options to travel as and when needed"/>
    <s v="Employer who rewards learning and enables that environment"/>
    <x v="563"/>
    <s v="Manager who explains what is expected, sets a goal and helps achieve it"/>
    <x v="7"/>
    <x v="3"/>
  </r>
  <r>
    <d v="2023-05-02T09:53:56"/>
    <s v="India"/>
    <n v="515870"/>
    <x v="0"/>
    <s v="My Parents"/>
    <s v="No, But if someone could bare the cost I will"/>
    <s v="Will work for 3 years or more"/>
    <s v="Yes"/>
    <s v="Will NOT work for them"/>
    <n v="8"/>
    <s v="Hybrid Working Environment with less than 3 days a month at office"/>
    <s v="Employer who pushes your limits by enabling an learning environment, and rewards you at the end"/>
    <x v="121"/>
    <s v="Manager who explains what is expected, sets a goal and helps achieve it"/>
    <x v="7"/>
    <x v="3"/>
  </r>
  <r>
    <d v="2023-05-02T13:34:37"/>
    <s v="India"/>
    <n v="560098"/>
    <x v="0"/>
    <s v="My Parents"/>
    <s v="Yes, I will earn and do that"/>
    <s v="This will be hard to do, but if it is the right company I would try"/>
    <s v="No"/>
    <s v="Will NOT work for them"/>
    <n v="2"/>
    <s v="Fully Remote with Options to travel as and when needed"/>
    <s v="Employer who rewards learning and enables that environment"/>
    <x v="182"/>
    <s v="Manager who explains what is expected, sets a goal and helps achieve it"/>
    <x v="3"/>
    <x v="3"/>
  </r>
  <r>
    <d v="2023-05-02T13:51:00"/>
    <s v="India"/>
    <n v="793007"/>
    <x v="0"/>
    <s v="People who have changed the world for better"/>
    <s v="No I would not be pursuing Higher Education outside of India"/>
    <s v="Will work for 3 years or more"/>
    <s v="Yes"/>
    <s v="Will work for them"/>
    <n v="5"/>
    <s v="Fully Remote with Options to travel as and when needed"/>
    <s v="Employer who pushes your limits by enabling an learning environment, and rewards you at the end"/>
    <x v="247"/>
    <s v="Manager who clearly describes what she/he needs"/>
    <x v="3"/>
    <x v="0"/>
  </r>
  <r>
    <d v="2023-05-02T14:12:06"/>
    <s v="India"/>
    <n v="793006"/>
    <x v="1"/>
    <s v="Influencers who had successful careers"/>
    <s v="Yes, I will earn and do that"/>
    <s v="This will be hard to do, but if it is the right company I would try"/>
    <s v="No"/>
    <s v="Will NOT work for them"/>
    <n v="2"/>
    <s v="Hybrid Working Environment with more than 15 days a month at office"/>
    <s v="Employer who pushes your limits by enabling an learning environment, and rewards you at the end"/>
    <x v="430"/>
    <s v="Manager who explains what is expected, sets a goal and helps achieve it"/>
    <x v="3"/>
    <x v="0"/>
  </r>
  <r>
    <d v="2023-05-02T14:14:42"/>
    <s v="India"/>
    <n v="793002"/>
    <x v="0"/>
    <s v="My Parents"/>
    <s v="Yes, I will earn and do that"/>
    <s v="This will be hard to do, but if it is the right company I would try"/>
    <s v="Yes"/>
    <s v="Will work for them"/>
    <n v="4"/>
    <s v="Hybrid Working Environment with less than 3 days a month at office"/>
    <s v="Employer who pushes your limits by enabling an learning environment, and rewards you at the end"/>
    <x v="254"/>
    <s v="Manager who explains what is expected, sets a goal and helps achieve it"/>
    <x v="1"/>
    <x v="0"/>
  </r>
  <r>
    <d v="2023-05-02T14:27:43"/>
    <s v="India"/>
    <n v="793009"/>
    <x v="1"/>
    <s v="People who have changed the world for better"/>
    <s v="Yes, I will earn and do that"/>
    <s v="Will work for 3 years or more"/>
    <s v="No"/>
    <s v="Will NOT work for them"/>
    <n v="1"/>
    <s v="Fully Remote with Options to travel as and when needed"/>
    <s v="Employer who pushes your limits by enabling an learning environment, and rewards you at the end"/>
    <x v="338"/>
    <s v="Manager who explains what is expected, sets a goal and helps achieve it"/>
    <x v="11"/>
    <x v="3"/>
  </r>
  <r>
    <d v="2023-05-02T14:28:35"/>
    <s v="India"/>
    <n v="793021"/>
    <x v="1"/>
    <s v="My Parents"/>
    <s v="No I would not be pursuing Higher Education outside of India"/>
    <s v="This will be hard to do, but if it is the right company I would try"/>
    <s v="Yes"/>
    <s v="Will NOT work for them"/>
    <n v="3"/>
    <s v="Fully Remote with No option to visit offices"/>
    <s v="Employer who rewards learning and enables that environment"/>
    <x v="564"/>
    <s v="Manager who explains what is expected, sets a goal and helps achieve it"/>
    <x v="1"/>
    <x v="2"/>
  </r>
  <r>
    <d v="2023-05-02T14:39:34"/>
    <s v="India"/>
    <n v="411004"/>
    <x v="1"/>
    <s v="People who have changed the world for better"/>
    <s v="No, But if someone could bare the cost I will"/>
    <s v="This will be hard to do, but if it is the right company I would try"/>
    <s v="No"/>
    <s v="Will NOT work for them"/>
    <n v="8"/>
    <s v="Fully Remote with Options to travel as and when needed"/>
    <s v="Employer who pushes your limits by enabling an learning environment, and rewards you at the end"/>
    <x v="490"/>
    <s v="Manager who sets targets and expects me to achieve it"/>
    <x v="1"/>
    <x v="3"/>
  </r>
  <r>
    <d v="2023-05-02T14:45:07"/>
    <s v="India"/>
    <n v="793001"/>
    <x v="0"/>
    <s v="Influencers who had successful careers"/>
    <s v="Yes, I will earn and do that"/>
    <s v="This will be hard to do, but if it is the right company I would try"/>
    <s v="No"/>
    <s v="Will NOT work for them"/>
    <n v="2"/>
    <s v="Fully Remote with Options to travel as and when needed"/>
    <s v="Employer who appreciates learning and enables that environment"/>
    <x v="371"/>
    <s v="Manager who explains what is expected, sets a goal and helps achieve it"/>
    <x v="1"/>
    <x v="3"/>
  </r>
  <r>
    <d v="2023-05-02T14:49:44"/>
    <s v="India"/>
    <n v="793006"/>
    <x v="1"/>
    <s v="My Parents"/>
    <s v="Yes, I will earn and do that"/>
    <s v="This will be hard to do, but if it is the right company I would try"/>
    <s v="Yes"/>
    <s v="Will NOT work for them"/>
    <n v="1"/>
    <s v="Fully Remote with Options to travel as and when needed"/>
    <s v="Employer who pushes your limits by enabling an learning environment, and rewards you at the end"/>
    <x v="215"/>
    <s v="Manager who explains what is expected, sets a goal and helps achieve it"/>
    <x v="3"/>
    <x v="3"/>
  </r>
  <r>
    <d v="2023-05-02T14:51:10"/>
    <s v="India"/>
    <n v="737136"/>
    <x v="1"/>
    <s v="People who have changed the world for better"/>
    <s v="Yes, I will earn and do that"/>
    <s v="This will be hard to do, but if it is the right company I would try"/>
    <s v="No"/>
    <s v="Will NOT work for them"/>
    <n v="4"/>
    <s v="Hybrid Working Environment with less than 3 days a month at office"/>
    <s v="Employer who appreciates learning and enables that environment"/>
    <x v="96"/>
    <s v="Manager who explains what is expected, sets a goal and helps achieve it"/>
    <x v="3"/>
    <x v="3"/>
  </r>
  <r>
    <d v="2023-05-02T15:02:10"/>
    <s v="India"/>
    <n v="793006"/>
    <x v="0"/>
    <s v="People who have changed the world for better"/>
    <s v="No I would not be pursuing Higher Education outside of India"/>
    <s v="This will be hard to do, but if it is the right company I would try"/>
    <s v="Yes"/>
    <s v="Will work for them"/>
    <n v="10"/>
    <s v="Hybrid Working Environment with more than 15 days a month at office"/>
    <s v="Employer who pushes your limits by enabling an learning environment, and rewards you at the end"/>
    <x v="558"/>
    <s v="Manager who sets targets and expects me to achieve it"/>
    <x v="1"/>
    <x v="3"/>
  </r>
  <r>
    <d v="2023-05-02T15:03:54"/>
    <s v="India"/>
    <n v="111018"/>
    <x v="0"/>
    <s v="My Parents"/>
    <s v="No I would not be pursuing Higher Education outside of India"/>
    <s v="This will be hard to do, but if it is the right company I would try"/>
    <s v="Yes"/>
    <s v="Will NOT work for them"/>
    <n v="4"/>
    <s v="Hybrid Working Environment with less than 3 days a month at office"/>
    <s v="Employer who pushes your limits by enabling an learning environment, and rewards you at the end"/>
    <x v="198"/>
    <s v="Manager who sets goal and helps me achieve it"/>
    <x v="1"/>
    <x v="0"/>
  </r>
  <r>
    <d v="2023-05-02T15:05:54"/>
    <s v="India"/>
    <n v="794001"/>
    <x v="0"/>
    <s v="My Parents"/>
    <s v="No, But if someone could bare the cost I will"/>
    <s v="Will work for 3 years or more"/>
    <s v="No"/>
    <s v="Will NOT work for them"/>
    <n v="3"/>
    <s v="Fully Remote with No option to visit offices"/>
    <s v="Employer who appreciates learning and enables that environment"/>
    <x v="292"/>
    <s v="Manager who sets unrealistic targets"/>
    <x v="11"/>
    <x v="3"/>
  </r>
  <r>
    <d v="2023-05-02T16:07:54"/>
    <s v="India"/>
    <n v="110070"/>
    <x v="0"/>
    <s v="People who have changed the world for better"/>
    <s v="No I would not be pursuing Higher Education outside of India"/>
    <s v="This will be hard to do, but if it is the right company I would try"/>
    <s v="No"/>
    <s v="Will NOT work for them"/>
    <n v="4"/>
    <s v="Fully Remote with Options to travel as and when needed"/>
    <s v="Employer who pushes your limits by enabling an learning environment, and rewards you at the end"/>
    <x v="565"/>
    <s v="Manager who sets goal and helps me achieve it"/>
    <x v="1"/>
    <x v="0"/>
  </r>
  <r>
    <d v="2023-05-02T16:21:44"/>
    <s v="India"/>
    <n v="560029"/>
    <x v="1"/>
    <s v="My Parents"/>
    <s v="No I would not be pursuing Higher Education outside of India"/>
    <s v="This will be hard to do, but if it is the right company I would try"/>
    <s v="No"/>
    <s v="Will NOT work for them"/>
    <n v="3"/>
    <s v="Fully Remote with No option to visit offices"/>
    <s v="Employer who pushes your limits by enabling an learning environment, and rewards you at the end"/>
    <x v="486"/>
    <s v="Manager who sets goal and helps me achieve it"/>
    <x v="1"/>
    <x v="3"/>
  </r>
  <r>
    <d v="2023-05-02T16:29:18"/>
    <s v="India"/>
    <n v="787001"/>
    <x v="0"/>
    <s v="People from my circle, but not family members"/>
    <s v="No I would not be pursuing Higher Education outside of India"/>
    <s v="This will be hard to do, but if it is the right company I would try"/>
    <s v="No"/>
    <s v="Will NOT work for them"/>
    <n v="3"/>
    <s v="Hybrid Working Environment with less than 3 days a month at office"/>
    <s v="Employer who pushes your limits by enabling an learning environment, and rewards you at the end"/>
    <x v="138"/>
    <s v="Manager who sets goal and helps me achieve it"/>
    <x v="3"/>
    <x v="3"/>
  </r>
  <r>
    <d v="2023-05-02T16:32:56"/>
    <s v="India"/>
    <n v="793006"/>
    <x v="1"/>
    <s v="Influencers who had successful careers"/>
    <s v="Yes, I will earn and do that"/>
    <s v="This will be hard to do, but if it is the right company I would try"/>
    <s v="No"/>
    <s v="Will work for them"/>
    <n v="5"/>
    <s v="Fully Remote with Options to travel as and when needed"/>
    <s v="Employer who pushes your limits by enabling an learning environment, and rewards you at the end"/>
    <x v="221"/>
    <s v="Manager who sets goal and helps me achieve it"/>
    <x v="3"/>
    <x v="0"/>
  </r>
  <r>
    <d v="2023-05-02T16:39:48"/>
    <s v="India"/>
    <n v="793102"/>
    <x v="1"/>
    <s v="People from my circle, but not family members"/>
    <s v="No, But if someone could bare the cost I will"/>
    <s v="This will be hard to do, but if it is the right company I would try"/>
    <s v="No"/>
    <s v="Will NOT work for them"/>
    <n v="5"/>
    <s v="Hybrid Working Environment with more than 15 days a month at office"/>
    <s v="Employer who pushes your limits by enabling an learning environment, and rewards you at the end"/>
    <x v="207"/>
    <s v="Manager who explains what is expected, sets a goal and helps achieve it"/>
    <x v="1"/>
    <x v="0"/>
  </r>
  <r>
    <d v="2023-05-02T16:55:23"/>
    <s v="United Arab Emirates"/>
    <n v="307501"/>
    <x v="0"/>
    <s v="People who have changed the world for better"/>
    <s v="No I would not be pursuing Higher Education outside of India"/>
    <s v="This will be hard to do, but if it is the right company I would try"/>
    <s v="No"/>
    <s v="Will NOT work for them"/>
    <n v="1"/>
    <s v="Every Day Office Environment"/>
    <s v="Employer who appreciates learning and enables that environment"/>
    <x v="206"/>
    <s v="Manager who sets goal and helps me achieve it"/>
    <x v="7"/>
    <x v="3"/>
  </r>
  <r>
    <d v="2023-05-02T17:21:51"/>
    <s v="India"/>
    <n v="793006"/>
    <x v="1"/>
    <s v="People who have changed the world for better"/>
    <s v="No I would not be pursuing Higher Education outside of India"/>
    <s v="This will be hard to do, but if it is the right company I would try"/>
    <s v="Yes"/>
    <s v="Will NOT work for them"/>
    <n v="4"/>
    <s v="Fully Remote with Options to travel as and when needed"/>
    <s v="Employer who rewards learning and enables that environment"/>
    <x v="224"/>
    <s v="Manager who explains what is expected, sets a goal and helps achieve it"/>
    <x v="3"/>
    <x v="3"/>
  </r>
  <r>
    <d v="2023-05-02T18:04:14"/>
    <s v="India"/>
    <n v="793021"/>
    <x v="0"/>
    <s v="Influencers who had successful careers"/>
    <s v="No, But if someone could bare the cost I will"/>
    <s v="This will be hard to do, but if it is the right company I would try"/>
    <s v="Yes"/>
    <s v="Will work for them"/>
    <n v="8"/>
    <s v="Fully Remote with Options to travel as and when needed"/>
    <s v="Employer who rewards learning and enables that environment"/>
    <x v="566"/>
    <s v="Manager who explains what is expected, sets a goal and helps achieve it"/>
    <x v="3"/>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4">
  <r>
    <x v="0"/>
    <x v="0"/>
  </r>
  <r>
    <x v="1"/>
    <x v="0"/>
  </r>
  <r>
    <x v="0"/>
    <x v="1"/>
  </r>
  <r>
    <x v="0"/>
    <x v="0"/>
  </r>
  <r>
    <x v="0"/>
    <x v="1"/>
  </r>
  <r>
    <x v="1"/>
    <x v="1"/>
  </r>
  <r>
    <x v="0"/>
    <x v="0"/>
  </r>
  <r>
    <x v="0"/>
    <x v="0"/>
  </r>
  <r>
    <x v="0"/>
    <x v="0"/>
  </r>
  <r>
    <x v="1"/>
    <x v="0"/>
  </r>
  <r>
    <x v="0"/>
    <x v="0"/>
  </r>
  <r>
    <x v="1"/>
    <x v="0"/>
  </r>
  <r>
    <x v="0"/>
    <x v="0"/>
  </r>
  <r>
    <x v="0"/>
    <x v="0"/>
  </r>
  <r>
    <x v="0"/>
    <x v="1"/>
  </r>
  <r>
    <x v="0"/>
    <x v="0"/>
  </r>
  <r>
    <x v="0"/>
    <x v="0"/>
  </r>
  <r>
    <x v="1"/>
    <x v="0"/>
  </r>
  <r>
    <x v="0"/>
    <x v="0"/>
  </r>
  <r>
    <x v="0"/>
    <x v="1"/>
  </r>
  <r>
    <x v="0"/>
    <x v="1"/>
  </r>
  <r>
    <x v="0"/>
    <x v="0"/>
  </r>
  <r>
    <x v="0"/>
    <x v="1"/>
  </r>
  <r>
    <x v="1"/>
    <x v="0"/>
  </r>
  <r>
    <x v="0"/>
    <x v="0"/>
  </r>
  <r>
    <x v="0"/>
    <x v="0"/>
  </r>
  <r>
    <x v="0"/>
    <x v="1"/>
  </r>
  <r>
    <x v="0"/>
    <x v="1"/>
  </r>
  <r>
    <x v="0"/>
    <x v="0"/>
  </r>
  <r>
    <x v="0"/>
    <x v="0"/>
  </r>
  <r>
    <x v="1"/>
    <x v="0"/>
  </r>
  <r>
    <x v="0"/>
    <x v="0"/>
  </r>
  <r>
    <x v="0"/>
    <x v="0"/>
  </r>
  <r>
    <x v="2"/>
    <x v="1"/>
  </r>
  <r>
    <x v="0"/>
    <x v="1"/>
  </r>
  <r>
    <x v="0"/>
    <x v="0"/>
  </r>
  <r>
    <x v="1"/>
    <x v="1"/>
  </r>
  <r>
    <x v="1"/>
    <x v="0"/>
  </r>
  <r>
    <x v="0"/>
    <x v="0"/>
  </r>
  <r>
    <x v="0"/>
    <x v="0"/>
  </r>
  <r>
    <x v="2"/>
    <x v="0"/>
  </r>
  <r>
    <x v="3"/>
    <x v="0"/>
  </r>
  <r>
    <x v="3"/>
    <x v="0"/>
  </r>
  <r>
    <x v="0"/>
    <x v="0"/>
  </r>
  <r>
    <x v="0"/>
    <x v="0"/>
  </r>
  <r>
    <x v="0"/>
    <x v="1"/>
  </r>
  <r>
    <x v="0"/>
    <x v="0"/>
  </r>
  <r>
    <x v="0"/>
    <x v="0"/>
  </r>
  <r>
    <x v="3"/>
    <x v="1"/>
  </r>
  <r>
    <x v="4"/>
    <x v="1"/>
  </r>
  <r>
    <x v="0"/>
    <x v="0"/>
  </r>
  <r>
    <x v="2"/>
    <x v="0"/>
  </r>
  <r>
    <x v="0"/>
    <x v="0"/>
  </r>
  <r>
    <x v="5"/>
    <x v="0"/>
  </r>
  <r>
    <x v="0"/>
    <x v="0"/>
  </r>
  <r>
    <x v="1"/>
    <x v="0"/>
  </r>
  <r>
    <x v="1"/>
    <x v="0"/>
  </r>
  <r>
    <x v="0"/>
    <x v="0"/>
  </r>
  <r>
    <x v="1"/>
    <x v="1"/>
  </r>
  <r>
    <x v="1"/>
    <x v="0"/>
  </r>
  <r>
    <x v="1"/>
    <x v="0"/>
  </r>
  <r>
    <x v="1"/>
    <x v="0"/>
  </r>
  <r>
    <x v="2"/>
    <x v="1"/>
  </r>
  <r>
    <x v="3"/>
    <x v="0"/>
  </r>
  <r>
    <x v="3"/>
    <x v="1"/>
  </r>
  <r>
    <x v="3"/>
    <x v="0"/>
  </r>
  <r>
    <x v="3"/>
    <x v="0"/>
  </r>
  <r>
    <x v="2"/>
    <x v="1"/>
  </r>
  <r>
    <x v="0"/>
    <x v="1"/>
  </r>
  <r>
    <x v="6"/>
    <x v="1"/>
  </r>
  <r>
    <x v="0"/>
    <x v="1"/>
  </r>
  <r>
    <x v="0"/>
    <x v="0"/>
  </r>
  <r>
    <x v="0"/>
    <x v="1"/>
  </r>
  <r>
    <x v="0"/>
    <x v="0"/>
  </r>
  <r>
    <x v="0"/>
    <x v="1"/>
  </r>
  <r>
    <x v="7"/>
    <x v="0"/>
  </r>
  <r>
    <x v="0"/>
    <x v="1"/>
  </r>
  <r>
    <x v="2"/>
    <x v="1"/>
  </r>
  <r>
    <x v="0"/>
    <x v="0"/>
  </r>
  <r>
    <x v="0"/>
    <x v="0"/>
  </r>
  <r>
    <x v="0"/>
    <x v="0"/>
  </r>
  <r>
    <x v="7"/>
    <x v="1"/>
  </r>
  <r>
    <x v="0"/>
    <x v="0"/>
  </r>
  <r>
    <x v="2"/>
    <x v="0"/>
  </r>
  <r>
    <x v="8"/>
    <x v="1"/>
  </r>
  <r>
    <x v="0"/>
    <x v="1"/>
  </r>
  <r>
    <x v="7"/>
    <x v="0"/>
  </r>
  <r>
    <x v="2"/>
    <x v="1"/>
  </r>
  <r>
    <x v="0"/>
    <x v="1"/>
  </r>
  <r>
    <x v="0"/>
    <x v="1"/>
  </r>
  <r>
    <x v="0"/>
    <x v="1"/>
  </r>
  <r>
    <x v="0"/>
    <x v="0"/>
  </r>
  <r>
    <x v="5"/>
    <x v="0"/>
  </r>
  <r>
    <x v="0"/>
    <x v="0"/>
  </r>
  <r>
    <x v="0"/>
    <x v="0"/>
  </r>
  <r>
    <x v="1"/>
    <x v="0"/>
  </r>
  <r>
    <x v="1"/>
    <x v="0"/>
  </r>
  <r>
    <x v="0"/>
    <x v="0"/>
  </r>
  <r>
    <x v="0"/>
    <x v="0"/>
  </r>
  <r>
    <x v="0"/>
    <x v="1"/>
  </r>
  <r>
    <x v="1"/>
    <x v="0"/>
  </r>
  <r>
    <x v="5"/>
    <x v="0"/>
  </r>
  <r>
    <x v="1"/>
    <x v="0"/>
  </r>
  <r>
    <x v="1"/>
    <x v="0"/>
  </r>
  <r>
    <x v="1"/>
    <x v="0"/>
  </r>
  <r>
    <x v="2"/>
    <x v="0"/>
  </r>
  <r>
    <x v="0"/>
    <x v="0"/>
  </r>
  <r>
    <x v="3"/>
    <x v="0"/>
  </r>
  <r>
    <x v="6"/>
    <x v="0"/>
  </r>
  <r>
    <x v="4"/>
    <x v="0"/>
  </r>
  <r>
    <x v="6"/>
    <x v="1"/>
  </r>
  <r>
    <x v="3"/>
    <x v="1"/>
  </r>
  <r>
    <x v="0"/>
    <x v="0"/>
  </r>
  <r>
    <x v="3"/>
    <x v="0"/>
  </r>
  <r>
    <x v="0"/>
    <x v="1"/>
  </r>
  <r>
    <x v="3"/>
    <x v="0"/>
  </r>
  <r>
    <x v="2"/>
    <x v="0"/>
  </r>
  <r>
    <x v="0"/>
    <x v="0"/>
  </r>
  <r>
    <x v="0"/>
    <x v="0"/>
  </r>
  <r>
    <x v="7"/>
    <x v="1"/>
  </r>
  <r>
    <x v="2"/>
    <x v="1"/>
  </r>
  <r>
    <x v="2"/>
    <x v="0"/>
  </r>
  <r>
    <x v="2"/>
    <x v="1"/>
  </r>
  <r>
    <x v="1"/>
    <x v="1"/>
  </r>
  <r>
    <x v="5"/>
    <x v="0"/>
  </r>
  <r>
    <x v="0"/>
    <x v="0"/>
  </r>
  <r>
    <x v="0"/>
    <x v="0"/>
  </r>
  <r>
    <x v="0"/>
    <x v="0"/>
  </r>
  <r>
    <x v="0"/>
    <x v="0"/>
  </r>
  <r>
    <x v="0"/>
    <x v="0"/>
  </r>
  <r>
    <x v="1"/>
    <x v="0"/>
  </r>
  <r>
    <x v="0"/>
    <x v="0"/>
  </r>
  <r>
    <x v="0"/>
    <x v="0"/>
  </r>
  <r>
    <x v="0"/>
    <x v="0"/>
  </r>
  <r>
    <x v="0"/>
    <x v="0"/>
  </r>
  <r>
    <x v="5"/>
    <x v="0"/>
  </r>
  <r>
    <x v="0"/>
    <x v="0"/>
  </r>
  <r>
    <x v="5"/>
    <x v="1"/>
  </r>
  <r>
    <x v="0"/>
    <x v="0"/>
  </r>
  <r>
    <x v="0"/>
    <x v="0"/>
  </r>
  <r>
    <x v="1"/>
    <x v="0"/>
  </r>
  <r>
    <x v="2"/>
    <x v="1"/>
  </r>
  <r>
    <x v="0"/>
    <x v="0"/>
  </r>
  <r>
    <x v="7"/>
    <x v="0"/>
  </r>
  <r>
    <x v="0"/>
    <x v="0"/>
  </r>
  <r>
    <x v="0"/>
    <x v="0"/>
  </r>
  <r>
    <x v="3"/>
    <x v="1"/>
  </r>
  <r>
    <x v="7"/>
    <x v="0"/>
  </r>
  <r>
    <x v="0"/>
    <x v="0"/>
  </r>
  <r>
    <x v="3"/>
    <x v="1"/>
  </r>
  <r>
    <x v="0"/>
    <x v="1"/>
  </r>
  <r>
    <x v="0"/>
    <x v="0"/>
  </r>
  <r>
    <x v="2"/>
    <x v="1"/>
  </r>
  <r>
    <x v="7"/>
    <x v="0"/>
  </r>
  <r>
    <x v="3"/>
    <x v="1"/>
  </r>
  <r>
    <x v="0"/>
    <x v="0"/>
  </r>
  <r>
    <x v="3"/>
    <x v="0"/>
  </r>
  <r>
    <x v="3"/>
    <x v="0"/>
  </r>
  <r>
    <x v="2"/>
    <x v="1"/>
  </r>
  <r>
    <x v="0"/>
    <x v="1"/>
  </r>
  <r>
    <x v="4"/>
    <x v="0"/>
  </r>
  <r>
    <x v="2"/>
    <x v="1"/>
  </r>
  <r>
    <x v="1"/>
    <x v="0"/>
  </r>
  <r>
    <x v="0"/>
    <x v="0"/>
  </r>
  <r>
    <x v="5"/>
    <x v="0"/>
  </r>
  <r>
    <x v="1"/>
    <x v="0"/>
  </r>
  <r>
    <x v="0"/>
    <x v="0"/>
  </r>
  <r>
    <x v="1"/>
    <x v="1"/>
  </r>
  <r>
    <x v="1"/>
    <x v="1"/>
  </r>
  <r>
    <x v="0"/>
    <x v="0"/>
  </r>
  <r>
    <x v="0"/>
    <x v="1"/>
  </r>
  <r>
    <x v="0"/>
    <x v="1"/>
  </r>
  <r>
    <x v="5"/>
    <x v="1"/>
  </r>
  <r>
    <x v="1"/>
    <x v="0"/>
  </r>
  <r>
    <x v="0"/>
    <x v="0"/>
  </r>
  <r>
    <x v="1"/>
    <x v="1"/>
  </r>
  <r>
    <x v="0"/>
    <x v="0"/>
  </r>
  <r>
    <x v="0"/>
    <x v="0"/>
  </r>
  <r>
    <x v="1"/>
    <x v="1"/>
  </r>
  <r>
    <x v="0"/>
    <x v="0"/>
  </r>
  <r>
    <x v="1"/>
    <x v="0"/>
  </r>
  <r>
    <x v="1"/>
    <x v="0"/>
  </r>
  <r>
    <x v="1"/>
    <x v="0"/>
  </r>
  <r>
    <x v="0"/>
    <x v="1"/>
  </r>
  <r>
    <x v="0"/>
    <x v="0"/>
  </r>
  <r>
    <x v="0"/>
    <x v="1"/>
  </r>
  <r>
    <x v="0"/>
    <x v="1"/>
  </r>
  <r>
    <x v="5"/>
    <x v="1"/>
  </r>
  <r>
    <x v="0"/>
    <x v="1"/>
  </r>
  <r>
    <x v="0"/>
    <x v="1"/>
  </r>
  <r>
    <x v="7"/>
    <x v="0"/>
  </r>
  <r>
    <x v="0"/>
    <x v="0"/>
  </r>
  <r>
    <x v="3"/>
    <x v="1"/>
  </r>
  <r>
    <x v="0"/>
    <x v="0"/>
  </r>
  <r>
    <x v="3"/>
    <x v="0"/>
  </r>
  <r>
    <x v="4"/>
    <x v="0"/>
  </r>
  <r>
    <x v="3"/>
    <x v="1"/>
  </r>
  <r>
    <x v="4"/>
    <x v="1"/>
  </r>
  <r>
    <x v="3"/>
    <x v="0"/>
  </r>
  <r>
    <x v="4"/>
    <x v="0"/>
  </r>
  <r>
    <x v="0"/>
    <x v="0"/>
  </r>
  <r>
    <x v="0"/>
    <x v="0"/>
  </r>
  <r>
    <x v="3"/>
    <x v="0"/>
  </r>
  <r>
    <x v="0"/>
    <x v="1"/>
  </r>
  <r>
    <x v="0"/>
    <x v="1"/>
  </r>
  <r>
    <x v="2"/>
    <x v="0"/>
  </r>
  <r>
    <x v="3"/>
    <x v="0"/>
  </r>
  <r>
    <x v="0"/>
    <x v="0"/>
  </r>
  <r>
    <x v="3"/>
    <x v="1"/>
  </r>
  <r>
    <x v="0"/>
    <x v="0"/>
  </r>
  <r>
    <x v="3"/>
    <x v="0"/>
  </r>
  <r>
    <x v="2"/>
    <x v="0"/>
  </r>
  <r>
    <x v="3"/>
    <x v="0"/>
  </r>
  <r>
    <x v="0"/>
    <x v="1"/>
  </r>
  <r>
    <x v="3"/>
    <x v="0"/>
  </r>
  <r>
    <x v="2"/>
    <x v="1"/>
  </r>
  <r>
    <x v="3"/>
    <x v="0"/>
  </r>
  <r>
    <x v="0"/>
    <x v="0"/>
  </r>
  <r>
    <x v="7"/>
    <x v="0"/>
  </r>
  <r>
    <x v="2"/>
    <x v="1"/>
  </r>
  <r>
    <x v="7"/>
    <x v="0"/>
  </r>
  <r>
    <x v="2"/>
    <x v="1"/>
  </r>
  <r>
    <x v="3"/>
    <x v="0"/>
  </r>
  <r>
    <x v="2"/>
    <x v="0"/>
  </r>
  <r>
    <x v="0"/>
    <x v="0"/>
  </r>
  <r>
    <x v="0"/>
    <x v="1"/>
  </r>
  <r>
    <x v="0"/>
    <x v="1"/>
  </r>
  <r>
    <x v="2"/>
    <x v="1"/>
  </r>
  <r>
    <x v="3"/>
    <x v="0"/>
  </r>
  <r>
    <x v="0"/>
    <x v="0"/>
  </r>
  <r>
    <x v="3"/>
    <x v="0"/>
  </r>
  <r>
    <x v="0"/>
    <x v="0"/>
  </r>
  <r>
    <x v="3"/>
    <x v="1"/>
  </r>
  <r>
    <x v="0"/>
    <x v="0"/>
  </r>
  <r>
    <x v="3"/>
    <x v="1"/>
  </r>
  <r>
    <x v="2"/>
    <x v="0"/>
  </r>
  <r>
    <x v="3"/>
    <x v="1"/>
  </r>
  <r>
    <x v="0"/>
    <x v="1"/>
  </r>
  <r>
    <x v="0"/>
    <x v="1"/>
  </r>
  <r>
    <x v="2"/>
    <x v="1"/>
  </r>
  <r>
    <x v="3"/>
    <x v="0"/>
  </r>
  <r>
    <x v="2"/>
    <x v="0"/>
  </r>
  <r>
    <x v="3"/>
    <x v="0"/>
  </r>
  <r>
    <x v="3"/>
    <x v="1"/>
  </r>
  <r>
    <x v="3"/>
    <x v="0"/>
  </r>
  <r>
    <x v="0"/>
    <x v="1"/>
  </r>
  <r>
    <x v="3"/>
    <x v="1"/>
  </r>
  <r>
    <x v="3"/>
    <x v="0"/>
  </r>
  <r>
    <x v="7"/>
    <x v="0"/>
  </r>
  <r>
    <x v="3"/>
    <x v="0"/>
  </r>
  <r>
    <x v="0"/>
    <x v="0"/>
  </r>
  <r>
    <x v="3"/>
    <x v="0"/>
  </r>
  <r>
    <x v="7"/>
    <x v="0"/>
  </r>
  <r>
    <x v="3"/>
    <x v="1"/>
  </r>
  <r>
    <x v="9"/>
    <x v="1"/>
  </r>
  <r>
    <x v="3"/>
    <x v="1"/>
  </r>
  <r>
    <x v="3"/>
    <x v="0"/>
  </r>
  <r>
    <x v="1"/>
    <x v="1"/>
  </r>
  <r>
    <x v="1"/>
    <x v="0"/>
  </r>
  <r>
    <x v="0"/>
    <x v="1"/>
  </r>
  <r>
    <x v="1"/>
    <x v="1"/>
  </r>
  <r>
    <x v="1"/>
    <x v="1"/>
  </r>
  <r>
    <x v="0"/>
    <x v="0"/>
  </r>
  <r>
    <x v="0"/>
    <x v="1"/>
  </r>
  <r>
    <x v="0"/>
    <x v="0"/>
  </r>
  <r>
    <x v="0"/>
    <x v="0"/>
  </r>
  <r>
    <x v="0"/>
    <x v="1"/>
  </r>
  <r>
    <x v="1"/>
    <x v="0"/>
  </r>
  <r>
    <x v="0"/>
    <x v="1"/>
  </r>
  <r>
    <x v="0"/>
    <x v="1"/>
  </r>
  <r>
    <x v="1"/>
    <x v="1"/>
  </r>
  <r>
    <x v="0"/>
    <x v="1"/>
  </r>
  <r>
    <x v="1"/>
    <x v="1"/>
  </r>
  <r>
    <x v="1"/>
    <x v="0"/>
  </r>
  <r>
    <x v="1"/>
    <x v="1"/>
  </r>
  <r>
    <x v="0"/>
    <x v="1"/>
  </r>
  <r>
    <x v="0"/>
    <x v="0"/>
  </r>
  <r>
    <x v="0"/>
    <x v="0"/>
  </r>
  <r>
    <x v="1"/>
    <x v="1"/>
  </r>
  <r>
    <x v="0"/>
    <x v="0"/>
  </r>
  <r>
    <x v="0"/>
    <x v="1"/>
  </r>
  <r>
    <x v="1"/>
    <x v="0"/>
  </r>
  <r>
    <x v="0"/>
    <x v="1"/>
  </r>
  <r>
    <x v="1"/>
    <x v="0"/>
  </r>
  <r>
    <x v="0"/>
    <x v="1"/>
  </r>
  <r>
    <x v="0"/>
    <x v="0"/>
  </r>
  <r>
    <x v="1"/>
    <x v="1"/>
  </r>
  <r>
    <x v="0"/>
    <x v="0"/>
  </r>
  <r>
    <x v="0"/>
    <x v="1"/>
  </r>
  <r>
    <x v="0"/>
    <x v="1"/>
  </r>
  <r>
    <x v="5"/>
    <x v="0"/>
  </r>
  <r>
    <x v="0"/>
    <x v="1"/>
  </r>
  <r>
    <x v="1"/>
    <x v="1"/>
  </r>
  <r>
    <x v="0"/>
    <x v="0"/>
  </r>
  <r>
    <x v="1"/>
    <x v="0"/>
  </r>
  <r>
    <x v="0"/>
    <x v="1"/>
  </r>
  <r>
    <x v="1"/>
    <x v="1"/>
  </r>
  <r>
    <x v="5"/>
    <x v="0"/>
  </r>
  <r>
    <x v="10"/>
    <x v="1"/>
  </r>
  <r>
    <x v="0"/>
    <x v="1"/>
  </r>
  <r>
    <x v="5"/>
    <x v="1"/>
  </r>
  <r>
    <x v="0"/>
    <x v="1"/>
  </r>
  <r>
    <x v="5"/>
    <x v="1"/>
  </r>
  <r>
    <x v="1"/>
    <x v="0"/>
  </r>
  <r>
    <x v="1"/>
    <x v="1"/>
  </r>
  <r>
    <x v="1"/>
    <x v="0"/>
  </r>
  <r>
    <x v="0"/>
    <x v="0"/>
  </r>
  <r>
    <x v="1"/>
    <x v="1"/>
  </r>
  <r>
    <x v="1"/>
    <x v="0"/>
  </r>
  <r>
    <x v="1"/>
    <x v="0"/>
  </r>
  <r>
    <x v="0"/>
    <x v="1"/>
  </r>
  <r>
    <x v="0"/>
    <x v="0"/>
  </r>
  <r>
    <x v="0"/>
    <x v="1"/>
  </r>
  <r>
    <x v="0"/>
    <x v="1"/>
  </r>
  <r>
    <x v="1"/>
    <x v="0"/>
  </r>
  <r>
    <x v="1"/>
    <x v="1"/>
  </r>
  <r>
    <x v="0"/>
    <x v="0"/>
  </r>
  <r>
    <x v="10"/>
    <x v="0"/>
  </r>
  <r>
    <x v="9"/>
    <x v="1"/>
  </r>
  <r>
    <x v="3"/>
    <x v="0"/>
  </r>
  <r>
    <x v="0"/>
    <x v="0"/>
  </r>
  <r>
    <x v="2"/>
    <x v="0"/>
  </r>
  <r>
    <x v="7"/>
    <x v="0"/>
  </r>
  <r>
    <x v="2"/>
    <x v="0"/>
  </r>
  <r>
    <x v="2"/>
    <x v="0"/>
  </r>
  <r>
    <x v="0"/>
    <x v="0"/>
  </r>
  <r>
    <x v="3"/>
    <x v="0"/>
  </r>
  <r>
    <x v="2"/>
    <x v="1"/>
  </r>
  <r>
    <x v="0"/>
    <x v="1"/>
  </r>
  <r>
    <x v="0"/>
    <x v="1"/>
  </r>
  <r>
    <x v="7"/>
    <x v="0"/>
  </r>
  <r>
    <x v="0"/>
    <x v="0"/>
  </r>
  <r>
    <x v="3"/>
    <x v="0"/>
  </r>
  <r>
    <x v="6"/>
    <x v="1"/>
  </r>
  <r>
    <x v="4"/>
    <x v="1"/>
  </r>
  <r>
    <x v="0"/>
    <x v="0"/>
  </r>
  <r>
    <x v="4"/>
    <x v="1"/>
  </r>
  <r>
    <x v="2"/>
    <x v="0"/>
  </r>
  <r>
    <x v="4"/>
    <x v="0"/>
  </r>
  <r>
    <x v="2"/>
    <x v="0"/>
  </r>
  <r>
    <x v="3"/>
    <x v="1"/>
  </r>
  <r>
    <x v="0"/>
    <x v="0"/>
  </r>
  <r>
    <x v="4"/>
    <x v="1"/>
  </r>
  <r>
    <x v="2"/>
    <x v="0"/>
  </r>
  <r>
    <x v="7"/>
    <x v="0"/>
  </r>
  <r>
    <x v="2"/>
    <x v="1"/>
  </r>
  <r>
    <x v="7"/>
    <x v="0"/>
  </r>
  <r>
    <x v="2"/>
    <x v="0"/>
  </r>
  <r>
    <x v="2"/>
    <x v="0"/>
  </r>
  <r>
    <x v="4"/>
    <x v="0"/>
  </r>
  <r>
    <x v="3"/>
    <x v="0"/>
  </r>
  <r>
    <x v="0"/>
    <x v="0"/>
  </r>
  <r>
    <x v="2"/>
    <x v="0"/>
  </r>
  <r>
    <x v="2"/>
    <x v="0"/>
  </r>
  <r>
    <x v="3"/>
    <x v="0"/>
  </r>
  <r>
    <x v="2"/>
    <x v="0"/>
  </r>
  <r>
    <x v="3"/>
    <x v="1"/>
  </r>
  <r>
    <x v="2"/>
    <x v="0"/>
  </r>
  <r>
    <x v="0"/>
    <x v="1"/>
  </r>
  <r>
    <x v="3"/>
    <x v="1"/>
  </r>
  <r>
    <x v="3"/>
    <x v="0"/>
  </r>
  <r>
    <x v="3"/>
    <x v="0"/>
  </r>
  <r>
    <x v="2"/>
    <x v="0"/>
  </r>
  <r>
    <x v="0"/>
    <x v="1"/>
  </r>
  <r>
    <x v="3"/>
    <x v="1"/>
  </r>
  <r>
    <x v="3"/>
    <x v="1"/>
  </r>
  <r>
    <x v="4"/>
    <x v="0"/>
  </r>
  <r>
    <x v="6"/>
    <x v="0"/>
  </r>
  <r>
    <x v="0"/>
    <x v="1"/>
  </r>
  <r>
    <x v="3"/>
    <x v="1"/>
  </r>
  <r>
    <x v="0"/>
    <x v="1"/>
  </r>
  <r>
    <x v="6"/>
    <x v="0"/>
  </r>
  <r>
    <x v="7"/>
    <x v="1"/>
  </r>
  <r>
    <x v="6"/>
    <x v="1"/>
  </r>
  <r>
    <x v="2"/>
    <x v="1"/>
  </r>
  <r>
    <x v="3"/>
    <x v="0"/>
  </r>
  <r>
    <x v="7"/>
    <x v="1"/>
  </r>
  <r>
    <x v="6"/>
    <x v="0"/>
  </r>
  <r>
    <x v="2"/>
    <x v="0"/>
  </r>
  <r>
    <x v="3"/>
    <x v="0"/>
  </r>
  <r>
    <x v="11"/>
    <x v="1"/>
  </r>
  <r>
    <x v="11"/>
    <x v="0"/>
  </r>
  <r>
    <x v="3"/>
    <x v="1"/>
  </r>
  <r>
    <x v="0"/>
    <x v="0"/>
  </r>
  <r>
    <x v="0"/>
    <x v="0"/>
  </r>
  <r>
    <x v="6"/>
    <x v="0"/>
  </r>
  <r>
    <x v="3"/>
    <x v="0"/>
  </r>
  <r>
    <x v="6"/>
    <x v="0"/>
  </r>
  <r>
    <x v="3"/>
    <x v="0"/>
  </r>
  <r>
    <x v="3"/>
    <x v="0"/>
  </r>
  <r>
    <x v="3"/>
    <x v="1"/>
  </r>
  <r>
    <x v="2"/>
    <x v="1"/>
  </r>
  <r>
    <x v="3"/>
    <x v="0"/>
  </r>
  <r>
    <x v="4"/>
    <x v="0"/>
  </r>
  <r>
    <x v="4"/>
    <x v="1"/>
  </r>
  <r>
    <x v="3"/>
    <x v="0"/>
  </r>
  <r>
    <x v="3"/>
    <x v="1"/>
  </r>
  <r>
    <x v="3"/>
    <x v="0"/>
  </r>
  <r>
    <x v="3"/>
    <x v="1"/>
  </r>
  <r>
    <x v="3"/>
    <x v="0"/>
  </r>
  <r>
    <x v="2"/>
    <x v="0"/>
  </r>
  <r>
    <x v="3"/>
    <x v="0"/>
  </r>
  <r>
    <x v="0"/>
    <x v="0"/>
  </r>
  <r>
    <x v="3"/>
    <x v="0"/>
  </r>
  <r>
    <x v="2"/>
    <x v="0"/>
  </r>
  <r>
    <x v="3"/>
    <x v="0"/>
  </r>
  <r>
    <x v="2"/>
    <x v="1"/>
  </r>
  <r>
    <x v="2"/>
    <x v="0"/>
  </r>
  <r>
    <x v="2"/>
    <x v="0"/>
  </r>
  <r>
    <x v="4"/>
    <x v="1"/>
  </r>
  <r>
    <x v="0"/>
    <x v="0"/>
  </r>
  <r>
    <x v="0"/>
    <x v="0"/>
  </r>
  <r>
    <x v="12"/>
    <x v="0"/>
  </r>
  <r>
    <x v="0"/>
    <x v="0"/>
  </r>
  <r>
    <x v="0"/>
    <x v="0"/>
  </r>
  <r>
    <x v="0"/>
    <x v="0"/>
  </r>
  <r>
    <x v="4"/>
    <x v="0"/>
  </r>
  <r>
    <x v="3"/>
    <x v="0"/>
  </r>
  <r>
    <x v="3"/>
    <x v="0"/>
  </r>
  <r>
    <x v="3"/>
    <x v="0"/>
  </r>
  <r>
    <x v="7"/>
    <x v="0"/>
  </r>
  <r>
    <x v="3"/>
    <x v="0"/>
  </r>
  <r>
    <x v="0"/>
    <x v="0"/>
  </r>
  <r>
    <x v="3"/>
    <x v="0"/>
  </r>
  <r>
    <x v="4"/>
    <x v="0"/>
  </r>
  <r>
    <x v="3"/>
    <x v="0"/>
  </r>
  <r>
    <x v="2"/>
    <x v="1"/>
  </r>
  <r>
    <x v="0"/>
    <x v="1"/>
  </r>
  <r>
    <x v="7"/>
    <x v="0"/>
  </r>
  <r>
    <x v="0"/>
    <x v="0"/>
  </r>
  <r>
    <x v="7"/>
    <x v="1"/>
  </r>
  <r>
    <x v="2"/>
    <x v="1"/>
  </r>
  <r>
    <x v="0"/>
    <x v="0"/>
  </r>
  <r>
    <x v="2"/>
    <x v="0"/>
  </r>
  <r>
    <x v="0"/>
    <x v="0"/>
  </r>
  <r>
    <x v="0"/>
    <x v="1"/>
  </r>
  <r>
    <x v="2"/>
    <x v="1"/>
  </r>
  <r>
    <x v="0"/>
    <x v="1"/>
  </r>
  <r>
    <x v="0"/>
    <x v="0"/>
  </r>
  <r>
    <x v="0"/>
    <x v="0"/>
  </r>
  <r>
    <x v="9"/>
    <x v="0"/>
  </r>
  <r>
    <x v="3"/>
    <x v="1"/>
  </r>
  <r>
    <x v="9"/>
    <x v="1"/>
  </r>
  <r>
    <x v="3"/>
    <x v="1"/>
  </r>
  <r>
    <x v="9"/>
    <x v="0"/>
  </r>
  <r>
    <x v="0"/>
    <x v="0"/>
  </r>
  <r>
    <x v="11"/>
    <x v="0"/>
  </r>
  <r>
    <x v="0"/>
    <x v="0"/>
  </r>
  <r>
    <x v="3"/>
    <x v="1"/>
  </r>
  <r>
    <x v="3"/>
    <x v="1"/>
  </r>
  <r>
    <x v="2"/>
    <x v="1"/>
  </r>
  <r>
    <x v="0"/>
    <x v="0"/>
  </r>
  <r>
    <x v="0"/>
    <x v="1"/>
  </r>
  <r>
    <x v="0"/>
    <x v="0"/>
  </r>
  <r>
    <x v="0"/>
    <x v="1"/>
  </r>
  <r>
    <x v="1"/>
    <x v="0"/>
  </r>
  <r>
    <x v="0"/>
    <x v="0"/>
  </r>
  <r>
    <x v="1"/>
    <x v="0"/>
  </r>
  <r>
    <x v="5"/>
    <x v="1"/>
  </r>
  <r>
    <x v="1"/>
    <x v="1"/>
  </r>
  <r>
    <x v="1"/>
    <x v="0"/>
  </r>
  <r>
    <x v="1"/>
    <x v="0"/>
  </r>
  <r>
    <x v="0"/>
    <x v="0"/>
  </r>
  <r>
    <x v="5"/>
    <x v="0"/>
  </r>
  <r>
    <x v="0"/>
    <x v="1"/>
  </r>
  <r>
    <x v="0"/>
    <x v="1"/>
  </r>
  <r>
    <x v="0"/>
    <x v="1"/>
  </r>
  <r>
    <x v="1"/>
    <x v="1"/>
  </r>
  <r>
    <x v="1"/>
    <x v="1"/>
  </r>
  <r>
    <x v="0"/>
    <x v="1"/>
  </r>
  <r>
    <x v="0"/>
    <x v="0"/>
  </r>
  <r>
    <x v="0"/>
    <x v="1"/>
  </r>
  <r>
    <x v="1"/>
    <x v="0"/>
  </r>
  <r>
    <x v="0"/>
    <x v="1"/>
  </r>
  <r>
    <x v="1"/>
    <x v="1"/>
  </r>
  <r>
    <x v="0"/>
    <x v="0"/>
  </r>
  <r>
    <x v="1"/>
    <x v="0"/>
  </r>
  <r>
    <x v="1"/>
    <x v="0"/>
  </r>
  <r>
    <x v="0"/>
    <x v="0"/>
  </r>
  <r>
    <x v="0"/>
    <x v="1"/>
  </r>
  <r>
    <x v="1"/>
    <x v="0"/>
  </r>
  <r>
    <x v="0"/>
    <x v="1"/>
  </r>
  <r>
    <x v="0"/>
    <x v="1"/>
  </r>
  <r>
    <x v="1"/>
    <x v="0"/>
  </r>
  <r>
    <x v="1"/>
    <x v="1"/>
  </r>
  <r>
    <x v="1"/>
    <x v="1"/>
  </r>
  <r>
    <x v="5"/>
    <x v="0"/>
  </r>
  <r>
    <x v="1"/>
    <x v="0"/>
  </r>
  <r>
    <x v="1"/>
    <x v="1"/>
  </r>
  <r>
    <x v="0"/>
    <x v="0"/>
  </r>
  <r>
    <x v="5"/>
    <x v="1"/>
  </r>
  <r>
    <x v="0"/>
    <x v="1"/>
  </r>
  <r>
    <x v="1"/>
    <x v="0"/>
  </r>
  <r>
    <x v="0"/>
    <x v="1"/>
  </r>
  <r>
    <x v="1"/>
    <x v="1"/>
  </r>
  <r>
    <x v="1"/>
    <x v="0"/>
  </r>
  <r>
    <x v="5"/>
    <x v="0"/>
  </r>
  <r>
    <x v="1"/>
    <x v="1"/>
  </r>
  <r>
    <x v="5"/>
    <x v="0"/>
  </r>
  <r>
    <x v="1"/>
    <x v="1"/>
  </r>
  <r>
    <x v="5"/>
    <x v="1"/>
  </r>
  <r>
    <x v="0"/>
    <x v="1"/>
  </r>
  <r>
    <x v="5"/>
    <x v="0"/>
  </r>
  <r>
    <x v="0"/>
    <x v="0"/>
  </r>
  <r>
    <x v="1"/>
    <x v="0"/>
  </r>
  <r>
    <x v="0"/>
    <x v="0"/>
  </r>
  <r>
    <x v="1"/>
    <x v="1"/>
  </r>
  <r>
    <x v="0"/>
    <x v="1"/>
  </r>
  <r>
    <x v="5"/>
    <x v="0"/>
  </r>
  <r>
    <x v="0"/>
    <x v="0"/>
  </r>
  <r>
    <x v="1"/>
    <x v="1"/>
  </r>
  <r>
    <x v="5"/>
    <x v="0"/>
  </r>
  <r>
    <x v="1"/>
    <x v="0"/>
  </r>
  <r>
    <x v="5"/>
    <x v="0"/>
  </r>
  <r>
    <x v="5"/>
    <x v="1"/>
  </r>
  <r>
    <x v="1"/>
    <x v="0"/>
  </r>
  <r>
    <x v="1"/>
    <x v="1"/>
  </r>
  <r>
    <x v="5"/>
    <x v="0"/>
  </r>
  <r>
    <x v="1"/>
    <x v="0"/>
  </r>
  <r>
    <x v="0"/>
    <x v="0"/>
  </r>
  <r>
    <x v="0"/>
    <x v="1"/>
  </r>
  <r>
    <x v="0"/>
    <x v="1"/>
  </r>
  <r>
    <x v="0"/>
    <x v="0"/>
  </r>
  <r>
    <x v="0"/>
    <x v="0"/>
  </r>
  <r>
    <x v="5"/>
    <x v="1"/>
  </r>
  <r>
    <x v="0"/>
    <x v="0"/>
  </r>
  <r>
    <x v="5"/>
    <x v="0"/>
  </r>
  <r>
    <x v="1"/>
    <x v="0"/>
  </r>
  <r>
    <x v="1"/>
    <x v="0"/>
  </r>
  <r>
    <x v="0"/>
    <x v="0"/>
  </r>
  <r>
    <x v="5"/>
    <x v="0"/>
  </r>
  <r>
    <x v="5"/>
    <x v="1"/>
  </r>
  <r>
    <x v="0"/>
    <x v="1"/>
  </r>
  <r>
    <x v="0"/>
    <x v="0"/>
  </r>
  <r>
    <x v="1"/>
    <x v="0"/>
  </r>
  <r>
    <x v="0"/>
    <x v="0"/>
  </r>
  <r>
    <x v="5"/>
    <x v="1"/>
  </r>
  <r>
    <x v="1"/>
    <x v="0"/>
  </r>
  <r>
    <x v="1"/>
    <x v="0"/>
  </r>
  <r>
    <x v="1"/>
    <x v="1"/>
  </r>
  <r>
    <x v="0"/>
    <x v="1"/>
  </r>
  <r>
    <x v="1"/>
    <x v="0"/>
  </r>
  <r>
    <x v="5"/>
    <x v="0"/>
  </r>
  <r>
    <x v="5"/>
    <x v="0"/>
  </r>
  <r>
    <x v="1"/>
    <x v="1"/>
  </r>
  <r>
    <x v="0"/>
    <x v="1"/>
  </r>
  <r>
    <x v="1"/>
    <x v="0"/>
  </r>
  <r>
    <x v="0"/>
    <x v="0"/>
  </r>
  <r>
    <x v="1"/>
    <x v="0"/>
  </r>
  <r>
    <x v="0"/>
    <x v="0"/>
  </r>
  <r>
    <x v="1"/>
    <x v="1"/>
  </r>
  <r>
    <x v="1"/>
    <x v="0"/>
  </r>
  <r>
    <x v="1"/>
    <x v="0"/>
  </r>
  <r>
    <x v="0"/>
    <x v="0"/>
  </r>
  <r>
    <x v="5"/>
    <x v="0"/>
  </r>
  <r>
    <x v="0"/>
    <x v="1"/>
  </r>
  <r>
    <x v="1"/>
    <x v="0"/>
  </r>
  <r>
    <x v="1"/>
    <x v="0"/>
  </r>
  <r>
    <x v="1"/>
    <x v="0"/>
  </r>
  <r>
    <x v="1"/>
    <x v="0"/>
  </r>
  <r>
    <x v="5"/>
    <x v="1"/>
  </r>
  <r>
    <x v="0"/>
    <x v="0"/>
  </r>
  <r>
    <x v="5"/>
    <x v="0"/>
  </r>
  <r>
    <x v="10"/>
    <x v="0"/>
  </r>
  <r>
    <x v="1"/>
    <x v="0"/>
  </r>
  <r>
    <x v="0"/>
    <x v="0"/>
  </r>
  <r>
    <x v="1"/>
    <x v="1"/>
  </r>
  <r>
    <x v="13"/>
    <x v="1"/>
  </r>
  <r>
    <x v="14"/>
    <x v="0"/>
  </r>
  <r>
    <x v="14"/>
    <x v="0"/>
  </r>
  <r>
    <x v="14"/>
    <x v="0"/>
  </r>
  <r>
    <x v="14"/>
    <x v="0"/>
  </r>
  <r>
    <x v="14"/>
    <x v="0"/>
  </r>
  <r>
    <x v="14"/>
    <x v="1"/>
  </r>
  <r>
    <x v="14"/>
    <x v="0"/>
  </r>
  <r>
    <x v="14"/>
    <x v="2"/>
  </r>
  <r>
    <x v="14"/>
    <x v="0"/>
  </r>
  <r>
    <x v="14"/>
    <x v="0"/>
  </r>
  <r>
    <x v="14"/>
    <x v="1"/>
  </r>
  <r>
    <x v="14"/>
    <x v="1"/>
  </r>
  <r>
    <x v="14"/>
    <x v="1"/>
  </r>
  <r>
    <x v="14"/>
    <x v="1"/>
  </r>
  <r>
    <x v="14"/>
    <x v="1"/>
  </r>
  <r>
    <x v="14"/>
    <x v="0"/>
  </r>
  <r>
    <x v="14"/>
    <x v="0"/>
  </r>
  <r>
    <x v="14"/>
    <x v="0"/>
  </r>
  <r>
    <x v="14"/>
    <x v="0"/>
  </r>
  <r>
    <x v="14"/>
    <x v="1"/>
  </r>
  <r>
    <x v="14"/>
    <x v="1"/>
  </r>
  <r>
    <x v="14"/>
    <x v="0"/>
  </r>
  <r>
    <x v="14"/>
    <x v="0"/>
  </r>
  <r>
    <x v="14"/>
    <x v="0"/>
  </r>
  <r>
    <x v="14"/>
    <x v="0"/>
  </r>
  <r>
    <x v="14"/>
    <x v="0"/>
  </r>
  <r>
    <x v="14"/>
    <x v="0"/>
  </r>
  <r>
    <x v="14"/>
    <x v="0"/>
  </r>
  <r>
    <x v="14"/>
    <x v="0"/>
  </r>
  <r>
    <x v="14"/>
    <x v="0"/>
  </r>
  <r>
    <x v="14"/>
    <x v="1"/>
  </r>
  <r>
    <x v="14"/>
    <x v="1"/>
  </r>
  <r>
    <x v="14"/>
    <x v="0"/>
  </r>
  <r>
    <x v="14"/>
    <x v="0"/>
  </r>
  <r>
    <x v="14"/>
    <x v="0"/>
  </r>
  <r>
    <x v="14"/>
    <x v="0"/>
  </r>
  <r>
    <x v="14"/>
    <x v="0"/>
  </r>
  <r>
    <x v="14"/>
    <x v="0"/>
  </r>
  <r>
    <x v="14"/>
    <x v="1"/>
  </r>
  <r>
    <x v="14"/>
    <x v="0"/>
  </r>
  <r>
    <x v="14"/>
    <x v="1"/>
  </r>
  <r>
    <x v="14"/>
    <x v="1"/>
  </r>
  <r>
    <x v="14"/>
    <x v="0"/>
  </r>
  <r>
    <x v="14"/>
    <x v="1"/>
  </r>
  <r>
    <x v="14"/>
    <x v="0"/>
  </r>
  <r>
    <x v="14"/>
    <x v="1"/>
  </r>
  <r>
    <x v="14"/>
    <x v="0"/>
  </r>
  <r>
    <x v="14"/>
    <x v="0"/>
  </r>
  <r>
    <x v="14"/>
    <x v="0"/>
  </r>
  <r>
    <x v="14"/>
    <x v="0"/>
  </r>
  <r>
    <x v="14"/>
    <x v="0"/>
  </r>
  <r>
    <x v="14"/>
    <x v="1"/>
  </r>
  <r>
    <x v="14"/>
    <x v="1"/>
  </r>
  <r>
    <x v="14"/>
    <x v="0"/>
  </r>
  <r>
    <x v="14"/>
    <x v="1"/>
  </r>
  <r>
    <x v="14"/>
    <x v="0"/>
  </r>
  <r>
    <x v="14"/>
    <x v="0"/>
  </r>
  <r>
    <x v="14"/>
    <x v="0"/>
  </r>
  <r>
    <x v="14"/>
    <x v="0"/>
  </r>
  <r>
    <x v="14"/>
    <x v="1"/>
  </r>
  <r>
    <x v="14"/>
    <x v="0"/>
  </r>
  <r>
    <x v="14"/>
    <x v="0"/>
  </r>
  <r>
    <x v="14"/>
    <x v="1"/>
  </r>
  <r>
    <x v="14"/>
    <x v="0"/>
  </r>
  <r>
    <x v="14"/>
    <x v="1"/>
  </r>
  <r>
    <x v="14"/>
    <x v="0"/>
  </r>
  <r>
    <x v="14"/>
    <x v="0"/>
  </r>
  <r>
    <x v="14"/>
    <x v="0"/>
  </r>
  <r>
    <x v="14"/>
    <x v="0"/>
  </r>
  <r>
    <x v="14"/>
    <x v="1"/>
  </r>
  <r>
    <x v="14"/>
    <x v="1"/>
  </r>
  <r>
    <x v="14"/>
    <x v="0"/>
  </r>
  <r>
    <x v="14"/>
    <x v="0"/>
  </r>
  <r>
    <x v="14"/>
    <x v="0"/>
  </r>
  <r>
    <x v="14"/>
    <x v="1"/>
  </r>
  <r>
    <x v="14"/>
    <x v="1"/>
  </r>
  <r>
    <x v="14"/>
    <x v="0"/>
  </r>
  <r>
    <x v="14"/>
    <x v="1"/>
  </r>
  <r>
    <x v="14"/>
    <x v="1"/>
  </r>
  <r>
    <x v="14"/>
    <x v="0"/>
  </r>
  <r>
    <x v="14"/>
    <x v="1"/>
  </r>
  <r>
    <x v="14"/>
    <x v="1"/>
  </r>
  <r>
    <x v="14"/>
    <x v="1"/>
  </r>
  <r>
    <x v="14"/>
    <x v="1"/>
  </r>
  <r>
    <x v="14"/>
    <x v="0"/>
  </r>
  <r>
    <x v="14"/>
    <x v="0"/>
  </r>
  <r>
    <x v="14"/>
    <x v="0"/>
  </r>
  <r>
    <x v="14"/>
    <x v="0"/>
  </r>
  <r>
    <x v="14"/>
    <x v="0"/>
  </r>
  <r>
    <x v="14"/>
    <x v="0"/>
  </r>
  <r>
    <x v="14"/>
    <x v="1"/>
  </r>
  <r>
    <x v="14"/>
    <x v="1"/>
  </r>
  <r>
    <x v="14"/>
    <x v="0"/>
  </r>
  <r>
    <x v="14"/>
    <x v="0"/>
  </r>
  <r>
    <x v="14"/>
    <x v="0"/>
  </r>
  <r>
    <x v="14"/>
    <x v="1"/>
  </r>
  <r>
    <x v="14"/>
    <x v="1"/>
  </r>
  <r>
    <x v="14"/>
    <x v="1"/>
  </r>
  <r>
    <x v="14"/>
    <x v="1"/>
  </r>
  <r>
    <x v="14"/>
    <x v="0"/>
  </r>
  <r>
    <x v="14"/>
    <x v="0"/>
  </r>
  <r>
    <x v="14"/>
    <x v="1"/>
  </r>
  <r>
    <x v="14"/>
    <x v="0"/>
  </r>
  <r>
    <x v="14"/>
    <x v="1"/>
  </r>
  <r>
    <x v="14"/>
    <x v="1"/>
  </r>
  <r>
    <x v="14"/>
    <x v="1"/>
  </r>
  <r>
    <x v="14"/>
    <x v="1"/>
  </r>
  <r>
    <x v="14"/>
    <x v="0"/>
  </r>
  <r>
    <x v="14"/>
    <x v="0"/>
  </r>
  <r>
    <x v="14"/>
    <x v="0"/>
  </r>
  <r>
    <x v="14"/>
    <x v="0"/>
  </r>
  <r>
    <x v="14"/>
    <x v="1"/>
  </r>
  <r>
    <x v="14"/>
    <x v="0"/>
  </r>
  <r>
    <x v="14"/>
    <x v="0"/>
  </r>
  <r>
    <x v="14"/>
    <x v="0"/>
  </r>
  <r>
    <x v="14"/>
    <x v="0"/>
  </r>
  <r>
    <x v="14"/>
    <x v="0"/>
  </r>
  <r>
    <x v="14"/>
    <x v="1"/>
  </r>
  <r>
    <x v="14"/>
    <x v="0"/>
  </r>
  <r>
    <x v="14"/>
    <x v="1"/>
  </r>
  <r>
    <x v="14"/>
    <x v="1"/>
  </r>
  <r>
    <x v="14"/>
    <x v="1"/>
  </r>
  <r>
    <x v="14"/>
    <x v="0"/>
  </r>
  <r>
    <x v="14"/>
    <x v="1"/>
  </r>
  <r>
    <x v="14"/>
    <x v="0"/>
  </r>
  <r>
    <x v="14"/>
    <x v="1"/>
  </r>
  <r>
    <x v="14"/>
    <x v="0"/>
  </r>
  <r>
    <x v="14"/>
    <x v="0"/>
  </r>
  <r>
    <x v="14"/>
    <x v="0"/>
  </r>
  <r>
    <x v="14"/>
    <x v="0"/>
  </r>
  <r>
    <x v="14"/>
    <x v="0"/>
  </r>
  <r>
    <x v="14"/>
    <x v="1"/>
  </r>
  <r>
    <x v="14"/>
    <x v="1"/>
  </r>
  <r>
    <x v="14"/>
    <x v="1"/>
  </r>
  <r>
    <x v="14"/>
    <x v="1"/>
  </r>
  <r>
    <x v="14"/>
    <x v="0"/>
  </r>
  <r>
    <x v="14"/>
    <x v="0"/>
  </r>
  <r>
    <x v="14"/>
    <x v="0"/>
  </r>
  <r>
    <x v="14"/>
    <x v="1"/>
  </r>
  <r>
    <x v="14"/>
    <x v="0"/>
  </r>
  <r>
    <x v="14"/>
    <x v="0"/>
  </r>
  <r>
    <x v="14"/>
    <x v="0"/>
  </r>
  <r>
    <x v="14"/>
    <x v="0"/>
  </r>
  <r>
    <x v="14"/>
    <x v="0"/>
  </r>
  <r>
    <x v="14"/>
    <x v="0"/>
  </r>
  <r>
    <x v="14"/>
    <x v="1"/>
  </r>
  <r>
    <x v="14"/>
    <x v="0"/>
  </r>
  <r>
    <x v="14"/>
    <x v="0"/>
  </r>
  <r>
    <x v="14"/>
    <x v="0"/>
  </r>
  <r>
    <x v="14"/>
    <x v="0"/>
  </r>
  <r>
    <x v="14"/>
    <x v="1"/>
  </r>
  <r>
    <x v="14"/>
    <x v="1"/>
  </r>
  <r>
    <x v="14"/>
    <x v="0"/>
  </r>
  <r>
    <x v="14"/>
    <x v="0"/>
  </r>
  <r>
    <x v="14"/>
    <x v="1"/>
  </r>
  <r>
    <x v="14"/>
    <x v="0"/>
  </r>
  <r>
    <x v="14"/>
    <x v="0"/>
  </r>
  <r>
    <x v="14"/>
    <x v="0"/>
  </r>
  <r>
    <x v="14"/>
    <x v="0"/>
  </r>
  <r>
    <x v="14"/>
    <x v="0"/>
  </r>
  <r>
    <x v="14"/>
    <x v="1"/>
  </r>
  <r>
    <x v="14"/>
    <x v="0"/>
  </r>
  <r>
    <x v="14"/>
    <x v="1"/>
  </r>
  <r>
    <x v="14"/>
    <x v="1"/>
  </r>
  <r>
    <x v="14"/>
    <x v="0"/>
  </r>
  <r>
    <x v="14"/>
    <x v="0"/>
  </r>
  <r>
    <x v="14"/>
    <x v="1"/>
  </r>
  <r>
    <x v="14"/>
    <x v="1"/>
  </r>
  <r>
    <x v="14"/>
    <x v="0"/>
  </r>
  <r>
    <x v="14"/>
    <x v="0"/>
  </r>
  <r>
    <x v="14"/>
    <x v="0"/>
  </r>
  <r>
    <x v="14"/>
    <x v="0"/>
  </r>
  <r>
    <x v="14"/>
    <x v="0"/>
  </r>
  <r>
    <x v="14"/>
    <x v="1"/>
  </r>
  <r>
    <x v="14"/>
    <x v="1"/>
  </r>
  <r>
    <x v="14"/>
    <x v="0"/>
  </r>
  <r>
    <x v="14"/>
    <x v="0"/>
  </r>
  <r>
    <x v="14"/>
    <x v="0"/>
  </r>
  <r>
    <x v="14"/>
    <x v="1"/>
  </r>
  <r>
    <x v="14"/>
    <x v="1"/>
  </r>
  <r>
    <x v="14"/>
    <x v="0"/>
  </r>
  <r>
    <x v="14"/>
    <x v="1"/>
  </r>
  <r>
    <x v="14"/>
    <x v="0"/>
  </r>
  <r>
    <x v="14"/>
    <x v="0"/>
  </r>
  <r>
    <x v="14"/>
    <x v="1"/>
  </r>
  <r>
    <x v="14"/>
    <x v="0"/>
  </r>
  <r>
    <x v="14"/>
    <x v="0"/>
  </r>
  <r>
    <x v="14"/>
    <x v="0"/>
  </r>
  <r>
    <x v="14"/>
    <x v="0"/>
  </r>
  <r>
    <x v="14"/>
    <x v="0"/>
  </r>
  <r>
    <x v="14"/>
    <x v="0"/>
  </r>
  <r>
    <x v="14"/>
    <x v="1"/>
  </r>
  <r>
    <x v="14"/>
    <x v="0"/>
  </r>
  <r>
    <x v="14"/>
    <x v="1"/>
  </r>
  <r>
    <x v="14"/>
    <x v="1"/>
  </r>
  <r>
    <x v="14"/>
    <x v="0"/>
  </r>
  <r>
    <x v="14"/>
    <x v="0"/>
  </r>
  <r>
    <x v="14"/>
    <x v="0"/>
  </r>
  <r>
    <x v="14"/>
    <x v="0"/>
  </r>
  <r>
    <x v="14"/>
    <x v="0"/>
  </r>
  <r>
    <x v="14"/>
    <x v="0"/>
  </r>
  <r>
    <x v="14"/>
    <x v="0"/>
  </r>
  <r>
    <x v="14"/>
    <x v="1"/>
  </r>
  <r>
    <x v="14"/>
    <x v="0"/>
  </r>
  <r>
    <x v="14"/>
    <x v="0"/>
  </r>
  <r>
    <x v="14"/>
    <x v="0"/>
  </r>
  <r>
    <x v="14"/>
    <x v="1"/>
  </r>
  <r>
    <x v="14"/>
    <x v="0"/>
  </r>
  <r>
    <x v="14"/>
    <x v="0"/>
  </r>
  <r>
    <x v="14"/>
    <x v="0"/>
  </r>
  <r>
    <x v="14"/>
    <x v="1"/>
  </r>
  <r>
    <x v="14"/>
    <x v="0"/>
  </r>
  <r>
    <x v="14"/>
    <x v="1"/>
  </r>
  <r>
    <x v="14"/>
    <x v="0"/>
  </r>
  <r>
    <x v="14"/>
    <x v="1"/>
  </r>
  <r>
    <x v="14"/>
    <x v="0"/>
  </r>
  <r>
    <x v="14"/>
    <x v="1"/>
  </r>
  <r>
    <x v="14"/>
    <x v="1"/>
  </r>
  <r>
    <x v="14"/>
    <x v="0"/>
  </r>
  <r>
    <x v="14"/>
    <x v="1"/>
  </r>
  <r>
    <x v="14"/>
    <x v="1"/>
  </r>
  <r>
    <x v="14"/>
    <x v="0"/>
  </r>
  <r>
    <x v="14"/>
    <x v="1"/>
  </r>
  <r>
    <x v="14"/>
    <x v="0"/>
  </r>
  <r>
    <x v="14"/>
    <x v="1"/>
  </r>
  <r>
    <x v="14"/>
    <x v="0"/>
  </r>
  <r>
    <x v="14"/>
    <x v="1"/>
  </r>
  <r>
    <x v="14"/>
    <x v="0"/>
  </r>
  <r>
    <x v="14"/>
    <x v="1"/>
  </r>
  <r>
    <x v="14"/>
    <x v="0"/>
  </r>
  <r>
    <x v="14"/>
    <x v="0"/>
  </r>
  <r>
    <x v="14"/>
    <x v="1"/>
  </r>
  <r>
    <x v="14"/>
    <x v="1"/>
  </r>
  <r>
    <x v="14"/>
    <x v="0"/>
  </r>
  <r>
    <x v="14"/>
    <x v="1"/>
  </r>
  <r>
    <x v="14"/>
    <x v="1"/>
  </r>
  <r>
    <x v="14"/>
    <x v="0"/>
  </r>
  <r>
    <x v="14"/>
    <x v="1"/>
  </r>
  <r>
    <x v="14"/>
    <x v="1"/>
  </r>
  <r>
    <x v="14"/>
    <x v="1"/>
  </r>
  <r>
    <x v="14"/>
    <x v="0"/>
  </r>
  <r>
    <x v="14"/>
    <x v="0"/>
  </r>
  <r>
    <x v="14"/>
    <x v="0"/>
  </r>
  <r>
    <x v="14"/>
    <x v="0"/>
  </r>
  <r>
    <x v="14"/>
    <x v="1"/>
  </r>
  <r>
    <x v="14"/>
    <x v="0"/>
  </r>
  <r>
    <x v="14"/>
    <x v="1"/>
  </r>
  <r>
    <x v="14"/>
    <x v="0"/>
  </r>
  <r>
    <x v="14"/>
    <x v="0"/>
  </r>
  <r>
    <x v="14"/>
    <x v="0"/>
  </r>
  <r>
    <x v="14"/>
    <x v="1"/>
  </r>
  <r>
    <x v="14"/>
    <x v="0"/>
  </r>
  <r>
    <x v="14"/>
    <x v="0"/>
  </r>
  <r>
    <x v="14"/>
    <x v="1"/>
  </r>
  <r>
    <x v="14"/>
    <x v="1"/>
  </r>
  <r>
    <x v="14"/>
    <x v="0"/>
  </r>
  <r>
    <x v="14"/>
    <x v="1"/>
  </r>
  <r>
    <x v="14"/>
    <x v="0"/>
  </r>
  <r>
    <x v="14"/>
    <x v="0"/>
  </r>
  <r>
    <x v="14"/>
    <x v="1"/>
  </r>
  <r>
    <x v="14"/>
    <x v="1"/>
  </r>
  <r>
    <x v="14"/>
    <x v="1"/>
  </r>
  <r>
    <x v="14"/>
    <x v="0"/>
  </r>
  <r>
    <x v="14"/>
    <x v="0"/>
  </r>
  <r>
    <x v="14"/>
    <x v="1"/>
  </r>
  <r>
    <x v="14"/>
    <x v="1"/>
  </r>
  <r>
    <x v="14"/>
    <x v="1"/>
  </r>
  <r>
    <x v="14"/>
    <x v="0"/>
  </r>
  <r>
    <x v="14"/>
    <x v="0"/>
  </r>
  <r>
    <x v="14"/>
    <x v="0"/>
  </r>
  <r>
    <x v="14"/>
    <x v="1"/>
  </r>
  <r>
    <x v="14"/>
    <x v="0"/>
  </r>
  <r>
    <x v="14"/>
    <x v="0"/>
  </r>
  <r>
    <x v="14"/>
    <x v="0"/>
  </r>
  <r>
    <x v="14"/>
    <x v="0"/>
  </r>
  <r>
    <x v="14"/>
    <x v="0"/>
  </r>
  <r>
    <x v="14"/>
    <x v="0"/>
  </r>
  <r>
    <x v="14"/>
    <x v="1"/>
  </r>
  <r>
    <x v="14"/>
    <x v="0"/>
  </r>
  <r>
    <x v="14"/>
    <x v="1"/>
  </r>
  <r>
    <x v="14"/>
    <x v="1"/>
  </r>
  <r>
    <x v="14"/>
    <x v="1"/>
  </r>
  <r>
    <x v="14"/>
    <x v="0"/>
  </r>
  <r>
    <x v="14"/>
    <x v="0"/>
  </r>
  <r>
    <x v="14"/>
    <x v="1"/>
  </r>
  <r>
    <x v="14"/>
    <x v="0"/>
  </r>
  <r>
    <x v="14"/>
    <x v="1"/>
  </r>
  <r>
    <x v="14"/>
    <x v="0"/>
  </r>
  <r>
    <x v="14"/>
    <x v="1"/>
  </r>
  <r>
    <x v="14"/>
    <x v="1"/>
  </r>
  <r>
    <x v="14"/>
    <x v="0"/>
  </r>
  <r>
    <x v="14"/>
    <x v="1"/>
  </r>
  <r>
    <x v="14"/>
    <x v="1"/>
  </r>
  <r>
    <x v="14"/>
    <x v="0"/>
  </r>
  <r>
    <x v="14"/>
    <x v="0"/>
  </r>
  <r>
    <x v="14"/>
    <x v="1"/>
  </r>
  <r>
    <x v="14"/>
    <x v="1"/>
  </r>
  <r>
    <x v="14"/>
    <x v="0"/>
  </r>
  <r>
    <x v="14"/>
    <x v="1"/>
  </r>
  <r>
    <x v="14"/>
    <x v="1"/>
  </r>
  <r>
    <x v="14"/>
    <x v="1"/>
  </r>
  <r>
    <x v="14"/>
    <x v="0"/>
  </r>
  <r>
    <x v="14"/>
    <x v="1"/>
  </r>
  <r>
    <x v="14"/>
    <x v="1"/>
  </r>
  <r>
    <x v="14"/>
    <x v="0"/>
  </r>
  <r>
    <x v="14"/>
    <x v="1"/>
  </r>
  <r>
    <x v="14"/>
    <x v="0"/>
  </r>
  <r>
    <x v="14"/>
    <x v="0"/>
  </r>
  <r>
    <x v="14"/>
    <x v="1"/>
  </r>
  <r>
    <x v="14"/>
    <x v="0"/>
  </r>
  <r>
    <x v="14"/>
    <x v="0"/>
  </r>
  <r>
    <x v="14"/>
    <x v="0"/>
  </r>
  <r>
    <x v="14"/>
    <x v="0"/>
  </r>
  <r>
    <x v="14"/>
    <x v="1"/>
  </r>
  <r>
    <x v="14"/>
    <x v="1"/>
  </r>
  <r>
    <x v="14"/>
    <x v="0"/>
  </r>
  <r>
    <x v="14"/>
    <x v="0"/>
  </r>
  <r>
    <x v="14"/>
    <x v="0"/>
  </r>
  <r>
    <x v="14"/>
    <x v="0"/>
  </r>
  <r>
    <x v="14"/>
    <x v="0"/>
  </r>
  <r>
    <x v="14"/>
    <x v="1"/>
  </r>
  <r>
    <x v="14"/>
    <x v="0"/>
  </r>
  <r>
    <x v="14"/>
    <x v="0"/>
  </r>
  <r>
    <x v="14"/>
    <x v="0"/>
  </r>
  <r>
    <x v="14"/>
    <x v="1"/>
  </r>
  <r>
    <x v="14"/>
    <x v="0"/>
  </r>
  <r>
    <x v="14"/>
    <x v="1"/>
  </r>
  <r>
    <x v="14"/>
    <x v="0"/>
  </r>
  <r>
    <x v="14"/>
    <x v="0"/>
  </r>
  <r>
    <x v="14"/>
    <x v="1"/>
  </r>
  <r>
    <x v="14"/>
    <x v="0"/>
  </r>
  <r>
    <x v="14"/>
    <x v="0"/>
  </r>
  <r>
    <x v="14"/>
    <x v="0"/>
  </r>
  <r>
    <x v="14"/>
    <x v="1"/>
  </r>
  <r>
    <x v="14"/>
    <x v="0"/>
  </r>
  <r>
    <x v="14"/>
    <x v="0"/>
  </r>
  <r>
    <x v="14"/>
    <x v="1"/>
  </r>
  <r>
    <x v="14"/>
    <x v="0"/>
  </r>
  <r>
    <x v="14"/>
    <x v="1"/>
  </r>
  <r>
    <x v="14"/>
    <x v="0"/>
  </r>
  <r>
    <x v="14"/>
    <x v="0"/>
  </r>
  <r>
    <x v="14"/>
    <x v="1"/>
  </r>
  <r>
    <x v="14"/>
    <x v="0"/>
  </r>
  <r>
    <x v="14"/>
    <x v="1"/>
  </r>
  <r>
    <x v="14"/>
    <x v="0"/>
  </r>
  <r>
    <x v="14"/>
    <x v="1"/>
  </r>
  <r>
    <x v="14"/>
    <x v="0"/>
  </r>
  <r>
    <x v="14"/>
    <x v="0"/>
  </r>
  <r>
    <x v="14"/>
    <x v="0"/>
  </r>
  <r>
    <x v="14"/>
    <x v="1"/>
  </r>
  <r>
    <x v="14"/>
    <x v="0"/>
  </r>
  <r>
    <x v="14"/>
    <x v="0"/>
  </r>
  <r>
    <x v="14"/>
    <x v="0"/>
  </r>
  <r>
    <x v="14"/>
    <x v="0"/>
  </r>
  <r>
    <x v="14"/>
    <x v="0"/>
  </r>
  <r>
    <x v="14"/>
    <x v="0"/>
  </r>
  <r>
    <x v="14"/>
    <x v="1"/>
  </r>
  <r>
    <x v="14"/>
    <x v="0"/>
  </r>
  <r>
    <x v="14"/>
    <x v="0"/>
  </r>
  <r>
    <x v="14"/>
    <x v="0"/>
  </r>
  <r>
    <x v="14"/>
    <x v="0"/>
  </r>
  <r>
    <x v="14"/>
    <x v="0"/>
  </r>
  <r>
    <x v="14"/>
    <x v="1"/>
  </r>
  <r>
    <x v="14"/>
    <x v="0"/>
  </r>
  <r>
    <x v="14"/>
    <x v="0"/>
  </r>
  <r>
    <x v="14"/>
    <x v="1"/>
  </r>
  <r>
    <x v="14"/>
    <x v="1"/>
  </r>
  <r>
    <x v="14"/>
    <x v="1"/>
  </r>
  <r>
    <x v="14"/>
    <x v="1"/>
  </r>
  <r>
    <x v="14"/>
    <x v="0"/>
  </r>
  <r>
    <x v="14"/>
    <x v="1"/>
  </r>
  <r>
    <x v="14"/>
    <x v="1"/>
  </r>
  <r>
    <x v="14"/>
    <x v="0"/>
  </r>
  <r>
    <x v="14"/>
    <x v="0"/>
  </r>
  <r>
    <x v="14"/>
    <x v="0"/>
  </r>
  <r>
    <x v="14"/>
    <x v="1"/>
  </r>
  <r>
    <x v="14"/>
    <x v="1"/>
  </r>
  <r>
    <x v="14"/>
    <x v="0"/>
  </r>
  <r>
    <x v="14"/>
    <x v="0"/>
  </r>
  <r>
    <x v="14"/>
    <x v="0"/>
  </r>
  <r>
    <x v="14"/>
    <x v="1"/>
  </r>
  <r>
    <x v="14"/>
    <x v="0"/>
  </r>
  <r>
    <x v="14"/>
    <x v="1"/>
  </r>
  <r>
    <x v="14"/>
    <x v="0"/>
  </r>
  <r>
    <x v="14"/>
    <x v="0"/>
  </r>
  <r>
    <x v="14"/>
    <x v="1"/>
  </r>
  <r>
    <x v="14"/>
    <x v="1"/>
  </r>
  <r>
    <x v="14"/>
    <x v="0"/>
  </r>
  <r>
    <x v="14"/>
    <x v="0"/>
  </r>
  <r>
    <x v="14"/>
    <x v="0"/>
  </r>
  <r>
    <x v="14"/>
    <x v="1"/>
  </r>
  <r>
    <x v="14"/>
    <x v="0"/>
  </r>
  <r>
    <x v="14"/>
    <x v="0"/>
  </r>
  <r>
    <x v="14"/>
    <x v="0"/>
  </r>
  <r>
    <x v="14"/>
    <x v="0"/>
  </r>
  <r>
    <x v="14"/>
    <x v="1"/>
  </r>
  <r>
    <x v="14"/>
    <x v="1"/>
  </r>
  <r>
    <x v="14"/>
    <x v="1"/>
  </r>
  <r>
    <x v="14"/>
    <x v="1"/>
  </r>
  <r>
    <x v="14"/>
    <x v="1"/>
  </r>
  <r>
    <x v="14"/>
    <x v="0"/>
  </r>
  <r>
    <x v="14"/>
    <x v="0"/>
  </r>
  <r>
    <x v="14"/>
    <x v="0"/>
  </r>
  <r>
    <x v="14"/>
    <x v="0"/>
  </r>
  <r>
    <x v="14"/>
    <x v="1"/>
  </r>
  <r>
    <x v="14"/>
    <x v="0"/>
  </r>
  <r>
    <x v="14"/>
    <x v="1"/>
  </r>
  <r>
    <x v="14"/>
    <x v="0"/>
  </r>
  <r>
    <x v="14"/>
    <x v="0"/>
  </r>
  <r>
    <x v="14"/>
    <x v="0"/>
  </r>
  <r>
    <x v="14"/>
    <x v="0"/>
  </r>
  <r>
    <x v="14"/>
    <x v="0"/>
  </r>
  <r>
    <x v="14"/>
    <x v="0"/>
  </r>
  <r>
    <x v="14"/>
    <x v="1"/>
  </r>
  <r>
    <x v="14"/>
    <x v="0"/>
  </r>
  <r>
    <x v="14"/>
    <x v="0"/>
  </r>
  <r>
    <x v="14"/>
    <x v="0"/>
  </r>
  <r>
    <x v="14"/>
    <x v="0"/>
  </r>
  <r>
    <x v="14"/>
    <x v="0"/>
  </r>
  <r>
    <x v="14"/>
    <x v="0"/>
  </r>
  <r>
    <x v="14"/>
    <x v="1"/>
  </r>
  <r>
    <x v="14"/>
    <x v="0"/>
  </r>
  <r>
    <x v="14"/>
    <x v="0"/>
  </r>
  <r>
    <x v="14"/>
    <x v="0"/>
  </r>
  <r>
    <x v="14"/>
    <x v="0"/>
  </r>
  <r>
    <x v="14"/>
    <x v="1"/>
  </r>
  <r>
    <x v="14"/>
    <x v="1"/>
  </r>
  <r>
    <x v="14"/>
    <x v="0"/>
  </r>
  <r>
    <x v="14"/>
    <x v="1"/>
  </r>
  <r>
    <x v="14"/>
    <x v="0"/>
  </r>
  <r>
    <x v="14"/>
    <x v="0"/>
  </r>
  <r>
    <x v="14"/>
    <x v="0"/>
  </r>
  <r>
    <x v="14"/>
    <x v="1"/>
  </r>
  <r>
    <x v="14"/>
    <x v="0"/>
  </r>
  <r>
    <x v="14"/>
    <x v="1"/>
  </r>
  <r>
    <x v="14"/>
    <x v="1"/>
  </r>
  <r>
    <x v="14"/>
    <x v="1"/>
  </r>
  <r>
    <x v="14"/>
    <x v="1"/>
  </r>
  <r>
    <x v="14"/>
    <x v="1"/>
  </r>
  <r>
    <x v="14"/>
    <x v="1"/>
  </r>
  <r>
    <x v="14"/>
    <x v="0"/>
  </r>
  <r>
    <x v="14"/>
    <x v="0"/>
  </r>
  <r>
    <x v="14"/>
    <x v="0"/>
  </r>
  <r>
    <x v="14"/>
    <x v="1"/>
  </r>
  <r>
    <x v="14"/>
    <x v="1"/>
  </r>
  <r>
    <x v="14"/>
    <x v="0"/>
  </r>
  <r>
    <x v="14"/>
    <x v="1"/>
  </r>
  <r>
    <x v="14"/>
    <x v="1"/>
  </r>
  <r>
    <x v="14"/>
    <x v="0"/>
  </r>
  <r>
    <x v="14"/>
    <x v="0"/>
  </r>
  <r>
    <x v="14"/>
    <x v="0"/>
  </r>
  <r>
    <x v="14"/>
    <x v="0"/>
  </r>
  <r>
    <x v="14"/>
    <x v="0"/>
  </r>
  <r>
    <x v="14"/>
    <x v="0"/>
  </r>
  <r>
    <x v="14"/>
    <x v="0"/>
  </r>
  <r>
    <x v="14"/>
    <x v="0"/>
  </r>
  <r>
    <x v="14"/>
    <x v="1"/>
  </r>
  <r>
    <x v="14"/>
    <x v="0"/>
  </r>
  <r>
    <x v="14"/>
    <x v="0"/>
  </r>
  <r>
    <x v="14"/>
    <x v="1"/>
  </r>
  <r>
    <x v="14"/>
    <x v="0"/>
  </r>
  <r>
    <x v="14"/>
    <x v="1"/>
  </r>
  <r>
    <x v="14"/>
    <x v="0"/>
  </r>
  <r>
    <x v="14"/>
    <x v="1"/>
  </r>
  <r>
    <x v="14"/>
    <x v="1"/>
  </r>
  <r>
    <x v="14"/>
    <x v="1"/>
  </r>
  <r>
    <x v="14"/>
    <x v="0"/>
  </r>
  <r>
    <x v="14"/>
    <x v="1"/>
  </r>
  <r>
    <x v="14"/>
    <x v="0"/>
  </r>
  <r>
    <x v="14"/>
    <x v="1"/>
  </r>
  <r>
    <x v="14"/>
    <x v="1"/>
  </r>
  <r>
    <x v="14"/>
    <x v="1"/>
  </r>
  <r>
    <x v="14"/>
    <x v="1"/>
  </r>
  <r>
    <x v="14"/>
    <x v="0"/>
  </r>
  <r>
    <x v="14"/>
    <x v="1"/>
  </r>
  <r>
    <x v="14"/>
    <x v="0"/>
  </r>
  <r>
    <x v="14"/>
    <x v="1"/>
  </r>
  <r>
    <x v="14"/>
    <x v="0"/>
  </r>
  <r>
    <x v="14"/>
    <x v="1"/>
  </r>
  <r>
    <x v="14"/>
    <x v="0"/>
  </r>
  <r>
    <x v="14"/>
    <x v="1"/>
  </r>
  <r>
    <x v="14"/>
    <x v="1"/>
  </r>
  <r>
    <x v="14"/>
    <x v="0"/>
  </r>
  <r>
    <x v="14"/>
    <x v="1"/>
  </r>
  <r>
    <x v="14"/>
    <x v="1"/>
  </r>
  <r>
    <x v="14"/>
    <x v="0"/>
  </r>
  <r>
    <x v="14"/>
    <x v="1"/>
  </r>
  <r>
    <x v="14"/>
    <x v="0"/>
  </r>
  <r>
    <x v="14"/>
    <x v="1"/>
  </r>
  <r>
    <x v="14"/>
    <x v="1"/>
  </r>
  <r>
    <x v="14"/>
    <x v="1"/>
  </r>
  <r>
    <x v="14"/>
    <x v="1"/>
  </r>
  <r>
    <x v="14"/>
    <x v="0"/>
  </r>
  <r>
    <x v="14"/>
    <x v="1"/>
  </r>
  <r>
    <x v="14"/>
    <x v="1"/>
  </r>
  <r>
    <x v="14"/>
    <x v="0"/>
  </r>
  <r>
    <x v="14"/>
    <x v="1"/>
  </r>
  <r>
    <x v="14"/>
    <x v="0"/>
  </r>
  <r>
    <x v="14"/>
    <x v="0"/>
  </r>
  <r>
    <x v="14"/>
    <x v="0"/>
  </r>
  <r>
    <x v="14"/>
    <x v="0"/>
  </r>
  <r>
    <x v="14"/>
    <x v="0"/>
  </r>
  <r>
    <x v="14"/>
    <x v="0"/>
  </r>
  <r>
    <x v="14"/>
    <x v="0"/>
  </r>
  <r>
    <x v="14"/>
    <x v="0"/>
  </r>
  <r>
    <x v="14"/>
    <x v="0"/>
  </r>
  <r>
    <x v="14"/>
    <x v="1"/>
  </r>
  <r>
    <x v="14"/>
    <x v="1"/>
  </r>
  <r>
    <x v="14"/>
    <x v="0"/>
  </r>
  <r>
    <x v="14"/>
    <x v="0"/>
  </r>
  <r>
    <x v="14"/>
    <x v="1"/>
  </r>
  <r>
    <x v="14"/>
    <x v="0"/>
  </r>
  <r>
    <x v="14"/>
    <x v="0"/>
  </r>
  <r>
    <x v="14"/>
    <x v="0"/>
  </r>
  <r>
    <x v="14"/>
    <x v="1"/>
  </r>
  <r>
    <x v="14"/>
    <x v="0"/>
  </r>
  <r>
    <x v="14"/>
    <x v="0"/>
  </r>
  <r>
    <x v="14"/>
    <x v="0"/>
  </r>
  <r>
    <x v="14"/>
    <x v="1"/>
  </r>
  <r>
    <x v="14"/>
    <x v="0"/>
  </r>
  <r>
    <x v="14"/>
    <x v="1"/>
  </r>
  <r>
    <x v="14"/>
    <x v="1"/>
  </r>
  <r>
    <x v="14"/>
    <x v="0"/>
  </r>
  <r>
    <x v="14"/>
    <x v="1"/>
  </r>
  <r>
    <x v="14"/>
    <x v="1"/>
  </r>
  <r>
    <x v="14"/>
    <x v="1"/>
  </r>
  <r>
    <x v="14"/>
    <x v="1"/>
  </r>
  <r>
    <x v="14"/>
    <x v="1"/>
  </r>
  <r>
    <x v="14"/>
    <x v="0"/>
  </r>
  <r>
    <x v="14"/>
    <x v="1"/>
  </r>
  <r>
    <x v="14"/>
    <x v="1"/>
  </r>
  <r>
    <x v="14"/>
    <x v="0"/>
  </r>
  <r>
    <x v="14"/>
    <x v="0"/>
  </r>
  <r>
    <x v="14"/>
    <x v="1"/>
  </r>
  <r>
    <x v="14"/>
    <x v="0"/>
  </r>
  <r>
    <x v="14"/>
    <x v="0"/>
  </r>
  <r>
    <x v="14"/>
    <x v="1"/>
  </r>
  <r>
    <x v="14"/>
    <x v="0"/>
  </r>
  <r>
    <x v="14"/>
    <x v="1"/>
  </r>
  <r>
    <x v="14"/>
    <x v="0"/>
  </r>
  <r>
    <x v="14"/>
    <x v="1"/>
  </r>
  <r>
    <x v="14"/>
    <x v="0"/>
  </r>
  <r>
    <x v="14"/>
    <x v="0"/>
  </r>
  <r>
    <x v="14"/>
    <x v="0"/>
  </r>
  <r>
    <x v="14"/>
    <x v="0"/>
  </r>
  <r>
    <x v="14"/>
    <x v="0"/>
  </r>
  <r>
    <x v="14"/>
    <x v="0"/>
  </r>
  <r>
    <x v="14"/>
    <x v="1"/>
  </r>
  <r>
    <x v="14"/>
    <x v="1"/>
  </r>
  <r>
    <x v="14"/>
    <x v="1"/>
  </r>
  <r>
    <x v="14"/>
    <x v="1"/>
  </r>
  <r>
    <x v="14"/>
    <x v="0"/>
  </r>
  <r>
    <x v="14"/>
    <x v="1"/>
  </r>
  <r>
    <x v="14"/>
    <x v="1"/>
  </r>
  <r>
    <x v="14"/>
    <x v="1"/>
  </r>
  <r>
    <x v="14"/>
    <x v="1"/>
  </r>
  <r>
    <x v="14"/>
    <x v="1"/>
  </r>
  <r>
    <x v="14"/>
    <x v="0"/>
  </r>
  <r>
    <x v="14"/>
    <x v="1"/>
  </r>
  <r>
    <x v="14"/>
    <x v="0"/>
  </r>
  <r>
    <x v="14"/>
    <x v="1"/>
  </r>
  <r>
    <x v="14"/>
    <x v="1"/>
  </r>
  <r>
    <x v="14"/>
    <x v="0"/>
  </r>
  <r>
    <x v="14"/>
    <x v="1"/>
  </r>
  <r>
    <x v="14"/>
    <x v="1"/>
  </r>
  <r>
    <x v="14"/>
    <x v="0"/>
  </r>
  <r>
    <x v="14"/>
    <x v="1"/>
  </r>
  <r>
    <x v="14"/>
    <x v="1"/>
  </r>
  <r>
    <x v="14"/>
    <x v="0"/>
  </r>
  <r>
    <x v="14"/>
    <x v="0"/>
  </r>
  <r>
    <x v="14"/>
    <x v="1"/>
  </r>
  <r>
    <x v="14"/>
    <x v="1"/>
  </r>
  <r>
    <x v="14"/>
    <x v="1"/>
  </r>
  <r>
    <x v="14"/>
    <x v="0"/>
  </r>
  <r>
    <x v="14"/>
    <x v="0"/>
  </r>
  <r>
    <x v="14"/>
    <x v="1"/>
  </r>
  <r>
    <x v="14"/>
    <x v="1"/>
  </r>
  <r>
    <x v="14"/>
    <x v="0"/>
  </r>
  <r>
    <x v="14"/>
    <x v="1"/>
  </r>
  <r>
    <x v="14"/>
    <x v="1"/>
  </r>
  <r>
    <x v="14"/>
    <x v="1"/>
  </r>
  <r>
    <x v="14"/>
    <x v="0"/>
  </r>
  <r>
    <x v="14"/>
    <x v="0"/>
  </r>
  <r>
    <x v="14"/>
    <x v="1"/>
  </r>
  <r>
    <x v="14"/>
    <x v="0"/>
  </r>
  <r>
    <x v="14"/>
    <x v="0"/>
  </r>
  <r>
    <x v="14"/>
    <x v="1"/>
  </r>
  <r>
    <x v="14"/>
    <x v="1"/>
  </r>
  <r>
    <x v="14"/>
    <x v="0"/>
  </r>
  <r>
    <x v="14"/>
    <x v="0"/>
  </r>
  <r>
    <x v="14"/>
    <x v="0"/>
  </r>
  <r>
    <x v="14"/>
    <x v="1"/>
  </r>
  <r>
    <x v="14"/>
    <x v="0"/>
  </r>
  <r>
    <x v="14"/>
    <x v="1"/>
  </r>
  <r>
    <x v="14"/>
    <x v="1"/>
  </r>
  <r>
    <x v="14"/>
    <x v="1"/>
  </r>
  <r>
    <x v="14"/>
    <x v="1"/>
  </r>
  <r>
    <x v="14"/>
    <x v="0"/>
  </r>
  <r>
    <x v="14"/>
    <x v="1"/>
  </r>
  <r>
    <x v="14"/>
    <x v="0"/>
  </r>
  <r>
    <x v="14"/>
    <x v="0"/>
  </r>
  <r>
    <x v="14"/>
    <x v="0"/>
  </r>
  <r>
    <x v="14"/>
    <x v="1"/>
  </r>
  <r>
    <x v="14"/>
    <x v="0"/>
  </r>
  <r>
    <x v="14"/>
    <x v="0"/>
  </r>
  <r>
    <x v="14"/>
    <x v="0"/>
  </r>
  <r>
    <x v="14"/>
    <x v="0"/>
  </r>
  <r>
    <x v="14"/>
    <x v="0"/>
  </r>
  <r>
    <x v="14"/>
    <x v="1"/>
  </r>
  <r>
    <x v="14"/>
    <x v="0"/>
  </r>
  <r>
    <x v="14"/>
    <x v="0"/>
  </r>
  <r>
    <x v="14"/>
    <x v="0"/>
  </r>
  <r>
    <x v="14"/>
    <x v="0"/>
  </r>
  <r>
    <x v="14"/>
    <x v="1"/>
  </r>
  <r>
    <x v="14"/>
    <x v="0"/>
  </r>
  <r>
    <x v="14"/>
    <x v="0"/>
  </r>
  <r>
    <x v="14"/>
    <x v="0"/>
  </r>
  <r>
    <x v="14"/>
    <x v="0"/>
  </r>
  <r>
    <x v="14"/>
    <x v="0"/>
  </r>
  <r>
    <x v="14"/>
    <x v="1"/>
  </r>
  <r>
    <x v="14"/>
    <x v="0"/>
  </r>
  <r>
    <x v="14"/>
    <x v="0"/>
  </r>
  <r>
    <x v="14"/>
    <x v="1"/>
  </r>
  <r>
    <x v="14"/>
    <x v="0"/>
  </r>
  <r>
    <x v="14"/>
    <x v="0"/>
  </r>
  <r>
    <x v="14"/>
    <x v="0"/>
  </r>
  <r>
    <x v="14"/>
    <x v="0"/>
  </r>
  <r>
    <x v="14"/>
    <x v="0"/>
  </r>
  <r>
    <x v="14"/>
    <x v="0"/>
  </r>
  <r>
    <x v="14"/>
    <x v="0"/>
  </r>
  <r>
    <x v="14"/>
    <x v="0"/>
  </r>
  <r>
    <x v="14"/>
    <x v="0"/>
  </r>
  <r>
    <x v="14"/>
    <x v="0"/>
  </r>
  <r>
    <x v="14"/>
    <x v="1"/>
  </r>
  <r>
    <x v="14"/>
    <x v="1"/>
  </r>
  <r>
    <x v="14"/>
    <x v="0"/>
  </r>
  <r>
    <x v="14"/>
    <x v="1"/>
  </r>
  <r>
    <x v="14"/>
    <x v="0"/>
  </r>
  <r>
    <x v="14"/>
    <x v="1"/>
  </r>
  <r>
    <x v="14"/>
    <x v="0"/>
  </r>
  <r>
    <x v="14"/>
    <x v="1"/>
  </r>
  <r>
    <x v="14"/>
    <x v="0"/>
  </r>
  <r>
    <x v="14"/>
    <x v="1"/>
  </r>
  <r>
    <x v="14"/>
    <x v="1"/>
  </r>
  <r>
    <x v="14"/>
    <x v="1"/>
  </r>
  <r>
    <x v="14"/>
    <x v="1"/>
  </r>
  <r>
    <x v="14"/>
    <x v="0"/>
  </r>
  <r>
    <x v="14"/>
    <x v="0"/>
  </r>
  <r>
    <x v="14"/>
    <x v="1"/>
  </r>
  <r>
    <x v="14"/>
    <x v="1"/>
  </r>
  <r>
    <x v="14"/>
    <x v="0"/>
  </r>
  <r>
    <x v="14"/>
    <x v="1"/>
  </r>
  <r>
    <x v="14"/>
    <x v="0"/>
  </r>
  <r>
    <x v="14"/>
    <x v="0"/>
  </r>
  <r>
    <x v="14"/>
    <x v="1"/>
  </r>
  <r>
    <x v="14"/>
    <x v="1"/>
  </r>
  <r>
    <x v="14"/>
    <x v="0"/>
  </r>
  <r>
    <x v="14"/>
    <x v="0"/>
  </r>
  <r>
    <x v="14"/>
    <x v="1"/>
  </r>
  <r>
    <x v="14"/>
    <x v="0"/>
  </r>
  <r>
    <x v="14"/>
    <x v="0"/>
  </r>
  <r>
    <x v="14"/>
    <x v="1"/>
  </r>
  <r>
    <x v="14"/>
    <x v="0"/>
  </r>
  <r>
    <x v="14"/>
    <x v="1"/>
  </r>
  <r>
    <x v="14"/>
    <x v="1"/>
  </r>
  <r>
    <x v="14"/>
    <x v="0"/>
  </r>
  <r>
    <x v="14"/>
    <x v="1"/>
  </r>
  <r>
    <x v="14"/>
    <x v="1"/>
  </r>
  <r>
    <x v="14"/>
    <x v="0"/>
  </r>
  <r>
    <x v="14"/>
    <x v="0"/>
  </r>
  <r>
    <x v="14"/>
    <x v="1"/>
  </r>
  <r>
    <x v="14"/>
    <x v="0"/>
  </r>
  <r>
    <x v="14"/>
    <x v="1"/>
  </r>
  <r>
    <x v="14"/>
    <x v="1"/>
  </r>
  <r>
    <x v="14"/>
    <x v="0"/>
  </r>
  <r>
    <x v="14"/>
    <x v="1"/>
  </r>
  <r>
    <x v="14"/>
    <x v="1"/>
  </r>
  <r>
    <x v="14"/>
    <x v="0"/>
  </r>
  <r>
    <x v="14"/>
    <x v="0"/>
  </r>
  <r>
    <x v="14"/>
    <x v="1"/>
  </r>
  <r>
    <x v="14"/>
    <x v="0"/>
  </r>
  <r>
    <x v="14"/>
    <x v="1"/>
  </r>
  <r>
    <x v="14"/>
    <x v="0"/>
  </r>
  <r>
    <x v="14"/>
    <x v="0"/>
  </r>
  <r>
    <x v="14"/>
    <x v="1"/>
  </r>
  <r>
    <x v="14"/>
    <x v="0"/>
  </r>
  <r>
    <x v="14"/>
    <x v="0"/>
  </r>
  <r>
    <x v="14"/>
    <x v="1"/>
  </r>
  <r>
    <x v="14"/>
    <x v="0"/>
  </r>
  <r>
    <x v="14"/>
    <x v="0"/>
  </r>
  <r>
    <x v="14"/>
    <x v="0"/>
  </r>
  <r>
    <x v="14"/>
    <x v="1"/>
  </r>
  <r>
    <x v="14"/>
    <x v="1"/>
  </r>
  <r>
    <x v="14"/>
    <x v="0"/>
  </r>
  <r>
    <x v="14"/>
    <x v="1"/>
  </r>
  <r>
    <x v="14"/>
    <x v="0"/>
  </r>
  <r>
    <x v="14"/>
    <x v="0"/>
  </r>
  <r>
    <x v="14"/>
    <x v="0"/>
  </r>
  <r>
    <x v="14"/>
    <x v="0"/>
  </r>
  <r>
    <x v="14"/>
    <x v="0"/>
  </r>
  <r>
    <x v="14"/>
    <x v="0"/>
  </r>
  <r>
    <x v="14"/>
    <x v="0"/>
  </r>
  <r>
    <x v="14"/>
    <x v="0"/>
  </r>
  <r>
    <x v="14"/>
    <x v="0"/>
  </r>
  <r>
    <x v="14"/>
    <x v="1"/>
  </r>
  <r>
    <x v="14"/>
    <x v="0"/>
  </r>
  <r>
    <x v="14"/>
    <x v="0"/>
  </r>
  <r>
    <x v="14"/>
    <x v="0"/>
  </r>
  <r>
    <x v="14"/>
    <x v="0"/>
  </r>
  <r>
    <x v="14"/>
    <x v="1"/>
  </r>
  <r>
    <x v="14"/>
    <x v="0"/>
  </r>
  <r>
    <x v="14"/>
    <x v="1"/>
  </r>
  <r>
    <x v="14"/>
    <x v="1"/>
  </r>
  <r>
    <x v="14"/>
    <x v="1"/>
  </r>
  <r>
    <x v="14"/>
    <x v="1"/>
  </r>
  <r>
    <x v="14"/>
    <x v="1"/>
  </r>
  <r>
    <x v="14"/>
    <x v="1"/>
  </r>
  <r>
    <x v="14"/>
    <x v="0"/>
  </r>
  <r>
    <x v="14"/>
    <x v="0"/>
  </r>
  <r>
    <x v="14"/>
    <x v="0"/>
  </r>
  <r>
    <x v="14"/>
    <x v="0"/>
  </r>
  <r>
    <x v="14"/>
    <x v="0"/>
  </r>
  <r>
    <x v="14"/>
    <x v="0"/>
  </r>
  <r>
    <x v="14"/>
    <x v="0"/>
  </r>
  <r>
    <x v="14"/>
    <x v="0"/>
  </r>
  <r>
    <x v="14"/>
    <x v="0"/>
  </r>
  <r>
    <x v="14"/>
    <x v="1"/>
  </r>
  <r>
    <x v="14"/>
    <x v="1"/>
  </r>
  <r>
    <x v="14"/>
    <x v="0"/>
  </r>
  <r>
    <x v="14"/>
    <x v="0"/>
  </r>
  <r>
    <x v="14"/>
    <x v="1"/>
  </r>
  <r>
    <x v="14"/>
    <x v="1"/>
  </r>
  <r>
    <x v="14"/>
    <x v="1"/>
  </r>
  <r>
    <x v="14"/>
    <x v="0"/>
  </r>
  <r>
    <x v="14"/>
    <x v="0"/>
  </r>
  <r>
    <x v="14"/>
    <x v="0"/>
  </r>
  <r>
    <x v="14"/>
    <x v="0"/>
  </r>
  <r>
    <x v="14"/>
    <x v="0"/>
  </r>
  <r>
    <x v="14"/>
    <x v="0"/>
  </r>
  <r>
    <x v="14"/>
    <x v="1"/>
  </r>
  <r>
    <x v="14"/>
    <x v="0"/>
  </r>
  <r>
    <x v="14"/>
    <x v="0"/>
  </r>
  <r>
    <x v="14"/>
    <x v="0"/>
  </r>
  <r>
    <x v="14"/>
    <x v="0"/>
  </r>
  <r>
    <x v="14"/>
    <x v="1"/>
  </r>
  <r>
    <x v="14"/>
    <x v="0"/>
  </r>
  <r>
    <x v="14"/>
    <x v="1"/>
  </r>
  <r>
    <x v="14"/>
    <x v="0"/>
  </r>
  <r>
    <x v="14"/>
    <x v="1"/>
  </r>
  <r>
    <x v="14"/>
    <x v="1"/>
  </r>
  <r>
    <x v="14"/>
    <x v="1"/>
  </r>
  <r>
    <x v="14"/>
    <x v="1"/>
  </r>
  <r>
    <x v="14"/>
    <x v="1"/>
  </r>
  <r>
    <x v="14"/>
    <x v="0"/>
  </r>
  <r>
    <x v="14"/>
    <x v="0"/>
  </r>
  <r>
    <x v="14"/>
    <x v="0"/>
  </r>
  <r>
    <x v="14"/>
    <x v="1"/>
  </r>
  <r>
    <x v="14"/>
    <x v="1"/>
  </r>
  <r>
    <x v="14"/>
    <x v="1"/>
  </r>
  <r>
    <x v="14"/>
    <x v="0"/>
  </r>
  <r>
    <x v="14"/>
    <x v="1"/>
  </r>
  <r>
    <x v="14"/>
    <x v="1"/>
  </r>
  <r>
    <x v="14"/>
    <x v="1"/>
  </r>
  <r>
    <x v="14"/>
    <x v="1"/>
  </r>
  <r>
    <x v="14"/>
    <x v="0"/>
  </r>
  <r>
    <x v="14"/>
    <x v="1"/>
  </r>
  <r>
    <x v="14"/>
    <x v="0"/>
  </r>
  <r>
    <x v="14"/>
    <x v="0"/>
  </r>
  <r>
    <x v="14"/>
    <x v="1"/>
  </r>
  <r>
    <x v="14"/>
    <x v="1"/>
  </r>
  <r>
    <x v="14"/>
    <x v="0"/>
  </r>
  <r>
    <x v="14"/>
    <x v="0"/>
  </r>
  <r>
    <x v="14"/>
    <x v="0"/>
  </r>
  <r>
    <x v="14"/>
    <x v="0"/>
  </r>
  <r>
    <x v="14"/>
    <x v="0"/>
  </r>
  <r>
    <x v="14"/>
    <x v="0"/>
  </r>
  <r>
    <x v="14"/>
    <x v="0"/>
  </r>
  <r>
    <x v="14"/>
    <x v="0"/>
  </r>
  <r>
    <x v="14"/>
    <x v="1"/>
  </r>
  <r>
    <x v="14"/>
    <x v="0"/>
  </r>
  <r>
    <x v="14"/>
    <x v="1"/>
  </r>
  <r>
    <x v="14"/>
    <x v="0"/>
  </r>
  <r>
    <x v="14"/>
    <x v="0"/>
  </r>
  <r>
    <x v="14"/>
    <x v="1"/>
  </r>
  <r>
    <x v="14"/>
    <x v="1"/>
  </r>
  <r>
    <x v="14"/>
    <x v="1"/>
  </r>
  <r>
    <x v="14"/>
    <x v="1"/>
  </r>
  <r>
    <x v="14"/>
    <x v="1"/>
  </r>
  <r>
    <x v="14"/>
    <x v="0"/>
  </r>
  <r>
    <x v="14"/>
    <x v="0"/>
  </r>
  <r>
    <x v="14"/>
    <x v="0"/>
  </r>
  <r>
    <x v="14"/>
    <x v="1"/>
  </r>
  <r>
    <x v="14"/>
    <x v="1"/>
  </r>
  <r>
    <x v="14"/>
    <x v="0"/>
  </r>
  <r>
    <x v="14"/>
    <x v="0"/>
  </r>
  <r>
    <x v="14"/>
    <x v="0"/>
  </r>
  <r>
    <x v="14"/>
    <x v="0"/>
  </r>
  <r>
    <x v="14"/>
    <x v="0"/>
  </r>
  <r>
    <x v="14"/>
    <x v="1"/>
  </r>
  <r>
    <x v="14"/>
    <x v="1"/>
  </r>
  <r>
    <x v="14"/>
    <x v="0"/>
  </r>
  <r>
    <x v="14"/>
    <x v="0"/>
  </r>
  <r>
    <x v="14"/>
    <x v="1"/>
  </r>
  <r>
    <x v="14"/>
    <x v="1"/>
  </r>
  <r>
    <x v="14"/>
    <x v="0"/>
  </r>
  <r>
    <x v="14"/>
    <x v="0"/>
  </r>
  <r>
    <x v="14"/>
    <x v="0"/>
  </r>
  <r>
    <x v="14"/>
    <x v="0"/>
  </r>
  <r>
    <x v="14"/>
    <x v="0"/>
  </r>
  <r>
    <x v="14"/>
    <x v="1"/>
  </r>
  <r>
    <x v="14"/>
    <x v="1"/>
  </r>
  <r>
    <x v="14"/>
    <x v="1"/>
  </r>
  <r>
    <x v="14"/>
    <x v="1"/>
  </r>
  <r>
    <x v="14"/>
    <x v="0"/>
  </r>
  <r>
    <x v="14"/>
    <x v="1"/>
  </r>
  <r>
    <x v="14"/>
    <x v="1"/>
  </r>
  <r>
    <x v="14"/>
    <x v="1"/>
  </r>
  <r>
    <x v="14"/>
    <x v="0"/>
  </r>
  <r>
    <x v="14"/>
    <x v="1"/>
  </r>
  <r>
    <x v="14"/>
    <x v="1"/>
  </r>
  <r>
    <x v="14"/>
    <x v="1"/>
  </r>
  <r>
    <x v="14"/>
    <x v="0"/>
  </r>
  <r>
    <x v="14"/>
    <x v="1"/>
  </r>
  <r>
    <x v="14"/>
    <x v="1"/>
  </r>
  <r>
    <x v="14"/>
    <x v="0"/>
  </r>
  <r>
    <x v="14"/>
    <x v="0"/>
  </r>
  <r>
    <x v="14"/>
    <x v="0"/>
  </r>
  <r>
    <x v="14"/>
    <x v="1"/>
  </r>
  <r>
    <x v="14"/>
    <x v="1"/>
  </r>
  <r>
    <x v="14"/>
    <x v="1"/>
  </r>
  <r>
    <x v="14"/>
    <x v="1"/>
  </r>
  <r>
    <x v="14"/>
    <x v="0"/>
  </r>
  <r>
    <x v="14"/>
    <x v="0"/>
  </r>
  <r>
    <x v="14"/>
    <x v="0"/>
  </r>
  <r>
    <x v="14"/>
    <x v="1"/>
  </r>
  <r>
    <x v="14"/>
    <x v="0"/>
  </r>
  <r>
    <x v="14"/>
    <x v="0"/>
  </r>
  <r>
    <x v="14"/>
    <x v="0"/>
  </r>
  <r>
    <x v="14"/>
    <x v="1"/>
  </r>
  <r>
    <x v="14"/>
    <x v="0"/>
  </r>
  <r>
    <x v="14"/>
    <x v="1"/>
  </r>
  <r>
    <x v="14"/>
    <x v="0"/>
  </r>
  <r>
    <x v="14"/>
    <x v="0"/>
  </r>
  <r>
    <x v="14"/>
    <x v="0"/>
  </r>
  <r>
    <x v="14"/>
    <x v="1"/>
  </r>
  <r>
    <x v="14"/>
    <x v="0"/>
  </r>
  <r>
    <x v="14"/>
    <x v="0"/>
  </r>
  <r>
    <x v="14"/>
    <x v="0"/>
  </r>
  <r>
    <x v="14"/>
    <x v="0"/>
  </r>
  <r>
    <x v="14"/>
    <x v="1"/>
  </r>
  <r>
    <x v="14"/>
    <x v="1"/>
  </r>
  <r>
    <x v="14"/>
    <x v="1"/>
  </r>
  <r>
    <x v="14"/>
    <x v="1"/>
  </r>
  <r>
    <x v="14"/>
    <x v="1"/>
  </r>
  <r>
    <x v="14"/>
    <x v="1"/>
  </r>
  <r>
    <x v="14"/>
    <x v="0"/>
  </r>
  <r>
    <x v="14"/>
    <x v="1"/>
  </r>
  <r>
    <x v="14"/>
    <x v="1"/>
  </r>
  <r>
    <x v="14"/>
    <x v="1"/>
  </r>
  <r>
    <x v="14"/>
    <x v="0"/>
  </r>
  <r>
    <x v="14"/>
    <x v="0"/>
  </r>
  <r>
    <x v="14"/>
    <x v="0"/>
  </r>
  <r>
    <x v="14"/>
    <x v="0"/>
  </r>
  <r>
    <x v="14"/>
    <x v="1"/>
  </r>
  <r>
    <x v="14"/>
    <x v="1"/>
  </r>
  <r>
    <x v="14"/>
    <x v="1"/>
  </r>
  <r>
    <x v="14"/>
    <x v="0"/>
  </r>
  <r>
    <x v="14"/>
    <x v="1"/>
  </r>
  <r>
    <x v="14"/>
    <x v="1"/>
  </r>
  <r>
    <x v="14"/>
    <x v="1"/>
  </r>
  <r>
    <x v="14"/>
    <x v="1"/>
  </r>
  <r>
    <x v="14"/>
    <x v="0"/>
  </r>
  <r>
    <x v="14"/>
    <x v="1"/>
  </r>
  <r>
    <x v="14"/>
    <x v="0"/>
  </r>
  <r>
    <x v="14"/>
    <x v="1"/>
  </r>
  <r>
    <x v="14"/>
    <x v="1"/>
  </r>
  <r>
    <x v="14"/>
    <x v="0"/>
  </r>
  <r>
    <x v="14"/>
    <x v="0"/>
  </r>
  <r>
    <x v="14"/>
    <x v="0"/>
  </r>
  <r>
    <x v="14"/>
    <x v="1"/>
  </r>
  <r>
    <x v="14"/>
    <x v="0"/>
  </r>
  <r>
    <x v="14"/>
    <x v="0"/>
  </r>
  <r>
    <x v="14"/>
    <x v="0"/>
  </r>
  <r>
    <x v="14"/>
    <x v="0"/>
  </r>
  <r>
    <x v="14"/>
    <x v="1"/>
  </r>
  <r>
    <x v="14"/>
    <x v="1"/>
  </r>
  <r>
    <x v="14"/>
    <x v="1"/>
  </r>
  <r>
    <x v="14"/>
    <x v="0"/>
  </r>
  <r>
    <x v="14"/>
    <x v="1"/>
  </r>
  <r>
    <x v="14"/>
    <x v="1"/>
  </r>
  <r>
    <x v="14"/>
    <x v="0"/>
  </r>
  <r>
    <x v="14"/>
    <x v="1"/>
  </r>
  <r>
    <x v="14"/>
    <x v="0"/>
  </r>
  <r>
    <x v="14"/>
    <x v="0"/>
  </r>
  <r>
    <x v="14"/>
    <x v="1"/>
  </r>
  <r>
    <x v="14"/>
    <x v="0"/>
  </r>
  <r>
    <x v="14"/>
    <x v="0"/>
  </r>
  <r>
    <x v="14"/>
    <x v="1"/>
  </r>
  <r>
    <x v="14"/>
    <x v="1"/>
  </r>
  <r>
    <x v="14"/>
    <x v="0"/>
  </r>
  <r>
    <x v="14"/>
    <x v="0"/>
  </r>
  <r>
    <x v="14"/>
    <x v="0"/>
  </r>
  <r>
    <x v="14"/>
    <x v="0"/>
  </r>
  <r>
    <x v="14"/>
    <x v="0"/>
  </r>
  <r>
    <x v="14"/>
    <x v="0"/>
  </r>
  <r>
    <x v="14"/>
    <x v="1"/>
  </r>
  <r>
    <x v="14"/>
    <x v="0"/>
  </r>
  <r>
    <x v="14"/>
    <x v="0"/>
  </r>
  <r>
    <x v="14"/>
    <x v="0"/>
  </r>
  <r>
    <x v="14"/>
    <x v="0"/>
  </r>
  <r>
    <x v="14"/>
    <x v="0"/>
  </r>
  <r>
    <x v="14"/>
    <x v="1"/>
  </r>
  <r>
    <x v="14"/>
    <x v="1"/>
  </r>
  <r>
    <x v="14"/>
    <x v="1"/>
  </r>
  <r>
    <x v="14"/>
    <x v="1"/>
  </r>
  <r>
    <x v="14"/>
    <x v="0"/>
  </r>
  <r>
    <x v="14"/>
    <x v="0"/>
  </r>
  <r>
    <x v="14"/>
    <x v="1"/>
  </r>
  <r>
    <x v="14"/>
    <x v="0"/>
  </r>
  <r>
    <x v="14"/>
    <x v="0"/>
  </r>
  <r>
    <x v="14"/>
    <x v="0"/>
  </r>
  <r>
    <x v="14"/>
    <x v="0"/>
  </r>
  <r>
    <x v="14"/>
    <x v="0"/>
  </r>
  <r>
    <x v="14"/>
    <x v="1"/>
  </r>
  <r>
    <x v="14"/>
    <x v="1"/>
  </r>
  <r>
    <x v="14"/>
    <x v="0"/>
  </r>
  <r>
    <x v="14"/>
    <x v="0"/>
  </r>
  <r>
    <x v="14"/>
    <x v="1"/>
  </r>
  <r>
    <x v="14"/>
    <x v="0"/>
  </r>
  <r>
    <x v="14"/>
    <x v="0"/>
  </r>
  <r>
    <x v="14"/>
    <x v="1"/>
  </r>
  <r>
    <x v="14"/>
    <x v="0"/>
  </r>
  <r>
    <x v="14"/>
    <x v="0"/>
  </r>
  <r>
    <x v="14"/>
    <x v="1"/>
  </r>
  <r>
    <x v="14"/>
    <x v="0"/>
  </r>
  <r>
    <x v="14"/>
    <x v="1"/>
  </r>
  <r>
    <x v="14"/>
    <x v="1"/>
  </r>
  <r>
    <x v="14"/>
    <x v="0"/>
  </r>
  <r>
    <x v="14"/>
    <x v="1"/>
  </r>
  <r>
    <x v="14"/>
    <x v="0"/>
  </r>
  <r>
    <x v="14"/>
    <x v="1"/>
  </r>
  <r>
    <x v="14"/>
    <x v="1"/>
  </r>
  <r>
    <x v="14"/>
    <x v="1"/>
  </r>
  <r>
    <x v="14"/>
    <x v="1"/>
  </r>
  <r>
    <x v="14"/>
    <x v="0"/>
  </r>
  <r>
    <x v="14"/>
    <x v="1"/>
  </r>
  <r>
    <x v="14"/>
    <x v="0"/>
  </r>
  <r>
    <x v="14"/>
    <x v="0"/>
  </r>
  <r>
    <x v="14"/>
    <x v="0"/>
  </r>
  <r>
    <x v="14"/>
    <x v="0"/>
  </r>
  <r>
    <x v="14"/>
    <x v="1"/>
  </r>
  <r>
    <x v="14"/>
    <x v="0"/>
  </r>
  <r>
    <x v="14"/>
    <x v="0"/>
  </r>
  <r>
    <x v="14"/>
    <x v="0"/>
  </r>
  <r>
    <x v="14"/>
    <x v="1"/>
  </r>
  <r>
    <x v="14"/>
    <x v="1"/>
  </r>
  <r>
    <x v="14"/>
    <x v="1"/>
  </r>
  <r>
    <x v="14"/>
    <x v="1"/>
  </r>
  <r>
    <x v="14"/>
    <x v="0"/>
  </r>
  <r>
    <x v="14"/>
    <x v="0"/>
  </r>
  <r>
    <x v="14"/>
    <x v="1"/>
  </r>
  <r>
    <x v="14"/>
    <x v="1"/>
  </r>
  <r>
    <x v="14"/>
    <x v="0"/>
  </r>
  <r>
    <x v="14"/>
    <x v="1"/>
  </r>
  <r>
    <x v="14"/>
    <x v="0"/>
  </r>
  <r>
    <x v="14"/>
    <x v="0"/>
  </r>
  <r>
    <x v="14"/>
    <x v="0"/>
  </r>
  <r>
    <x v="14"/>
    <x v="1"/>
  </r>
  <r>
    <x v="14"/>
    <x v="1"/>
  </r>
  <r>
    <x v="14"/>
    <x v="1"/>
  </r>
  <r>
    <x v="14"/>
    <x v="1"/>
  </r>
  <r>
    <x v="14"/>
    <x v="0"/>
  </r>
  <r>
    <x v="14"/>
    <x v="0"/>
  </r>
  <r>
    <x v="14"/>
    <x v="1"/>
  </r>
  <r>
    <x v="14"/>
    <x v="0"/>
  </r>
  <r>
    <x v="14"/>
    <x v="0"/>
  </r>
  <r>
    <x v="14"/>
    <x v="1"/>
  </r>
  <r>
    <x v="14"/>
    <x v="0"/>
  </r>
  <r>
    <x v="14"/>
    <x v="1"/>
  </r>
  <r>
    <x v="14"/>
    <x v="0"/>
  </r>
  <r>
    <x v="14"/>
    <x v="0"/>
  </r>
  <r>
    <x v="14"/>
    <x v="1"/>
  </r>
  <r>
    <x v="14"/>
    <x v="0"/>
  </r>
  <r>
    <x v="14"/>
    <x v="1"/>
  </r>
  <r>
    <x v="14"/>
    <x v="1"/>
  </r>
  <r>
    <x v="14"/>
    <x v="1"/>
  </r>
  <r>
    <x v="14"/>
    <x v="0"/>
  </r>
  <r>
    <x v="14"/>
    <x v="1"/>
  </r>
  <r>
    <x v="14"/>
    <x v="1"/>
  </r>
  <r>
    <x v="14"/>
    <x v="0"/>
  </r>
  <r>
    <x v="14"/>
    <x v="1"/>
  </r>
  <r>
    <x v="14"/>
    <x v="0"/>
  </r>
  <r>
    <x v="14"/>
    <x v="0"/>
  </r>
  <r>
    <x v="14"/>
    <x v="0"/>
  </r>
  <r>
    <x v="14"/>
    <x v="0"/>
  </r>
  <r>
    <x v="14"/>
    <x v="1"/>
  </r>
  <r>
    <x v="14"/>
    <x v="1"/>
  </r>
  <r>
    <x v="14"/>
    <x v="0"/>
  </r>
  <r>
    <x v="14"/>
    <x v="0"/>
  </r>
  <r>
    <x v="14"/>
    <x v="1"/>
  </r>
  <r>
    <x v="14"/>
    <x v="0"/>
  </r>
  <r>
    <x v="14"/>
    <x v="0"/>
  </r>
  <r>
    <x v="14"/>
    <x v="0"/>
  </r>
  <r>
    <x v="14"/>
    <x v="1"/>
  </r>
  <r>
    <x v="14"/>
    <x v="0"/>
  </r>
  <r>
    <x v="14"/>
    <x v="1"/>
  </r>
  <r>
    <x v="14"/>
    <x v="1"/>
  </r>
  <r>
    <x v="14"/>
    <x v="1"/>
  </r>
  <r>
    <x v="14"/>
    <x v="0"/>
  </r>
  <r>
    <x v="14"/>
    <x v="0"/>
  </r>
  <r>
    <x v="14"/>
    <x v="1"/>
  </r>
  <r>
    <x v="14"/>
    <x v="0"/>
  </r>
  <r>
    <x v="14"/>
    <x v="0"/>
  </r>
  <r>
    <x v="14"/>
    <x v="0"/>
  </r>
  <r>
    <x v="14"/>
    <x v="1"/>
  </r>
  <r>
    <x v="14"/>
    <x v="0"/>
  </r>
  <r>
    <x v="14"/>
    <x v="0"/>
  </r>
  <r>
    <x v="14"/>
    <x v="0"/>
  </r>
  <r>
    <x v="14"/>
    <x v="0"/>
  </r>
  <r>
    <x v="14"/>
    <x v="0"/>
  </r>
  <r>
    <x v="14"/>
    <x v="0"/>
  </r>
  <r>
    <x v="14"/>
    <x v="0"/>
  </r>
  <r>
    <x v="14"/>
    <x v="1"/>
  </r>
  <r>
    <x v="14"/>
    <x v="1"/>
  </r>
  <r>
    <x v="14"/>
    <x v="0"/>
  </r>
  <r>
    <x v="14"/>
    <x v="0"/>
  </r>
  <r>
    <x v="14"/>
    <x v="0"/>
  </r>
  <r>
    <x v="14"/>
    <x v="0"/>
  </r>
  <r>
    <x v="14"/>
    <x v="1"/>
  </r>
  <r>
    <x v="14"/>
    <x v="1"/>
  </r>
  <r>
    <x v="14"/>
    <x v="0"/>
  </r>
  <r>
    <x v="14"/>
    <x v="1"/>
  </r>
  <r>
    <x v="14"/>
    <x v="0"/>
  </r>
  <r>
    <x v="14"/>
    <x v="1"/>
  </r>
  <r>
    <x v="14"/>
    <x v="0"/>
  </r>
  <r>
    <x v="14"/>
    <x v="0"/>
  </r>
  <r>
    <x v="14"/>
    <x v="1"/>
  </r>
  <r>
    <x v="14"/>
    <x v="1"/>
  </r>
  <r>
    <x v="14"/>
    <x v="1"/>
  </r>
  <r>
    <x v="14"/>
    <x v="0"/>
  </r>
  <r>
    <x v="14"/>
    <x v="1"/>
  </r>
  <r>
    <x v="14"/>
    <x v="1"/>
  </r>
  <r>
    <x v="14"/>
    <x v="0"/>
  </r>
  <r>
    <x v="14"/>
    <x v="1"/>
  </r>
  <r>
    <x v="14"/>
    <x v="0"/>
  </r>
  <r>
    <x v="14"/>
    <x v="0"/>
  </r>
  <r>
    <x v="14"/>
    <x v="1"/>
  </r>
  <r>
    <x v="14"/>
    <x v="1"/>
  </r>
  <r>
    <x v="14"/>
    <x v="1"/>
  </r>
  <r>
    <x v="14"/>
    <x v="1"/>
  </r>
  <r>
    <x v="14"/>
    <x v="1"/>
  </r>
  <r>
    <x v="14"/>
    <x v="1"/>
  </r>
  <r>
    <x v="14"/>
    <x v="0"/>
  </r>
  <r>
    <x v="14"/>
    <x v="1"/>
  </r>
  <r>
    <x v="14"/>
    <x v="0"/>
  </r>
  <r>
    <x v="14"/>
    <x v="0"/>
  </r>
  <r>
    <x v="14"/>
    <x v="1"/>
  </r>
  <r>
    <x v="14"/>
    <x v="0"/>
  </r>
  <r>
    <x v="14"/>
    <x v="0"/>
  </r>
  <r>
    <x v="14"/>
    <x v="1"/>
  </r>
  <r>
    <x v="14"/>
    <x v="1"/>
  </r>
  <r>
    <x v="14"/>
    <x v="0"/>
  </r>
  <r>
    <x v="14"/>
    <x v="0"/>
  </r>
  <r>
    <x v="14"/>
    <x v="0"/>
  </r>
  <r>
    <x v="14"/>
    <x v="1"/>
  </r>
  <r>
    <x v="14"/>
    <x v="1"/>
  </r>
  <r>
    <x v="14"/>
    <x v="1"/>
  </r>
  <r>
    <x v="14"/>
    <x v="1"/>
  </r>
  <r>
    <x v="14"/>
    <x v="1"/>
  </r>
  <r>
    <x v="14"/>
    <x v="0"/>
  </r>
  <r>
    <x v="14"/>
    <x v="1"/>
  </r>
  <r>
    <x v="14"/>
    <x v="0"/>
  </r>
  <r>
    <x v="14"/>
    <x v="1"/>
  </r>
  <r>
    <x v="14"/>
    <x v="1"/>
  </r>
  <r>
    <x v="14"/>
    <x v="0"/>
  </r>
  <r>
    <x v="14"/>
    <x v="0"/>
  </r>
  <r>
    <x v="14"/>
    <x v="1"/>
  </r>
  <r>
    <x v="14"/>
    <x v="0"/>
  </r>
  <r>
    <x v="14"/>
    <x v="0"/>
  </r>
  <r>
    <x v="14"/>
    <x v="1"/>
  </r>
  <r>
    <x v="14"/>
    <x v="0"/>
  </r>
  <r>
    <x v="14"/>
    <x v="0"/>
  </r>
  <r>
    <x v="14"/>
    <x v="0"/>
  </r>
  <r>
    <x v="14"/>
    <x v="0"/>
  </r>
  <r>
    <x v="14"/>
    <x v="0"/>
  </r>
  <r>
    <x v="14"/>
    <x v="1"/>
  </r>
  <r>
    <x v="14"/>
    <x v="0"/>
  </r>
  <r>
    <x v="14"/>
    <x v="0"/>
  </r>
  <r>
    <x v="14"/>
    <x v="0"/>
  </r>
  <r>
    <x v="14"/>
    <x v="0"/>
  </r>
  <r>
    <x v="14"/>
    <x v="0"/>
  </r>
  <r>
    <x v="14"/>
    <x v="0"/>
  </r>
  <r>
    <x v="14"/>
    <x v="1"/>
  </r>
  <r>
    <x v="14"/>
    <x v="0"/>
  </r>
  <r>
    <x v="14"/>
    <x v="0"/>
  </r>
  <r>
    <x v="14"/>
    <x v="0"/>
  </r>
  <r>
    <x v="14"/>
    <x v="1"/>
  </r>
  <r>
    <x v="14"/>
    <x v="0"/>
  </r>
  <r>
    <x v="14"/>
    <x v="0"/>
  </r>
  <r>
    <x v="14"/>
    <x v="0"/>
  </r>
  <r>
    <x v="14"/>
    <x v="0"/>
  </r>
  <r>
    <x v="14"/>
    <x v="0"/>
  </r>
  <r>
    <x v="14"/>
    <x v="1"/>
  </r>
  <r>
    <x v="14"/>
    <x v="0"/>
  </r>
  <r>
    <x v="14"/>
    <x v="0"/>
  </r>
  <r>
    <x v="14"/>
    <x v="1"/>
  </r>
  <r>
    <x v="14"/>
    <x v="1"/>
  </r>
  <r>
    <x v="14"/>
    <x v="0"/>
  </r>
  <r>
    <x v="14"/>
    <x v="0"/>
  </r>
  <r>
    <x v="14"/>
    <x v="0"/>
  </r>
  <r>
    <x v="14"/>
    <x v="0"/>
  </r>
  <r>
    <x v="14"/>
    <x v="0"/>
  </r>
  <r>
    <x v="14"/>
    <x v="0"/>
  </r>
  <r>
    <x v="14"/>
    <x v="0"/>
  </r>
  <r>
    <x v="14"/>
    <x v="0"/>
  </r>
  <r>
    <x v="14"/>
    <x v="0"/>
  </r>
  <r>
    <x v="14"/>
    <x v="1"/>
  </r>
  <r>
    <x v="14"/>
    <x v="0"/>
  </r>
  <r>
    <x v="14"/>
    <x v="0"/>
  </r>
  <r>
    <x v="14"/>
    <x v="0"/>
  </r>
  <r>
    <x v="14"/>
    <x v="1"/>
  </r>
  <r>
    <x v="14"/>
    <x v="1"/>
  </r>
  <r>
    <x v="14"/>
    <x v="1"/>
  </r>
  <r>
    <x v="14"/>
    <x v="0"/>
  </r>
  <r>
    <x v="14"/>
    <x v="0"/>
  </r>
  <r>
    <x v="14"/>
    <x v="0"/>
  </r>
  <r>
    <x v="14"/>
    <x v="1"/>
  </r>
  <r>
    <x v="14"/>
    <x v="1"/>
  </r>
  <r>
    <x v="14"/>
    <x v="1"/>
  </r>
  <r>
    <x v="14"/>
    <x v="0"/>
  </r>
  <r>
    <x v="14"/>
    <x v="1"/>
  </r>
  <r>
    <x v="14"/>
    <x v="0"/>
  </r>
  <r>
    <x v="14"/>
    <x v="0"/>
  </r>
  <r>
    <x v="14"/>
    <x v="1"/>
  </r>
  <r>
    <x v="14"/>
    <x v="0"/>
  </r>
  <r>
    <x v="14"/>
    <x v="1"/>
  </r>
  <r>
    <x v="14"/>
    <x v="0"/>
  </r>
  <r>
    <x v="14"/>
    <x v="0"/>
  </r>
  <r>
    <x v="14"/>
    <x v="0"/>
  </r>
  <r>
    <x v="14"/>
    <x v="1"/>
  </r>
  <r>
    <x v="14"/>
    <x v="0"/>
  </r>
  <r>
    <x v="14"/>
    <x v="1"/>
  </r>
  <r>
    <x v="14"/>
    <x v="0"/>
  </r>
  <r>
    <x v="14"/>
    <x v="1"/>
  </r>
  <r>
    <x v="14"/>
    <x v="0"/>
  </r>
  <r>
    <x v="14"/>
    <x v="1"/>
  </r>
  <r>
    <x v="14"/>
    <x v="1"/>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0"/>
  </r>
  <r>
    <x v="14"/>
    <x v="1"/>
  </r>
  <r>
    <x v="14"/>
    <x v="0"/>
  </r>
  <r>
    <x v="14"/>
    <x v="1"/>
  </r>
  <r>
    <x v="14"/>
    <x v="1"/>
  </r>
  <r>
    <x v="14"/>
    <x v="1"/>
  </r>
  <r>
    <x v="14"/>
    <x v="0"/>
  </r>
  <r>
    <x v="14"/>
    <x v="1"/>
  </r>
  <r>
    <x v="14"/>
    <x v="1"/>
  </r>
  <r>
    <x v="14"/>
    <x v="0"/>
  </r>
  <r>
    <x v="14"/>
    <x v="0"/>
  </r>
  <r>
    <x v="14"/>
    <x v="0"/>
  </r>
  <r>
    <x v="14"/>
    <x v="0"/>
  </r>
  <r>
    <x v="14"/>
    <x v="1"/>
  </r>
  <r>
    <x v="14"/>
    <x v="0"/>
  </r>
  <r>
    <x v="14"/>
    <x v="1"/>
  </r>
  <r>
    <x v="14"/>
    <x v="1"/>
  </r>
  <r>
    <x v="14"/>
    <x v="0"/>
  </r>
  <r>
    <x v="14"/>
    <x v="1"/>
  </r>
  <r>
    <x v="14"/>
    <x v="0"/>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r>
    <x v="14"/>
    <x v="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4">
  <r>
    <x v="0"/>
    <s v="Male"/>
  </r>
  <r>
    <x v="1"/>
    <s v="Male"/>
  </r>
  <r>
    <x v="1"/>
    <s v="Female"/>
  </r>
  <r>
    <x v="1"/>
    <s v="Male"/>
  </r>
  <r>
    <x v="1"/>
    <s v="Female"/>
  </r>
  <r>
    <x v="1"/>
    <s v="Female"/>
  </r>
  <r>
    <x v="1"/>
    <s v="Male"/>
  </r>
  <r>
    <x v="2"/>
    <s v="Male"/>
  </r>
  <r>
    <x v="1"/>
    <s v="Male"/>
  </r>
  <r>
    <x v="3"/>
    <s v="Male"/>
  </r>
  <r>
    <x v="3"/>
    <s v="Male"/>
  </r>
  <r>
    <x v="4"/>
    <s v="Male"/>
  </r>
  <r>
    <x v="1"/>
    <s v="Male"/>
  </r>
  <r>
    <x v="1"/>
    <s v="Male"/>
  </r>
  <r>
    <x v="5"/>
    <s v="Female"/>
  </r>
  <r>
    <x v="6"/>
    <s v="Male"/>
  </r>
  <r>
    <x v="1"/>
    <s v="Male"/>
  </r>
  <r>
    <x v="1"/>
    <s v="Male"/>
  </r>
  <r>
    <x v="5"/>
    <s v="Male"/>
  </r>
  <r>
    <x v="3"/>
    <s v="Female"/>
  </r>
  <r>
    <x v="1"/>
    <s v="Female"/>
  </r>
  <r>
    <x v="1"/>
    <s v="Male"/>
  </r>
  <r>
    <x v="0"/>
    <s v="Female"/>
  </r>
  <r>
    <x v="2"/>
    <s v="Male"/>
  </r>
  <r>
    <x v="1"/>
    <s v="Male"/>
  </r>
  <r>
    <x v="5"/>
    <s v="Male"/>
  </r>
  <r>
    <x v="1"/>
    <s v="Female"/>
  </r>
  <r>
    <x v="1"/>
    <s v="Female"/>
  </r>
  <r>
    <x v="3"/>
    <s v="Male"/>
  </r>
  <r>
    <x v="5"/>
    <s v="Male"/>
  </r>
  <r>
    <x v="3"/>
    <s v="Male"/>
  </r>
  <r>
    <x v="1"/>
    <s v="Male"/>
  </r>
  <r>
    <x v="1"/>
    <s v="Male"/>
  </r>
  <r>
    <x v="3"/>
    <s v="Female"/>
  </r>
  <r>
    <x v="1"/>
    <s v="Female"/>
  </r>
  <r>
    <x v="1"/>
    <s v="Male"/>
  </r>
  <r>
    <x v="1"/>
    <s v="Female"/>
  </r>
  <r>
    <x v="1"/>
    <s v="Male"/>
  </r>
  <r>
    <x v="3"/>
    <s v="Male"/>
  </r>
  <r>
    <x v="1"/>
    <s v="Male"/>
  </r>
  <r>
    <x v="1"/>
    <s v="Male"/>
  </r>
  <r>
    <x v="6"/>
    <s v="Male"/>
  </r>
  <r>
    <x v="0"/>
    <s v="Male"/>
  </r>
  <r>
    <x v="3"/>
    <s v="Male"/>
  </r>
  <r>
    <x v="5"/>
    <s v="Male"/>
  </r>
  <r>
    <x v="1"/>
    <s v="Female"/>
  </r>
  <r>
    <x v="7"/>
    <s v="Male"/>
  </r>
  <r>
    <x v="8"/>
    <s v="Male"/>
  </r>
  <r>
    <x v="1"/>
    <s v="Female"/>
  </r>
  <r>
    <x v="1"/>
    <s v="Female"/>
  </r>
  <r>
    <x v="5"/>
    <s v="Male"/>
  </r>
  <r>
    <x v="1"/>
    <s v="Male"/>
  </r>
  <r>
    <x v="3"/>
    <s v="Male"/>
  </r>
  <r>
    <x v="0"/>
    <s v="Male"/>
  </r>
  <r>
    <x v="2"/>
    <s v="Male"/>
  </r>
  <r>
    <x v="3"/>
    <s v="Male"/>
  </r>
  <r>
    <x v="1"/>
    <s v="Male"/>
  </r>
  <r>
    <x v="4"/>
    <s v="Male"/>
  </r>
  <r>
    <x v="1"/>
    <s v="Female"/>
  </r>
  <r>
    <x v="1"/>
    <s v="Male"/>
  </r>
  <r>
    <x v="1"/>
    <s v="Male"/>
  </r>
  <r>
    <x v="3"/>
    <s v="Male"/>
  </r>
  <r>
    <x v="5"/>
    <s v="Female"/>
  </r>
  <r>
    <x v="5"/>
    <s v="Male"/>
  </r>
  <r>
    <x v="7"/>
    <s v="Female"/>
  </r>
  <r>
    <x v="1"/>
    <s v="Male"/>
  </r>
  <r>
    <x v="3"/>
    <s v="Male"/>
  </r>
  <r>
    <x v="5"/>
    <s v="Female"/>
  </r>
  <r>
    <x v="4"/>
    <s v="Female"/>
  </r>
  <r>
    <x v="2"/>
    <s v="Female"/>
  </r>
  <r>
    <x v="1"/>
    <s v="Female"/>
  </r>
  <r>
    <x v="5"/>
    <s v="Male"/>
  </r>
  <r>
    <x v="1"/>
    <s v="Female"/>
  </r>
  <r>
    <x v="1"/>
    <s v="Male"/>
  </r>
  <r>
    <x v="4"/>
    <s v="Female"/>
  </r>
  <r>
    <x v="1"/>
    <s v="Male"/>
  </r>
  <r>
    <x v="1"/>
    <s v="Female"/>
  </r>
  <r>
    <x v="1"/>
    <s v="Female"/>
  </r>
  <r>
    <x v="2"/>
    <s v="Male"/>
  </r>
  <r>
    <x v="1"/>
    <s v="Male"/>
  </r>
  <r>
    <x v="1"/>
    <s v="Male"/>
  </r>
  <r>
    <x v="1"/>
    <s v="Female"/>
  </r>
  <r>
    <x v="5"/>
    <s v="Male"/>
  </r>
  <r>
    <x v="1"/>
    <s v="Male"/>
  </r>
  <r>
    <x v="2"/>
    <s v="Female"/>
  </r>
  <r>
    <x v="5"/>
    <s v="Female"/>
  </r>
  <r>
    <x v="0"/>
    <s v="Male"/>
  </r>
  <r>
    <x v="3"/>
    <s v="Female"/>
  </r>
  <r>
    <x v="3"/>
    <s v="Female"/>
  </r>
  <r>
    <x v="1"/>
    <s v="Female"/>
  </r>
  <r>
    <x v="2"/>
    <s v="Female"/>
  </r>
  <r>
    <x v="1"/>
    <s v="Male"/>
  </r>
  <r>
    <x v="1"/>
    <s v="Male"/>
  </r>
  <r>
    <x v="5"/>
    <s v="Male"/>
  </r>
  <r>
    <x v="3"/>
    <s v="Male"/>
  </r>
  <r>
    <x v="5"/>
    <s v="Male"/>
  </r>
  <r>
    <x v="1"/>
    <s v="Male"/>
  </r>
  <r>
    <x v="1"/>
    <s v="Male"/>
  </r>
  <r>
    <x v="1"/>
    <s v="Male"/>
  </r>
  <r>
    <x v="1"/>
    <s v="Female"/>
  </r>
  <r>
    <x v="3"/>
    <s v="Male"/>
  </r>
  <r>
    <x v="1"/>
    <s v="Male"/>
  </r>
  <r>
    <x v="1"/>
    <s v="Male"/>
  </r>
  <r>
    <x v="1"/>
    <s v="Male"/>
  </r>
  <r>
    <x v="1"/>
    <s v="Male"/>
  </r>
  <r>
    <x v="1"/>
    <s v="Male"/>
  </r>
  <r>
    <x v="5"/>
    <s v="Male"/>
  </r>
  <r>
    <x v="1"/>
    <s v="Male"/>
  </r>
  <r>
    <x v="0"/>
    <s v="Male"/>
  </r>
  <r>
    <x v="1"/>
    <s v="Male"/>
  </r>
  <r>
    <x v="3"/>
    <s v="Female"/>
  </r>
  <r>
    <x v="1"/>
    <s v="Female"/>
  </r>
  <r>
    <x v="1"/>
    <s v="Male"/>
  </r>
  <r>
    <x v="0"/>
    <s v="Male"/>
  </r>
  <r>
    <x v="1"/>
    <s v="Female"/>
  </r>
  <r>
    <x v="1"/>
    <s v="Male"/>
  </r>
  <r>
    <x v="1"/>
    <s v="Male"/>
  </r>
  <r>
    <x v="1"/>
    <s v="Male"/>
  </r>
  <r>
    <x v="4"/>
    <s v="Male"/>
  </r>
  <r>
    <x v="5"/>
    <s v="Female"/>
  </r>
  <r>
    <x v="1"/>
    <s v="Female"/>
  </r>
  <r>
    <x v="5"/>
    <s v="Male"/>
  </r>
  <r>
    <x v="1"/>
    <s v="Female"/>
  </r>
  <r>
    <x v="1"/>
    <s v="Female"/>
  </r>
  <r>
    <x v="1"/>
    <s v="Male"/>
  </r>
  <r>
    <x v="1"/>
    <s v="Male"/>
  </r>
  <r>
    <x v="1"/>
    <s v="Male"/>
  </r>
  <r>
    <x v="2"/>
    <s v="Male"/>
  </r>
  <r>
    <x v="3"/>
    <s v="Male"/>
  </r>
  <r>
    <x v="1"/>
    <s v="Male"/>
  </r>
  <r>
    <x v="1"/>
    <s v="Male"/>
  </r>
  <r>
    <x v="3"/>
    <s v="Male"/>
  </r>
  <r>
    <x v="1"/>
    <s v="Male"/>
  </r>
  <r>
    <x v="1"/>
    <s v="Male"/>
  </r>
  <r>
    <x v="1"/>
    <s v="Male"/>
  </r>
  <r>
    <x v="1"/>
    <s v="Male"/>
  </r>
  <r>
    <x v="1"/>
    <s v="Male"/>
  </r>
  <r>
    <x v="1"/>
    <s v="Female"/>
  </r>
  <r>
    <x v="1"/>
    <s v="Male"/>
  </r>
  <r>
    <x v="1"/>
    <s v="Male"/>
  </r>
  <r>
    <x v="1"/>
    <s v="Male"/>
  </r>
  <r>
    <x v="7"/>
    <s v="Female"/>
  </r>
  <r>
    <x v="3"/>
    <s v="Male"/>
  </r>
  <r>
    <x v="7"/>
    <s v="Male"/>
  </r>
  <r>
    <x v="1"/>
    <s v="Male"/>
  </r>
  <r>
    <x v="4"/>
    <s v="Male"/>
  </r>
  <r>
    <x v="1"/>
    <s v="Female"/>
  </r>
  <r>
    <x v="1"/>
    <s v="Male"/>
  </r>
  <r>
    <x v="1"/>
    <s v="Male"/>
  </r>
  <r>
    <x v="1"/>
    <s v="Female"/>
  </r>
  <r>
    <x v="1"/>
    <s v="Female"/>
  </r>
  <r>
    <x v="1"/>
    <s v="Male"/>
  </r>
  <r>
    <x v="6"/>
    <s v="Female"/>
  </r>
  <r>
    <x v="1"/>
    <s v="Male"/>
  </r>
  <r>
    <x v="8"/>
    <s v="Female"/>
  </r>
  <r>
    <x v="6"/>
    <s v="Male"/>
  </r>
  <r>
    <x v="1"/>
    <s v="Male"/>
  </r>
  <r>
    <x v="1"/>
    <s v="Male"/>
  </r>
  <r>
    <x v="1"/>
    <s v="Female"/>
  </r>
  <r>
    <x v="2"/>
    <s v="Female"/>
  </r>
  <r>
    <x v="1"/>
    <s v="Male"/>
  </r>
  <r>
    <x v="1"/>
    <s v="Female"/>
  </r>
  <r>
    <x v="1"/>
    <s v="Male"/>
  </r>
  <r>
    <x v="1"/>
    <s v="Male"/>
  </r>
  <r>
    <x v="5"/>
    <s v="Male"/>
  </r>
  <r>
    <x v="4"/>
    <s v="Male"/>
  </r>
  <r>
    <x v="0"/>
    <s v="Male"/>
  </r>
  <r>
    <x v="1"/>
    <s v="Female"/>
  </r>
  <r>
    <x v="1"/>
    <s v="Female"/>
  </r>
  <r>
    <x v="3"/>
    <s v="Male"/>
  </r>
  <r>
    <x v="1"/>
    <s v="Female"/>
  </r>
  <r>
    <x v="7"/>
    <s v="Female"/>
  </r>
  <r>
    <x v="1"/>
    <s v="Female"/>
  </r>
  <r>
    <x v="1"/>
    <s v="Male"/>
  </r>
  <r>
    <x v="1"/>
    <s v="Male"/>
  </r>
  <r>
    <x v="1"/>
    <s v="Female"/>
  </r>
  <r>
    <x v="1"/>
    <s v="Male"/>
  </r>
  <r>
    <x v="1"/>
    <s v="Male"/>
  </r>
  <r>
    <x v="4"/>
    <s v="Female"/>
  </r>
  <r>
    <x v="2"/>
    <s v="Male"/>
  </r>
  <r>
    <x v="4"/>
    <s v="Male"/>
  </r>
  <r>
    <x v="5"/>
    <s v="Male"/>
  </r>
  <r>
    <x v="3"/>
    <s v="Male"/>
  </r>
  <r>
    <x v="1"/>
    <s v="Female"/>
  </r>
  <r>
    <x v="5"/>
    <s v="Male"/>
  </r>
  <r>
    <x v="1"/>
    <s v="Female"/>
  </r>
  <r>
    <x v="1"/>
    <s v="Female"/>
  </r>
  <r>
    <x v="1"/>
    <s v="Female"/>
  </r>
  <r>
    <x v="1"/>
    <s v="Female"/>
  </r>
  <r>
    <x v="1"/>
    <s v="Female"/>
  </r>
  <r>
    <x v="1"/>
    <s v="Male"/>
  </r>
  <r>
    <x v="4"/>
    <s v="Male"/>
  </r>
  <r>
    <x v="5"/>
    <s v="Female"/>
  </r>
  <r>
    <x v="3"/>
    <s v="Male"/>
  </r>
  <r>
    <x v="0"/>
    <s v="Male"/>
  </r>
  <r>
    <x v="1"/>
    <s v="Male"/>
  </r>
  <r>
    <x v="3"/>
    <s v="Female"/>
  </r>
  <r>
    <x v="1"/>
    <s v="Female"/>
  </r>
  <r>
    <x v="0"/>
    <s v="Male"/>
  </r>
  <r>
    <x v="1"/>
    <s v="Male"/>
  </r>
  <r>
    <x v="4"/>
    <s v="Male"/>
  </r>
  <r>
    <x v="1"/>
    <s v="Male"/>
  </r>
  <r>
    <x v="1"/>
    <s v="Male"/>
  </r>
  <r>
    <x v="2"/>
    <s v="Female"/>
  </r>
  <r>
    <x v="1"/>
    <s v="Female"/>
  </r>
  <r>
    <x v="1"/>
    <s v="Male"/>
  </r>
  <r>
    <x v="5"/>
    <s v="Male"/>
  </r>
  <r>
    <x v="5"/>
    <s v="Male"/>
  </r>
  <r>
    <x v="1"/>
    <s v="Female"/>
  </r>
  <r>
    <x v="1"/>
    <s v="Male"/>
  </r>
  <r>
    <x v="5"/>
    <s v="Male"/>
  </r>
  <r>
    <x v="2"/>
    <s v="Male"/>
  </r>
  <r>
    <x v="1"/>
    <s v="Male"/>
  </r>
  <r>
    <x v="5"/>
    <s v="Female"/>
  </r>
  <r>
    <x v="2"/>
    <s v="Male"/>
  </r>
  <r>
    <x v="1"/>
    <s v="Female"/>
  </r>
  <r>
    <x v="1"/>
    <s v="Male"/>
  </r>
  <r>
    <x v="1"/>
    <s v="Male"/>
  </r>
  <r>
    <x v="5"/>
    <s v="Male"/>
  </r>
  <r>
    <x v="1"/>
    <s v="Female"/>
  </r>
  <r>
    <x v="1"/>
    <s v="Male"/>
  </r>
  <r>
    <x v="4"/>
    <s v="Female"/>
  </r>
  <r>
    <x v="4"/>
    <s v="Male"/>
  </r>
  <r>
    <x v="5"/>
    <s v="Male"/>
  </r>
  <r>
    <x v="4"/>
    <s v="Male"/>
  </r>
  <r>
    <x v="2"/>
    <s v="Female"/>
  </r>
  <r>
    <x v="4"/>
    <s v="Female"/>
  </r>
  <r>
    <x v="4"/>
    <s v="Female"/>
  </r>
  <r>
    <x v="1"/>
    <s v="Male"/>
  </r>
  <r>
    <x v="1"/>
    <s v="Male"/>
  </r>
  <r>
    <x v="5"/>
    <s v="Male"/>
  </r>
  <r>
    <x v="1"/>
    <s v="Male"/>
  </r>
  <r>
    <x v="5"/>
    <s v="Female"/>
  </r>
  <r>
    <x v="1"/>
    <s v="Male"/>
  </r>
  <r>
    <x v="2"/>
    <s v="Female"/>
  </r>
  <r>
    <x v="1"/>
    <s v="Male"/>
  </r>
  <r>
    <x v="2"/>
    <s v="Female"/>
  </r>
  <r>
    <x v="1"/>
    <s v="Female"/>
  </r>
  <r>
    <x v="2"/>
    <s v="Female"/>
  </r>
  <r>
    <x v="3"/>
    <s v="Female"/>
  </r>
  <r>
    <x v="2"/>
    <s v="Male"/>
  </r>
  <r>
    <x v="3"/>
    <s v="Male"/>
  </r>
  <r>
    <x v="1"/>
    <s v="Male"/>
  </r>
  <r>
    <x v="3"/>
    <s v="Female"/>
  </r>
  <r>
    <x v="1"/>
    <s v="Male"/>
  </r>
  <r>
    <x v="1"/>
    <s v="Female"/>
  </r>
  <r>
    <x v="1"/>
    <s v="Female"/>
  </r>
  <r>
    <x v="1"/>
    <s v="Male"/>
  </r>
  <r>
    <x v="1"/>
    <s v="Male"/>
  </r>
  <r>
    <x v="5"/>
    <s v="Male"/>
  </r>
  <r>
    <x v="1"/>
    <s v="Male"/>
  </r>
  <r>
    <x v="1"/>
    <s v="Male"/>
  </r>
  <r>
    <x v="1"/>
    <s v="Male"/>
  </r>
  <r>
    <x v="4"/>
    <s v="Female"/>
  </r>
  <r>
    <x v="1"/>
    <s v="Female"/>
  </r>
  <r>
    <x v="1"/>
    <s v="Female"/>
  </r>
  <r>
    <x v="1"/>
    <s v="Male"/>
  </r>
  <r>
    <x v="2"/>
    <s v="Female"/>
  </r>
  <r>
    <x v="1"/>
    <s v="Male"/>
  </r>
  <r>
    <x v="1"/>
    <s v="Female"/>
  </r>
  <r>
    <x v="5"/>
    <s v="Female"/>
  </r>
  <r>
    <x v="1"/>
    <s v="Female"/>
  </r>
  <r>
    <x v="0"/>
    <s v="Male"/>
  </r>
  <r>
    <x v="2"/>
    <s v="Female"/>
  </r>
  <r>
    <x v="1"/>
    <s v="Male"/>
  </r>
  <r>
    <x v="6"/>
    <s v="Male"/>
  </r>
  <r>
    <x v="1"/>
    <s v="Female"/>
  </r>
  <r>
    <x v="5"/>
    <s v="Male"/>
  </r>
  <r>
    <x v="4"/>
    <s v="Female"/>
  </r>
  <r>
    <x v="2"/>
    <s v="Female"/>
  </r>
  <r>
    <x v="5"/>
    <s v="Female"/>
  </r>
  <r>
    <x v="5"/>
    <s v="Female"/>
  </r>
  <r>
    <x v="2"/>
    <s v="Female"/>
  </r>
  <r>
    <x v="1"/>
    <s v="Male"/>
  </r>
  <r>
    <x v="1"/>
    <s v="Female"/>
  </r>
  <r>
    <x v="1"/>
    <s v="Female"/>
  </r>
  <r>
    <x v="1"/>
    <s v="Male"/>
  </r>
  <r>
    <x v="4"/>
    <s v="Male"/>
  </r>
  <r>
    <x v="1"/>
    <s v="Female"/>
  </r>
  <r>
    <x v="4"/>
    <s v="Male"/>
  </r>
  <r>
    <x v="1"/>
    <s v="Female"/>
  </r>
  <r>
    <x v="5"/>
    <s v="Male"/>
  </r>
  <r>
    <x v="1"/>
    <s v="Female"/>
  </r>
  <r>
    <x v="4"/>
    <s v="Male"/>
  </r>
  <r>
    <x v="1"/>
    <s v="Female"/>
  </r>
  <r>
    <x v="6"/>
    <s v="Male"/>
  </r>
  <r>
    <x v="3"/>
    <s v="Female"/>
  </r>
  <r>
    <x v="1"/>
    <s v="Male"/>
  </r>
  <r>
    <x v="1"/>
    <s v="Female"/>
  </r>
  <r>
    <x v="1"/>
    <s v="Female"/>
  </r>
  <r>
    <x v="1"/>
    <s v="Male"/>
  </r>
  <r>
    <x v="1"/>
    <s v="Female"/>
  </r>
  <r>
    <x v="0"/>
    <s v="Female"/>
  </r>
  <r>
    <x v="3"/>
    <s v="Male"/>
  </r>
  <r>
    <x v="4"/>
    <s v="Male"/>
  </r>
  <r>
    <x v="1"/>
    <s v="Female"/>
  </r>
  <r>
    <x v="2"/>
    <s v="Female"/>
  </r>
  <r>
    <x v="4"/>
    <s v="Male"/>
  </r>
  <r>
    <x v="4"/>
    <s v="Female"/>
  </r>
  <r>
    <x v="1"/>
    <s v="Female"/>
  </r>
  <r>
    <x v="3"/>
    <s v="Female"/>
  </r>
  <r>
    <x v="5"/>
    <s v="Female"/>
  </r>
  <r>
    <x v="2"/>
    <s v="Female"/>
  </r>
  <r>
    <x v="1"/>
    <s v="Male"/>
  </r>
  <r>
    <x v="1"/>
    <s v="Female"/>
  </r>
  <r>
    <x v="4"/>
    <s v="Male"/>
  </r>
  <r>
    <x v="4"/>
    <s v="Male"/>
  </r>
  <r>
    <x v="1"/>
    <s v="Female"/>
  </r>
  <r>
    <x v="5"/>
    <s v="Male"/>
  </r>
  <r>
    <x v="5"/>
    <s v="Male"/>
  </r>
  <r>
    <x v="1"/>
    <s v="Female"/>
  </r>
  <r>
    <x v="1"/>
    <s v="Male"/>
  </r>
  <r>
    <x v="1"/>
    <s v="Female"/>
  </r>
  <r>
    <x v="5"/>
    <s v="Female"/>
  </r>
  <r>
    <x v="1"/>
    <s v="Male"/>
  </r>
  <r>
    <x v="1"/>
    <s v="Female"/>
  </r>
  <r>
    <x v="1"/>
    <s v="Male"/>
  </r>
  <r>
    <x v="1"/>
    <s v="Male"/>
  </r>
  <r>
    <x v="1"/>
    <s v="Female"/>
  </r>
  <r>
    <x v="1"/>
    <s v="Male"/>
  </r>
  <r>
    <x v="1"/>
    <s v="Male"/>
  </r>
  <r>
    <x v="1"/>
    <s v="Male"/>
  </r>
  <r>
    <x v="1"/>
    <s v="Male"/>
  </r>
  <r>
    <x v="1"/>
    <s v="Male"/>
  </r>
  <r>
    <x v="8"/>
    <s v="Male"/>
  </r>
  <r>
    <x v="2"/>
    <s v="Male"/>
  </r>
  <r>
    <x v="1"/>
    <s v="Male"/>
  </r>
  <r>
    <x v="1"/>
    <s v="Female"/>
  </r>
  <r>
    <x v="1"/>
    <s v="Female"/>
  </r>
  <r>
    <x v="2"/>
    <s v="Female"/>
  </r>
  <r>
    <x v="3"/>
    <s v="Male"/>
  </r>
  <r>
    <x v="1"/>
    <s v="Male"/>
  </r>
  <r>
    <x v="2"/>
    <s v="Male"/>
  </r>
  <r>
    <x v="3"/>
    <s v="Female"/>
  </r>
  <r>
    <x v="5"/>
    <s v="Female"/>
  </r>
  <r>
    <x v="5"/>
    <s v="Male"/>
  </r>
  <r>
    <x v="1"/>
    <s v="Female"/>
  </r>
  <r>
    <x v="1"/>
    <s v="Male"/>
  </r>
  <r>
    <x v="1"/>
    <s v="Male"/>
  </r>
  <r>
    <x v="5"/>
    <s v="Male"/>
  </r>
  <r>
    <x v="1"/>
    <s v="Female"/>
  </r>
  <r>
    <x v="5"/>
    <s v="Male"/>
  </r>
  <r>
    <x v="1"/>
    <s v="Female"/>
  </r>
  <r>
    <x v="1"/>
    <s v="Male"/>
  </r>
  <r>
    <x v="1"/>
    <s v="Male"/>
  </r>
  <r>
    <x v="1"/>
    <s v="Female"/>
  </r>
  <r>
    <x v="7"/>
    <s v="Male"/>
  </r>
  <r>
    <x v="1"/>
    <s v="Male"/>
  </r>
  <r>
    <x v="5"/>
    <s v="Male"/>
  </r>
  <r>
    <x v="1"/>
    <s v="Male"/>
  </r>
  <r>
    <x v="5"/>
    <s v="Male"/>
  </r>
  <r>
    <x v="5"/>
    <s v="Male"/>
  </r>
  <r>
    <x v="1"/>
    <s v="Male"/>
  </r>
  <r>
    <x v="5"/>
    <s v="Male"/>
  </r>
  <r>
    <x v="1"/>
    <s v="Male"/>
  </r>
  <r>
    <x v="1"/>
    <s v="Male"/>
  </r>
  <r>
    <x v="1"/>
    <s v="Female"/>
  </r>
  <r>
    <x v="1"/>
    <s v="Male"/>
  </r>
  <r>
    <x v="1"/>
    <s v="Female"/>
  </r>
  <r>
    <x v="5"/>
    <s v="Female"/>
  </r>
  <r>
    <x v="1"/>
    <s v="Male"/>
  </r>
  <r>
    <x v="1"/>
    <s v="Male"/>
  </r>
  <r>
    <x v="5"/>
    <s v="Male"/>
  </r>
  <r>
    <x v="1"/>
    <s v="Female"/>
  </r>
  <r>
    <x v="1"/>
    <s v="Female"/>
  </r>
  <r>
    <x v="1"/>
    <s v="Female"/>
  </r>
  <r>
    <x v="5"/>
    <s v="Male"/>
  </r>
  <r>
    <x v="5"/>
    <s v="Male"/>
  </r>
  <r>
    <x v="1"/>
    <s v="Female"/>
  </r>
  <r>
    <x v="1"/>
    <s v="Female"/>
  </r>
  <r>
    <x v="1"/>
    <s v="Female"/>
  </r>
  <r>
    <x v="1"/>
    <s v="Male"/>
  </r>
  <r>
    <x v="5"/>
    <s v="Female"/>
  </r>
  <r>
    <x v="2"/>
    <s v="Female"/>
  </r>
  <r>
    <x v="1"/>
    <s v="Female"/>
  </r>
  <r>
    <x v="5"/>
    <s v="Male"/>
  </r>
  <r>
    <x v="1"/>
    <s v="Female"/>
  </r>
  <r>
    <x v="6"/>
    <s v="Male"/>
  </r>
  <r>
    <x v="1"/>
    <s v="Male"/>
  </r>
  <r>
    <x v="5"/>
    <s v="Male"/>
  </r>
  <r>
    <x v="7"/>
    <s v="Female"/>
  </r>
  <r>
    <x v="0"/>
    <s v="Male"/>
  </r>
  <r>
    <x v="3"/>
    <s v="Female"/>
  </r>
  <r>
    <x v="5"/>
    <s v="Male"/>
  </r>
  <r>
    <x v="1"/>
    <s v="Male"/>
  </r>
  <r>
    <x v="1"/>
    <s v="Male"/>
  </r>
  <r>
    <x v="3"/>
    <s v="Male"/>
  </r>
  <r>
    <x v="1"/>
    <s v="Male"/>
  </r>
  <r>
    <x v="1"/>
    <s v="Male"/>
  </r>
  <r>
    <x v="1"/>
    <s v="Male"/>
  </r>
  <r>
    <x v="2"/>
    <s v="Female"/>
  </r>
  <r>
    <x v="2"/>
    <s v="Female"/>
  </r>
  <r>
    <x v="5"/>
    <s v="Male"/>
  </r>
  <r>
    <x v="5"/>
    <s v="Male"/>
  </r>
  <r>
    <x v="1"/>
    <s v="Female"/>
  </r>
  <r>
    <x v="5"/>
    <s v="Male"/>
  </r>
  <r>
    <x v="1"/>
    <s v="Female"/>
  </r>
  <r>
    <x v="1"/>
    <s v="Male"/>
  </r>
  <r>
    <x v="1"/>
    <s v="Female"/>
  </r>
  <r>
    <x v="3"/>
    <s v="Male"/>
  </r>
  <r>
    <x v="0"/>
    <s v="Male"/>
  </r>
  <r>
    <x v="3"/>
    <s v="Male"/>
  </r>
  <r>
    <x v="1"/>
    <s v="Male"/>
  </r>
  <r>
    <x v="2"/>
    <s v="Male"/>
  </r>
  <r>
    <x v="1"/>
    <s v="Male"/>
  </r>
  <r>
    <x v="3"/>
    <s v="Male"/>
  </r>
  <r>
    <x v="5"/>
    <s v="Female"/>
  </r>
  <r>
    <x v="2"/>
    <s v="Male"/>
  </r>
  <r>
    <x v="1"/>
    <s v="Male"/>
  </r>
  <r>
    <x v="6"/>
    <s v="Female"/>
  </r>
  <r>
    <x v="3"/>
    <s v="Male"/>
  </r>
  <r>
    <x v="5"/>
    <s v="Male"/>
  </r>
  <r>
    <x v="1"/>
    <s v="Male"/>
  </r>
  <r>
    <x v="1"/>
    <s v="Male"/>
  </r>
  <r>
    <x v="1"/>
    <s v="Male"/>
  </r>
  <r>
    <x v="5"/>
    <s v="Male"/>
  </r>
  <r>
    <x v="1"/>
    <s v="Male"/>
  </r>
  <r>
    <x v="5"/>
    <s v="Male"/>
  </r>
  <r>
    <x v="1"/>
    <s v="Male"/>
  </r>
  <r>
    <x v="3"/>
    <s v="Male"/>
  </r>
  <r>
    <x v="2"/>
    <s v="Male"/>
  </r>
  <r>
    <x v="1"/>
    <s v="Male"/>
  </r>
  <r>
    <x v="4"/>
    <s v="Male"/>
  </r>
  <r>
    <x v="1"/>
    <s v="Male"/>
  </r>
  <r>
    <x v="1"/>
    <s v="Male"/>
  </r>
  <r>
    <x v="1"/>
    <s v="Male"/>
  </r>
  <r>
    <x v="2"/>
    <s v="Female"/>
  </r>
  <r>
    <x v="1"/>
    <s v="Female"/>
  </r>
  <r>
    <x v="1"/>
    <s v="Male"/>
  </r>
  <r>
    <x v="3"/>
    <s v="Male"/>
  </r>
  <r>
    <x v="1"/>
    <s v="Female"/>
  </r>
  <r>
    <x v="1"/>
    <s v="Female"/>
  </r>
  <r>
    <x v="1"/>
    <s v="Male"/>
  </r>
  <r>
    <x v="7"/>
    <s v="Male"/>
  </r>
  <r>
    <x v="5"/>
    <s v="Male"/>
  </r>
  <r>
    <x v="1"/>
    <s v="Female"/>
  </r>
  <r>
    <x v="5"/>
    <s v="Female"/>
  </r>
  <r>
    <x v="1"/>
    <s v="Female"/>
  </r>
  <r>
    <x v="1"/>
    <s v="Male"/>
  </r>
  <r>
    <x v="1"/>
    <s v="Male"/>
  </r>
  <r>
    <x v="6"/>
    <s v="Male"/>
  </r>
  <r>
    <x v="4"/>
    <s v="Female"/>
  </r>
  <r>
    <x v="1"/>
    <s v="Female"/>
  </r>
  <r>
    <x v="1"/>
    <s v="Female"/>
  </r>
  <r>
    <x v="1"/>
    <s v="Male"/>
  </r>
  <r>
    <x v="5"/>
    <s v="Male"/>
  </r>
  <r>
    <x v="1"/>
    <s v="Male"/>
  </r>
  <r>
    <x v="1"/>
    <s v="Male"/>
  </r>
  <r>
    <x v="1"/>
    <s v="Female"/>
  </r>
  <r>
    <x v="1"/>
    <s v="Female"/>
  </r>
  <r>
    <x v="7"/>
    <s v="Female"/>
  </r>
  <r>
    <x v="1"/>
    <s v="Male"/>
  </r>
  <r>
    <x v="1"/>
    <s v="Female"/>
  </r>
  <r>
    <x v="5"/>
    <s v="Male"/>
  </r>
  <r>
    <x v="1"/>
    <s v="Female"/>
  </r>
  <r>
    <x v="5"/>
    <s v="Male"/>
  </r>
  <r>
    <x v="6"/>
    <s v="Male"/>
  </r>
  <r>
    <x v="1"/>
    <s v="Male"/>
  </r>
  <r>
    <x v="2"/>
    <s v="Female"/>
  </r>
  <r>
    <x v="3"/>
    <s v="Female"/>
  </r>
  <r>
    <x v="1"/>
    <s v="Male"/>
  </r>
  <r>
    <x v="5"/>
    <s v="Male"/>
  </r>
  <r>
    <x v="4"/>
    <s v="Male"/>
  </r>
  <r>
    <x v="1"/>
    <s v="Male"/>
  </r>
  <r>
    <x v="1"/>
    <s v="Female"/>
  </r>
  <r>
    <x v="2"/>
    <s v="Female"/>
  </r>
  <r>
    <x v="0"/>
    <s v="Female"/>
  </r>
  <r>
    <x v="1"/>
    <s v="Female"/>
  </r>
  <r>
    <x v="1"/>
    <s v="Female"/>
  </r>
  <r>
    <x v="1"/>
    <s v="Female"/>
  </r>
  <r>
    <x v="3"/>
    <s v="Male"/>
  </r>
  <r>
    <x v="1"/>
    <s v="Female"/>
  </r>
  <r>
    <x v="2"/>
    <s v="Male"/>
  </r>
  <r>
    <x v="1"/>
    <s v="Female"/>
  </r>
  <r>
    <x v="1"/>
    <s v="Female"/>
  </r>
  <r>
    <x v="1"/>
    <s v="Male"/>
  </r>
  <r>
    <x v="1"/>
    <s v="Male"/>
  </r>
  <r>
    <x v="3"/>
    <s v="Male"/>
  </r>
  <r>
    <x v="1"/>
    <s v="Male"/>
  </r>
  <r>
    <x v="1"/>
    <s v="Female"/>
  </r>
  <r>
    <x v="5"/>
    <s v="Male"/>
  </r>
  <r>
    <x v="1"/>
    <s v="Female"/>
  </r>
  <r>
    <x v="0"/>
    <s v="Female"/>
  </r>
  <r>
    <x v="5"/>
    <s v="Male"/>
  </r>
  <r>
    <x v="1"/>
    <s v="Female"/>
  </r>
  <r>
    <x v="1"/>
    <s v="Female"/>
  </r>
  <r>
    <x v="1"/>
    <s v="Male"/>
  </r>
  <r>
    <x v="4"/>
    <s v="Male"/>
  </r>
  <r>
    <x v="1"/>
    <s v="Female"/>
  </r>
  <r>
    <x v="1"/>
    <s v="Male"/>
  </r>
  <r>
    <x v="5"/>
    <s v="Female"/>
  </r>
  <r>
    <x v="2"/>
    <s v="Female"/>
  </r>
  <r>
    <x v="1"/>
    <s v="Male"/>
  </r>
  <r>
    <x v="1"/>
    <s v="Female"/>
  </r>
  <r>
    <x v="1"/>
    <s v="Female"/>
  </r>
  <r>
    <x v="7"/>
    <s v="Male"/>
  </r>
  <r>
    <x v="4"/>
    <s v="Male"/>
  </r>
  <r>
    <x v="1"/>
    <s v="Female"/>
  </r>
  <r>
    <x v="2"/>
    <s v="Male"/>
  </r>
  <r>
    <x v="5"/>
    <s v="Female"/>
  </r>
  <r>
    <x v="1"/>
    <s v="Female"/>
  </r>
  <r>
    <x v="1"/>
    <s v="Female"/>
  </r>
  <r>
    <x v="7"/>
    <s v="Male"/>
  </r>
  <r>
    <x v="1"/>
    <s v="Male"/>
  </r>
  <r>
    <x v="5"/>
    <s v="Male"/>
  </r>
  <r>
    <x v="0"/>
    <s v="Male"/>
  </r>
  <r>
    <x v="3"/>
    <s v="Female"/>
  </r>
  <r>
    <x v="1"/>
    <s v="Female"/>
  </r>
  <r>
    <x v="6"/>
    <s v="Male"/>
  </r>
  <r>
    <x v="1"/>
    <s v="Male"/>
  </r>
  <r>
    <x v="1"/>
    <s v="Female"/>
  </r>
  <r>
    <x v="5"/>
    <s v="Male"/>
  </r>
  <r>
    <x v="3"/>
    <s v="Male"/>
  </r>
  <r>
    <x v="1"/>
    <s v="Male"/>
  </r>
  <r>
    <x v="1"/>
    <s v="Female"/>
  </r>
  <r>
    <x v="6"/>
    <s v="Male"/>
  </r>
  <r>
    <x v="1"/>
    <s v="Female"/>
  </r>
  <r>
    <x v="1"/>
    <s v="Male"/>
  </r>
  <r>
    <x v="2"/>
    <s v="Male"/>
  </r>
  <r>
    <x v="4"/>
    <s v="Male"/>
  </r>
  <r>
    <x v="3"/>
    <s v="Female"/>
  </r>
  <r>
    <x v="1"/>
    <s v="Female"/>
  </r>
  <r>
    <x v="1"/>
    <s v="Male"/>
  </r>
  <r>
    <x v="1"/>
    <s v="Male"/>
  </r>
  <r>
    <x v="1"/>
    <s v="Female"/>
  </r>
  <r>
    <x v="1"/>
    <s v="Male"/>
  </r>
  <r>
    <x v="4"/>
    <s v="Male"/>
  </r>
  <r>
    <x v="1"/>
    <s v="Male"/>
  </r>
  <r>
    <x v="2"/>
    <s v="Male"/>
  </r>
  <r>
    <x v="0"/>
    <s v="Male"/>
  </r>
  <r>
    <x v="1"/>
    <s v="Male"/>
  </r>
  <r>
    <x v="5"/>
    <s v="Female"/>
  </r>
  <r>
    <x v="1"/>
    <s v="Female"/>
  </r>
  <r>
    <x v="1"/>
    <s v="Male"/>
  </r>
  <r>
    <x v="1"/>
    <s v="Male"/>
  </r>
  <r>
    <x v="2"/>
    <s v="Male"/>
  </r>
  <r>
    <x v="1"/>
    <s v="Female"/>
  </r>
  <r>
    <x v="4"/>
    <s v="Male"/>
  </r>
  <r>
    <x v="1"/>
    <s v="Male"/>
  </r>
  <r>
    <x v="7"/>
    <s v="Female"/>
  </r>
  <r>
    <x v="4"/>
    <s v="Female"/>
  </r>
  <r>
    <x v="1"/>
    <s v="Male"/>
  </r>
  <r>
    <x v="4"/>
    <s v="Male"/>
  </r>
  <r>
    <x v="0"/>
    <s v="Male"/>
  </r>
  <r>
    <x v="1"/>
    <s v="Female"/>
  </r>
  <r>
    <x v="1"/>
    <s v="Female"/>
  </r>
  <r>
    <x v="5"/>
    <s v="Male"/>
  </r>
  <r>
    <x v="7"/>
    <s v="Male"/>
  </r>
  <r>
    <x v="5"/>
    <s v="Male"/>
  </r>
  <r>
    <x v="0"/>
    <s v="Male"/>
  </r>
  <r>
    <x v="5"/>
    <s v="Female"/>
  </r>
  <r>
    <x v="5"/>
    <s v="Male"/>
  </r>
  <r>
    <x v="1"/>
    <s v="Male"/>
  </r>
  <r>
    <x v="2"/>
    <s v="Male"/>
  </r>
  <r>
    <x v="2"/>
    <s v="Male"/>
  </r>
  <r>
    <x v="1"/>
    <s v="Female"/>
  </r>
  <r>
    <x v="6"/>
    <s v="Male"/>
  </r>
  <r>
    <x v="1"/>
    <s v="Male"/>
  </r>
  <r>
    <x v="5"/>
    <s v="Male"/>
  </r>
  <r>
    <x v="4"/>
    <s v="Male"/>
  </r>
  <r>
    <x v="5"/>
    <s v="Female"/>
  </r>
  <r>
    <x v="8"/>
    <s v="Male"/>
  </r>
  <r>
    <x v="1"/>
    <s v="Male"/>
  </r>
  <r>
    <x v="1"/>
    <s v="Male"/>
  </r>
  <r>
    <x v="5"/>
    <s v="Male"/>
  </r>
  <r>
    <x v="3"/>
    <s v="Male"/>
  </r>
  <r>
    <x v="3"/>
    <s v="Female"/>
  </r>
  <r>
    <x v="1"/>
    <s v="Female"/>
  </r>
  <r>
    <x v="1"/>
    <s v="Male"/>
  </r>
  <r>
    <x v="6"/>
    <s v="Male"/>
  </r>
  <r>
    <x v="3"/>
    <s v="Male"/>
  </r>
  <r>
    <x v="5"/>
    <s v="Male"/>
  </r>
  <r>
    <x v="0"/>
    <s v="Male"/>
  </r>
  <r>
    <x v="3"/>
    <s v="Female"/>
  </r>
  <r>
    <x v="1"/>
    <s v="Male"/>
  </r>
  <r>
    <x v="1"/>
    <s v="Transgender"/>
  </r>
  <r>
    <x v="1"/>
    <s v="Male"/>
  </r>
  <r>
    <x v="2"/>
    <s v="Male"/>
  </r>
  <r>
    <x v="1"/>
    <s v="Female"/>
  </r>
  <r>
    <x v="3"/>
    <s v="Female"/>
  </r>
  <r>
    <x v="5"/>
    <s v="Female"/>
  </r>
  <r>
    <x v="5"/>
    <s v="Female"/>
  </r>
  <r>
    <x v="1"/>
    <s v="Female"/>
  </r>
  <r>
    <x v="4"/>
    <s v="Male"/>
  </r>
  <r>
    <x v="4"/>
    <s v="Male"/>
  </r>
  <r>
    <x v="1"/>
    <s v="Male"/>
  </r>
  <r>
    <x v="0"/>
    <s v="Male"/>
  </r>
  <r>
    <x v="1"/>
    <s v="Female"/>
  </r>
  <r>
    <x v="1"/>
    <s v="Female"/>
  </r>
  <r>
    <x v="5"/>
    <s v="Male"/>
  </r>
  <r>
    <x v="1"/>
    <s v="Male"/>
  </r>
  <r>
    <x v="1"/>
    <s v="Male"/>
  </r>
  <r>
    <x v="3"/>
    <s v="Male"/>
  </r>
  <r>
    <x v="5"/>
    <s v="Male"/>
  </r>
  <r>
    <x v="1"/>
    <s v="Male"/>
  </r>
  <r>
    <x v="2"/>
    <s v="Male"/>
  </r>
  <r>
    <x v="2"/>
    <s v="Male"/>
  </r>
  <r>
    <x v="5"/>
    <s v="Male"/>
  </r>
  <r>
    <x v="5"/>
    <s v="Female"/>
  </r>
  <r>
    <x v="1"/>
    <s v="Female"/>
  </r>
  <r>
    <x v="1"/>
    <s v="Male"/>
  </r>
  <r>
    <x v="2"/>
    <s v="Male"/>
  </r>
  <r>
    <x v="1"/>
    <s v="Male"/>
  </r>
  <r>
    <x v="2"/>
    <s v="Male"/>
  </r>
  <r>
    <x v="1"/>
    <s v="Male"/>
  </r>
  <r>
    <x v="7"/>
    <s v="Male"/>
  </r>
  <r>
    <x v="1"/>
    <s v="Female"/>
  </r>
  <r>
    <x v="3"/>
    <s v="Male"/>
  </r>
  <r>
    <x v="1"/>
    <s v="Female"/>
  </r>
  <r>
    <x v="1"/>
    <s v="Female"/>
  </r>
  <r>
    <x v="6"/>
    <s v="Male"/>
  </r>
  <r>
    <x v="1"/>
    <s v="Female"/>
  </r>
  <r>
    <x v="1"/>
    <s v="Male"/>
  </r>
  <r>
    <x v="1"/>
    <s v="Female"/>
  </r>
  <r>
    <x v="1"/>
    <s v="Male"/>
  </r>
  <r>
    <x v="7"/>
    <s v="Male"/>
  </r>
  <r>
    <x v="1"/>
    <s v="Male"/>
  </r>
  <r>
    <x v="1"/>
    <s v="Male"/>
  </r>
  <r>
    <x v="1"/>
    <s v="Male"/>
  </r>
  <r>
    <x v="2"/>
    <s v="Female"/>
  </r>
  <r>
    <x v="1"/>
    <s v="Female"/>
  </r>
  <r>
    <x v="1"/>
    <s v="Male"/>
  </r>
  <r>
    <x v="3"/>
    <s v="Female"/>
  </r>
  <r>
    <x v="8"/>
    <s v="Male"/>
  </r>
  <r>
    <x v="1"/>
    <s v="Male"/>
  </r>
  <r>
    <x v="3"/>
    <s v="Male"/>
  </r>
  <r>
    <x v="4"/>
    <s v="Male"/>
  </r>
  <r>
    <x v="3"/>
    <s v="Female"/>
  </r>
  <r>
    <x v="1"/>
    <s v="Male"/>
  </r>
  <r>
    <x v="1"/>
    <s v="Male"/>
  </r>
  <r>
    <x v="5"/>
    <s v="Female"/>
  </r>
  <r>
    <x v="1"/>
    <s v="Male"/>
  </r>
  <r>
    <x v="1"/>
    <s v="Female"/>
  </r>
  <r>
    <x v="5"/>
    <s v="Male"/>
  </r>
  <r>
    <x v="1"/>
    <s v="Male"/>
  </r>
  <r>
    <x v="1"/>
    <s v="Male"/>
  </r>
  <r>
    <x v="1"/>
    <s v="Male"/>
  </r>
  <r>
    <x v="1"/>
    <s v="Female"/>
  </r>
  <r>
    <x v="2"/>
    <s v="Female"/>
  </r>
  <r>
    <x v="2"/>
    <s v="Male"/>
  </r>
  <r>
    <x v="8"/>
    <s v="Male"/>
  </r>
  <r>
    <x v="1"/>
    <s v="Male"/>
  </r>
  <r>
    <x v="1"/>
    <s v="Female"/>
  </r>
  <r>
    <x v="2"/>
    <s v="Female"/>
  </r>
  <r>
    <x v="1"/>
    <s v="Male"/>
  </r>
  <r>
    <x v="3"/>
    <s v="Female"/>
  </r>
  <r>
    <x v="1"/>
    <s v="Female"/>
  </r>
  <r>
    <x v="1"/>
    <s v="Male"/>
  </r>
  <r>
    <x v="1"/>
    <s v="Female"/>
  </r>
  <r>
    <x v="1"/>
    <s v="Female"/>
  </r>
  <r>
    <x v="1"/>
    <s v="Female"/>
  </r>
  <r>
    <x v="1"/>
    <s v="Female"/>
  </r>
  <r>
    <x v="1"/>
    <s v="Male"/>
  </r>
  <r>
    <x v="3"/>
    <s v="Male"/>
  </r>
  <r>
    <x v="0"/>
    <s v="Male"/>
  </r>
  <r>
    <x v="2"/>
    <s v="Male"/>
  </r>
  <r>
    <x v="1"/>
    <s v="Male"/>
  </r>
  <r>
    <x v="1"/>
    <s v="Male"/>
  </r>
  <r>
    <x v="7"/>
    <s v="Female"/>
  </r>
  <r>
    <x v="5"/>
    <s v="Female"/>
  </r>
  <r>
    <x v="4"/>
    <s v="Male"/>
  </r>
  <r>
    <x v="1"/>
    <s v="Male"/>
  </r>
  <r>
    <x v="0"/>
    <s v="Male"/>
  </r>
  <r>
    <x v="1"/>
    <s v="Female"/>
  </r>
  <r>
    <x v="1"/>
    <s v="Female"/>
  </r>
  <r>
    <x v="3"/>
    <s v="Female"/>
  </r>
  <r>
    <x v="3"/>
    <s v="Female"/>
  </r>
  <r>
    <x v="7"/>
    <s v="Male"/>
  </r>
  <r>
    <x v="5"/>
    <s v="Male"/>
  </r>
  <r>
    <x v="5"/>
    <s v="Female"/>
  </r>
  <r>
    <x v="1"/>
    <s v="Male"/>
  </r>
  <r>
    <x v="5"/>
    <s v="Female"/>
  </r>
  <r>
    <x v="1"/>
    <s v="Female"/>
  </r>
  <r>
    <x v="5"/>
    <s v="Female"/>
  </r>
  <r>
    <x v="4"/>
    <s v="Female"/>
  </r>
  <r>
    <x v="1"/>
    <s v="Male"/>
  </r>
  <r>
    <x v="7"/>
    <s v="Male"/>
  </r>
  <r>
    <x v="1"/>
    <s v="Male"/>
  </r>
  <r>
    <x v="6"/>
    <s v="Male"/>
  </r>
  <r>
    <x v="5"/>
    <s v="Female"/>
  </r>
  <r>
    <x v="1"/>
    <s v="Male"/>
  </r>
  <r>
    <x v="1"/>
    <s v="Male"/>
  </r>
  <r>
    <x v="4"/>
    <s v="Male"/>
  </r>
  <r>
    <x v="3"/>
    <s v="Male"/>
  </r>
  <r>
    <x v="1"/>
    <s v="Male"/>
  </r>
  <r>
    <x v="2"/>
    <s v="Female"/>
  </r>
  <r>
    <x v="0"/>
    <s v="Male"/>
  </r>
  <r>
    <x v="1"/>
    <s v="Female"/>
  </r>
  <r>
    <x v="1"/>
    <s v="Female"/>
  </r>
  <r>
    <x v="4"/>
    <s v="Female"/>
  </r>
  <r>
    <x v="3"/>
    <s v="Male"/>
  </r>
  <r>
    <x v="1"/>
    <s v="Female"/>
  </r>
  <r>
    <x v="5"/>
    <s v="Male"/>
  </r>
  <r>
    <x v="7"/>
    <s v="Female"/>
  </r>
  <r>
    <x v="1"/>
    <s v="Male"/>
  </r>
  <r>
    <x v="5"/>
    <s v="Male"/>
  </r>
  <r>
    <x v="1"/>
    <s v="Male"/>
  </r>
  <r>
    <x v="2"/>
    <s v="Male"/>
  </r>
  <r>
    <x v="5"/>
    <s v="Male"/>
  </r>
  <r>
    <x v="2"/>
    <s v="Female"/>
  </r>
  <r>
    <x v="1"/>
    <s v="Female"/>
  </r>
  <r>
    <x v="5"/>
    <s v="Female"/>
  </r>
  <r>
    <x v="4"/>
    <s v="Female"/>
  </r>
  <r>
    <x v="1"/>
    <s v="Male"/>
  </r>
  <r>
    <x v="3"/>
    <s v="Male"/>
  </r>
  <r>
    <x v="1"/>
    <s v="Male"/>
  </r>
  <r>
    <x v="4"/>
    <s v="Female"/>
  </r>
  <r>
    <x v="0"/>
    <s v="Male"/>
  </r>
  <r>
    <x v="1"/>
    <s v="Male"/>
  </r>
  <r>
    <x v="1"/>
    <s v="Male"/>
  </r>
  <r>
    <x v="1"/>
    <s v="Male"/>
  </r>
  <r>
    <x v="1"/>
    <s v="Male"/>
  </r>
  <r>
    <x v="2"/>
    <s v="Male"/>
  </r>
  <r>
    <x v="1"/>
    <s v="Female"/>
  </r>
  <r>
    <x v="1"/>
    <s v="Male"/>
  </r>
  <r>
    <x v="1"/>
    <s v="Male"/>
  </r>
  <r>
    <x v="5"/>
    <s v="Male"/>
  </r>
  <r>
    <x v="1"/>
    <s v="Male"/>
  </r>
  <r>
    <x v="1"/>
    <s v="Female"/>
  </r>
  <r>
    <x v="3"/>
    <s v="Female"/>
  </r>
  <r>
    <x v="3"/>
    <s v="Male"/>
  </r>
  <r>
    <x v="5"/>
    <s v="Male"/>
  </r>
  <r>
    <x v="4"/>
    <s v="Female"/>
  </r>
  <r>
    <x v="1"/>
    <s v="Male"/>
  </r>
  <r>
    <x v="1"/>
    <s v="Male"/>
  </r>
  <r>
    <x v="5"/>
    <s v="Male"/>
  </r>
  <r>
    <x v="1"/>
    <s v="Male"/>
  </r>
  <r>
    <x v="1"/>
    <s v="Male"/>
  </r>
  <r>
    <x v="1"/>
    <s v="Female"/>
  </r>
  <r>
    <x v="2"/>
    <s v="Male"/>
  </r>
  <r>
    <x v="5"/>
    <s v="Female"/>
  </r>
  <r>
    <x v="1"/>
    <s v="Female"/>
  </r>
  <r>
    <x v="2"/>
    <s v="Male"/>
  </r>
  <r>
    <x v="3"/>
    <s v="Male"/>
  </r>
  <r>
    <x v="1"/>
    <s v="Female"/>
  </r>
  <r>
    <x v="2"/>
    <s v="Female"/>
  </r>
  <r>
    <x v="1"/>
    <s v="Male"/>
  </r>
  <r>
    <x v="1"/>
    <s v="Male"/>
  </r>
  <r>
    <x v="1"/>
    <s v="Male"/>
  </r>
  <r>
    <x v="2"/>
    <s v="Male"/>
  </r>
  <r>
    <x v="5"/>
    <s v="Male"/>
  </r>
  <r>
    <x v="1"/>
    <s v="Female"/>
  </r>
  <r>
    <x v="5"/>
    <s v="Female"/>
  </r>
  <r>
    <x v="3"/>
    <s v="Male"/>
  </r>
  <r>
    <x v="1"/>
    <s v="Male"/>
  </r>
  <r>
    <x v="0"/>
    <s v="Male"/>
  </r>
  <r>
    <x v="1"/>
    <s v="Female"/>
  </r>
  <r>
    <x v="7"/>
    <s v="Female"/>
  </r>
  <r>
    <x v="1"/>
    <s v="Male"/>
  </r>
  <r>
    <x v="4"/>
    <s v="Female"/>
  </r>
  <r>
    <x v="2"/>
    <s v="Male"/>
  </r>
  <r>
    <x v="4"/>
    <s v="Male"/>
  </r>
  <r>
    <x v="1"/>
    <s v="Female"/>
  </r>
  <r>
    <x v="1"/>
    <s v="Male"/>
  </r>
  <r>
    <x v="6"/>
    <s v="Male"/>
  </r>
  <r>
    <x v="2"/>
    <s v="Male"/>
  </r>
  <r>
    <x v="1"/>
    <s v="Male"/>
  </r>
  <r>
    <x v="1"/>
    <s v="Male"/>
  </r>
  <r>
    <x v="1"/>
    <s v="Male"/>
  </r>
  <r>
    <x v="5"/>
    <s v="Female"/>
  </r>
  <r>
    <x v="2"/>
    <s v="Male"/>
  </r>
  <r>
    <x v="2"/>
    <s v="Female"/>
  </r>
  <r>
    <x v="2"/>
    <s v="Female"/>
  </r>
  <r>
    <x v="1"/>
    <s v="Male"/>
  </r>
  <r>
    <x v="1"/>
    <s v="Male"/>
  </r>
  <r>
    <x v="1"/>
    <s v="Male"/>
  </r>
  <r>
    <x v="0"/>
    <s v="Male"/>
  </r>
  <r>
    <x v="1"/>
    <s v="Male"/>
  </r>
  <r>
    <x v="8"/>
    <s v="Male"/>
  </r>
  <r>
    <x v="1"/>
    <s v="Male"/>
  </r>
  <r>
    <x v="0"/>
    <s v="Female"/>
  </r>
  <r>
    <x v="2"/>
    <s v="Male"/>
  </r>
  <r>
    <x v="1"/>
    <s v="Male"/>
  </r>
  <r>
    <x v="1"/>
    <s v="Male"/>
  </r>
  <r>
    <x v="1"/>
    <s v="Female"/>
  </r>
  <r>
    <x v="1"/>
    <s v="Male"/>
  </r>
  <r>
    <x v="7"/>
    <s v="Male"/>
  </r>
  <r>
    <x v="5"/>
    <s v="Male"/>
  </r>
  <r>
    <x v="5"/>
    <s v="Female"/>
  </r>
  <r>
    <x v="1"/>
    <s v="Male"/>
  </r>
  <r>
    <x v="1"/>
    <s v="Female"/>
  </r>
  <r>
    <x v="1"/>
    <s v="Male"/>
  </r>
  <r>
    <x v="1"/>
    <s v="Female"/>
  </r>
  <r>
    <x v="5"/>
    <s v="Male"/>
  </r>
  <r>
    <x v="5"/>
    <s v="Female"/>
  </r>
  <r>
    <x v="1"/>
    <s v="Female"/>
  </r>
  <r>
    <x v="1"/>
    <s v="Male"/>
  </r>
  <r>
    <x v="0"/>
    <s v="Female"/>
  </r>
  <r>
    <x v="5"/>
    <s v="Female"/>
  </r>
  <r>
    <x v="2"/>
    <s v="Male"/>
  </r>
  <r>
    <x v="3"/>
    <s v="Female"/>
  </r>
  <r>
    <x v="2"/>
    <s v="Male"/>
  </r>
  <r>
    <x v="1"/>
    <s v="Female"/>
  </r>
  <r>
    <x v="1"/>
    <s v="Male"/>
  </r>
  <r>
    <x v="3"/>
    <s v="Female"/>
  </r>
  <r>
    <x v="5"/>
    <s v="Male"/>
  </r>
  <r>
    <x v="1"/>
    <s v="Female"/>
  </r>
  <r>
    <x v="1"/>
    <s v="Male"/>
  </r>
  <r>
    <x v="4"/>
    <s v="Male"/>
  </r>
  <r>
    <x v="3"/>
    <s v="Female"/>
  </r>
  <r>
    <x v="1"/>
    <s v="Female"/>
  </r>
  <r>
    <x v="5"/>
    <s v="Male"/>
  </r>
  <r>
    <x v="1"/>
    <s v="Female"/>
  </r>
  <r>
    <x v="5"/>
    <s v="Female"/>
  </r>
  <r>
    <x v="2"/>
    <s v="Male"/>
  </r>
  <r>
    <x v="1"/>
    <s v="Female"/>
  </r>
  <r>
    <x v="1"/>
    <s v="Female"/>
  </r>
  <r>
    <x v="1"/>
    <s v="Female"/>
  </r>
  <r>
    <x v="1"/>
    <s v="Male"/>
  </r>
  <r>
    <x v="2"/>
    <s v="Male"/>
  </r>
  <r>
    <x v="1"/>
    <s v="Male"/>
  </r>
  <r>
    <x v="1"/>
    <s v="Male"/>
  </r>
  <r>
    <x v="1"/>
    <s v="Female"/>
  </r>
  <r>
    <x v="6"/>
    <s v="Male"/>
  </r>
  <r>
    <x v="3"/>
    <s v="Female"/>
  </r>
  <r>
    <x v="1"/>
    <s v="Male"/>
  </r>
  <r>
    <x v="1"/>
    <s v="Male"/>
  </r>
  <r>
    <x v="6"/>
    <s v="Male"/>
  </r>
  <r>
    <x v="5"/>
    <s v="Female"/>
  </r>
  <r>
    <x v="5"/>
    <s v="Male"/>
  </r>
  <r>
    <x v="1"/>
    <s v="Male"/>
  </r>
  <r>
    <x v="1"/>
    <s v="Female"/>
  </r>
  <r>
    <x v="2"/>
    <s v="Female"/>
  </r>
  <r>
    <x v="1"/>
    <s v="Male"/>
  </r>
  <r>
    <x v="1"/>
    <s v="Female"/>
  </r>
  <r>
    <x v="2"/>
    <s v="Male"/>
  </r>
  <r>
    <x v="1"/>
    <s v="Male"/>
  </r>
  <r>
    <x v="1"/>
    <s v="Female"/>
  </r>
  <r>
    <x v="1"/>
    <s v="Female"/>
  </r>
  <r>
    <x v="2"/>
    <s v="Female"/>
  </r>
  <r>
    <x v="1"/>
    <s v="Male"/>
  </r>
  <r>
    <x v="1"/>
    <s v="Male"/>
  </r>
  <r>
    <x v="1"/>
    <s v="Female"/>
  </r>
  <r>
    <x v="2"/>
    <s v="Female"/>
  </r>
  <r>
    <x v="3"/>
    <s v="Female"/>
  </r>
  <r>
    <x v="2"/>
    <s v="Male"/>
  </r>
  <r>
    <x v="1"/>
    <s v="Male"/>
  </r>
  <r>
    <x v="1"/>
    <s v="Male"/>
  </r>
  <r>
    <x v="1"/>
    <s v="Female"/>
  </r>
  <r>
    <x v="5"/>
    <s v="Male"/>
  </r>
  <r>
    <x v="2"/>
    <s v="Male"/>
  </r>
  <r>
    <x v="5"/>
    <s v="Male"/>
  </r>
  <r>
    <x v="5"/>
    <s v="Male"/>
  </r>
  <r>
    <x v="5"/>
    <s v="Male"/>
  </r>
  <r>
    <x v="1"/>
    <s v="Male"/>
  </r>
  <r>
    <x v="1"/>
    <s v="Female"/>
  </r>
  <r>
    <x v="5"/>
    <s v="Male"/>
  </r>
  <r>
    <x v="2"/>
    <s v="Female"/>
  </r>
  <r>
    <x v="1"/>
    <s v="Female"/>
  </r>
  <r>
    <x v="1"/>
    <s v="Female"/>
  </r>
  <r>
    <x v="5"/>
    <s v="Male"/>
  </r>
  <r>
    <x v="4"/>
    <s v="Male"/>
  </r>
  <r>
    <x v="1"/>
    <s v="Female"/>
  </r>
  <r>
    <x v="0"/>
    <s v="Male"/>
  </r>
  <r>
    <x v="1"/>
    <s v="Female"/>
  </r>
  <r>
    <x v="0"/>
    <s v="Male"/>
  </r>
  <r>
    <x v="1"/>
    <s v="Female"/>
  </r>
  <r>
    <x v="1"/>
    <s v="Female"/>
  </r>
  <r>
    <x v="5"/>
    <s v="Male"/>
  </r>
  <r>
    <x v="5"/>
    <s v="Female"/>
  </r>
  <r>
    <x v="5"/>
    <s v="Female"/>
  </r>
  <r>
    <x v="1"/>
    <s v="Male"/>
  </r>
  <r>
    <x v="1"/>
    <s v="Male"/>
  </r>
  <r>
    <x v="1"/>
    <s v="Female"/>
  </r>
  <r>
    <x v="1"/>
    <s v="Female"/>
  </r>
  <r>
    <x v="1"/>
    <s v="Male"/>
  </r>
  <r>
    <x v="1"/>
    <s v="Female"/>
  </r>
  <r>
    <x v="1"/>
    <s v="Female"/>
  </r>
  <r>
    <x v="1"/>
    <s v="Female"/>
  </r>
  <r>
    <x v="0"/>
    <s v="Male"/>
  </r>
  <r>
    <x v="1"/>
    <s v="Female"/>
  </r>
  <r>
    <x v="1"/>
    <s v="Female"/>
  </r>
  <r>
    <x v="1"/>
    <s v="Male"/>
  </r>
  <r>
    <x v="1"/>
    <s v="Female"/>
  </r>
  <r>
    <x v="5"/>
    <s v="Male"/>
  </r>
  <r>
    <x v="1"/>
    <s v="Male"/>
  </r>
  <r>
    <x v="0"/>
    <s v="Female"/>
  </r>
  <r>
    <x v="1"/>
    <s v="Male"/>
  </r>
  <r>
    <x v="1"/>
    <s v="Male"/>
  </r>
  <r>
    <x v="1"/>
    <s v="Male"/>
  </r>
  <r>
    <x v="1"/>
    <s v="Male"/>
  </r>
  <r>
    <x v="1"/>
    <s v="Female"/>
  </r>
  <r>
    <x v="0"/>
    <s v="Female"/>
  </r>
  <r>
    <x v="3"/>
    <s v="Male"/>
  </r>
  <r>
    <x v="1"/>
    <s v="Male"/>
  </r>
  <r>
    <x v="5"/>
    <s v="Male"/>
  </r>
  <r>
    <x v="1"/>
    <s v="Male"/>
  </r>
  <r>
    <x v="5"/>
    <s v="Male"/>
  </r>
  <r>
    <x v="1"/>
    <s v="Female"/>
  </r>
  <r>
    <x v="1"/>
    <s v="Male"/>
  </r>
  <r>
    <x v="1"/>
    <s v="Male"/>
  </r>
  <r>
    <x v="1"/>
    <s v="Male"/>
  </r>
  <r>
    <x v="1"/>
    <s v="Female"/>
  </r>
  <r>
    <x v="1"/>
    <s v="Male"/>
  </r>
  <r>
    <x v="1"/>
    <s v="Female"/>
  </r>
  <r>
    <x v="5"/>
    <s v="Male"/>
  </r>
  <r>
    <x v="1"/>
    <s v="Male"/>
  </r>
  <r>
    <x v="1"/>
    <s v="Female"/>
  </r>
  <r>
    <x v="3"/>
    <s v="Male"/>
  </r>
  <r>
    <x v="2"/>
    <s v="Male"/>
  </r>
  <r>
    <x v="1"/>
    <s v="Male"/>
  </r>
  <r>
    <x v="6"/>
    <s v="Female"/>
  </r>
  <r>
    <x v="1"/>
    <s v="Male"/>
  </r>
  <r>
    <x v="1"/>
    <s v="Male"/>
  </r>
  <r>
    <x v="1"/>
    <s v="Female"/>
  </r>
  <r>
    <x v="1"/>
    <s v="Male"/>
  </r>
  <r>
    <x v="3"/>
    <s v="Female"/>
  </r>
  <r>
    <x v="1"/>
    <s v="Male"/>
  </r>
  <r>
    <x v="2"/>
    <s v="Male"/>
  </r>
  <r>
    <x v="1"/>
    <s v="Female"/>
  </r>
  <r>
    <x v="6"/>
    <s v="Male"/>
  </r>
  <r>
    <x v="5"/>
    <s v="Female"/>
  </r>
  <r>
    <x v="7"/>
    <s v="Male"/>
  </r>
  <r>
    <x v="1"/>
    <s v="Female"/>
  </r>
  <r>
    <x v="1"/>
    <s v="Male"/>
  </r>
  <r>
    <x v="1"/>
    <s v="Male"/>
  </r>
  <r>
    <x v="1"/>
    <s v="Male"/>
  </r>
  <r>
    <x v="3"/>
    <s v="Female"/>
  </r>
  <r>
    <x v="1"/>
    <s v="Male"/>
  </r>
  <r>
    <x v="1"/>
    <s v="Male"/>
  </r>
  <r>
    <x v="1"/>
    <s v="Male"/>
  </r>
  <r>
    <x v="1"/>
    <s v="Male"/>
  </r>
  <r>
    <x v="1"/>
    <s v="Male"/>
  </r>
  <r>
    <x v="1"/>
    <s v="Male"/>
  </r>
  <r>
    <x v="2"/>
    <s v="Female"/>
  </r>
  <r>
    <x v="0"/>
    <s v="Male"/>
  </r>
  <r>
    <x v="1"/>
    <s v="Male"/>
  </r>
  <r>
    <x v="1"/>
    <s v="Male"/>
  </r>
  <r>
    <x v="1"/>
    <s v="Male"/>
  </r>
  <r>
    <x v="5"/>
    <s v="Male"/>
  </r>
  <r>
    <x v="1"/>
    <s v="Female"/>
  </r>
  <r>
    <x v="6"/>
    <s v="Male"/>
  </r>
  <r>
    <x v="1"/>
    <s v="Male"/>
  </r>
  <r>
    <x v="1"/>
    <s v="Female"/>
  </r>
  <r>
    <x v="5"/>
    <s v="Female"/>
  </r>
  <r>
    <x v="4"/>
    <s v="Female"/>
  </r>
  <r>
    <x v="1"/>
    <s v="Female"/>
  </r>
  <r>
    <x v="2"/>
    <s v="Male"/>
  </r>
  <r>
    <x v="5"/>
    <s v="Female"/>
  </r>
  <r>
    <x v="1"/>
    <s v="Female"/>
  </r>
  <r>
    <x v="1"/>
    <s v="Male"/>
  </r>
  <r>
    <x v="4"/>
    <s v="Male"/>
  </r>
  <r>
    <x v="4"/>
    <s v="Male"/>
  </r>
  <r>
    <x v="4"/>
    <s v="Female"/>
  </r>
  <r>
    <x v="1"/>
    <s v="Female"/>
  </r>
  <r>
    <x v="1"/>
    <s v="Male"/>
  </r>
  <r>
    <x v="1"/>
    <s v="Male"/>
  </r>
  <r>
    <x v="1"/>
    <s v="Male"/>
  </r>
  <r>
    <x v="1"/>
    <s v="Female"/>
  </r>
  <r>
    <x v="1"/>
    <s v="Male"/>
  </r>
  <r>
    <x v="1"/>
    <s v="Female"/>
  </r>
  <r>
    <x v="1"/>
    <s v="Male"/>
  </r>
  <r>
    <x v="1"/>
    <s v="Male"/>
  </r>
  <r>
    <x v="5"/>
    <s v="Female"/>
  </r>
  <r>
    <x v="1"/>
    <s v="Female"/>
  </r>
  <r>
    <x v="2"/>
    <s v="Male"/>
  </r>
  <r>
    <x v="2"/>
    <s v="Male"/>
  </r>
  <r>
    <x v="1"/>
    <s v="Male"/>
  </r>
  <r>
    <x v="5"/>
    <s v="Female"/>
  </r>
  <r>
    <x v="4"/>
    <s v="Male"/>
  </r>
  <r>
    <x v="7"/>
    <s v="Male"/>
  </r>
  <r>
    <x v="1"/>
    <s v="Male"/>
  </r>
  <r>
    <x v="1"/>
    <s v="Male"/>
  </r>
  <r>
    <x v="0"/>
    <s v="Female"/>
  </r>
  <r>
    <x v="1"/>
    <s v="Female"/>
  </r>
  <r>
    <x v="1"/>
    <s v="Female"/>
  </r>
  <r>
    <x v="1"/>
    <s v="Female"/>
  </r>
  <r>
    <x v="1"/>
    <s v="Female"/>
  </r>
  <r>
    <x v="5"/>
    <s v="Male"/>
  </r>
  <r>
    <x v="1"/>
    <s v="Male"/>
  </r>
  <r>
    <x v="1"/>
    <s v="Male"/>
  </r>
  <r>
    <x v="1"/>
    <s v="Male"/>
  </r>
  <r>
    <x v="1"/>
    <s v="Female"/>
  </r>
  <r>
    <x v="1"/>
    <s v="Male"/>
  </r>
  <r>
    <x v="1"/>
    <s v="Female"/>
  </r>
  <r>
    <x v="1"/>
    <s v="Male"/>
  </r>
  <r>
    <x v="1"/>
    <s v="Male"/>
  </r>
  <r>
    <x v="1"/>
    <s v="Male"/>
  </r>
  <r>
    <x v="0"/>
    <s v="Male"/>
  </r>
  <r>
    <x v="5"/>
    <s v="Male"/>
  </r>
  <r>
    <x v="1"/>
    <s v="Male"/>
  </r>
  <r>
    <x v="1"/>
    <s v="Female"/>
  </r>
  <r>
    <x v="1"/>
    <s v="Male"/>
  </r>
  <r>
    <x v="5"/>
    <s v="Male"/>
  </r>
  <r>
    <x v="3"/>
    <s v="Male"/>
  </r>
  <r>
    <x v="1"/>
    <s v="Male"/>
  </r>
  <r>
    <x v="1"/>
    <s v="Male"/>
  </r>
  <r>
    <x v="7"/>
    <s v="Male"/>
  </r>
  <r>
    <x v="2"/>
    <s v="Female"/>
  </r>
  <r>
    <x v="1"/>
    <s v="Male"/>
  </r>
  <r>
    <x v="1"/>
    <s v="Male"/>
  </r>
  <r>
    <x v="1"/>
    <s v="Male"/>
  </r>
  <r>
    <x v="5"/>
    <s v="Male"/>
  </r>
  <r>
    <x v="7"/>
    <s v="Female"/>
  </r>
  <r>
    <x v="1"/>
    <s v="Female"/>
  </r>
  <r>
    <x v="1"/>
    <s v="Male"/>
  </r>
  <r>
    <x v="1"/>
    <s v="Female"/>
  </r>
  <r>
    <x v="1"/>
    <s v="Male"/>
  </r>
  <r>
    <x v="1"/>
    <s v="Male"/>
  </r>
  <r>
    <x v="1"/>
    <s v="Male"/>
  </r>
  <r>
    <x v="3"/>
    <s v="Female"/>
  </r>
  <r>
    <x v="1"/>
    <s v="Male"/>
  </r>
  <r>
    <x v="1"/>
    <s v="Female"/>
  </r>
  <r>
    <x v="3"/>
    <s v="Female"/>
  </r>
  <r>
    <x v="1"/>
    <s v="Female"/>
  </r>
  <r>
    <x v="1"/>
    <s v="Female"/>
  </r>
  <r>
    <x v="1"/>
    <s v="Female"/>
  </r>
  <r>
    <x v="3"/>
    <s v="Female"/>
  </r>
  <r>
    <x v="1"/>
    <s v="Male"/>
  </r>
  <r>
    <x v="0"/>
    <s v="Male"/>
  </r>
  <r>
    <x v="0"/>
    <s v="Male"/>
  </r>
  <r>
    <x v="3"/>
    <s v="Female"/>
  </r>
  <r>
    <x v="5"/>
    <s v="Female"/>
  </r>
  <r>
    <x v="1"/>
    <s v="Male"/>
  </r>
  <r>
    <x v="1"/>
    <s v="Female"/>
  </r>
  <r>
    <x v="1"/>
    <s v="Female"/>
  </r>
  <r>
    <x v="4"/>
    <s v="Male"/>
  </r>
  <r>
    <x v="1"/>
    <s v="Male"/>
  </r>
  <r>
    <x v="2"/>
    <s v="Male"/>
  </r>
  <r>
    <x v="1"/>
    <s v="Male"/>
  </r>
  <r>
    <x v="1"/>
    <s v="Male"/>
  </r>
  <r>
    <x v="5"/>
    <s v="Male"/>
  </r>
  <r>
    <x v="3"/>
    <s v="Male"/>
  </r>
  <r>
    <x v="3"/>
    <s v="Male"/>
  </r>
  <r>
    <x v="1"/>
    <s v="Female"/>
  </r>
  <r>
    <x v="1"/>
    <s v="Male"/>
  </r>
  <r>
    <x v="1"/>
    <s v="Male"/>
  </r>
  <r>
    <x v="2"/>
    <s v="Female"/>
  </r>
  <r>
    <x v="2"/>
    <s v="Male"/>
  </r>
  <r>
    <x v="7"/>
    <s v="Female"/>
  </r>
  <r>
    <x v="1"/>
    <s v="Male"/>
  </r>
  <r>
    <x v="1"/>
    <s v="Female"/>
  </r>
  <r>
    <x v="5"/>
    <s v="Female"/>
  </r>
  <r>
    <x v="1"/>
    <s v="Female"/>
  </r>
  <r>
    <x v="1"/>
    <s v="Male"/>
  </r>
  <r>
    <x v="1"/>
    <s v="Female"/>
  </r>
  <r>
    <x v="1"/>
    <s v="Male"/>
  </r>
  <r>
    <x v="1"/>
    <s v="Female"/>
  </r>
  <r>
    <x v="1"/>
    <s v="Female"/>
  </r>
  <r>
    <x v="1"/>
    <s v="Female"/>
  </r>
  <r>
    <x v="5"/>
    <s v="Female"/>
  </r>
  <r>
    <x v="6"/>
    <s v="Male"/>
  </r>
  <r>
    <x v="3"/>
    <s v="Female"/>
  </r>
  <r>
    <x v="1"/>
    <s v="Male"/>
  </r>
  <r>
    <x v="3"/>
    <s v="Female"/>
  </r>
  <r>
    <x v="5"/>
    <s v="Male"/>
  </r>
  <r>
    <x v="5"/>
    <s v="Female"/>
  </r>
  <r>
    <x v="1"/>
    <s v="Male"/>
  </r>
  <r>
    <x v="1"/>
    <s v="Female"/>
  </r>
  <r>
    <x v="2"/>
    <s v="Female"/>
  </r>
  <r>
    <x v="1"/>
    <s v="Male"/>
  </r>
  <r>
    <x v="4"/>
    <s v="Female"/>
  </r>
  <r>
    <x v="1"/>
    <s v="Female"/>
  </r>
  <r>
    <x v="4"/>
    <s v="Male"/>
  </r>
  <r>
    <x v="2"/>
    <s v="Female"/>
  </r>
  <r>
    <x v="1"/>
    <s v="Male"/>
  </r>
  <r>
    <x v="1"/>
    <s v="Female"/>
  </r>
  <r>
    <x v="1"/>
    <s v="Female"/>
  </r>
  <r>
    <x v="6"/>
    <s v="Female"/>
  </r>
  <r>
    <x v="1"/>
    <s v="Female"/>
  </r>
  <r>
    <x v="5"/>
    <s v="Male"/>
  </r>
  <r>
    <x v="3"/>
    <s v="Female"/>
  </r>
  <r>
    <x v="1"/>
    <s v="Female"/>
  </r>
  <r>
    <x v="5"/>
    <s v="Male"/>
  </r>
  <r>
    <x v="3"/>
    <s v="Female"/>
  </r>
  <r>
    <x v="1"/>
    <s v="Male"/>
  </r>
  <r>
    <x v="4"/>
    <s v="Male"/>
  </r>
  <r>
    <x v="2"/>
    <s v="Male"/>
  </r>
  <r>
    <x v="1"/>
    <s v="Male"/>
  </r>
  <r>
    <x v="1"/>
    <s v="Male"/>
  </r>
  <r>
    <x v="1"/>
    <s v="Male"/>
  </r>
  <r>
    <x v="1"/>
    <s v="Male"/>
  </r>
  <r>
    <x v="0"/>
    <s v="Male"/>
  </r>
  <r>
    <x v="1"/>
    <s v="Male"/>
  </r>
  <r>
    <x v="1"/>
    <s v="Female"/>
  </r>
  <r>
    <x v="1"/>
    <s v="Female"/>
  </r>
  <r>
    <x v="1"/>
    <s v="Male"/>
  </r>
  <r>
    <x v="6"/>
    <s v="Male"/>
  </r>
  <r>
    <x v="1"/>
    <s v="Female"/>
  </r>
  <r>
    <x v="2"/>
    <s v="Male"/>
  </r>
  <r>
    <x v="6"/>
    <s v="Male"/>
  </r>
  <r>
    <x v="1"/>
    <s v="Male"/>
  </r>
  <r>
    <x v="1"/>
    <s v="Female"/>
  </r>
  <r>
    <x v="1"/>
    <s v="Male"/>
  </r>
  <r>
    <x v="0"/>
    <s v="Male"/>
  </r>
  <r>
    <x v="5"/>
    <s v="Male"/>
  </r>
  <r>
    <x v="1"/>
    <s v="Female"/>
  </r>
  <r>
    <x v="5"/>
    <s v="Male"/>
  </r>
  <r>
    <x v="1"/>
    <s v="Female"/>
  </r>
  <r>
    <x v="4"/>
    <s v="Female"/>
  </r>
  <r>
    <x v="1"/>
    <s v="Male"/>
  </r>
  <r>
    <x v="5"/>
    <s v="Female"/>
  </r>
  <r>
    <x v="2"/>
    <s v="Female"/>
  </r>
  <r>
    <x v="5"/>
    <s v="Female"/>
  </r>
  <r>
    <x v="1"/>
    <s v="Female"/>
  </r>
  <r>
    <x v="6"/>
    <s v="Female"/>
  </r>
  <r>
    <x v="1"/>
    <s v="Male"/>
  </r>
  <r>
    <x v="1"/>
    <s v="Female"/>
  </r>
  <r>
    <x v="1"/>
    <s v="Female"/>
  </r>
  <r>
    <x v="3"/>
    <s v="Male"/>
  </r>
  <r>
    <x v="1"/>
    <s v="Male"/>
  </r>
  <r>
    <x v="4"/>
    <s v="Female"/>
  </r>
  <r>
    <x v="1"/>
    <s v="Male"/>
  </r>
  <r>
    <x v="1"/>
    <s v="Male"/>
  </r>
  <r>
    <x v="1"/>
    <s v="Female"/>
  </r>
  <r>
    <x v="5"/>
    <s v="Male"/>
  </r>
  <r>
    <x v="2"/>
    <s v="Female"/>
  </r>
  <r>
    <x v="4"/>
    <s v="Male"/>
  </r>
  <r>
    <x v="1"/>
    <s v="Female"/>
  </r>
  <r>
    <x v="1"/>
    <s v="Male"/>
  </r>
  <r>
    <x v="3"/>
    <s v="Male"/>
  </r>
  <r>
    <x v="2"/>
    <s v="Male"/>
  </r>
  <r>
    <x v="1"/>
    <s v="Male"/>
  </r>
  <r>
    <x v="5"/>
    <s v="Male"/>
  </r>
  <r>
    <x v="4"/>
    <s v="Male"/>
  </r>
  <r>
    <x v="1"/>
    <s v="Female"/>
  </r>
  <r>
    <x v="1"/>
    <s v="Female"/>
  </r>
  <r>
    <x v="1"/>
    <s v="Female"/>
  </r>
  <r>
    <x v="1"/>
    <s v="Female"/>
  </r>
  <r>
    <x v="1"/>
    <s v="Male"/>
  </r>
  <r>
    <x v="6"/>
    <s v="Female"/>
  </r>
  <r>
    <x v="1"/>
    <s v="Female"/>
  </r>
  <r>
    <x v="1"/>
    <s v="Female"/>
  </r>
  <r>
    <x v="2"/>
    <s v="Female"/>
  </r>
  <r>
    <x v="3"/>
    <s v="Female"/>
  </r>
  <r>
    <x v="1"/>
    <s v="Male"/>
  </r>
  <r>
    <x v="2"/>
    <s v="Female"/>
  </r>
  <r>
    <x v="1"/>
    <s v="Male"/>
  </r>
  <r>
    <x v="1"/>
    <s v="Female"/>
  </r>
  <r>
    <x v="1"/>
    <s v="Female"/>
  </r>
  <r>
    <x v="1"/>
    <s v="Male"/>
  </r>
  <r>
    <x v="1"/>
    <s v="Female"/>
  </r>
  <r>
    <x v="1"/>
    <s v="Female"/>
  </r>
  <r>
    <x v="1"/>
    <s v="Male"/>
  </r>
  <r>
    <x v="4"/>
    <s v="Female"/>
  </r>
  <r>
    <x v="1"/>
    <s v="Female"/>
  </r>
  <r>
    <x v="0"/>
    <s v="Male"/>
  </r>
  <r>
    <x v="1"/>
    <s v="Male"/>
  </r>
  <r>
    <x v="5"/>
    <s v="Female"/>
  </r>
  <r>
    <x v="1"/>
    <s v="Female"/>
  </r>
  <r>
    <x v="1"/>
    <s v="Female"/>
  </r>
  <r>
    <x v="4"/>
    <s v="Male"/>
  </r>
  <r>
    <x v="1"/>
    <s v="Male"/>
  </r>
  <r>
    <x v="1"/>
    <s v="Female"/>
  </r>
  <r>
    <x v="5"/>
    <s v="Female"/>
  </r>
  <r>
    <x v="3"/>
    <s v="Male"/>
  </r>
  <r>
    <x v="1"/>
    <s v="Female"/>
  </r>
  <r>
    <x v="1"/>
    <s v="Female"/>
  </r>
  <r>
    <x v="1"/>
    <s v="Female"/>
  </r>
  <r>
    <x v="2"/>
    <s v="Male"/>
  </r>
  <r>
    <x v="5"/>
    <s v="Male"/>
  </r>
  <r>
    <x v="1"/>
    <s v="Female"/>
  </r>
  <r>
    <x v="1"/>
    <s v="Male"/>
  </r>
  <r>
    <x v="1"/>
    <s v="Male"/>
  </r>
  <r>
    <x v="5"/>
    <s v="Female"/>
  </r>
  <r>
    <x v="1"/>
    <s v="Female"/>
  </r>
  <r>
    <x v="1"/>
    <s v="Male"/>
  </r>
  <r>
    <x v="1"/>
    <s v="Male"/>
  </r>
  <r>
    <x v="1"/>
    <s v="Male"/>
  </r>
  <r>
    <x v="1"/>
    <s v="Female"/>
  </r>
  <r>
    <x v="1"/>
    <s v="Male"/>
  </r>
  <r>
    <x v="4"/>
    <s v="Female"/>
  </r>
  <r>
    <x v="0"/>
    <s v="Female"/>
  </r>
  <r>
    <x v="1"/>
    <s v="Female"/>
  </r>
  <r>
    <x v="1"/>
    <s v="Female"/>
  </r>
  <r>
    <x v="2"/>
    <s v="Male"/>
  </r>
  <r>
    <x v="1"/>
    <s v="Female"/>
  </r>
  <r>
    <x v="1"/>
    <s v="Male"/>
  </r>
  <r>
    <x v="4"/>
    <s v="Male"/>
  </r>
  <r>
    <x v="1"/>
    <s v="Male"/>
  </r>
  <r>
    <x v="1"/>
    <s v="Female"/>
  </r>
  <r>
    <x v="3"/>
    <s v="Male"/>
  </r>
  <r>
    <x v="3"/>
    <s v="Male"/>
  </r>
  <r>
    <x v="2"/>
    <s v="Male"/>
  </r>
  <r>
    <x v="5"/>
    <s v="Male"/>
  </r>
  <r>
    <x v="5"/>
    <s v="Male"/>
  </r>
  <r>
    <x v="1"/>
    <s v="Female"/>
  </r>
  <r>
    <x v="1"/>
    <s v="Male"/>
  </r>
  <r>
    <x v="5"/>
    <s v="Male"/>
  </r>
  <r>
    <x v="4"/>
    <s v="Male"/>
  </r>
  <r>
    <x v="1"/>
    <s v="Male"/>
  </r>
  <r>
    <x v="3"/>
    <s v="Female"/>
  </r>
  <r>
    <x v="3"/>
    <s v="Male"/>
  </r>
  <r>
    <x v="1"/>
    <s v="Male"/>
  </r>
  <r>
    <x v="3"/>
    <s v="Male"/>
  </r>
  <r>
    <x v="1"/>
    <s v="Male"/>
  </r>
  <r>
    <x v="1"/>
    <s v="Male"/>
  </r>
  <r>
    <x v="2"/>
    <s v="Female"/>
  </r>
  <r>
    <x v="1"/>
    <s v="Male"/>
  </r>
  <r>
    <x v="1"/>
    <s v="Male"/>
  </r>
  <r>
    <x v="5"/>
    <s v="Female"/>
  </r>
  <r>
    <x v="1"/>
    <s v="Male"/>
  </r>
  <r>
    <x v="1"/>
    <s v="Male"/>
  </r>
  <r>
    <x v="1"/>
    <s v="Male"/>
  </r>
  <r>
    <x v="5"/>
    <s v="Male"/>
  </r>
  <r>
    <x v="1"/>
    <s v="Male"/>
  </r>
  <r>
    <x v="1"/>
    <s v="Male"/>
  </r>
  <r>
    <x v="5"/>
    <s v="Male"/>
  </r>
  <r>
    <x v="1"/>
    <s v="Male"/>
  </r>
  <r>
    <x v="5"/>
    <s v="Male"/>
  </r>
  <r>
    <x v="1"/>
    <s v="Male"/>
  </r>
  <r>
    <x v="6"/>
    <s v="Female"/>
  </r>
  <r>
    <x v="1"/>
    <s v="Female"/>
  </r>
  <r>
    <x v="1"/>
    <s v="Male"/>
  </r>
  <r>
    <x v="5"/>
    <s v="Female"/>
  </r>
  <r>
    <x v="1"/>
    <s v="Male"/>
  </r>
  <r>
    <x v="3"/>
    <s v="Female"/>
  </r>
  <r>
    <x v="5"/>
    <s v="Male"/>
  </r>
  <r>
    <x v="1"/>
    <s v="Female"/>
  </r>
  <r>
    <x v="1"/>
    <s v="Male"/>
  </r>
  <r>
    <x v="0"/>
    <s v="Female"/>
  </r>
  <r>
    <x v="2"/>
    <s v="Female"/>
  </r>
  <r>
    <x v="1"/>
    <s v="Female"/>
  </r>
  <r>
    <x v="2"/>
    <s v="Female"/>
  </r>
  <r>
    <x v="3"/>
    <s v="Male"/>
  </r>
  <r>
    <x v="1"/>
    <s v="Male"/>
  </r>
  <r>
    <x v="1"/>
    <s v="Female"/>
  </r>
  <r>
    <x v="1"/>
    <s v="Female"/>
  </r>
  <r>
    <x v="0"/>
    <s v="Male"/>
  </r>
  <r>
    <x v="5"/>
    <s v="Female"/>
  </r>
  <r>
    <x v="3"/>
    <s v="Male"/>
  </r>
  <r>
    <x v="1"/>
    <s v="Male"/>
  </r>
  <r>
    <x v="2"/>
    <s v="Female"/>
  </r>
  <r>
    <x v="1"/>
    <s v="Female"/>
  </r>
  <r>
    <x v="1"/>
    <s v="Male"/>
  </r>
  <r>
    <x v="1"/>
    <s v="Male"/>
  </r>
  <r>
    <x v="1"/>
    <s v="Female"/>
  </r>
  <r>
    <x v="1"/>
    <s v="Male"/>
  </r>
  <r>
    <x v="5"/>
    <s v="Male"/>
  </r>
  <r>
    <x v="1"/>
    <s v="Female"/>
  </r>
  <r>
    <x v="1"/>
    <s v="Male"/>
  </r>
  <r>
    <x v="5"/>
    <s v="Female"/>
  </r>
  <r>
    <x v="1"/>
    <s v="Female"/>
  </r>
  <r>
    <x v="1"/>
    <s v="Male"/>
  </r>
  <r>
    <x v="5"/>
    <s v="Female"/>
  </r>
  <r>
    <x v="1"/>
    <s v="Female"/>
  </r>
  <r>
    <x v="1"/>
    <s v="Male"/>
  </r>
  <r>
    <x v="3"/>
    <s v="Male"/>
  </r>
  <r>
    <x v="1"/>
    <s v="Female"/>
  </r>
  <r>
    <x v="6"/>
    <s v="Male"/>
  </r>
  <r>
    <x v="4"/>
    <s v="Female"/>
  </r>
  <r>
    <x v="5"/>
    <s v="Female"/>
  </r>
  <r>
    <x v="1"/>
    <s v="Male"/>
  </r>
  <r>
    <x v="1"/>
    <s v="Female"/>
  </r>
  <r>
    <x v="5"/>
    <s v="Female"/>
  </r>
  <r>
    <x v="1"/>
    <s v="Male"/>
  </r>
  <r>
    <x v="1"/>
    <s v="Male"/>
  </r>
  <r>
    <x v="1"/>
    <s v="Female"/>
  </r>
  <r>
    <x v="1"/>
    <s v="Male"/>
  </r>
  <r>
    <x v="1"/>
    <s v="Female"/>
  </r>
  <r>
    <x v="1"/>
    <s v="Male"/>
  </r>
  <r>
    <x v="1"/>
    <s v="Male"/>
  </r>
  <r>
    <x v="6"/>
    <s v="Female"/>
  </r>
  <r>
    <x v="1"/>
    <s v="Male"/>
  </r>
  <r>
    <x v="1"/>
    <s v="Male"/>
  </r>
  <r>
    <x v="5"/>
    <s v="Female"/>
  </r>
  <r>
    <x v="5"/>
    <s v="Male"/>
  </r>
  <r>
    <x v="5"/>
    <s v="Male"/>
  </r>
  <r>
    <x v="5"/>
    <s v="Male"/>
  </r>
  <r>
    <x v="1"/>
    <s v="Female"/>
  </r>
  <r>
    <x v="0"/>
    <s v="Female"/>
  </r>
  <r>
    <x v="1"/>
    <s v="Male"/>
  </r>
  <r>
    <x v="5"/>
    <s v="Female"/>
  </r>
  <r>
    <x v="0"/>
    <s v="Male"/>
  </r>
  <r>
    <x v="2"/>
    <s v="Male"/>
  </r>
  <r>
    <x v="1"/>
    <s v="Male"/>
  </r>
  <r>
    <x v="5"/>
    <s v="Male"/>
  </r>
  <r>
    <x v="6"/>
    <s v="Male"/>
  </r>
  <r>
    <x v="1"/>
    <s v="Male"/>
  </r>
  <r>
    <x v="1"/>
    <s v="Male"/>
  </r>
  <r>
    <x v="3"/>
    <s v="Male"/>
  </r>
  <r>
    <x v="1"/>
    <s v="Male"/>
  </r>
  <r>
    <x v="6"/>
    <s v="Female"/>
  </r>
  <r>
    <x v="1"/>
    <s v="Male"/>
  </r>
  <r>
    <x v="5"/>
    <s v="Male"/>
  </r>
  <r>
    <x v="4"/>
    <s v="Male"/>
  </r>
  <r>
    <x v="5"/>
    <s v="Male"/>
  </r>
  <r>
    <x v="1"/>
    <s v="Female"/>
  </r>
  <r>
    <x v="1"/>
    <s v="Male"/>
  </r>
  <r>
    <x v="1"/>
    <s v="Female"/>
  </r>
  <r>
    <x v="7"/>
    <s v="Female"/>
  </r>
  <r>
    <x v="6"/>
    <s v="Female"/>
  </r>
  <r>
    <x v="1"/>
    <s v="Female"/>
  </r>
  <r>
    <x v="2"/>
    <s v="Female"/>
  </r>
  <r>
    <x v="1"/>
    <s v="Female"/>
  </r>
  <r>
    <x v="1"/>
    <s v="Male"/>
  </r>
  <r>
    <x v="6"/>
    <s v="Male"/>
  </r>
  <r>
    <x v="0"/>
    <s v="Male"/>
  </r>
  <r>
    <x v="1"/>
    <s v="Male"/>
  </r>
  <r>
    <x v="0"/>
    <s v="Male"/>
  </r>
  <r>
    <x v="1"/>
    <s v="Male"/>
  </r>
  <r>
    <x v="1"/>
    <s v="Male"/>
  </r>
  <r>
    <x v="0"/>
    <s v="Male"/>
  </r>
  <r>
    <x v="2"/>
    <s v="Male"/>
  </r>
  <r>
    <x v="1"/>
    <s v="Female"/>
  </r>
  <r>
    <x v="5"/>
    <s v="Female"/>
  </r>
  <r>
    <x v="2"/>
    <s v="Male"/>
  </r>
  <r>
    <x v="1"/>
    <s v="Male"/>
  </r>
  <r>
    <x v="5"/>
    <s v="Female"/>
  </r>
  <r>
    <x v="1"/>
    <s v="Female"/>
  </r>
  <r>
    <x v="1"/>
    <s v="Female"/>
  </r>
  <r>
    <x v="1"/>
    <s v="Male"/>
  </r>
  <r>
    <x v="5"/>
    <s v="Male"/>
  </r>
  <r>
    <x v="1"/>
    <s v="Male"/>
  </r>
  <r>
    <x v="9"/>
    <s v="Male"/>
  </r>
  <r>
    <x v="2"/>
    <s v="Male"/>
  </r>
  <r>
    <x v="1"/>
    <s v="Male"/>
  </r>
  <r>
    <x v="3"/>
    <s v="Female"/>
  </r>
  <r>
    <x v="2"/>
    <s v="Male"/>
  </r>
  <r>
    <x v="2"/>
    <s v="Male"/>
  </r>
  <r>
    <x v="5"/>
    <s v="Male"/>
  </r>
  <r>
    <x v="1"/>
    <s v="Male"/>
  </r>
  <r>
    <x v="1"/>
    <s v="Female"/>
  </r>
  <r>
    <x v="5"/>
    <s v="Male"/>
  </r>
  <r>
    <x v="1"/>
    <s v="Female"/>
  </r>
  <r>
    <x v="0"/>
    <s v="Male"/>
  </r>
  <r>
    <x v="1"/>
    <s v="Female"/>
  </r>
  <r>
    <x v="1"/>
    <s v="Female"/>
  </r>
  <r>
    <x v="1"/>
    <s v="Female"/>
  </r>
  <r>
    <x v="1"/>
    <s v="Female"/>
  </r>
  <r>
    <x v="1"/>
    <s v="Female"/>
  </r>
  <r>
    <x v="1"/>
    <s v="Male"/>
  </r>
  <r>
    <x v="2"/>
    <s v="Male"/>
  </r>
  <r>
    <x v="7"/>
    <s v="Male"/>
  </r>
  <r>
    <x v="1"/>
    <s v="Female"/>
  </r>
  <r>
    <x v="1"/>
    <s v="Female"/>
  </r>
  <r>
    <x v="1"/>
    <s v="Female"/>
  </r>
  <r>
    <x v="2"/>
    <s v="Male"/>
  </r>
  <r>
    <x v="5"/>
    <s v="Female"/>
  </r>
  <r>
    <x v="1"/>
    <s v="Female"/>
  </r>
  <r>
    <x v="7"/>
    <s v="Female"/>
  </r>
  <r>
    <x v="1"/>
    <s v="Female"/>
  </r>
  <r>
    <x v="5"/>
    <s v="Male"/>
  </r>
  <r>
    <x v="1"/>
    <s v="Female"/>
  </r>
  <r>
    <x v="7"/>
    <s v="Male"/>
  </r>
  <r>
    <x v="1"/>
    <s v="Male"/>
  </r>
  <r>
    <x v="5"/>
    <s v="Female"/>
  </r>
  <r>
    <x v="1"/>
    <s v="Female"/>
  </r>
  <r>
    <x v="0"/>
    <s v="Male"/>
  </r>
  <r>
    <x v="1"/>
    <s v="Male"/>
  </r>
  <r>
    <x v="5"/>
    <s v="Male"/>
  </r>
  <r>
    <x v="4"/>
    <s v="Male"/>
  </r>
  <r>
    <x v="1"/>
    <s v="Male"/>
  </r>
  <r>
    <x v="5"/>
    <s v="Male"/>
  </r>
  <r>
    <x v="5"/>
    <s v="Male"/>
  </r>
  <r>
    <x v="6"/>
    <s v="Male"/>
  </r>
  <r>
    <x v="5"/>
    <s v="Female"/>
  </r>
  <r>
    <x v="1"/>
    <s v="Male"/>
  </r>
  <r>
    <x v="1"/>
    <s v="Female"/>
  </r>
  <r>
    <x v="1"/>
    <s v="Male"/>
  </r>
  <r>
    <x v="1"/>
    <s v="Male"/>
  </r>
  <r>
    <x v="1"/>
    <s v="Female"/>
  </r>
  <r>
    <x v="1"/>
    <s v="Female"/>
  </r>
  <r>
    <x v="1"/>
    <s v="Female"/>
  </r>
  <r>
    <x v="1"/>
    <s v="Female"/>
  </r>
  <r>
    <x v="1"/>
    <s v="Female"/>
  </r>
  <r>
    <x v="1"/>
    <s v="Male"/>
  </r>
  <r>
    <x v="7"/>
    <s v="Male"/>
  </r>
  <r>
    <x v="1"/>
    <s v="Male"/>
  </r>
  <r>
    <x v="4"/>
    <s v="Female"/>
  </r>
  <r>
    <x v="5"/>
    <s v="Female"/>
  </r>
  <r>
    <x v="6"/>
    <s v="Male"/>
  </r>
  <r>
    <x v="1"/>
    <s v="Male"/>
  </r>
  <r>
    <x v="8"/>
    <s v="Male"/>
  </r>
  <r>
    <x v="0"/>
    <s v="Male"/>
  </r>
  <r>
    <x v="4"/>
    <s v="Male"/>
  </r>
  <r>
    <x v="1"/>
    <s v="Female"/>
  </r>
  <r>
    <x v="1"/>
    <s v="Female"/>
  </r>
  <r>
    <x v="1"/>
    <s v="Male"/>
  </r>
  <r>
    <x v="1"/>
    <s v="Male"/>
  </r>
  <r>
    <x v="1"/>
    <s v="Female"/>
  </r>
  <r>
    <x v="1"/>
    <s v="Female"/>
  </r>
  <r>
    <x v="6"/>
    <s v="Male"/>
  </r>
  <r>
    <x v="2"/>
    <s v="Male"/>
  </r>
  <r>
    <x v="5"/>
    <s v="Male"/>
  </r>
  <r>
    <x v="4"/>
    <s v="Male"/>
  </r>
  <r>
    <x v="2"/>
    <s v="Male"/>
  </r>
  <r>
    <x v="5"/>
    <s v="Female"/>
  </r>
  <r>
    <x v="1"/>
    <s v="Female"/>
  </r>
  <r>
    <x v="1"/>
    <s v="Female"/>
  </r>
  <r>
    <x v="5"/>
    <s v="Female"/>
  </r>
  <r>
    <x v="1"/>
    <s v="Male"/>
  </r>
  <r>
    <x v="1"/>
    <s v="Female"/>
  </r>
  <r>
    <x v="5"/>
    <s v="Female"/>
  </r>
  <r>
    <x v="1"/>
    <s v="Female"/>
  </r>
  <r>
    <x v="3"/>
    <s v="Male"/>
  </r>
  <r>
    <x v="2"/>
    <s v="Female"/>
  </r>
  <r>
    <x v="1"/>
    <s v="Female"/>
  </r>
  <r>
    <x v="1"/>
    <s v="Female"/>
  </r>
  <r>
    <x v="3"/>
    <s v="Male"/>
  </r>
  <r>
    <x v="1"/>
    <s v="Female"/>
  </r>
  <r>
    <x v="1"/>
    <s v="Female"/>
  </r>
  <r>
    <x v="1"/>
    <s v="Male"/>
  </r>
  <r>
    <x v="1"/>
    <s v="Male"/>
  </r>
  <r>
    <x v="1"/>
    <s v="Male"/>
  </r>
  <r>
    <x v="1"/>
    <s v="Female"/>
  </r>
  <r>
    <x v="2"/>
    <s v="Female"/>
  </r>
  <r>
    <x v="5"/>
    <s v="Female"/>
  </r>
  <r>
    <x v="1"/>
    <s v="Female"/>
  </r>
  <r>
    <x v="2"/>
    <s v="Male"/>
  </r>
  <r>
    <x v="1"/>
    <s v="Male"/>
  </r>
  <r>
    <x v="2"/>
    <s v="Male"/>
  </r>
  <r>
    <x v="7"/>
    <s v="Female"/>
  </r>
  <r>
    <x v="5"/>
    <s v="Male"/>
  </r>
  <r>
    <x v="2"/>
    <s v="Male"/>
  </r>
  <r>
    <x v="1"/>
    <s v="Male"/>
  </r>
  <r>
    <x v="5"/>
    <s v="Female"/>
  </r>
  <r>
    <x v="5"/>
    <s v="Male"/>
  </r>
  <r>
    <x v="2"/>
    <s v="Female"/>
  </r>
  <r>
    <x v="3"/>
    <s v="Male"/>
  </r>
  <r>
    <x v="1"/>
    <s v="Male"/>
  </r>
  <r>
    <x v="7"/>
    <s v="Male"/>
  </r>
  <r>
    <x v="1"/>
    <s v="Female"/>
  </r>
  <r>
    <x v="5"/>
    <s v="Male"/>
  </r>
  <r>
    <x v="1"/>
    <s v="Male"/>
  </r>
  <r>
    <x v="5"/>
    <s v="Male"/>
  </r>
  <r>
    <x v="3"/>
    <s v="Male"/>
  </r>
  <r>
    <x v="1"/>
    <s v="Female"/>
  </r>
  <r>
    <x v="1"/>
    <s v="Female"/>
  </r>
  <r>
    <x v="1"/>
    <s v="Female"/>
  </r>
  <r>
    <x v="3"/>
    <s v="Female"/>
  </r>
  <r>
    <x v="1"/>
    <s v="Female"/>
  </r>
  <r>
    <x v="4"/>
    <s v="Female"/>
  </r>
  <r>
    <x v="2"/>
    <s v="Male"/>
  </r>
  <r>
    <x v="5"/>
    <s v="Female"/>
  </r>
  <r>
    <x v="4"/>
    <s v="Female"/>
  </r>
  <r>
    <x v="3"/>
    <s v="Female"/>
  </r>
  <r>
    <x v="3"/>
    <s v="Male"/>
  </r>
  <r>
    <x v="1"/>
    <s v="Male"/>
  </r>
  <r>
    <x v="0"/>
    <s v="Male"/>
  </r>
  <r>
    <x v="5"/>
    <s v="Male"/>
  </r>
  <r>
    <x v="5"/>
    <s v="Female"/>
  </r>
  <r>
    <x v="5"/>
    <s v="Female"/>
  </r>
  <r>
    <x v="1"/>
    <s v="Female"/>
  </r>
  <r>
    <x v="1"/>
    <s v="Male"/>
  </r>
  <r>
    <x v="3"/>
    <s v="Female"/>
  </r>
  <r>
    <x v="1"/>
    <s v="Female"/>
  </r>
  <r>
    <x v="5"/>
    <s v="Female"/>
  </r>
  <r>
    <x v="1"/>
    <s v="Female"/>
  </r>
  <r>
    <x v="5"/>
    <s v="Male"/>
  </r>
  <r>
    <x v="5"/>
    <s v="Female"/>
  </r>
  <r>
    <x v="1"/>
    <s v="Male"/>
  </r>
  <r>
    <x v="1"/>
    <s v="Female"/>
  </r>
  <r>
    <x v="1"/>
    <s v="Female"/>
  </r>
  <r>
    <x v="1"/>
    <s v="Male"/>
  </r>
  <r>
    <x v="6"/>
    <s v="Male"/>
  </r>
  <r>
    <x v="5"/>
    <s v="Male"/>
  </r>
  <r>
    <x v="3"/>
    <s v="Female"/>
  </r>
  <r>
    <x v="5"/>
    <s v="Male"/>
  </r>
  <r>
    <x v="1"/>
    <s v="Male"/>
  </r>
  <r>
    <x v="6"/>
    <s v="Male"/>
  </r>
  <r>
    <x v="1"/>
    <s v="Male"/>
  </r>
  <r>
    <x v="1"/>
    <s v="Female"/>
  </r>
  <r>
    <x v="2"/>
    <s v="Female"/>
  </r>
  <r>
    <x v="2"/>
    <s v="Female"/>
  </r>
  <r>
    <x v="1"/>
    <s v="Male"/>
  </r>
  <r>
    <x v="4"/>
    <s v="Female"/>
  </r>
  <r>
    <x v="1"/>
    <s v="Female"/>
  </r>
  <r>
    <x v="7"/>
    <s v="Male"/>
  </r>
  <r>
    <x v="5"/>
    <s v="Female"/>
  </r>
  <r>
    <x v="5"/>
    <s v="Male"/>
  </r>
  <r>
    <x v="5"/>
    <s v="Male"/>
  </r>
  <r>
    <x v="7"/>
    <s v="Female"/>
  </r>
  <r>
    <x v="1"/>
    <s v="Male"/>
  </r>
  <r>
    <x v="5"/>
    <s v="Male"/>
  </r>
  <r>
    <x v="5"/>
    <s v="Female"/>
  </r>
  <r>
    <x v="1"/>
    <s v="Female"/>
  </r>
  <r>
    <x v="5"/>
    <s v="Male"/>
  </r>
  <r>
    <x v="5"/>
    <s v="Male"/>
  </r>
  <r>
    <x v="2"/>
    <s v="Male"/>
  </r>
  <r>
    <x v="0"/>
    <s v="Male"/>
  </r>
  <r>
    <x v="1"/>
    <s v="Male"/>
  </r>
  <r>
    <x v="9"/>
    <s v="Male"/>
  </r>
  <r>
    <x v="1"/>
    <s v="Female"/>
  </r>
  <r>
    <x v="1"/>
    <s v="Male"/>
  </r>
  <r>
    <x v="1"/>
    <s v="Male"/>
  </r>
  <r>
    <x v="1"/>
    <s v="Male"/>
  </r>
  <r>
    <x v="1"/>
    <s v="Male"/>
  </r>
  <r>
    <x v="1"/>
    <s v="Male"/>
  </r>
  <r>
    <x v="1"/>
    <s v="Female"/>
  </r>
  <r>
    <x v="1"/>
    <s v="Female"/>
  </r>
  <r>
    <x v="1"/>
    <s v="Female"/>
  </r>
  <r>
    <x v="5"/>
    <s v="Female"/>
  </r>
  <r>
    <x v="1"/>
    <s v="Male"/>
  </r>
  <r>
    <x v="5"/>
    <s v="Male"/>
  </r>
  <r>
    <x v="1"/>
    <s v="Female"/>
  </r>
  <r>
    <x v="5"/>
    <s v="Male"/>
  </r>
  <r>
    <x v="5"/>
    <s v="Male"/>
  </r>
  <r>
    <x v="1"/>
    <s v="Male"/>
  </r>
  <r>
    <x v="1"/>
    <s v="Male"/>
  </r>
  <r>
    <x v="4"/>
    <s v="Male"/>
  </r>
  <r>
    <x v="1"/>
    <s v="Female"/>
  </r>
  <r>
    <x v="1"/>
    <s v="Female"/>
  </r>
  <r>
    <x v="2"/>
    <s v="Male"/>
  </r>
  <r>
    <x v="1"/>
    <s v="Male"/>
  </r>
  <r>
    <x v="2"/>
    <s v="Female"/>
  </r>
  <r>
    <x v="2"/>
    <s v="Male"/>
  </r>
  <r>
    <x v="5"/>
    <s v="Male"/>
  </r>
  <r>
    <x v="1"/>
    <s v="Female"/>
  </r>
  <r>
    <x v="1"/>
    <s v="Male"/>
  </r>
  <r>
    <x v="7"/>
    <s v="Male"/>
  </r>
  <r>
    <x v="3"/>
    <s v="Female"/>
  </r>
  <r>
    <x v="1"/>
    <s v="Male"/>
  </r>
  <r>
    <x v="1"/>
    <s v="Female"/>
  </r>
  <r>
    <x v="1"/>
    <s v="Female"/>
  </r>
  <r>
    <x v="5"/>
    <s v="Male"/>
  </r>
  <r>
    <x v="1"/>
    <s v="Female"/>
  </r>
  <r>
    <x v="1"/>
    <s v="Male"/>
  </r>
  <r>
    <x v="1"/>
    <s v="Female"/>
  </r>
  <r>
    <x v="1"/>
    <s v="Female"/>
  </r>
  <r>
    <x v="1"/>
    <s v="Female"/>
  </r>
  <r>
    <x v="1"/>
    <s v="Female"/>
  </r>
  <r>
    <x v="4"/>
    <s v="Male"/>
  </r>
  <r>
    <x v="8"/>
    <s v="Female"/>
  </r>
  <r>
    <x v="7"/>
    <s v="Male"/>
  </r>
  <r>
    <x v="5"/>
    <s v="Male"/>
  </r>
  <r>
    <x v="5"/>
    <s v="Male"/>
  </r>
  <r>
    <x v="1"/>
    <s v="Male"/>
  </r>
  <r>
    <x v="7"/>
    <s v="Female"/>
  </r>
  <r>
    <x v="5"/>
    <s v="Male"/>
  </r>
  <r>
    <x v="3"/>
    <s v="Male"/>
  </r>
  <r>
    <x v="3"/>
    <s v="Male"/>
  </r>
  <r>
    <x v="1"/>
    <s v="Female"/>
  </r>
  <r>
    <x v="1"/>
    <s v="Female"/>
  </r>
  <r>
    <x v="1"/>
    <s v="Female"/>
  </r>
  <r>
    <x v="4"/>
    <s v="Female"/>
  </r>
  <r>
    <x v="1"/>
    <s v="Male"/>
  </r>
  <r>
    <x v="5"/>
    <s v="Male"/>
  </r>
  <r>
    <x v="5"/>
    <s v="Female"/>
  </r>
  <r>
    <x v="1"/>
    <s v="Female"/>
  </r>
  <r>
    <x v="1"/>
    <s v="Male"/>
  </r>
  <r>
    <x v="2"/>
    <s v="Female"/>
  </r>
  <r>
    <x v="7"/>
    <s v="Male"/>
  </r>
  <r>
    <x v="1"/>
    <s v="Male"/>
  </r>
  <r>
    <x v="5"/>
    <s v="Male"/>
  </r>
  <r>
    <x v="1"/>
    <s v="Female"/>
  </r>
  <r>
    <x v="1"/>
    <s v="Female"/>
  </r>
  <r>
    <x v="2"/>
    <s v="Female"/>
  </r>
  <r>
    <x v="1"/>
    <s v="Female"/>
  </r>
  <r>
    <x v="1"/>
    <s v="Male"/>
  </r>
  <r>
    <x v="3"/>
    <s v="Male"/>
  </r>
  <r>
    <x v="5"/>
    <s v="Female"/>
  </r>
  <r>
    <x v="5"/>
    <s v="Male"/>
  </r>
  <r>
    <x v="5"/>
    <s v="Male"/>
  </r>
  <r>
    <x v="1"/>
    <s v="Female"/>
  </r>
  <r>
    <x v="2"/>
    <s v="Male"/>
  </r>
  <r>
    <x v="1"/>
    <s v="Female"/>
  </r>
  <r>
    <x v="1"/>
    <s v="Male"/>
  </r>
  <r>
    <x v="1"/>
    <s v="Male"/>
  </r>
  <r>
    <x v="1"/>
    <s v="Female"/>
  </r>
  <r>
    <x v="1"/>
    <s v="Male"/>
  </r>
  <r>
    <x v="1"/>
    <s v="Female"/>
  </r>
  <r>
    <x v="1"/>
    <s v="Female"/>
  </r>
  <r>
    <x v="5"/>
    <s v="Female"/>
  </r>
  <r>
    <x v="5"/>
    <s v="Male"/>
  </r>
  <r>
    <x v="1"/>
    <s v="Female"/>
  </r>
  <r>
    <x v="1"/>
    <s v="Female"/>
  </r>
  <r>
    <x v="1"/>
    <s v="Male"/>
  </r>
  <r>
    <x v="2"/>
    <s v="Female"/>
  </r>
  <r>
    <x v="1"/>
    <s v="Male"/>
  </r>
  <r>
    <x v="2"/>
    <s v="Male"/>
  </r>
  <r>
    <x v="1"/>
    <s v="Male"/>
  </r>
  <r>
    <x v="1"/>
    <s v="Male"/>
  </r>
  <r>
    <x v="9"/>
    <s v="Female"/>
  </r>
  <r>
    <x v="1"/>
    <s v="Female"/>
  </r>
  <r>
    <x v="4"/>
    <s v="Male"/>
  </r>
  <r>
    <x v="2"/>
    <s v="Male"/>
  </r>
  <r>
    <x v="4"/>
    <s v="Female"/>
  </r>
  <r>
    <x v="1"/>
    <s v="Male"/>
  </r>
  <r>
    <x v="6"/>
    <s v="Male"/>
  </r>
  <r>
    <x v="3"/>
    <s v="Male"/>
  </r>
  <r>
    <x v="1"/>
    <s v="Female"/>
  </r>
  <r>
    <x v="1"/>
    <s v="Male"/>
  </r>
  <r>
    <x v="1"/>
    <s v="Female"/>
  </r>
  <r>
    <x v="1"/>
    <s v="Female"/>
  </r>
  <r>
    <x v="4"/>
    <s v="Female"/>
  </r>
  <r>
    <x v="1"/>
    <s v="Male"/>
  </r>
  <r>
    <x v="2"/>
    <s v="Male"/>
  </r>
  <r>
    <x v="5"/>
    <s v="Female"/>
  </r>
  <r>
    <x v="1"/>
    <s v="Male"/>
  </r>
  <r>
    <x v="1"/>
    <s v="Male"/>
  </r>
  <r>
    <x v="1"/>
    <s v="Male"/>
  </r>
  <r>
    <x v="4"/>
    <s v="Female"/>
  </r>
  <r>
    <x v="1"/>
    <s v="Male"/>
  </r>
  <r>
    <x v="3"/>
    <s v="Male"/>
  </r>
  <r>
    <x v="6"/>
    <s v="Male"/>
  </r>
  <r>
    <x v="1"/>
    <s v="Male"/>
  </r>
  <r>
    <x v="1"/>
    <s v="Male"/>
  </r>
  <r>
    <x v="5"/>
    <s v="Male"/>
  </r>
  <r>
    <x v="1"/>
    <s v="Male"/>
  </r>
  <r>
    <x v="1"/>
    <s v="Female"/>
  </r>
  <r>
    <x v="1"/>
    <s v="Female"/>
  </r>
  <r>
    <x v="2"/>
    <s v="Male"/>
  </r>
  <r>
    <x v="1"/>
    <s v="Male"/>
  </r>
  <r>
    <x v="1"/>
    <s v="Male"/>
  </r>
  <r>
    <x v="5"/>
    <s v="Male"/>
  </r>
  <r>
    <x v="1"/>
    <s v="Female"/>
  </r>
  <r>
    <x v="1"/>
    <s v="Female"/>
  </r>
  <r>
    <x v="3"/>
    <s v="Male"/>
  </r>
  <r>
    <x v="5"/>
    <s v="Female"/>
  </r>
  <r>
    <x v="1"/>
    <s v="Male"/>
  </r>
  <r>
    <x v="1"/>
    <s v="Female"/>
  </r>
  <r>
    <x v="1"/>
    <s v="Male"/>
  </r>
  <r>
    <x v="6"/>
    <s v="Male"/>
  </r>
  <r>
    <x v="3"/>
    <s v="Female"/>
  </r>
  <r>
    <x v="1"/>
    <s v="Female"/>
  </r>
  <r>
    <x v="2"/>
    <s v="Female"/>
  </r>
  <r>
    <x v="1"/>
    <s v="Male"/>
  </r>
  <r>
    <x v="1"/>
    <s v="Female"/>
  </r>
  <r>
    <x v="1"/>
    <s v="Female"/>
  </r>
  <r>
    <x v="1"/>
    <s v="Male"/>
  </r>
  <r>
    <x v="1"/>
    <s v="Female"/>
  </r>
  <r>
    <x v="1"/>
    <s v="Male"/>
  </r>
  <r>
    <x v="2"/>
    <s v="Male"/>
  </r>
  <r>
    <x v="1"/>
    <s v="Female"/>
  </r>
  <r>
    <x v="2"/>
    <s v="Female"/>
  </r>
  <r>
    <x v="1"/>
    <s v="Female"/>
  </r>
  <r>
    <x v="1"/>
    <s v="Female"/>
  </r>
  <r>
    <x v="1"/>
    <s v="Female"/>
  </r>
  <r>
    <x v="1"/>
    <s v="Female"/>
  </r>
  <r>
    <x v="1"/>
    <s v="Male"/>
  </r>
  <r>
    <x v="1"/>
    <s v="Female"/>
  </r>
  <r>
    <x v="5"/>
    <s v="Male"/>
  </r>
  <r>
    <x v="1"/>
    <s v="Male"/>
  </r>
  <r>
    <x v="4"/>
    <s v="Female"/>
  </r>
  <r>
    <x v="1"/>
    <s v="Male"/>
  </r>
  <r>
    <x v="3"/>
    <s v="Male"/>
  </r>
  <r>
    <x v="5"/>
    <s v="Female"/>
  </r>
  <r>
    <x v="1"/>
    <s v="Female"/>
  </r>
  <r>
    <x v="1"/>
    <s v="Male"/>
  </r>
  <r>
    <x v="5"/>
    <s v="Male"/>
  </r>
  <r>
    <x v="1"/>
    <s v="Male"/>
  </r>
  <r>
    <x v="1"/>
    <s v="Female"/>
  </r>
  <r>
    <x v="2"/>
    <s v="Female"/>
  </r>
  <r>
    <x v="2"/>
    <s v="Female"/>
  </r>
  <r>
    <x v="1"/>
    <s v="Female"/>
  </r>
  <r>
    <x v="1"/>
    <s v="Female"/>
  </r>
  <r>
    <x v="5"/>
    <s v="Male"/>
  </r>
  <r>
    <x v="5"/>
    <s v="Female"/>
  </r>
  <r>
    <x v="1"/>
    <s v="Male"/>
  </r>
  <r>
    <x v="4"/>
    <s v="Female"/>
  </r>
  <r>
    <x v="0"/>
    <s v="Female"/>
  </r>
  <r>
    <x v="2"/>
    <s v="Male"/>
  </r>
  <r>
    <x v="5"/>
    <s v="Male"/>
  </r>
  <r>
    <x v="1"/>
    <s v="Female"/>
  </r>
  <r>
    <x v="0"/>
    <s v="Male"/>
  </r>
  <r>
    <x v="3"/>
    <s v="Male"/>
  </r>
  <r>
    <x v="2"/>
    <s v="Female"/>
  </r>
  <r>
    <x v="1"/>
    <s v="Male"/>
  </r>
  <r>
    <x v="1"/>
    <s v="Male"/>
  </r>
  <r>
    <x v="5"/>
    <s v="Male"/>
  </r>
  <r>
    <x v="7"/>
    <s v="Male"/>
  </r>
  <r>
    <x v="1"/>
    <s v="Male"/>
  </r>
  <r>
    <x v="1"/>
    <s v="Female"/>
  </r>
  <r>
    <x v="5"/>
    <s v="Male"/>
  </r>
  <r>
    <x v="5"/>
    <s v="Male"/>
  </r>
  <r>
    <x v="5"/>
    <s v="Male"/>
  </r>
  <r>
    <x v="1"/>
    <s v="Male"/>
  </r>
  <r>
    <x v="5"/>
    <s v="Male"/>
  </r>
  <r>
    <x v="3"/>
    <s v="Male"/>
  </r>
  <r>
    <x v="1"/>
    <s v="Female"/>
  </r>
  <r>
    <x v="1"/>
    <s v="Male"/>
  </r>
  <r>
    <x v="1"/>
    <s v="Male"/>
  </r>
  <r>
    <x v="1"/>
    <s v="Male"/>
  </r>
  <r>
    <x v="1"/>
    <s v="Female"/>
  </r>
  <r>
    <x v="1"/>
    <s v="Male"/>
  </r>
  <r>
    <x v="1"/>
    <s v="Male"/>
  </r>
  <r>
    <x v="5"/>
    <s v="Male"/>
  </r>
  <r>
    <x v="1"/>
    <s v="Male"/>
  </r>
  <r>
    <x v="1"/>
    <s v="Male"/>
  </r>
  <r>
    <x v="6"/>
    <s v="Female"/>
  </r>
  <r>
    <x v="1"/>
    <s v="Male"/>
  </r>
  <r>
    <x v="1"/>
    <s v="Male"/>
  </r>
  <r>
    <x v="5"/>
    <s v="Female"/>
  </r>
  <r>
    <x v="1"/>
    <s v="Female"/>
  </r>
  <r>
    <x v="6"/>
    <s v="Male"/>
  </r>
  <r>
    <x v="0"/>
    <s v="Male"/>
  </r>
  <r>
    <x v="7"/>
    <s v="Male"/>
  </r>
  <r>
    <x v="1"/>
    <s v="Male"/>
  </r>
  <r>
    <x v="1"/>
    <s v="Male"/>
  </r>
  <r>
    <x v="1"/>
    <s v="Male"/>
  </r>
  <r>
    <x v="1"/>
    <s v="Male"/>
  </r>
  <r>
    <x v="4"/>
    <s v="Male"/>
  </r>
  <r>
    <x v="1"/>
    <s v="Male"/>
  </r>
  <r>
    <x v="1"/>
    <s v="Female"/>
  </r>
  <r>
    <x v="1"/>
    <s v="Male"/>
  </r>
  <r>
    <x v="1"/>
    <s v="Male"/>
  </r>
  <r>
    <x v="1"/>
    <s v="Male"/>
  </r>
  <r>
    <x v="1"/>
    <s v="Female"/>
  </r>
  <r>
    <x v="5"/>
    <s v="Female"/>
  </r>
  <r>
    <x v="1"/>
    <s v="Female"/>
  </r>
  <r>
    <x v="8"/>
    <s v="Male"/>
  </r>
  <r>
    <x v="1"/>
    <s v="Male"/>
  </r>
  <r>
    <x v="5"/>
    <s v="Male"/>
  </r>
  <r>
    <x v="1"/>
    <s v="Female"/>
  </r>
  <r>
    <x v="1"/>
    <s v="Female"/>
  </r>
  <r>
    <x v="1"/>
    <s v="Female"/>
  </r>
  <r>
    <x v="1"/>
    <s v="Male"/>
  </r>
  <r>
    <x v="1"/>
    <s v="Female"/>
  </r>
  <r>
    <x v="5"/>
    <s v="Male"/>
  </r>
  <r>
    <x v="1"/>
    <s v="Male"/>
  </r>
  <r>
    <x v="1"/>
    <s v="Female"/>
  </r>
  <r>
    <x v="1"/>
    <s v="Male"/>
  </r>
  <r>
    <x v="1"/>
    <s v="Female"/>
  </r>
  <r>
    <x v="2"/>
    <s v="Male"/>
  </r>
  <r>
    <x v="5"/>
    <s v="Male"/>
  </r>
  <r>
    <x v="1"/>
    <s v="Male"/>
  </r>
  <r>
    <x v="1"/>
    <s v="Female"/>
  </r>
  <r>
    <x v="2"/>
    <s v="Male"/>
  </r>
  <r>
    <x v="1"/>
    <s v="Female"/>
  </r>
  <r>
    <x v="1"/>
    <s v="Male"/>
  </r>
  <r>
    <x v="1"/>
    <s v="Female"/>
  </r>
  <r>
    <x v="5"/>
    <s v="Male"/>
  </r>
  <r>
    <x v="1"/>
    <s v="Female"/>
  </r>
  <r>
    <x v="1"/>
    <s v="Female"/>
  </r>
  <r>
    <x v="1"/>
    <s v="Male"/>
  </r>
  <r>
    <x v="1"/>
    <s v="Male"/>
  </r>
  <r>
    <x v="5"/>
    <s v="Male"/>
  </r>
  <r>
    <x v="1"/>
    <s v="Male"/>
  </r>
  <r>
    <x v="2"/>
    <s v="Male"/>
  </r>
  <r>
    <x v="5"/>
    <s v="Male"/>
  </r>
  <r>
    <x v="2"/>
    <s v="Male"/>
  </r>
  <r>
    <x v="1"/>
    <s v="Male"/>
  </r>
  <r>
    <x v="5"/>
    <s v="Male"/>
  </r>
  <r>
    <x v="1"/>
    <s v="Male"/>
  </r>
  <r>
    <x v="0"/>
    <s v="Male"/>
  </r>
  <r>
    <x v="6"/>
    <s v="Male"/>
  </r>
  <r>
    <x v="1"/>
    <s v="Male"/>
  </r>
  <r>
    <x v="1"/>
    <s v="Male"/>
  </r>
  <r>
    <x v="1"/>
    <s v="Male"/>
  </r>
  <r>
    <x v="5"/>
    <s v="Male"/>
  </r>
  <r>
    <x v="5"/>
    <s v="Male"/>
  </r>
  <r>
    <x v="1"/>
    <s v="Male"/>
  </r>
  <r>
    <x v="1"/>
    <s v="Male"/>
  </r>
  <r>
    <x v="1"/>
    <s v="Female"/>
  </r>
  <r>
    <x v="1"/>
    <s v="Male"/>
  </r>
  <r>
    <x v="3"/>
    <s v="Female"/>
  </r>
  <r>
    <x v="1"/>
    <s v="Female"/>
  </r>
  <r>
    <x v="1"/>
    <s v="Female"/>
  </r>
  <r>
    <x v="1"/>
    <s v="Male"/>
  </r>
  <r>
    <x v="1"/>
    <s v="Female"/>
  </r>
  <r>
    <x v="1"/>
    <s v="Female"/>
  </r>
  <r>
    <x v="1"/>
    <s v="Male"/>
  </r>
  <r>
    <x v="1"/>
    <s v="Male"/>
  </r>
  <r>
    <x v="3"/>
    <s v="Male"/>
  </r>
  <r>
    <x v="1"/>
    <s v="Male"/>
  </r>
  <r>
    <x v="1"/>
    <s v="Female"/>
  </r>
  <r>
    <x v="1"/>
    <s v="Male"/>
  </r>
  <r>
    <x v="1"/>
    <s v="Female"/>
  </r>
  <r>
    <x v="1"/>
    <s v="Female"/>
  </r>
  <r>
    <x v="5"/>
    <s v="Male"/>
  </r>
  <r>
    <x v="1"/>
    <s v="Female"/>
  </r>
  <r>
    <x v="1"/>
    <s v="Male"/>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r>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89DEA-07FF-4C16-9299-A8883C68C15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11" rowHeaderCaption="Would you work for a company whose mission is not clearly defined and publicly posted">
  <location ref="A67:B69" firstHeaderRow="1" firstDataRow="1" firstDataCol="1"/>
  <pivotFields count="19">
    <pivotField numFmtId="164" showAll="0"/>
    <pivotField showAll="0"/>
    <pivotField showAll="0"/>
    <pivotField dataField="1" multipleItemSelectionAllowed="1" showAll="0">
      <items count="4">
        <item x="1"/>
        <item x="0"/>
        <item x="2"/>
        <item t="default"/>
      </items>
    </pivotField>
    <pivotField showAll="0">
      <items count="6">
        <item x="3"/>
        <item x="4"/>
        <item x="2"/>
        <item x="0"/>
        <item x="1"/>
        <item t="default"/>
      </items>
    </pivotField>
    <pivotField showAll="0">
      <items count="4">
        <item x="2"/>
        <item x="1"/>
        <item x="0"/>
        <item t="default"/>
      </items>
    </pivotField>
    <pivotField showAll="0">
      <items count="5">
        <item x="3"/>
        <item h="1" x="2"/>
        <item x="0"/>
        <item x="1"/>
        <item t="default"/>
      </items>
    </pivotField>
    <pivotField axis="axisRow" showAll="0">
      <items count="3">
        <item x="0"/>
        <item x="1"/>
        <item t="default"/>
      </items>
    </pivotField>
    <pivotField showAll="0">
      <items count="3">
        <item x="0"/>
        <item x="1"/>
        <item t="default"/>
      </items>
    </pivotField>
    <pivotField showAll="0">
      <items count="11">
        <item x="1"/>
        <item x="6"/>
        <item x="7"/>
        <item x="0"/>
        <item x="4"/>
        <item x="3"/>
        <item x="2"/>
        <item x="5"/>
        <item x="9"/>
        <item x="8"/>
        <item t="default"/>
      </items>
    </pivotField>
    <pivotField showAll="0"/>
    <pivotField showAll="0"/>
    <pivotField showAll="0"/>
    <pivotField showAll="0"/>
    <pivotField showAll="0"/>
    <pivotField showAll="0"/>
    <pivotField showAll="0"/>
    <pivotField showAll="0"/>
    <pivotField showAll="0"/>
  </pivotFields>
  <rowFields count="1">
    <field x="7"/>
  </rowFields>
  <rowItems count="2">
    <i>
      <x/>
    </i>
    <i>
      <x v="1"/>
    </i>
  </rowItems>
  <colItems count="1">
    <i/>
  </colItems>
  <dataFields count="1">
    <dataField name="Count of Your Gender" fld="3" subtotal="count" baseField="0" baseItem="0"/>
  </dataFields>
  <chartFormats count="8">
    <chartFormat chart="3" format="7"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4A6E25-E2D1-4525-93CB-571243AB4F53}" name="PivotTable11"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rowHeaderCaption="Learning Prperence">
  <location ref="A178:B183" firstHeaderRow="1" firstDataRow="1" firstDataCol="1"/>
  <pivotFields count="16">
    <pivotField numFmtId="164"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n="Expert Learning " x="0"/>
        <item n="Observing &amp;Learn" x="2"/>
        <item n="Self Learning" x="1"/>
        <item n="Self Learning In Company" x="3"/>
        <item n="Trial&amp; Error &amp; Learn" x="4"/>
        <item t="default"/>
      </items>
      <autoSortScope>
        <pivotArea dataOnly="0" outline="0" fieldPosition="0">
          <references count="1">
            <reference field="4294967294" count="1" selected="0">
              <x v="0"/>
            </reference>
          </references>
        </pivotArea>
      </autoSortScope>
    </pivotField>
  </pivotFields>
  <rowFields count="1">
    <field x="15"/>
  </rowFields>
  <rowItems count="5">
    <i>
      <x v="4"/>
    </i>
    <i>
      <x v="1"/>
    </i>
    <i>
      <x v="2"/>
    </i>
    <i>
      <x/>
    </i>
    <i>
      <x v="3"/>
    </i>
  </rowItems>
  <colItems count="1">
    <i/>
  </colItems>
  <dataFields count="1">
    <dataField name="Count of Your Gender" fld="3"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54ED7C-654C-47C2-A72A-A70CEED287A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8" rowHeaderCaption="How likely is that you will work for one employer for 3 years or more">
  <location ref="A46:B49" firstHeaderRow="1" firstDataRow="1" firstDataCol="1"/>
  <pivotFields count="19">
    <pivotField numFmtId="164" showAll="0"/>
    <pivotField showAll="0"/>
    <pivotField showAll="0"/>
    <pivotField dataField="1" multipleItemSelectionAllowed="1" showAll="0">
      <items count="4">
        <item x="1"/>
        <item x="0"/>
        <item x="2"/>
        <item t="default"/>
      </items>
    </pivotField>
    <pivotField showAll="0">
      <items count="6">
        <item x="3"/>
        <item x="4"/>
        <item x="2"/>
        <item x="0"/>
        <item x="1"/>
        <item t="default"/>
      </items>
    </pivotField>
    <pivotField showAll="0">
      <items count="4">
        <item x="2"/>
        <item x="1"/>
        <item x="0"/>
        <item t="default"/>
      </items>
    </pivotField>
    <pivotField axis="axisRow" showAll="0">
      <items count="5">
        <item x="3"/>
        <item h="1" x="2"/>
        <item n="If good Company I will Work" x="0"/>
        <item n="Yes" x="1"/>
        <item t="default"/>
      </items>
    </pivotField>
    <pivotField showAll="0">
      <items count="3">
        <item x="0"/>
        <item x="1"/>
        <item t="default"/>
      </items>
    </pivotField>
    <pivotField showAll="0">
      <items count="3">
        <item x="0"/>
        <item x="1"/>
        <item t="default"/>
      </items>
    </pivotField>
    <pivotField showAll="0">
      <items count="11">
        <item x="1"/>
        <item x="6"/>
        <item x="7"/>
        <item x="0"/>
        <item x="4"/>
        <item x="3"/>
        <item x="2"/>
        <item x="5"/>
        <item x="9"/>
        <item x="8"/>
        <item t="default"/>
      </items>
    </pivotField>
    <pivotField showAll="0"/>
    <pivotField showAll="0"/>
    <pivotField showAll="0"/>
    <pivotField showAll="0"/>
    <pivotField showAll="0"/>
    <pivotField showAll="0"/>
    <pivotField showAll="0"/>
    <pivotField showAll="0"/>
    <pivotField showAll="0"/>
  </pivotFields>
  <rowFields count="1">
    <field x="6"/>
  </rowFields>
  <rowItems count="3">
    <i>
      <x/>
    </i>
    <i>
      <x v="2"/>
    </i>
    <i>
      <x v="3"/>
    </i>
  </rowItems>
  <colItems count="1">
    <i/>
  </colItems>
  <dataFields count="1">
    <dataField name="Count of Your Gender" fld="3"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6FF526-5592-4F86-874A-865ABBF3ED3F}" name="PivotTable7"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Work Environment">
  <location ref="A94:B99" firstHeaderRow="1" firstDataRow="1" firstDataCol="1"/>
  <pivotFields count="16">
    <pivotField numFmtId="164" showAll="0"/>
    <pivotField showAll="0"/>
    <pivotField showAll="0"/>
    <pivotField dataField="1" showAll="0"/>
    <pivotField showAll="0"/>
    <pivotField showAll="0"/>
    <pivotField showAll="0"/>
    <pivotField showAll="0"/>
    <pivotField showAll="0"/>
    <pivotField showAll="0"/>
    <pivotField axis="axisRow" showAll="0">
      <items count="8">
        <item n="Office" x="3"/>
        <item n="Remote" x="0"/>
        <item n="Remote + Travel" x="1"/>
        <item h="1" x="4"/>
        <item h="1" x="2"/>
        <item n="Hybrid + &lt;15 in Office" x="5"/>
        <item n="Hybrid +&gt;15 in office" x="6"/>
        <item t="default"/>
      </items>
    </pivotField>
    <pivotField showAll="0"/>
    <pivotField showAll="0"/>
    <pivotField showAll="0"/>
    <pivotField showAll="0"/>
    <pivotField showAll="0"/>
  </pivotFields>
  <rowFields count="1">
    <field x="10"/>
  </rowFields>
  <rowItems count="5">
    <i>
      <x/>
    </i>
    <i>
      <x v="1"/>
    </i>
    <i>
      <x v="2"/>
    </i>
    <i>
      <x v="5"/>
    </i>
    <i>
      <x v="6"/>
    </i>
  </rowItems>
  <colItems count="1">
    <i/>
  </colItems>
  <dataFields count="1">
    <dataField name="Count of Prepared Location" fld="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B04EEA-269D-4905-8396-5D4D7D8B1766}" name="PivotTable3"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5" rowHeaderCaption="Pursue Higher Education">
  <location ref="A29:B32" firstHeaderRow="1" firstDataRow="1" firstDataCol="1"/>
  <pivotFields count="19">
    <pivotField numFmtId="164" showAll="0"/>
    <pivotField showAll="0"/>
    <pivotField showAll="0"/>
    <pivotField dataField="1" showAll="0">
      <items count="4">
        <item x="1"/>
        <item x="0"/>
        <item x="2"/>
        <item t="default"/>
      </items>
    </pivotField>
    <pivotField showAll="0">
      <items count="6">
        <item x="3"/>
        <item x="4"/>
        <item x="2"/>
        <item x="0"/>
        <item x="1"/>
        <item t="default"/>
      </items>
    </pivotField>
    <pivotField axis="axisRow" showAll="0">
      <items count="4">
        <item n="if sponsor" x="1"/>
        <item n="No" x="2"/>
        <item n="yes"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No of Influnced " fld="3" subtotal="count" baseField="4"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0"/>
          </reference>
        </references>
      </pivotArea>
    </chartFormat>
    <chartFormat chart="4"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A2C19E-BD77-4A9F-A322-139598AABB17}"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7" firstHeaderRow="1" firstDataRow="1" firstDataCol="1"/>
  <pivotFields count="19">
    <pivotField numFmtId="164" showAll="0"/>
    <pivotField showAll="0"/>
    <pivotField showAll="0"/>
    <pivotField axis="axisRow" dataField="1" showAll="0">
      <items count="4">
        <item x="1"/>
        <item x="0"/>
        <item x="2"/>
        <item t="default"/>
      </items>
    </pivotField>
    <pivotField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Your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867EAD-BA1E-4BBE-8BF8-649FB7D2FCE3}" name="PivotTable16" cacheId="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Career Aspiration">
  <location ref="A196:B207" firstHeaderRow="1" firstDataRow="1" firstDataCol="1"/>
  <pivotFields count="2">
    <pivotField axis="axisRow" showAll="0" sortType="ascending">
      <items count="16">
        <item h="1" x="12"/>
        <item n="Content Creater" x="10"/>
        <item n="Developer Team" x="5"/>
        <item n="Business Operation" x="1"/>
        <item n="Designing" x="0"/>
        <item n="Designing + Developing" x="4"/>
        <item n="Enterprenuer" x="8"/>
        <item h="1" x="13"/>
        <item n="Data Analyser" x="6"/>
        <item n="Project Manger" x="2"/>
        <item n="Teacher" x="3"/>
        <item h="1" x="7"/>
        <item n="Freelancer" x="9"/>
        <item n="Business Processer" x="11"/>
        <item h="1" x="14"/>
        <item t="default"/>
      </items>
      <autoSortScope>
        <pivotArea dataOnly="0" outline="0" fieldPosition="0">
          <references count="1">
            <reference field="4294967294" count="1" selected="0">
              <x v="0"/>
            </reference>
          </references>
        </pivotArea>
      </autoSortScope>
    </pivotField>
    <pivotField dataField="1" showAll="0">
      <items count="5">
        <item x="1"/>
        <item x="0"/>
        <item x="2"/>
        <item x="3"/>
        <item t="default"/>
      </items>
    </pivotField>
  </pivotFields>
  <rowFields count="1">
    <field x="0"/>
  </rowFields>
  <rowItems count="11">
    <i>
      <x v="6"/>
    </i>
    <i>
      <x v="1"/>
    </i>
    <i>
      <x v="13"/>
    </i>
    <i>
      <x v="12"/>
    </i>
    <i>
      <x v="8"/>
    </i>
    <i>
      <x v="5"/>
    </i>
    <i>
      <x v="2"/>
    </i>
    <i>
      <x v="9"/>
    </i>
    <i>
      <x v="10"/>
    </i>
    <i>
      <x v="3"/>
    </i>
    <i>
      <x v="4"/>
    </i>
  </rowItems>
  <colItems count="1">
    <i/>
  </colItems>
  <dataFields count="1">
    <dataField name="Count of Your Gender" fld="1" subtotal="count"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293B0F-FA69-4B16-A7D8-98B8314B5F48}" name="PivotTable12" cacheId="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Work Setup">
  <location ref="A227:B234" firstHeaderRow="1" firstDataRow="1" firstDataCol="1"/>
  <pivotFields count="2">
    <pivotField axis="axisRow" multipleItemSelectionAllowed="1" showAll="0" sortType="ascending">
      <items count="12">
        <item x="7"/>
        <item x="1"/>
        <item h="1" x="6"/>
        <item x="2"/>
        <item x="5"/>
        <item x="4"/>
        <item x="3"/>
        <item h="1" x="0"/>
        <item h="1" x="9"/>
        <item x="8"/>
        <item h="1" x="1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9"/>
    </i>
    <i>
      <x/>
    </i>
    <i>
      <x v="5"/>
    </i>
    <i>
      <x v="6"/>
    </i>
    <i>
      <x v="3"/>
    </i>
    <i>
      <x v="4"/>
    </i>
    <i>
      <x v="1"/>
    </i>
  </rowItems>
  <colItems count="1">
    <i/>
  </colItems>
  <dataFields count="1">
    <dataField name="Count of Your Gender"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27B648-A0FC-4413-ACC4-14519AFA46B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9" rowHeaderCaption="How likely would you work for a company whose mission is misaligned with their public actions or even their product">
  <location ref="A85:B87" firstHeaderRow="1" firstDataRow="1" firstDataCol="1"/>
  <pivotFields count="19">
    <pivotField numFmtId="164" showAll="0"/>
    <pivotField showAll="0"/>
    <pivotField showAll="0"/>
    <pivotField multipleItemSelectionAllowed="1" showAll="0">
      <items count="4">
        <item x="1"/>
        <item x="0"/>
        <item x="2"/>
        <item t="default"/>
      </items>
    </pivotField>
    <pivotField showAll="0">
      <items count="6">
        <item x="3"/>
        <item x="4"/>
        <item x="2"/>
        <item x="0"/>
        <item x="1"/>
        <item t="default"/>
      </items>
    </pivotField>
    <pivotField showAll="0">
      <items count="4">
        <item x="2"/>
        <item x="1"/>
        <item x="0"/>
        <item t="default"/>
      </items>
    </pivotField>
    <pivotField showAll="0">
      <items count="5">
        <item x="3"/>
        <item h="1" x="2"/>
        <item x="0"/>
        <item x="1"/>
        <item t="default"/>
      </items>
    </pivotField>
    <pivotField showAll="0">
      <items count="3">
        <item x="0"/>
        <item x="1"/>
        <item t="default"/>
      </items>
    </pivotField>
    <pivotField axis="axisRow" showAll="0">
      <items count="3">
        <item x="0"/>
        <item x="1"/>
        <item t="default"/>
      </items>
    </pivotField>
    <pivotField dataField="1" showAll="0">
      <items count="11">
        <item x="1"/>
        <item x="6"/>
        <item x="7"/>
        <item x="0"/>
        <item x="4"/>
        <item x="3"/>
        <item x="2"/>
        <item x="5"/>
        <item x="9"/>
        <item x="8"/>
        <item t="default"/>
      </items>
    </pivotField>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How likely would you work for a company whose mission is not bringing social impact ?" fld="9"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481960-DFC1-47D9-BB9D-DB814F5D24F3}"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reer Field">
  <location ref="A166:B172" firstHeaderRow="1" firstDataRow="1" firstDataCol="1"/>
  <pivotFields count="16">
    <pivotField numFmtId="164" showAll="0"/>
    <pivotField showAll="0"/>
    <pivotField showAll="0"/>
    <pivotField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n="Instrictor" x="0"/>
        <item x="2"/>
        <item x="1"/>
        <item x="3"/>
        <item x="4"/>
        <item t="default"/>
      </items>
    </pivotField>
  </pivotFields>
  <rowFields count="1">
    <field x="15"/>
  </rowFields>
  <rowItems count="6">
    <i>
      <x/>
    </i>
    <i>
      <x v="1"/>
    </i>
    <i>
      <x v="2"/>
    </i>
    <i>
      <x v="3"/>
    </i>
    <i>
      <x v="4"/>
    </i>
    <i t="grand">
      <x/>
    </i>
  </rowItems>
  <colItems count="1">
    <i/>
  </colItems>
  <dataFields count="1">
    <dataField name="Count of Your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56CB1F-76F4-46FA-8CD8-D155302EC243}" name="PivotTable2"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rowHeaderCaption="Influncers">
  <location ref="A11:B16" firstHeaderRow="1" firstDataRow="1" firstDataCol="1"/>
  <pivotFields count="19">
    <pivotField numFmtId="164" showAll="0"/>
    <pivotField showAll="0"/>
    <pivotField showAll="0"/>
    <pivotField dataField="1" showAll="0">
      <items count="4">
        <item x="1"/>
        <item x="0"/>
        <item x="2"/>
        <item t="default"/>
      </items>
    </pivotField>
    <pivotField axis="axisRow" showAll="0">
      <items count="6">
        <item x="3"/>
        <item x="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x v="4"/>
    </i>
  </rowItems>
  <colItems count="1">
    <i/>
  </colItems>
  <dataFields count="1">
    <dataField name="No of Influnced " fld="3" subtotal="count" baseField="4"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4" count="1" selected="0">
            <x v="0"/>
          </reference>
        </references>
      </pivotArea>
    </chartFormat>
    <chartFormat chart="2" format="14">
      <pivotArea type="data" outline="0" fieldPosition="0">
        <references count="2">
          <reference field="4294967294" count="1" selected="0">
            <x v="0"/>
          </reference>
          <reference field="4" count="1" selected="0">
            <x v="1"/>
          </reference>
        </references>
      </pivotArea>
    </chartFormat>
    <chartFormat chart="2" format="15">
      <pivotArea type="data" outline="0" fieldPosition="0">
        <references count="2">
          <reference field="4294967294" count="1" selected="0">
            <x v="0"/>
          </reference>
          <reference field="4" count="1" selected="0">
            <x v="2"/>
          </reference>
        </references>
      </pivotArea>
    </chartFormat>
    <chartFormat chart="2" format="16">
      <pivotArea type="data" outline="0" fieldPosition="0">
        <references count="2">
          <reference field="4294967294" count="1" selected="0">
            <x v="0"/>
          </reference>
          <reference field="4" count="1" selected="0">
            <x v="3"/>
          </reference>
        </references>
      </pivotArea>
    </chartFormat>
    <chartFormat chart="2"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9E6FB2-882E-4CD6-89EA-7B08F4111218}" name="PivotTable8"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rowHeaderCaption="Work Environment">
  <location ref="A114:B119" firstHeaderRow="1" firstDataRow="1" firstDataCol="1"/>
  <pivotFields count="16">
    <pivotField numFmtId="164" showAll="0"/>
    <pivotField showAll="0"/>
    <pivotField showAll="0"/>
    <pivotField dataField="1" showAll="0"/>
    <pivotField showAll="0"/>
    <pivotField showAll="0"/>
    <pivotField showAll="0"/>
    <pivotField showAll="0"/>
    <pivotField showAll="0"/>
    <pivotField showAll="0"/>
    <pivotField showAll="0">
      <items count="8">
        <item x="3"/>
        <item x="0"/>
        <item x="1"/>
        <item h="1" x="4"/>
        <item h="1" x="2"/>
        <item x="5"/>
        <item x="6"/>
        <item t="default"/>
      </items>
    </pivotField>
    <pivotField axis="axisRow" showAll="0">
      <items count="6">
        <item x="2"/>
        <item x="3"/>
        <item x="1"/>
        <item x="0"/>
        <item x="4"/>
        <item t="default"/>
      </items>
    </pivotField>
    <pivotField showAll="0"/>
    <pivotField showAll="0"/>
    <pivotField showAll="0"/>
    <pivotField showAll="0"/>
  </pivotFields>
  <rowFields count="1">
    <field x="11"/>
  </rowFields>
  <rowItems count="5">
    <i>
      <x/>
    </i>
    <i>
      <x v="1"/>
    </i>
    <i>
      <x v="2"/>
    </i>
    <i>
      <x v="3"/>
    </i>
    <i>
      <x v="4"/>
    </i>
  </rowItems>
  <colItems count="1">
    <i/>
  </colItems>
  <dataFields count="1">
    <dataField name="Count of Prepared Location"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Gender" xr10:uid="{F58A4BA4-1139-45CA-BBF2-3450CA74AAB1}" sourceName="Your Gender">
  <pivotTables>
    <pivotTable tabId="2" name="PivotTable2"/>
    <pivotTable tabId="2" name="PivotTable1"/>
    <pivotTable tabId="2" name="PivotTable3"/>
    <pivotTable tabId="2" name="PivotTable4"/>
    <pivotTable tabId="2" name="PivotTable5"/>
    <pivotTable tabId="2" name="PivotTable6"/>
  </pivotTables>
  <data>
    <tabular pivotCacheId="204443748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ich_of_the_below_factors_influence_the_most_about_your_career_aspirations_?" xr10:uid="{02695641-5CE7-436B-847F-3AB7E17E174B}" sourceName="Which of the below factors influence the most about your career aspirations ?">
  <pivotTables>
    <pivotTable tabId="2" name="PivotTable2"/>
    <pivotTable tabId="2" name="PivotTable1"/>
    <pivotTable tabId="2" name="PivotTable3"/>
    <pivotTable tabId="2" name="PivotTable4"/>
    <pivotTable tabId="2" name="PivotTable5"/>
    <pivotTable tabId="2" name="PivotTable6"/>
  </pivotTables>
  <data>
    <tabular pivotCacheId="2044437486">
      <items count="5">
        <i x="3" s="1"/>
        <i x="4"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Gender" xr10:uid="{0C0C136C-9C79-4741-8696-5226CDE821C7}" cache="Slicer_Your_Gender" caption="Your Gender" rowHeight="209550"/>
  <slicer name="Which of the below factors influence the most about your career aspirations ?" xr10:uid="{DD6F0182-2C00-4664-859E-1A11D742FA7C}" cache="Slicer_Which_of_the_below_factors_influence_the_most_about_your_career_aspirations_?" caption="Which of the below factors influence the most about your career aspirations ?"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3ED867E-4E2A-4E20-9E89-F484F1859C2A}" cache="Slicer_Your_Gender" caption=" Gender" columnCount="3" style="SlicerStyleLight6" rowHeight="432000"/>
  <slicer name=" Influencers" xr10:uid="{B205857B-5438-43B0-B08B-7BD6BFB5615C}" cache="Slicer_Which_of_the_below_factors_influence_the_most_about_your_career_aspirations_?" caption=" Influencers" columnCount="2" style="SlicerStyleLight5" rowHeight="46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1E2C8-F9A1-4C4A-8EA0-FEB4197C79E8}" name="Table1" displayName="Table1" ref="W51:W52" insertRow="1" totalsRowShown="0" headerRowDxfId="0">
  <autoFilter ref="W51:W52" xr:uid="{1B51E2C8-F9A1-4C4A-8EA0-FEB4197C79E8}"/>
  <tableColumns count="1">
    <tableColumn id="1" xr3:uid="{2AF94DAC-48EC-41E6-B4C9-4FF54D16AC21}" name="Column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854"/>
  <sheetViews>
    <sheetView zoomScale="78" zoomScaleNormal="78" workbookViewId="0">
      <selection activeCell="E1" sqref="E1"/>
    </sheetView>
  </sheetViews>
  <sheetFormatPr defaultColWidth="12.6640625" defaultRowHeight="15.75" customHeight="1" x14ac:dyDescent="0.25"/>
  <cols>
    <col min="1" max="1" width="18.21875" bestFit="1" customWidth="1"/>
    <col min="2" max="2" width="21.44140625" bestFit="1" customWidth="1"/>
    <col min="3" max="3" width="29.109375" bestFit="1" customWidth="1"/>
    <col min="5" max="5" width="65.33203125" bestFit="1" customWidth="1"/>
    <col min="6" max="6" width="99.109375" bestFit="1" customWidth="1"/>
    <col min="7" max="7" width="58.6640625" bestFit="1" customWidth="1"/>
    <col min="8" max="8" width="74.44140625" bestFit="1" customWidth="1"/>
    <col min="9" max="9" width="98.33203125" bestFit="1" customWidth="1"/>
    <col min="10" max="10" width="73" bestFit="1" customWidth="1"/>
    <col min="11" max="11" width="59.109375" bestFit="1" customWidth="1"/>
    <col min="12" max="12" width="82.44140625" bestFit="1" customWidth="1"/>
    <col min="13" max="13" width="193.33203125" hidden="1" customWidth="1"/>
    <col min="14" max="14" width="193.33203125" customWidth="1"/>
    <col min="15" max="15" width="60.44140625" bestFit="1" customWidth="1"/>
    <col min="16" max="16" width="146.6640625" bestFit="1" customWidth="1"/>
    <col min="17" max="17" width="126.6640625" bestFit="1" customWidth="1"/>
    <col min="18" max="18" width="24.33203125" bestFit="1" customWidth="1"/>
  </cols>
  <sheetData>
    <row r="1" spans="1:18" x14ac:dyDescent="0.25">
      <c r="A1" s="5" t="str">
        <f ca="1">IFERROR(__xludf.DUMMYFUNCTION("IMPORTRANGE(""https://docs.google.com/spreadsheets/d/1QrGs3rT9RwmBP46hZgfVvScUFPWN3wMCFWiRRmWY3cE/edit#gid=698899005"",""'Form responses 1'!A:S"")"),"Timestamp")</f>
        <v>Timestamp</v>
      </c>
      <c r="B1" s="5" t="str">
        <f ca="1">IFERROR(__xludf.DUMMYFUNCTION("""COMPUTED_VALUE"""),"Your Current Country.")</f>
        <v>Your Current Country.</v>
      </c>
      <c r="C1" s="5" t="str">
        <f ca="1">IFERROR(__xludf.DUMMYFUNCTION("""COMPUTED_VALUE"""),"Your Current Zip Code / Pin Code")</f>
        <v>Your Current Zip Code / Pin Code</v>
      </c>
      <c r="D1" s="5" t="str">
        <f ca="1">IFERROR(__xludf.DUMMYFUNCTION("""COMPUTED_VALUE"""),"Your Gender")</f>
        <v>Your Gender</v>
      </c>
      <c r="E1" s="5" t="str">
        <f ca="1">IFERROR(__xludf.DUMMYFUNCTION("""COMPUTED_VALUE"""),"Which of the below factors influence the most about your career aspirations ?")</f>
        <v>Which of the below factors influence the most about your career aspirations ?</v>
      </c>
      <c r="F1" s="5" t="str">
        <f ca="1">IFERROR(__xludf.DUMMYFUNCTION("""COMPUTED_VALUE"""),"Would you definitely pursue a Higher Education / Post Graduation outside of India ? If only you have to self sponsor it.")</f>
        <v>Would you definitely pursue a Higher Education / Post Graduation outside of India ? If only you have to self sponsor it.</v>
      </c>
      <c r="G1" s="5" t="str">
        <f ca="1">IFERROR(__xludf.DUMMYFUNCTION("""COMPUTED_VALUE"""),"How likely is that you will work for one employer for 3 years or more ?")</f>
        <v>How likely is that you will work for one employer for 3 years or more ?</v>
      </c>
      <c r="H1" s="1" t="s">
        <v>47</v>
      </c>
      <c r="I1" s="5" t="str">
        <f ca="1">IFERROR(__xludf.DUMMYFUNCTION("""COMPUTED_VALUE"""),"How likely would you work for a company whose mission is misaligned with their public actions or even their product ?")</f>
        <v>How likely would you work for a company whose mission is misaligned with their public actions or even their product ?</v>
      </c>
      <c r="J1" s="5" t="str">
        <f ca="1">IFERROR(__xludf.DUMMYFUNCTION("""COMPUTED_VALUE"""),"How likely would you work for a company whose mission is not bringing social impact ?")</f>
        <v>How likely would you work for a company whose mission is not bringing social impact ?</v>
      </c>
      <c r="K1" s="5" t="str">
        <f ca="1">IFERROR(__xludf.DUMMYFUNCTION("""COMPUTED_VALUE"""),"What is the most preferred working environment for you.")</f>
        <v>What is the most preferred working environment for you.</v>
      </c>
      <c r="L1" s="5" t="str">
        <f ca="1">IFERROR(__xludf.DUMMYFUNCTION("""COMPUTED_VALUE"""),"Which of the below Employers would you work with.")</f>
        <v>Which of the below Employers would you work with.</v>
      </c>
      <c r="M1" s="5" t="str">
        <f ca="1">IFERROR(__xludf.DUMMYFUNCTION("""COMPUTED_VALUE"""),"Which of the below careers looks close to your Aspirational job ?")</f>
        <v>Which of the below careers looks close to your Aspirational job ?</v>
      </c>
      <c r="N1" s="8" t="s">
        <v>60</v>
      </c>
      <c r="O1" s="5" t="str">
        <f ca="1">IFERROR(__xludf.DUMMYFUNCTION("""COMPUTED_VALUE"""),"What type of Manager would you work without looking into your watch ?")</f>
        <v>What type of Manager would you work without looking into your watch ?</v>
      </c>
      <c r="P1" s="5" t="str">
        <f ca="1">IFERROR(__xludf.DUMMYFUNCTION("""COMPUTED_VALUE"""),"Which of the following setup you would like to work ?")</f>
        <v>Which of the following setup you would like to work ?</v>
      </c>
      <c r="Q1" s="5" t="s">
        <v>39</v>
      </c>
      <c r="R1" s="5"/>
    </row>
    <row r="2" spans="1:18" x14ac:dyDescent="0.25">
      <c r="A2" s="2">
        <f ca="1">IFERROR(__xludf.DUMMYFUNCTION("""COMPUTED_VALUE"""),44911.4903468171)</f>
        <v>44911.490346817103</v>
      </c>
      <c r="B2" s="1" t="str">
        <f ca="1">IFERROR(__xludf.DUMMYFUNCTION("""COMPUTED_VALUE"""),"India")</f>
        <v>India</v>
      </c>
      <c r="C2" s="1">
        <f ca="1">IFERROR(__xludf.DUMMYFUNCTION("""COMPUTED_VALUE"""),273005)</f>
        <v>273005</v>
      </c>
      <c r="D2" s="1" t="str">
        <f ca="1">IFERROR(__xludf.DUMMYFUNCTION("""COMPUTED_VALUE"""),"Male")</f>
        <v>Male</v>
      </c>
      <c r="E2" s="1" t="str">
        <f ca="1">IFERROR(__xludf.DUMMYFUNCTION("""COMPUTED_VALUE"""),"People who have changed the world for better")</f>
        <v>People who have changed the world for better</v>
      </c>
      <c r="F2" s="1" t="str">
        <f ca="1">IFERROR(__xludf.DUMMYFUNCTION("""COMPUTED_VALUE"""),"Yes, I will earn and do that")</f>
        <v>Yes, I will earn and do that</v>
      </c>
      <c r="G2" s="1" t="str">
        <f ca="1">IFERROR(__xludf.DUMMYFUNCTION("""COMPUTED_VALUE"""),"This will be hard to do, but if it is the right company I would try")</f>
        <v>This will be hard to do, but if it is the right company I would try</v>
      </c>
      <c r="H2" s="1" t="str">
        <f ca="1">IFERROR(__xludf.DUMMYFUNCTION("""COMPUTED_VALUE"""),"No")</f>
        <v>No</v>
      </c>
      <c r="I2" s="1" t="str">
        <f ca="1">IFERROR(__xludf.DUMMYFUNCTION("""COMPUTED_VALUE"""),"Will NOT work for them")</f>
        <v>Will NOT work for them</v>
      </c>
      <c r="J2" s="1">
        <f ca="1">IFERROR(__xludf.DUMMYFUNCTION("""COMPUTED_VALUE"""),4)</f>
        <v>4</v>
      </c>
      <c r="K2" s="1" t="str">
        <f ca="1">IFERROR(__xludf.DUMMYFUNCTION("""COMPUTED_VALUE"""),"Fully Remote with No option to visit offices")</f>
        <v>Fully Remote with No option to visit offices</v>
      </c>
      <c r="L2" s="1" t="str">
        <f ca="1">IFERROR(__xludf.DUMMYFUNCTION("""COMPUTED_VALUE"""),"Employer who rewards learning and enables that environment")</f>
        <v>Employer who rewards learning and enables that environment</v>
      </c>
      <c r="M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N2" s="4" t="s">
        <v>48</v>
      </c>
      <c r="O2" s="1" t="str">
        <f ca="1">IFERROR(__xludf.DUMMYFUNCTION("""COMPUTED_VALUE"""),"Manager who explains what is expected, sets a goal and helps achieve it")</f>
        <v>Manager who explains what is expected, sets a goal and helps achieve it</v>
      </c>
      <c r="P2" s="1" t="str">
        <f ca="1">IFERROR(__xludf.DUMMYFUNCTION("""COMPUTED_VALUE"""),"Work Alone, &lt;67 people in team")</f>
        <v>Work Alone, &lt;67 people in team</v>
      </c>
      <c r="Q2" s="1" t="s">
        <v>40</v>
      </c>
      <c r="R2" s="1"/>
    </row>
    <row r="3" spans="1:18" x14ac:dyDescent="0.25">
      <c r="A3" s="2">
        <f ca="1">IFERROR(__xludf.DUMMYFUNCTION("""COMPUTED_VALUE"""),44911.490670081)</f>
        <v>44911.490670081002</v>
      </c>
      <c r="B3" s="1" t="str">
        <f ca="1">IFERROR(__xludf.DUMMYFUNCTION("""COMPUTED_VALUE"""),"India")</f>
        <v>India</v>
      </c>
      <c r="C3" s="1">
        <f ca="1">IFERROR(__xludf.DUMMYFUNCTION("""COMPUTED_VALUE"""),851129)</f>
        <v>851129</v>
      </c>
      <c r="D3" s="1" t="str">
        <f ca="1">IFERROR(__xludf.DUMMYFUNCTION("""COMPUTED_VALUE"""),"Male")</f>
        <v>Male</v>
      </c>
      <c r="E3" s="1" t="str">
        <f ca="1">IFERROR(__xludf.DUMMYFUNCTION("""COMPUTED_VALUE"""),"People who have changed the world for better")</f>
        <v>People who have changed the world for better</v>
      </c>
      <c r="F3" s="1" t="str">
        <f ca="1">IFERROR(__xludf.DUMMYFUNCTION("""COMPUTED_VALUE"""),"No, But if someone could bare the cost I will")</f>
        <v>No, But if someone could bare the cost I will</v>
      </c>
      <c r="G3" s="1" t="str">
        <f ca="1">IFERROR(__xludf.DUMMYFUNCTION("""COMPUTED_VALUE"""),"This will be hard to do, but if it is the right company I would try")</f>
        <v>This will be hard to do, but if it is the right company I would try</v>
      </c>
      <c r="H3" s="1" t="str">
        <f ca="1">IFERROR(__xludf.DUMMYFUNCTION("""COMPUTED_VALUE"""),"No")</f>
        <v>No</v>
      </c>
      <c r="I3" s="1" t="str">
        <f ca="1">IFERROR(__xludf.DUMMYFUNCTION("""COMPUTED_VALUE"""),"Will NOT work for them")</f>
        <v>Will NOT work for them</v>
      </c>
      <c r="J3" s="1">
        <f ca="1">IFERROR(__xludf.DUMMYFUNCTION("""COMPUTED_VALUE"""),1)</f>
        <v>1</v>
      </c>
      <c r="K3" s="1" t="str">
        <f ca="1">IFERROR(__xludf.DUMMYFUNCTION("""COMPUTED_VALUE"""),"Fully Remote with Options to travel as and when needed")</f>
        <v>Fully Remote with Options to travel as and when needed</v>
      </c>
      <c r="L3" s="1" t="str">
        <f ca="1">IFERROR(__xludf.DUMMYFUNCTION("""COMPUTED_VALUE"""),"Employer who pushes your limits by enabling an learning environment, and rewards you at the end")</f>
        <v>Employer who pushes your limits by enabling an learning environment, and rewards you at the end</v>
      </c>
      <c r="M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 s="4" t="s">
        <v>49</v>
      </c>
      <c r="O3" s="1" t="str">
        <f ca="1">IFERROR(__xludf.DUMMYFUNCTION("""COMPUTED_VALUE"""),"Manager who explains what is expected, sets a goal and helps achieve it")</f>
        <v>Manager who explains what is expected, sets a goal and helps achieve it</v>
      </c>
      <c r="P3" s="1" t="str">
        <f ca="1">IFERROR(__xludf.DUMMYFUNCTION("""COMPUTED_VALUE"""),"Work &lt;=6 People in the Team")</f>
        <v>Work &lt;=6 People in the Team</v>
      </c>
      <c r="Q3" s="1" t="s">
        <v>41</v>
      </c>
      <c r="R3" s="1"/>
    </row>
    <row r="4" spans="1:18" x14ac:dyDescent="0.25">
      <c r="A4" s="2">
        <f ca="1">IFERROR(__xludf.DUMMYFUNCTION("""COMPUTED_VALUE"""),44911.4967823958)</f>
        <v>44911.4967823958</v>
      </c>
      <c r="B4" s="1" t="str">
        <f ca="1">IFERROR(__xludf.DUMMYFUNCTION("""COMPUTED_VALUE"""),"India")</f>
        <v>India</v>
      </c>
      <c r="C4" s="1">
        <f ca="1">IFERROR(__xludf.DUMMYFUNCTION("""COMPUTED_VALUE"""),123106)</f>
        <v>123106</v>
      </c>
      <c r="D4" s="1" t="str">
        <f ca="1">IFERROR(__xludf.DUMMYFUNCTION("""COMPUTED_VALUE"""),"Female")</f>
        <v>Female</v>
      </c>
      <c r="E4" s="1" t="str">
        <f ca="1">IFERROR(__xludf.DUMMYFUNCTION("""COMPUTED_VALUE"""),"Social Media like LinkedIn")</f>
        <v>Social Media like LinkedIn</v>
      </c>
      <c r="F4" s="1" t="str">
        <f ca="1">IFERROR(__xludf.DUMMYFUNCTION("""COMPUTED_VALUE"""),"Yes, I will earn and do that")</f>
        <v>Yes, I will earn and do that</v>
      </c>
      <c r="G4" s="1" t="str">
        <f ca="1">IFERROR(__xludf.DUMMYFUNCTION("""COMPUTED_VALUE"""),"Will work for 3 years or more")</f>
        <v>Will work for 3 years or more</v>
      </c>
      <c r="H4" s="1" t="str">
        <f ca="1">IFERROR(__xludf.DUMMYFUNCTION("""COMPUTED_VALUE"""),"Yes")</f>
        <v>Yes</v>
      </c>
      <c r="I4" s="1" t="str">
        <f ca="1">IFERROR(__xludf.DUMMYFUNCTION("""COMPUTED_VALUE"""),"Will work for them")</f>
        <v>Will work for them</v>
      </c>
      <c r="J4" s="1">
        <f ca="1">IFERROR(__xludf.DUMMYFUNCTION("""COMPUTED_VALUE"""),7)</f>
        <v>7</v>
      </c>
      <c r="K4" s="1" t="str">
        <f ca="1">IFERROR(__xludf.DUMMYFUNCTION("""COMPUTED_VALUE"""),"Hybrid Working Environment with less than 15 days a month at office")</f>
        <v>Hybrid Working Environment with less than 15 days a month at office</v>
      </c>
      <c r="L4" s="1" t="str">
        <f ca="1">IFERROR(__xludf.DUMMYFUNCTION("""COMPUTED_VALUE"""),"Employer who pushes your limits by enabling an learning environment, and rewards you at the end")</f>
        <v>Employer who pushes your limits by enabling an learning environment, and rewards you at the end</v>
      </c>
      <c r="M4" s="1" t="str">
        <f ca="1">IFERROR(__xludf.DUMMYFUNCTION("""COMPUTED_VALUE"""),"Manage and drive End-to-End Projects or Products, Design and Develop amazing software, Become a content Creator in some platform")</f>
        <v>Manage and drive End-to-End Projects or Products, Design and Develop amazing software, Become a content Creator in some platform</v>
      </c>
      <c r="N4" s="4" t="s">
        <v>48</v>
      </c>
      <c r="O4" s="1" t="str">
        <f ca="1">IFERROR(__xludf.DUMMYFUNCTION("""COMPUTED_VALUE"""),"Manager who explains what is expected, sets a goal and helps achieve it")</f>
        <v>Manager who explains what is expected, sets a goal and helps achieve it</v>
      </c>
      <c r="P4" s="1" t="str">
        <f ca="1">IFERROR(__xludf.DUMMYFUNCTION("""COMPUTED_VALUE"""),"Work &lt;=6 People in the Team")</f>
        <v>Work &lt;=6 People in the Team</v>
      </c>
      <c r="Q4" s="1" t="s">
        <v>41</v>
      </c>
      <c r="R4" s="1"/>
    </row>
    <row r="5" spans="1:18" x14ac:dyDescent="0.25">
      <c r="A5" s="2">
        <f ca="1">IFERROR(__xludf.DUMMYFUNCTION("""COMPUTED_VALUE"""),44911.4991419675)</f>
        <v>44911.499141967499</v>
      </c>
      <c r="B5" s="1" t="str">
        <f ca="1">IFERROR(__xludf.DUMMYFUNCTION("""COMPUTED_VALUE"""),"India")</f>
        <v>India</v>
      </c>
      <c r="C5" s="1">
        <f ca="1">IFERROR(__xludf.DUMMYFUNCTION("""COMPUTED_VALUE"""),834003)</f>
        <v>834003</v>
      </c>
      <c r="D5" s="1" t="str">
        <f ca="1">IFERROR(__xludf.DUMMYFUNCTION("""COMPUTED_VALUE"""),"Male")</f>
        <v>Male</v>
      </c>
      <c r="E5" s="1" t="str">
        <f ca="1">IFERROR(__xludf.DUMMYFUNCTION("""COMPUTED_VALUE"""),"People from my circle, but not family members")</f>
        <v>People from my circle, but not family members</v>
      </c>
      <c r="F5" s="1" t="str">
        <f ca="1">IFERROR(__xludf.DUMMYFUNCTION("""COMPUTED_VALUE"""),"No, But if someone could bare the cost I will")</f>
        <v>No, But if someone could bare the cost I will</v>
      </c>
      <c r="G5" s="1" t="str">
        <f ca="1">IFERROR(__xludf.DUMMYFUNCTION("""COMPUTED_VALUE"""),"This will be hard to do, but if it is the right company I would try")</f>
        <v>This will be hard to do, but if it is the right company I would try</v>
      </c>
      <c r="H5" s="1" t="str">
        <f ca="1">IFERROR(__xludf.DUMMYFUNCTION("""COMPUTED_VALUE"""),"No")</f>
        <v>No</v>
      </c>
      <c r="I5" s="1" t="str">
        <f ca="1">IFERROR(__xludf.DUMMYFUNCTION("""COMPUTED_VALUE"""),"Will NOT work for them")</f>
        <v>Will NOT work for them</v>
      </c>
      <c r="J5" s="1">
        <f ca="1">IFERROR(__xludf.DUMMYFUNCTION("""COMPUTED_VALUE"""),6)</f>
        <v>6</v>
      </c>
      <c r="K5" s="1" t="str">
        <f ca="1">IFERROR(__xludf.DUMMYFUNCTION("""COMPUTED_VALUE"""),"Hybrid Working Environment with less than 15 days a month at office")</f>
        <v>Hybrid Working Environment with less than 15 days a month at office</v>
      </c>
      <c r="L5" s="1" t="str">
        <f ca="1">IFERROR(__xludf.DUMMYFUNCTION("""COMPUTED_VALUE"""),"Employer who pushes your limits by enabling an learning environment, and rewards you at the end")</f>
        <v>Employer who pushes your limits by enabling an learning environment, and rewards you at the end</v>
      </c>
      <c r="M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5" s="4" t="s">
        <v>48</v>
      </c>
      <c r="O5" s="1" t="str">
        <f ca="1">IFERROR(__xludf.DUMMYFUNCTION("""COMPUTED_VALUE"""),"Manager who explains what is expected, sets a goal and helps achieve it")</f>
        <v>Manager who explains what is expected, sets a goal and helps achieve it</v>
      </c>
      <c r="P5" s="1" t="str">
        <f ca="1">IFERROR(__xludf.DUMMYFUNCTION("""COMPUTED_VALUE"""),"Work &lt;=6 People in the Team")</f>
        <v>Work &lt;=6 People in the Team</v>
      </c>
      <c r="Q5" s="1" t="s">
        <v>40</v>
      </c>
      <c r="R5" s="1"/>
    </row>
    <row r="6" spans="1:18" x14ac:dyDescent="0.25">
      <c r="A6" s="2">
        <f ca="1">IFERROR(__xludf.DUMMYFUNCTION("""COMPUTED_VALUE"""),44911.4996104745)</f>
        <v>44911.499610474501</v>
      </c>
      <c r="B6" s="1" t="str">
        <f ca="1">IFERROR(__xludf.DUMMYFUNCTION("""COMPUTED_VALUE"""),"India")</f>
        <v>India</v>
      </c>
      <c r="C6" s="1">
        <f ca="1">IFERROR(__xludf.DUMMYFUNCTION("""COMPUTED_VALUE"""),301019)</f>
        <v>301019</v>
      </c>
      <c r="D6" s="1" t="str">
        <f ca="1">IFERROR(__xludf.DUMMYFUNCTION("""COMPUTED_VALUE"""),"Female")</f>
        <v>Female</v>
      </c>
      <c r="E6" s="1" t="str">
        <f ca="1">IFERROR(__xludf.DUMMYFUNCTION("""COMPUTED_VALUE"""),"Influencers who had successful careers")</f>
        <v>Influencers who had successful careers</v>
      </c>
      <c r="F6" s="1" t="str">
        <f ca="1">IFERROR(__xludf.DUMMYFUNCTION("""COMPUTED_VALUE"""),"No, But if someone could bare the cost I will")</f>
        <v>No, But if someone could bare the cost I will</v>
      </c>
      <c r="G6" s="1" t="str">
        <f ca="1">IFERROR(__xludf.DUMMYFUNCTION("""COMPUTED_VALUE"""),"Will work for 3 years or more")</f>
        <v>Will work for 3 years or more</v>
      </c>
      <c r="H6" s="1" t="str">
        <f ca="1">IFERROR(__xludf.DUMMYFUNCTION("""COMPUTED_VALUE"""),"No")</f>
        <v>No</v>
      </c>
      <c r="I6" s="1" t="str">
        <f ca="1">IFERROR(__xludf.DUMMYFUNCTION("""COMPUTED_VALUE"""),"Will NOT work for them")</f>
        <v>Will NOT work for them</v>
      </c>
      <c r="J6" s="1">
        <f ca="1">IFERROR(__xludf.DUMMYFUNCTION("""COMPUTED_VALUE"""),5)</f>
        <v>5</v>
      </c>
      <c r="K6" s="1" t="str">
        <f ca="1">IFERROR(__xludf.DUMMYFUNCTION("""COMPUTED_VALUE"""),"Fully Remote with Options to travel as and when needed")</f>
        <v>Fully Remote with Options to travel as and when needed</v>
      </c>
      <c r="L6" s="1" t="str">
        <f ca="1">IFERROR(__xludf.DUMMYFUNCTION("""COMPUTED_VALUE"""),"Employer who appreciates learning and enables that environment")</f>
        <v>Employer who appreciates learning and enables that environment</v>
      </c>
      <c r="M6"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N6" s="4" t="s">
        <v>48</v>
      </c>
      <c r="O6" s="1" t="str">
        <f ca="1">IFERROR(__xludf.DUMMYFUNCTION("""COMPUTED_VALUE"""),"Manager who explains what is expected, sets a goal and helps achieve it")</f>
        <v>Manager who explains what is expected, sets a goal and helps achieve it</v>
      </c>
      <c r="P6" s="1" t="str">
        <f ca="1">IFERROR(__xludf.DUMMYFUNCTION("""COMPUTED_VALUE"""),"Work &lt;=6 People in the Team")</f>
        <v>Work &lt;=6 People in the Team</v>
      </c>
      <c r="Q6" s="1" t="s">
        <v>41</v>
      </c>
      <c r="R6" s="1"/>
    </row>
    <row r="7" spans="1:18" x14ac:dyDescent="0.25">
      <c r="A7" s="2">
        <f ca="1">IFERROR(__xludf.DUMMYFUNCTION("""COMPUTED_VALUE"""),44911.4997339351)</f>
        <v>44911.499733935103</v>
      </c>
      <c r="B7" s="1" t="str">
        <f ca="1">IFERROR(__xludf.DUMMYFUNCTION("""COMPUTED_VALUE"""),"India")</f>
        <v>India</v>
      </c>
      <c r="C7" s="1">
        <f ca="1">IFERROR(__xludf.DUMMYFUNCTION("""COMPUTED_VALUE"""),768028)</f>
        <v>768028</v>
      </c>
      <c r="D7" s="1" t="str">
        <f ca="1">IFERROR(__xludf.DUMMYFUNCTION("""COMPUTED_VALUE"""),"Female")</f>
        <v>Female</v>
      </c>
      <c r="E7" s="1" t="str">
        <f ca="1">IFERROR(__xludf.DUMMYFUNCTION("""COMPUTED_VALUE"""),"My Parents")</f>
        <v>My Parents</v>
      </c>
      <c r="F7" s="1" t="str">
        <f ca="1">IFERROR(__xludf.DUMMYFUNCTION("""COMPUTED_VALUE"""),"Yes, I will earn and do that")</f>
        <v>Yes, I will earn and do that</v>
      </c>
      <c r="G7" s="1" t="str">
        <f ca="1">IFERROR(__xludf.DUMMYFUNCTION("""COMPUTED_VALUE"""),"This will be hard to do, but if it is the right company I would try")</f>
        <v>This will be hard to do, but if it is the right company I would try</v>
      </c>
      <c r="H7" s="1" t="str">
        <f ca="1">IFERROR(__xludf.DUMMYFUNCTION("""COMPUTED_VALUE"""),"No")</f>
        <v>No</v>
      </c>
      <c r="I7" s="1" t="str">
        <f ca="1">IFERROR(__xludf.DUMMYFUNCTION("""COMPUTED_VALUE"""),"Will NOT work for them")</f>
        <v>Will NOT work for them</v>
      </c>
      <c r="J7" s="1">
        <f ca="1">IFERROR(__xludf.DUMMYFUNCTION("""COMPUTED_VALUE"""),6)</f>
        <v>6</v>
      </c>
      <c r="K7" s="1" t="str">
        <f ca="1">IFERROR(__xludf.DUMMYFUNCTION("""COMPUTED_VALUE"""),"Fully Remote with Options to travel as and when needed")</f>
        <v>Fully Remote with Options to travel as and when needed</v>
      </c>
      <c r="L7" s="1" t="str">
        <f ca="1">IFERROR(__xludf.DUMMYFUNCTION("""COMPUTED_VALUE"""),"Employer who appreciates learning and enables that environment")</f>
        <v>Employer who appreciates learning and enables that environment</v>
      </c>
      <c r="M7"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7" s="4" t="s">
        <v>49</v>
      </c>
      <c r="O7" s="1" t="str">
        <f ca="1">IFERROR(__xludf.DUMMYFUNCTION("""COMPUTED_VALUE"""),"Manager who explains what is expected, sets a goal and helps achieve it")</f>
        <v>Manager who explains what is expected, sets a goal and helps achieve it</v>
      </c>
      <c r="P7" s="1" t="str">
        <f ca="1">IFERROR(__xludf.DUMMYFUNCTION("""COMPUTED_VALUE"""),"Work &lt;=6 People in the Team")</f>
        <v>Work &lt;=6 People in the Team</v>
      </c>
      <c r="Q7" s="1" t="s">
        <v>40</v>
      </c>
      <c r="R7" s="1"/>
    </row>
    <row r="8" spans="1:18" x14ac:dyDescent="0.25">
      <c r="A8" s="2">
        <f ca="1">IFERROR(__xludf.DUMMYFUNCTION("""COMPUTED_VALUE"""),44911.5000374074)</f>
        <v>44911.500037407401</v>
      </c>
      <c r="B8" s="1" t="str">
        <f ca="1">IFERROR(__xludf.DUMMYFUNCTION("""COMPUTED_VALUE"""),"India")</f>
        <v>India</v>
      </c>
      <c r="C8" s="1">
        <f ca="1">IFERROR(__xludf.DUMMYFUNCTION("""COMPUTED_VALUE"""),301019)</f>
        <v>301019</v>
      </c>
      <c r="D8" s="1" t="str">
        <f ca="1">IFERROR(__xludf.DUMMYFUNCTION("""COMPUTED_VALUE"""),"Male")</f>
        <v>Male</v>
      </c>
      <c r="E8" s="1" t="str">
        <f ca="1">IFERROR(__xludf.DUMMYFUNCTION("""COMPUTED_VALUE"""),"People from my circle, but not family members")</f>
        <v>People from my circle, but not family members</v>
      </c>
      <c r="F8" s="1" t="str">
        <f ca="1">IFERROR(__xludf.DUMMYFUNCTION("""COMPUTED_VALUE"""),"No, But if someone could bare the cost I will")</f>
        <v>No, But if someone could bare the cost I will</v>
      </c>
      <c r="G8" s="1" t="str">
        <f ca="1">IFERROR(__xludf.DUMMYFUNCTION("""COMPUTED_VALUE"""),"This will be hard to do, but if it is the right company I would try")</f>
        <v>This will be hard to do, but if it is the right company I would try</v>
      </c>
      <c r="H8" s="1" t="str">
        <f ca="1">IFERROR(__xludf.DUMMYFUNCTION("""COMPUTED_VALUE"""),"Yes")</f>
        <v>Yes</v>
      </c>
      <c r="I8" s="1" t="str">
        <f ca="1">IFERROR(__xludf.DUMMYFUNCTION("""COMPUTED_VALUE"""),"Will work for them")</f>
        <v>Will work for them</v>
      </c>
      <c r="J8" s="1">
        <f ca="1">IFERROR(__xludf.DUMMYFUNCTION("""COMPUTED_VALUE"""),7)</f>
        <v>7</v>
      </c>
      <c r="K8" s="1" t="str">
        <f ca="1">IFERROR(__xludf.DUMMYFUNCTION("""COMPUTED_VALUE"""),"Fully Remote with Options to travel as and when needed")</f>
        <v>Fully Remote with Options to travel as and when needed</v>
      </c>
      <c r="L8" s="1" t="str">
        <f ca="1">IFERROR(__xludf.DUMMYFUNCTION("""COMPUTED_VALUE"""),"Employer who pushes your limits by enabling an learning environment, and rewards you at the end")</f>
        <v>Employer who pushes your limits by enabling an learning environment, and rewards you at the end</v>
      </c>
      <c r="M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8" s="4" t="s">
        <v>48</v>
      </c>
      <c r="O8" s="1" t="str">
        <f ca="1">IFERROR(__xludf.DUMMYFUNCTION("""COMPUTED_VALUE"""),"Manager who explains what is expected, sets a goal and helps achieve it")</f>
        <v>Manager who explains what is expected, sets a goal and helps achieve it</v>
      </c>
      <c r="P8" s="1" t="str">
        <f ca="1">IFERROR(__xludf.DUMMYFUNCTION("""COMPUTED_VALUE"""),"Work &lt;=6 People in the Team")</f>
        <v>Work &lt;=6 People in the Team</v>
      </c>
      <c r="Q8" s="1" t="s">
        <v>40</v>
      </c>
      <c r="R8" s="1"/>
    </row>
    <row r="9" spans="1:18" x14ac:dyDescent="0.25">
      <c r="A9" s="2">
        <f ca="1">IFERROR(__xludf.DUMMYFUNCTION("""COMPUTED_VALUE"""),44911.5014718287)</f>
        <v>44911.501471828698</v>
      </c>
      <c r="B9" s="1" t="str">
        <f ca="1">IFERROR(__xludf.DUMMYFUNCTION("""COMPUTED_VALUE"""),"India")</f>
        <v>India</v>
      </c>
      <c r="C9" s="1">
        <f ca="1">IFERROR(__xludf.DUMMYFUNCTION("""COMPUTED_VALUE"""),722207)</f>
        <v>722207</v>
      </c>
      <c r="D9" s="1" t="str">
        <f ca="1">IFERROR(__xludf.DUMMYFUNCTION("""COMPUTED_VALUE"""),"Male")</f>
        <v>Male</v>
      </c>
      <c r="E9" s="1" t="str">
        <f ca="1">IFERROR(__xludf.DUMMYFUNCTION("""COMPUTED_VALUE"""),"People from my circle, but not family members")</f>
        <v>People from my circle, but not family members</v>
      </c>
      <c r="F9" s="1" t="str">
        <f ca="1">IFERROR(__xludf.DUMMYFUNCTION("""COMPUTED_VALUE"""),"No, But if someone could bare the cost I will")</f>
        <v>No, But if someone could bare the cost I will</v>
      </c>
      <c r="G9" s="1" t="str">
        <f ca="1">IFERROR(__xludf.DUMMYFUNCTION("""COMPUTED_VALUE"""),"This will be hard to do, but if it is the right company I would try")</f>
        <v>This will be hard to do, but if it is the right company I would try</v>
      </c>
      <c r="H9" s="1" t="str">
        <f ca="1">IFERROR(__xludf.DUMMYFUNCTION("""COMPUTED_VALUE"""),"No")</f>
        <v>No</v>
      </c>
      <c r="I9" s="1" t="str">
        <f ca="1">IFERROR(__xludf.DUMMYFUNCTION("""COMPUTED_VALUE"""),"Will work for them")</f>
        <v>Will work for them</v>
      </c>
      <c r="J9" s="1">
        <f ca="1">IFERROR(__xludf.DUMMYFUNCTION("""COMPUTED_VALUE"""),5)</f>
        <v>5</v>
      </c>
      <c r="K9" s="1" t="str">
        <f ca="1">IFERROR(__xludf.DUMMYFUNCTION("""COMPUTED_VALUE"""),"Hybrid Working Environment with less than 15 days a month at office")</f>
        <v>Hybrid Working Environment with less than 15 days a month at office</v>
      </c>
      <c r="L9" s="1" t="str">
        <f ca="1">IFERROR(__xludf.DUMMYFUNCTION("""COMPUTED_VALUE"""),"Employer who pushes your limits by enabling an learning environment, and rewards you at the end")</f>
        <v>Employer who pushes your limits by enabling an learning environment, and rewards you at the end</v>
      </c>
      <c r="M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9" s="4" t="s">
        <v>48</v>
      </c>
      <c r="O9" s="1" t="str">
        <f ca="1">IFERROR(__xludf.DUMMYFUNCTION("""COMPUTED_VALUE"""),"Manager who explains what is expected, sets a goal and helps achieve it")</f>
        <v>Manager who explains what is expected, sets a goal and helps achieve it</v>
      </c>
      <c r="P9" s="1" t="str">
        <f ca="1">IFERROR(__xludf.DUMMYFUNCTION("""COMPUTED_VALUE"""),"Work &gt;=7 People in the Team")</f>
        <v>Work &gt;=7 People in the Team</v>
      </c>
      <c r="Q9" s="1" t="s">
        <v>41</v>
      </c>
      <c r="R9" s="1"/>
    </row>
    <row r="10" spans="1:18" x14ac:dyDescent="0.25">
      <c r="A10" s="2">
        <f ca="1">IFERROR(__xludf.DUMMYFUNCTION("""COMPUTED_VALUE"""),44911.508448125)</f>
        <v>44911.508448125001</v>
      </c>
      <c r="B10" s="1" t="str">
        <f ca="1">IFERROR(__xludf.DUMMYFUNCTION("""COMPUTED_VALUE"""),"India")</f>
        <v>India</v>
      </c>
      <c r="C10" s="1">
        <f ca="1">IFERROR(__xludf.DUMMYFUNCTION("""COMPUTED_VALUE"""),400022)</f>
        <v>400022</v>
      </c>
      <c r="D10" s="1" t="str">
        <f ca="1">IFERROR(__xludf.DUMMYFUNCTION("""COMPUTED_VALUE"""),"Male")</f>
        <v>Male</v>
      </c>
      <c r="E10" s="1" t="str">
        <f ca="1">IFERROR(__xludf.DUMMYFUNCTION("""COMPUTED_VALUE"""),"People from my circle, but not family members")</f>
        <v>People from my circle, but not family members</v>
      </c>
      <c r="F10" s="1" t="str">
        <f ca="1">IFERROR(__xludf.DUMMYFUNCTION("""COMPUTED_VALUE"""),"No, But if someone could bare the cost I will")</f>
        <v>No, But if someone could bare the cost I will</v>
      </c>
      <c r="G10" s="1" t="str">
        <f ca="1">IFERROR(__xludf.DUMMYFUNCTION("""COMPUTED_VALUE"""),"This will be hard to do, but if it is the right company I would try")</f>
        <v>This will be hard to do, but if it is the right company I would try</v>
      </c>
      <c r="H10" s="1" t="str">
        <f ca="1">IFERROR(__xludf.DUMMYFUNCTION("""COMPUTED_VALUE"""),"Yes")</f>
        <v>Yes</v>
      </c>
      <c r="I10" s="1" t="str">
        <f ca="1">IFERROR(__xludf.DUMMYFUNCTION("""COMPUTED_VALUE"""),"Will NOT work for them")</f>
        <v>Will NOT work for them</v>
      </c>
      <c r="J10" s="1">
        <f ca="1">IFERROR(__xludf.DUMMYFUNCTION("""COMPUTED_VALUE"""),6)</f>
        <v>6</v>
      </c>
      <c r="K10" s="1" t="str">
        <f ca="1">IFERROR(__xludf.DUMMYFUNCTION("""COMPUTED_VALUE"""),"Fully Remote with Options to travel as and when needed")</f>
        <v>Fully Remote with Options to travel as and when needed</v>
      </c>
      <c r="L10" s="1" t="str">
        <f ca="1">IFERROR(__xludf.DUMMYFUNCTION("""COMPUTED_VALUE"""),"Employer who rewards learning and enables that environment")</f>
        <v>Employer who rewards learning and enables that environment</v>
      </c>
      <c r="M10" s="1" t="str">
        <f ca="1">IFERROR(__xludf.DUMMYFUNCTION("""COMPUTED_VALUE"""),"Teaching in any of the institutes/online or Offline, Look deeply into Data and generate insights, Become a content Creator in some platform")</f>
        <v>Teaching in any of the institutes/online or Offline, Look deeply into Data and generate insights, Become a content Creator in some platform</v>
      </c>
      <c r="N10" s="4" t="s">
        <v>48</v>
      </c>
      <c r="O10" s="1" t="str">
        <f ca="1">IFERROR(__xludf.DUMMYFUNCTION("""COMPUTED_VALUE"""),"Manager who explains what is expected, sets a goal and helps achieve it")</f>
        <v>Manager who explains what is expected, sets a goal and helps achieve it</v>
      </c>
      <c r="P10" s="1" t="str">
        <f ca="1">IFERROR(__xludf.DUMMYFUNCTION("""COMPUTED_VALUE"""),"Work &lt;=6 People in the Team")</f>
        <v>Work &lt;=6 People in the Team</v>
      </c>
      <c r="Q10" s="1" t="s">
        <v>41</v>
      </c>
      <c r="R10" s="1"/>
    </row>
    <row r="11" spans="1:18" x14ac:dyDescent="0.25">
      <c r="A11" s="2">
        <f ca="1">IFERROR(__xludf.DUMMYFUNCTION("""COMPUTED_VALUE"""),44911.525286331)</f>
        <v>44911.525286331002</v>
      </c>
      <c r="B11" s="1" t="str">
        <f ca="1">IFERROR(__xludf.DUMMYFUNCTION("""COMPUTED_VALUE"""),"India")</f>
        <v>India</v>
      </c>
      <c r="C11" s="1">
        <f ca="1">IFERROR(__xludf.DUMMYFUNCTION("""COMPUTED_VALUE"""),201310)</f>
        <v>201310</v>
      </c>
      <c r="D11" s="1" t="str">
        <f ca="1">IFERROR(__xludf.DUMMYFUNCTION("""COMPUTED_VALUE"""),"Male")</f>
        <v>Male</v>
      </c>
      <c r="E11" s="1" t="str">
        <f ca="1">IFERROR(__xludf.DUMMYFUNCTION("""COMPUTED_VALUE"""),"Social Media like LinkedIn")</f>
        <v>Social Media like LinkedIn</v>
      </c>
      <c r="F11" s="1" t="str">
        <f ca="1">IFERROR(__xludf.DUMMYFUNCTION("""COMPUTED_VALUE"""),"No, But if someone could bare the cost I will")</f>
        <v>No, But if someone could bare the cost I will</v>
      </c>
      <c r="G11" s="1" t="str">
        <f ca="1">IFERROR(__xludf.DUMMYFUNCTION("""COMPUTED_VALUE"""),"This will be hard to do, but if it is the right company I would try")</f>
        <v>This will be hard to do, but if it is the right company I would try</v>
      </c>
      <c r="H11" s="1" t="str">
        <f ca="1">IFERROR(__xludf.DUMMYFUNCTION("""COMPUTED_VALUE"""),"Yes")</f>
        <v>Yes</v>
      </c>
      <c r="I11" s="1" t="str">
        <f ca="1">IFERROR(__xludf.DUMMYFUNCTION("""COMPUTED_VALUE"""),"Will work for them")</f>
        <v>Will work for them</v>
      </c>
      <c r="J11" s="1">
        <f ca="1">IFERROR(__xludf.DUMMYFUNCTION("""COMPUTED_VALUE"""),7)</f>
        <v>7</v>
      </c>
      <c r="K11" s="1" t="str">
        <f ca="1">IFERROR(__xludf.DUMMYFUNCTION("""COMPUTED_VALUE"""),"Every Day Office Environment")</f>
        <v>Every Day Office Environment</v>
      </c>
      <c r="L11" s="1" t="str">
        <f ca="1">IFERROR(__xludf.DUMMYFUNCTION("""COMPUTED_VALUE"""),"Employer who rewards learning and enables that environment")</f>
        <v>Employer who rewards learning and enables that environment</v>
      </c>
      <c r="M1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1" s="4" t="s">
        <v>49</v>
      </c>
      <c r="O11" s="1" t="str">
        <f ca="1">IFERROR(__xludf.DUMMYFUNCTION("""COMPUTED_VALUE"""),"Manager who explains what is expected, sets a goal and helps achieve it")</f>
        <v>Manager who explains what is expected, sets a goal and helps achieve it</v>
      </c>
      <c r="P11" s="1" t="str">
        <f ca="1">IFERROR(__xludf.DUMMYFUNCTION("""COMPUTED_VALUE"""),"Work Alone, &lt;=6 in team")</f>
        <v>Work Alone, &lt;=6 in team</v>
      </c>
      <c r="Q11" s="1" t="s">
        <v>41</v>
      </c>
      <c r="R11" s="1"/>
    </row>
    <row r="12" spans="1:18" x14ac:dyDescent="0.25">
      <c r="A12" s="2">
        <f ca="1">IFERROR(__xludf.DUMMYFUNCTION("""COMPUTED_VALUE"""),44911.5286915277)</f>
        <v>44911.528691527703</v>
      </c>
      <c r="B12" s="1" t="str">
        <f ca="1">IFERROR(__xludf.DUMMYFUNCTION("""COMPUTED_VALUE"""),"India")</f>
        <v>India</v>
      </c>
      <c r="C12" s="1">
        <f ca="1">IFERROR(__xludf.DUMMYFUNCTION("""COMPUTED_VALUE"""),679121)</f>
        <v>679121</v>
      </c>
      <c r="D12" s="1" t="str">
        <f ca="1">IFERROR(__xludf.DUMMYFUNCTION("""COMPUTED_VALUE"""),"Male")</f>
        <v>Male</v>
      </c>
      <c r="E12" s="1" t="str">
        <f ca="1">IFERROR(__xludf.DUMMYFUNCTION("""COMPUTED_VALUE"""),"People from my circle, but not family members")</f>
        <v>People from my circle, but not family members</v>
      </c>
      <c r="F12" s="1" t="str">
        <f ca="1">IFERROR(__xludf.DUMMYFUNCTION("""COMPUTED_VALUE"""),"Yes, I will earn and do that")</f>
        <v>Yes, I will earn and do that</v>
      </c>
      <c r="G12" s="1" t="str">
        <f ca="1">IFERROR(__xludf.DUMMYFUNCTION("""COMPUTED_VALUE"""),"This will be hard to do, but if it is the right company I would try")</f>
        <v>This will be hard to do, but if it is the right company I would try</v>
      </c>
      <c r="H12" s="1" t="str">
        <f ca="1">IFERROR(__xludf.DUMMYFUNCTION("""COMPUTED_VALUE"""),"Yes")</f>
        <v>Yes</v>
      </c>
      <c r="I12" s="1" t="str">
        <f ca="1">IFERROR(__xludf.DUMMYFUNCTION("""COMPUTED_VALUE"""),"Will work for them")</f>
        <v>Will work for them</v>
      </c>
      <c r="J12" s="1">
        <f ca="1">IFERROR(__xludf.DUMMYFUNCTION("""COMPUTED_VALUE"""),8)</f>
        <v>8</v>
      </c>
      <c r="K12" s="1" t="str">
        <f ca="1">IFERROR(__xludf.DUMMYFUNCTION("""COMPUTED_VALUE"""),"Fully Remote with Options to travel as and when needed")</f>
        <v>Fully Remote with Options to travel as and when needed</v>
      </c>
      <c r="L12" s="1" t="str">
        <f ca="1">IFERROR(__xludf.DUMMYFUNCTION("""COMPUTED_VALUE"""),"Employer who pushes your limits by enabling an learning environment, and rewards you at the end")</f>
        <v>Employer who pushes your limits by enabling an learning environment, and rewards you at the end</v>
      </c>
      <c r="M1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12" s="4" t="s">
        <v>48</v>
      </c>
      <c r="O12" s="1" t="str">
        <f ca="1">IFERROR(__xludf.DUMMYFUNCTION("""COMPUTED_VALUE"""),"Manager who sets goal and helps me achieve it")</f>
        <v>Manager who sets goal and helps me achieve it</v>
      </c>
      <c r="P12" s="1" t="str">
        <f ca="1">IFERROR(__xludf.DUMMYFUNCTION("""COMPUTED_VALUE"""),"Work Alone, &lt;=6 in team")</f>
        <v>Work Alone, &lt;=6 in team</v>
      </c>
      <c r="Q12" s="1" t="s">
        <v>41</v>
      </c>
      <c r="R12" s="1"/>
    </row>
    <row r="13" spans="1:18" x14ac:dyDescent="0.25">
      <c r="A13" s="2">
        <f ca="1">IFERROR(__xludf.DUMMYFUNCTION("""COMPUTED_VALUE"""),44911.5293222916)</f>
        <v>44911.529322291601</v>
      </c>
      <c r="B13" s="1" t="str">
        <f ca="1">IFERROR(__xludf.DUMMYFUNCTION("""COMPUTED_VALUE"""),"India")</f>
        <v>India</v>
      </c>
      <c r="C13" s="1">
        <f ca="1">IFERROR(__xludf.DUMMYFUNCTION("""COMPUTED_VALUE"""),639111)</f>
        <v>639111</v>
      </c>
      <c r="D13" s="1" t="str">
        <f ca="1">IFERROR(__xludf.DUMMYFUNCTION("""COMPUTED_VALUE"""),"Male")</f>
        <v>Male</v>
      </c>
      <c r="E13" s="1" t="str">
        <f ca="1">IFERROR(__xludf.DUMMYFUNCTION("""COMPUTED_VALUE"""),"People who have changed the world for better")</f>
        <v>People who have changed the world for better</v>
      </c>
      <c r="F13" s="1" t="str">
        <f ca="1">IFERROR(__xludf.DUMMYFUNCTION("""COMPUTED_VALUE"""),"No, But if someone could bare the cost I will")</f>
        <v>No, But if someone could bare the cost I will</v>
      </c>
      <c r="G13" s="1" t="str">
        <f ca="1">IFERROR(__xludf.DUMMYFUNCTION("""COMPUTED_VALUE"""),"Will work for 3 years or more")</f>
        <v>Will work for 3 years or more</v>
      </c>
      <c r="H13" s="1" t="str">
        <f ca="1">IFERROR(__xludf.DUMMYFUNCTION("""COMPUTED_VALUE"""),"No")</f>
        <v>No</v>
      </c>
      <c r="I13" s="1" t="str">
        <f ca="1">IFERROR(__xludf.DUMMYFUNCTION("""COMPUTED_VALUE"""),"Will NOT work for them")</f>
        <v>Will NOT work for them</v>
      </c>
      <c r="J13" s="1">
        <f ca="1">IFERROR(__xludf.DUMMYFUNCTION("""COMPUTED_VALUE"""),1)</f>
        <v>1</v>
      </c>
      <c r="K13" s="1" t="str">
        <f ca="1">IFERROR(__xludf.DUMMYFUNCTION("""COMPUTED_VALUE"""),"Fully Remote with Options to travel as and when needed")</f>
        <v>Fully Remote with Options to travel as and when needed</v>
      </c>
      <c r="L13" s="1" t="str">
        <f ca="1">IFERROR(__xludf.DUMMYFUNCTION("""COMPUTED_VALUE"""),"Employer who appreciates learning and enables that environment")</f>
        <v>Employer who appreciates learning and enables that environment</v>
      </c>
      <c r="M13"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13" s="4" t="s">
        <v>49</v>
      </c>
      <c r="O13" s="1" t="str">
        <f ca="1">IFERROR(__xludf.DUMMYFUNCTION("""COMPUTED_VALUE"""),"Manager who sets goal and helps me achieve it")</f>
        <v>Manager who sets goal and helps me achieve it</v>
      </c>
      <c r="P13" s="1" t="str">
        <f ca="1">IFERROR(__xludf.DUMMYFUNCTION("""COMPUTED_VALUE"""),"Work alone")</f>
        <v>Work alone</v>
      </c>
      <c r="Q13" s="1" t="s">
        <v>41</v>
      </c>
      <c r="R13" s="1"/>
    </row>
    <row r="14" spans="1:18" x14ac:dyDescent="0.25">
      <c r="A14" s="2">
        <f ca="1">IFERROR(__xludf.DUMMYFUNCTION("""COMPUTED_VALUE"""),44911.5440213888)</f>
        <v>44911.5440213888</v>
      </c>
      <c r="B14" s="1" t="str">
        <f ca="1">IFERROR(__xludf.DUMMYFUNCTION("""COMPUTED_VALUE"""),"India")</f>
        <v>India</v>
      </c>
      <c r="C14" s="1">
        <f ca="1">IFERROR(__xludf.DUMMYFUNCTION("""COMPUTED_VALUE"""),136119)</f>
        <v>136119</v>
      </c>
      <c r="D14" s="1" t="str">
        <f ca="1">IFERROR(__xludf.DUMMYFUNCTION("""COMPUTED_VALUE"""),"Male")</f>
        <v>Male</v>
      </c>
      <c r="E14" s="1" t="str">
        <f ca="1">IFERROR(__xludf.DUMMYFUNCTION("""COMPUTED_VALUE"""),"My Parents")</f>
        <v>My Parents</v>
      </c>
      <c r="F14" s="1" t="str">
        <f ca="1">IFERROR(__xludf.DUMMYFUNCTION("""COMPUTED_VALUE"""),"No, But if someone could bare the cost I will")</f>
        <v>No, But if someone could bare the cost I will</v>
      </c>
      <c r="G14" s="1" t="str">
        <f ca="1">IFERROR(__xludf.DUMMYFUNCTION("""COMPUTED_VALUE"""),"This will be hard to do, but if it is the right company I would try")</f>
        <v>This will be hard to do, but if it is the right company I would try</v>
      </c>
      <c r="H14" s="1" t="str">
        <f ca="1">IFERROR(__xludf.DUMMYFUNCTION("""COMPUTED_VALUE"""),"Yes")</f>
        <v>Yes</v>
      </c>
      <c r="I14" s="1" t="str">
        <f ca="1">IFERROR(__xludf.DUMMYFUNCTION("""COMPUTED_VALUE"""),"Will work for them")</f>
        <v>Will work for them</v>
      </c>
      <c r="J14" s="1">
        <f ca="1">IFERROR(__xludf.DUMMYFUNCTION("""COMPUTED_VALUE"""),4)</f>
        <v>4</v>
      </c>
      <c r="K14" s="1" t="str">
        <f ca="1">IFERROR(__xludf.DUMMYFUNCTION("""COMPUTED_VALUE"""),"Hybrid Working Environment with less than 15 days a month at office")</f>
        <v>Hybrid Working Environment with less than 15 days a month at office</v>
      </c>
      <c r="L14" s="1" t="str">
        <f ca="1">IFERROR(__xludf.DUMMYFUNCTION("""COMPUTED_VALUE"""),"Employer who appreciates learning and enables that environment")</f>
        <v>Employer who appreciates learning and enables that environment</v>
      </c>
      <c r="M1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14" s="4" t="s">
        <v>48</v>
      </c>
      <c r="O14" s="1" t="str">
        <f ca="1">IFERROR(__xludf.DUMMYFUNCTION("""COMPUTED_VALUE"""),"Manager who sets goal and helps me achieve it")</f>
        <v>Manager who sets goal and helps me achieve it</v>
      </c>
      <c r="P14" s="1" t="str">
        <f ca="1">IFERROR(__xludf.DUMMYFUNCTION("""COMPUTED_VALUE"""),"Work &lt;=6 People in the Team")</f>
        <v>Work &lt;=6 People in the Team</v>
      </c>
      <c r="Q14" s="1" t="s">
        <v>42</v>
      </c>
      <c r="R14" s="1"/>
    </row>
    <row r="15" spans="1:18" x14ac:dyDescent="0.25">
      <c r="A15" s="2">
        <f ca="1">IFERROR(__xludf.DUMMYFUNCTION("""COMPUTED_VALUE"""),44911.5561873726)</f>
        <v>44911.556187372596</v>
      </c>
      <c r="B15" s="1" t="str">
        <f ca="1">IFERROR(__xludf.DUMMYFUNCTION("""COMPUTED_VALUE"""),"India")</f>
        <v>India</v>
      </c>
      <c r="C15" s="1">
        <f ca="1">IFERROR(__xludf.DUMMYFUNCTION("""COMPUTED_VALUE"""),678104)</f>
        <v>678104</v>
      </c>
      <c r="D15" s="1" t="str">
        <f ca="1">IFERROR(__xludf.DUMMYFUNCTION("""COMPUTED_VALUE"""),"Male")</f>
        <v>Male</v>
      </c>
      <c r="E15" s="1" t="str">
        <f ca="1">IFERROR(__xludf.DUMMYFUNCTION("""COMPUTED_VALUE"""),"People who have changed the world for better")</f>
        <v>People who have changed the world for better</v>
      </c>
      <c r="F15" s="1" t="str">
        <f ca="1">IFERROR(__xludf.DUMMYFUNCTION("""COMPUTED_VALUE"""),"Yes, I will earn and do that")</f>
        <v>Yes, I will earn and do that</v>
      </c>
      <c r="G15" s="1" t="str">
        <f ca="1">IFERROR(__xludf.DUMMYFUNCTION("""COMPUTED_VALUE"""),"This will be hard to do, but if it is the right company I would try")</f>
        <v>This will be hard to do, but if it is the right company I would try</v>
      </c>
      <c r="H15" s="1" t="str">
        <f ca="1">IFERROR(__xludf.DUMMYFUNCTION("""COMPUTED_VALUE"""),"No")</f>
        <v>No</v>
      </c>
      <c r="I15" s="1" t="str">
        <f ca="1">IFERROR(__xludf.DUMMYFUNCTION("""COMPUTED_VALUE"""),"Will NOT work for them")</f>
        <v>Will NOT work for them</v>
      </c>
      <c r="J15" s="1">
        <f ca="1">IFERROR(__xludf.DUMMYFUNCTION("""COMPUTED_VALUE"""),1)</f>
        <v>1</v>
      </c>
      <c r="K15" s="1" t="str">
        <f ca="1">IFERROR(__xludf.DUMMYFUNCTION("""COMPUTED_VALUE"""),"Fully Remote with Options to travel as and when needed")</f>
        <v>Fully Remote with Options to travel as and when needed</v>
      </c>
      <c r="L15" s="1" t="str">
        <f ca="1">IFERROR(__xludf.DUMMYFUNCTION("""COMPUTED_VALUE"""),"Employer who pushes your limits by enabling an learning environment, and rewards you at the end")</f>
        <v>Employer who pushes your limits by enabling an learning environment, and rewards you at the end</v>
      </c>
      <c r="M1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15" s="4" t="s">
        <v>48</v>
      </c>
      <c r="O15" s="1" t="str">
        <f ca="1">IFERROR(__xludf.DUMMYFUNCTION("""COMPUTED_VALUE"""),"Manager who sets goal and helps me achieve it")</f>
        <v>Manager who sets goal and helps me achieve it</v>
      </c>
      <c r="P15" s="1" t="str">
        <f ca="1">IFERROR(__xludf.DUMMYFUNCTION("""COMPUTED_VALUE"""),"Work &lt;=6 People in the Team")</f>
        <v>Work &lt;=6 People in the Team</v>
      </c>
      <c r="Q15" s="1" t="s">
        <v>41</v>
      </c>
      <c r="R15" s="1"/>
    </row>
    <row r="16" spans="1:18" x14ac:dyDescent="0.25">
      <c r="A16" s="2">
        <f ca="1">IFERROR(__xludf.DUMMYFUNCTION("""COMPUTED_VALUE"""),44911.5579486805)</f>
        <v>44911.5579486805</v>
      </c>
      <c r="B16" s="1" t="str">
        <f ca="1">IFERROR(__xludf.DUMMYFUNCTION("""COMPUTED_VALUE"""),"India")</f>
        <v>India</v>
      </c>
      <c r="C16" s="1">
        <f ca="1">IFERROR(__xludf.DUMMYFUNCTION("""COMPUTED_VALUE"""),560024)</f>
        <v>560024</v>
      </c>
      <c r="D16" s="1" t="str">
        <f ca="1">IFERROR(__xludf.DUMMYFUNCTION("""COMPUTED_VALUE"""),"Female")</f>
        <v>Female</v>
      </c>
      <c r="E16" s="1" t="str">
        <f ca="1">IFERROR(__xludf.DUMMYFUNCTION("""COMPUTED_VALUE"""),"People from my circle, but not family members")</f>
        <v>People from my circle, but not family members</v>
      </c>
      <c r="F16" s="1" t="str">
        <f ca="1">IFERROR(__xludf.DUMMYFUNCTION("""COMPUTED_VALUE"""),"Yes, I will earn and do that")</f>
        <v>Yes, I will earn and do that</v>
      </c>
      <c r="G16" s="1" t="str">
        <f ca="1">IFERROR(__xludf.DUMMYFUNCTION("""COMPUTED_VALUE"""),"This will be hard to do, but if it is the right company I would try")</f>
        <v>This will be hard to do, but if it is the right company I would try</v>
      </c>
      <c r="H16" s="1" t="str">
        <f ca="1">IFERROR(__xludf.DUMMYFUNCTION("""COMPUTED_VALUE"""),"Yes")</f>
        <v>Yes</v>
      </c>
      <c r="I16" s="1" t="str">
        <f ca="1">IFERROR(__xludf.DUMMYFUNCTION("""COMPUTED_VALUE"""),"Will NOT work for them")</f>
        <v>Will NOT work for them</v>
      </c>
      <c r="J16" s="1">
        <f ca="1">IFERROR(__xludf.DUMMYFUNCTION("""COMPUTED_VALUE"""),6)</f>
        <v>6</v>
      </c>
      <c r="K16" s="1" t="str">
        <f ca="1">IFERROR(__xludf.DUMMYFUNCTION("""COMPUTED_VALUE"""),"Hybrid Working Environment with less than 15 days a month at office")</f>
        <v>Hybrid Working Environment with less than 15 days a month at office</v>
      </c>
      <c r="L16" s="1" t="str">
        <f ca="1">IFERROR(__xludf.DUMMYFUNCTION("""COMPUTED_VALUE"""),"Employer who pushes your limits by enabling an learning environment, and rewards you at the end")</f>
        <v>Employer who pushes your limits by enabling an learning environment, and rewards you at the end</v>
      </c>
      <c r="M16"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N16" s="4" t="s">
        <v>48</v>
      </c>
      <c r="O16" s="1" t="str">
        <f ca="1">IFERROR(__xludf.DUMMYFUNCTION("""COMPUTED_VALUE"""),"Manager who explains what is expected, sets a goal and helps achieve it")</f>
        <v>Manager who explains what is expected, sets a goal and helps achieve it</v>
      </c>
      <c r="P16" s="1" t="str">
        <f ca="1">IFERROR(__xludf.DUMMYFUNCTION("""COMPUTED_VALUE"""),"Work &gt;10 people in Team")</f>
        <v>Work &gt;10 people in Team</v>
      </c>
      <c r="Q16" s="1" t="s">
        <v>41</v>
      </c>
      <c r="R16" s="1"/>
    </row>
    <row r="17" spans="1:18" x14ac:dyDescent="0.25">
      <c r="A17" s="2">
        <f ca="1">IFERROR(__xludf.DUMMYFUNCTION("""COMPUTED_VALUE"""),44911.5590934026)</f>
        <v>44911.559093402597</v>
      </c>
      <c r="B17" s="1" t="str">
        <f ca="1">IFERROR(__xludf.DUMMYFUNCTION("""COMPUTED_VALUE"""),"India")</f>
        <v>India</v>
      </c>
      <c r="C17" s="1">
        <f ca="1">IFERROR(__xludf.DUMMYFUNCTION("""COMPUTED_VALUE"""),560064)</f>
        <v>560064</v>
      </c>
      <c r="D17" s="1" t="str">
        <f ca="1">IFERROR(__xludf.DUMMYFUNCTION("""COMPUTED_VALUE"""),"Male")</f>
        <v>Male</v>
      </c>
      <c r="E17" s="1" t="str">
        <f ca="1">IFERROR(__xludf.DUMMYFUNCTION("""COMPUTED_VALUE"""),"People from my circle, but not family members")</f>
        <v>People from my circle, but not family members</v>
      </c>
      <c r="F17" s="1" t="str">
        <f ca="1">IFERROR(__xludf.DUMMYFUNCTION("""COMPUTED_VALUE"""),"No, But if someone could bare the cost I will")</f>
        <v>No, But if someone could bare the cost I will</v>
      </c>
      <c r="G17" s="1" t="str">
        <f ca="1">IFERROR(__xludf.DUMMYFUNCTION("""COMPUTED_VALUE"""),"This will be hard to do, but if it is the right company I would try")</f>
        <v>This will be hard to do, but if it is the right company I would try</v>
      </c>
      <c r="H17" s="1" t="str">
        <f ca="1">IFERROR(__xludf.DUMMYFUNCTION("""COMPUTED_VALUE"""),"No")</f>
        <v>No</v>
      </c>
      <c r="I17" s="1" t="str">
        <f ca="1">IFERROR(__xludf.DUMMYFUNCTION("""COMPUTED_VALUE"""),"Will NOT work for them")</f>
        <v>Will NOT work for them</v>
      </c>
      <c r="J17" s="1">
        <f ca="1">IFERROR(__xludf.DUMMYFUNCTION("""COMPUTED_VALUE"""),8)</f>
        <v>8</v>
      </c>
      <c r="K17" s="1" t="str">
        <f ca="1">IFERROR(__xludf.DUMMYFUNCTION("""COMPUTED_VALUE"""),"Hybrid Working Environment with less than 10 days a month at office")</f>
        <v>Hybrid Working Environment with less than 10 days a month at office</v>
      </c>
      <c r="L17" s="1" t="str">
        <f ca="1">IFERROR(__xludf.DUMMYFUNCTION("""COMPUTED_VALUE"""),"Employer who pushes your limits by enabling an learning environment, and rewards you at the end")</f>
        <v>Employer who pushes your limits by enabling an learning environment, and rewards you at the end</v>
      </c>
      <c r="M17"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N17" s="4" t="s">
        <v>48</v>
      </c>
      <c r="O17" s="1" t="str">
        <f ca="1">IFERROR(__xludf.DUMMYFUNCTION("""COMPUTED_VALUE"""),"Manager who explains what is expected, sets a goal and helps achieve it")</f>
        <v>Manager who explains what is expected, sets a goal and helps achieve it</v>
      </c>
      <c r="P17" s="1" t="str">
        <f ca="1">IFERROR(__xludf.DUMMYFUNCTION("""COMPUTED_VALUE"""),"Work &lt;67 People in the Team")</f>
        <v>Work &lt;67 People in the Team</v>
      </c>
      <c r="Q17" s="1" t="s">
        <v>40</v>
      </c>
      <c r="R17" s="1"/>
    </row>
    <row r="18" spans="1:18" x14ac:dyDescent="0.25">
      <c r="A18" s="2">
        <f ca="1">IFERROR(__xludf.DUMMYFUNCTION("""COMPUTED_VALUE"""),44911.5597770486)</f>
        <v>44911.559777048598</v>
      </c>
      <c r="B18" s="1" t="str">
        <f ca="1">IFERROR(__xludf.DUMMYFUNCTION("""COMPUTED_VALUE"""),"India")</f>
        <v>India</v>
      </c>
      <c r="C18" s="1">
        <f ca="1">IFERROR(__xludf.DUMMYFUNCTION("""COMPUTED_VALUE"""),561203)</f>
        <v>561203</v>
      </c>
      <c r="D18" s="1" t="str">
        <f ca="1">IFERROR(__xludf.DUMMYFUNCTION("""COMPUTED_VALUE"""),"Male")</f>
        <v>Male</v>
      </c>
      <c r="E18" s="1" t="str">
        <f ca="1">IFERROR(__xludf.DUMMYFUNCTION("""COMPUTED_VALUE"""),"Influencers who had successful careers")</f>
        <v>Influencers who had successful careers</v>
      </c>
      <c r="F18" s="1" t="str">
        <f ca="1">IFERROR(__xludf.DUMMYFUNCTION("""COMPUTED_VALUE"""),"Yes, I will earn and do that")</f>
        <v>Yes, I will earn and do that</v>
      </c>
      <c r="G18" s="1" t="str">
        <f ca="1">IFERROR(__xludf.DUMMYFUNCTION("""COMPUTED_VALUE"""),"This will be hard to do, but if it is the right company I would try")</f>
        <v>This will be hard to do, but if it is the right company I would try</v>
      </c>
      <c r="H18" s="1" t="str">
        <f ca="1">IFERROR(__xludf.DUMMYFUNCTION("""COMPUTED_VALUE"""),"No")</f>
        <v>No</v>
      </c>
      <c r="I18" s="1" t="str">
        <f ca="1">IFERROR(__xludf.DUMMYFUNCTION("""COMPUTED_VALUE"""),"Will NOT work for them")</f>
        <v>Will NOT work for them</v>
      </c>
      <c r="J18" s="1">
        <f ca="1">IFERROR(__xludf.DUMMYFUNCTION("""COMPUTED_VALUE"""),1)</f>
        <v>1</v>
      </c>
      <c r="K18" s="1" t="str">
        <f ca="1">IFERROR(__xludf.DUMMYFUNCTION("""COMPUTED_VALUE"""),"Hybrid Working Environment with less than 15 days a month at office")</f>
        <v>Hybrid Working Environment with less than 15 days a month at office</v>
      </c>
      <c r="L18" s="1" t="str">
        <f ca="1">IFERROR(__xludf.DUMMYFUNCTION("""COMPUTED_VALUE"""),"Employer who pushes your limits by enabling an learning environment, and rewards you at the end")</f>
        <v>Employer who pushes your limits by enabling an learning environment, and rewards you at the end</v>
      </c>
      <c r="M18"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N18" s="4" t="s">
        <v>48</v>
      </c>
      <c r="O18" s="1" t="str">
        <f ca="1">IFERROR(__xludf.DUMMYFUNCTION("""COMPUTED_VALUE"""),"Manager who explains what is expected, sets a goal and helps achieve it")</f>
        <v>Manager who explains what is expected, sets a goal and helps achieve it</v>
      </c>
      <c r="P18" s="1" t="str">
        <f ca="1">IFERROR(__xludf.DUMMYFUNCTION("""COMPUTED_VALUE"""),"Work &lt;=6 People in the Team")</f>
        <v>Work &lt;=6 People in the Team</v>
      </c>
      <c r="Q18" s="1" t="s">
        <v>41</v>
      </c>
      <c r="R18" s="1"/>
    </row>
    <row r="19" spans="1:18" x14ac:dyDescent="0.25">
      <c r="A19" s="2">
        <f ca="1">IFERROR(__xludf.DUMMYFUNCTION("""COMPUTED_VALUE"""),44911.5621552546)</f>
        <v>44911.5621552546</v>
      </c>
      <c r="B19" s="1" t="str">
        <f ca="1">IFERROR(__xludf.DUMMYFUNCTION("""COMPUTED_VALUE"""),"India")</f>
        <v>India</v>
      </c>
      <c r="C19" s="1">
        <f ca="1">IFERROR(__xludf.DUMMYFUNCTION("""COMPUTED_VALUE"""),515201)</f>
        <v>515201</v>
      </c>
      <c r="D19" s="1" t="str">
        <f ca="1">IFERROR(__xludf.DUMMYFUNCTION("""COMPUTED_VALUE"""),"Male")</f>
        <v>Male</v>
      </c>
      <c r="E19" s="1" t="str">
        <f ca="1">IFERROR(__xludf.DUMMYFUNCTION("""COMPUTED_VALUE"""),"My Parents")</f>
        <v>My Parents</v>
      </c>
      <c r="F19" s="1" t="str">
        <f ca="1">IFERROR(__xludf.DUMMYFUNCTION("""COMPUTED_VALUE"""),"Yes, I will earn and do that")</f>
        <v>Yes, I will earn and do that</v>
      </c>
      <c r="G19" s="1" t="str">
        <f ca="1">IFERROR(__xludf.DUMMYFUNCTION("""COMPUTED_VALUE"""),"Will work for 3 years or more")</f>
        <v>Will work for 3 years or more</v>
      </c>
      <c r="H19" s="1" t="str">
        <f ca="1">IFERROR(__xludf.DUMMYFUNCTION("""COMPUTED_VALUE"""),"No")</f>
        <v>No</v>
      </c>
      <c r="I19" s="1" t="str">
        <f ca="1">IFERROR(__xludf.DUMMYFUNCTION("""COMPUTED_VALUE"""),"Will NOT work for them")</f>
        <v>Will NOT work for them</v>
      </c>
      <c r="J19" s="1">
        <f ca="1">IFERROR(__xludf.DUMMYFUNCTION("""COMPUTED_VALUE"""),2)</f>
        <v>2</v>
      </c>
      <c r="K19" s="1" t="str">
        <f ca="1">IFERROR(__xludf.DUMMYFUNCTION("""COMPUTED_VALUE"""),"Every Day Office Environment")</f>
        <v>Every Day Office Environment</v>
      </c>
      <c r="L19" s="1" t="str">
        <f ca="1">IFERROR(__xludf.DUMMYFUNCTION("""COMPUTED_VALUE"""),"Employer who appreciates learning and enables that environment")</f>
        <v>Employer who appreciates learning and enables that environment</v>
      </c>
      <c r="M1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N19" s="4" t="s">
        <v>49</v>
      </c>
      <c r="O19" s="1" t="str">
        <f ca="1">IFERROR(__xludf.DUMMYFUNCTION("""COMPUTED_VALUE"""),"Manager who sets goal and helps me achieve it")</f>
        <v>Manager who sets goal and helps me achieve it</v>
      </c>
      <c r="P19" s="1" t="str">
        <f ca="1">IFERROR(__xludf.DUMMYFUNCTION("""COMPUTED_VALUE"""),"Work &lt;=6 People in the Team")</f>
        <v>Work &lt;=6 People in the Team</v>
      </c>
      <c r="Q19" s="1" t="s">
        <v>41</v>
      </c>
      <c r="R19" s="1"/>
    </row>
    <row r="20" spans="1:18" x14ac:dyDescent="0.25">
      <c r="A20" s="2">
        <f ca="1">IFERROR(__xludf.DUMMYFUNCTION("""COMPUTED_VALUE"""),44911.5653887268)</f>
        <v>44911.565388726798</v>
      </c>
      <c r="B20" s="1" t="str">
        <f ca="1">IFERROR(__xludf.DUMMYFUNCTION("""COMPUTED_VALUE"""),"India")</f>
        <v>India</v>
      </c>
      <c r="C20" s="1">
        <f ca="1">IFERROR(__xludf.DUMMYFUNCTION("""COMPUTED_VALUE"""),211002)</f>
        <v>211002</v>
      </c>
      <c r="D20" s="1" t="str">
        <f ca="1">IFERROR(__xludf.DUMMYFUNCTION("""COMPUTED_VALUE"""),"Male")</f>
        <v>Male</v>
      </c>
      <c r="E20" s="1" t="str">
        <f ca="1">IFERROR(__xludf.DUMMYFUNCTION("""COMPUTED_VALUE"""),"People who have changed the world for better")</f>
        <v>People who have changed the world for better</v>
      </c>
      <c r="F20" s="1" t="str">
        <f ca="1">IFERROR(__xludf.DUMMYFUNCTION("""COMPUTED_VALUE"""),"Yes, I will earn and do that")</f>
        <v>Yes, I will earn and do that</v>
      </c>
      <c r="G20" s="1" t="str">
        <f ca="1">IFERROR(__xludf.DUMMYFUNCTION("""COMPUTED_VALUE"""),"This will be hard to do, but if it is the right company I would try")</f>
        <v>This will be hard to do, but if it is the right company I would try</v>
      </c>
      <c r="H20" s="1" t="str">
        <f ca="1">IFERROR(__xludf.DUMMYFUNCTION("""COMPUTED_VALUE"""),"No")</f>
        <v>No</v>
      </c>
      <c r="I20" s="1" t="str">
        <f ca="1">IFERROR(__xludf.DUMMYFUNCTION("""COMPUTED_VALUE"""),"Will work for them")</f>
        <v>Will work for them</v>
      </c>
      <c r="J20" s="1">
        <f ca="1">IFERROR(__xludf.DUMMYFUNCTION("""COMPUTED_VALUE"""),6)</f>
        <v>6</v>
      </c>
      <c r="K20" s="1" t="str">
        <f ca="1">IFERROR(__xludf.DUMMYFUNCTION("""COMPUTED_VALUE"""),"Every Day Office Environment")</f>
        <v>Every Day Office Environment</v>
      </c>
      <c r="L20" s="1" t="str">
        <f ca="1">IFERROR(__xludf.DUMMYFUNCTION("""COMPUTED_VALUE"""),"Employer who appreciates learning and enables that environment")</f>
        <v>Employer who appreciates learning and enables that environment</v>
      </c>
      <c r="M20"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N20" s="4" t="s">
        <v>48</v>
      </c>
      <c r="O20" s="1" t="str">
        <f ca="1">IFERROR(__xludf.DUMMYFUNCTION("""COMPUTED_VALUE"""),"Manager who explains what is expected, sets a goal and helps achieve it")</f>
        <v>Manager who explains what is expected, sets a goal and helps achieve it</v>
      </c>
      <c r="P20" s="1" t="str">
        <f ca="1">IFERROR(__xludf.DUMMYFUNCTION("""COMPUTED_VALUE"""),"Work &gt;10 people in Team")</f>
        <v>Work &gt;10 people in Team</v>
      </c>
      <c r="Q20" s="1" t="s">
        <v>41</v>
      </c>
      <c r="R20" s="1"/>
    </row>
    <row r="21" spans="1:18" x14ac:dyDescent="0.25">
      <c r="A21" s="2">
        <f ca="1">IFERROR(__xludf.DUMMYFUNCTION("""COMPUTED_VALUE"""),44911.5668785532)</f>
        <v>44911.566878553203</v>
      </c>
      <c r="B21" s="1" t="str">
        <f ca="1">IFERROR(__xludf.DUMMYFUNCTION("""COMPUTED_VALUE"""),"India")</f>
        <v>India</v>
      </c>
      <c r="C21" s="1">
        <f ca="1">IFERROR(__xludf.DUMMYFUNCTION("""COMPUTED_VALUE"""),577002)</f>
        <v>577002</v>
      </c>
      <c r="D21" s="1" t="str">
        <f ca="1">IFERROR(__xludf.DUMMYFUNCTION("""COMPUTED_VALUE"""),"Female")</f>
        <v>Female</v>
      </c>
      <c r="E21" s="1" t="str">
        <f ca="1">IFERROR(__xludf.DUMMYFUNCTION("""COMPUTED_VALUE"""),"Influencers who had successful careers")</f>
        <v>Influencers who had successful careers</v>
      </c>
      <c r="F21" s="1" t="str">
        <f ca="1">IFERROR(__xludf.DUMMYFUNCTION("""COMPUTED_VALUE"""),"Yes, I will earn and do that")</f>
        <v>Yes, I will earn and do that</v>
      </c>
      <c r="G21" s="1" t="str">
        <f ca="1">IFERROR(__xludf.DUMMYFUNCTION("""COMPUTED_VALUE"""),"No way, 3 years with one employer is crazy")</f>
        <v>No way, 3 years with one employer is crazy</v>
      </c>
      <c r="H21" s="1" t="str">
        <f ca="1">IFERROR(__xludf.DUMMYFUNCTION("""COMPUTED_VALUE"""),"No")</f>
        <v>No</v>
      </c>
      <c r="I21" s="1" t="str">
        <f ca="1">IFERROR(__xludf.DUMMYFUNCTION("""COMPUTED_VALUE"""),"Will NOT work for them")</f>
        <v>Will NOT work for them</v>
      </c>
      <c r="J21" s="1">
        <f ca="1">IFERROR(__xludf.DUMMYFUNCTION("""COMPUTED_VALUE"""),7)</f>
        <v>7</v>
      </c>
      <c r="K21" s="1" t="str">
        <f ca="1">IFERROR(__xludf.DUMMYFUNCTION("""COMPUTED_VALUE"""),"Hybrid Working Environment with less than 15 days a month at office")</f>
        <v>Hybrid Working Environment with less than 15 days a month at office</v>
      </c>
      <c r="L21" s="1" t="str">
        <f ca="1">IFERROR(__xludf.DUMMYFUNCTION("""COMPUTED_VALUE"""),"Employer who rewards learning and enables that environment")</f>
        <v>Employer who rewards learning and enables that environment</v>
      </c>
      <c r="M2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1" s="4" t="s">
        <v>48</v>
      </c>
      <c r="O21" s="1" t="str">
        <f ca="1">IFERROR(__xludf.DUMMYFUNCTION("""COMPUTED_VALUE"""),"Manager who explains what is expected, sets a goal and helps achieve it")</f>
        <v>Manager who explains what is expected, sets a goal and helps achieve it</v>
      </c>
      <c r="P21" s="1" t="str">
        <f ca="1">IFERROR(__xludf.DUMMYFUNCTION("""COMPUTED_VALUE"""),"Work Alone, &lt;=6 in team")</f>
        <v>Work Alone, &lt;=6 in team</v>
      </c>
      <c r="Q21" s="1" t="s">
        <v>40</v>
      </c>
      <c r="R21" s="1"/>
    </row>
    <row r="22" spans="1:18" x14ac:dyDescent="0.25">
      <c r="A22" s="2">
        <f ca="1">IFERROR(__xludf.DUMMYFUNCTION("""COMPUTED_VALUE"""),44911.5698231944)</f>
        <v>44911.569823194397</v>
      </c>
      <c r="B22" s="1" t="str">
        <f ca="1">IFERROR(__xludf.DUMMYFUNCTION("""COMPUTED_VALUE"""),"India")</f>
        <v>India</v>
      </c>
      <c r="C22" s="1">
        <f ca="1">IFERROR(__xludf.DUMMYFUNCTION("""COMPUTED_VALUE"""),673020)</f>
        <v>673020</v>
      </c>
      <c r="D22" s="1" t="str">
        <f ca="1">IFERROR(__xludf.DUMMYFUNCTION("""COMPUTED_VALUE"""),"Female")</f>
        <v>Female</v>
      </c>
      <c r="E22" s="1" t="str">
        <f ca="1">IFERROR(__xludf.DUMMYFUNCTION("""COMPUTED_VALUE"""),"People from my circle, but not family members")</f>
        <v>People from my circle, but not family members</v>
      </c>
      <c r="F22" s="1" t="str">
        <f ca="1">IFERROR(__xludf.DUMMYFUNCTION("""COMPUTED_VALUE"""),"No, But if someone could bare the cost I will")</f>
        <v>No, But if someone could bare the cost I will</v>
      </c>
      <c r="G22" s="1" t="str">
        <f ca="1">IFERROR(__xludf.DUMMYFUNCTION("""COMPUTED_VALUE"""),"This will be hard to do, but if it is the right company I would try")</f>
        <v>This will be hard to do, but if it is the right company I would try</v>
      </c>
      <c r="H22" s="1" t="str">
        <f ca="1">IFERROR(__xludf.DUMMYFUNCTION("""COMPUTED_VALUE"""),"No")</f>
        <v>No</v>
      </c>
      <c r="I22" s="1" t="str">
        <f ca="1">IFERROR(__xludf.DUMMYFUNCTION("""COMPUTED_VALUE"""),"Will NOT work for them")</f>
        <v>Will NOT work for them</v>
      </c>
      <c r="J22" s="1">
        <f ca="1">IFERROR(__xludf.DUMMYFUNCTION("""COMPUTED_VALUE"""),1)</f>
        <v>1</v>
      </c>
      <c r="K22" s="1" t="str">
        <f ca="1">IFERROR(__xludf.DUMMYFUNCTION("""COMPUTED_VALUE"""),"Hybrid Working Environment with less than 15 days a month at office")</f>
        <v>Hybrid Working Environment with less than 15 days a month at office</v>
      </c>
      <c r="L22" s="1" t="str">
        <f ca="1">IFERROR(__xludf.DUMMYFUNCTION("""COMPUTED_VALUE"""),"Employer who pushes your limits by enabling an learning environment, and rewards you at the end")</f>
        <v>Employer who pushes your limits by enabling an learning environment, and rewards you at the end</v>
      </c>
      <c r="M2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22" s="4" t="s">
        <v>48</v>
      </c>
      <c r="O22" s="1" t="str">
        <f ca="1">IFERROR(__xludf.DUMMYFUNCTION("""COMPUTED_VALUE"""),"Manager who explains what is expected, sets a goal and helps achieve it")</f>
        <v>Manager who explains what is expected, sets a goal and helps achieve it</v>
      </c>
      <c r="P22" s="1" t="str">
        <f ca="1">IFERROR(__xludf.DUMMYFUNCTION("""COMPUTED_VALUE"""),"Work &lt;=6 People in the Team")</f>
        <v>Work &lt;=6 People in the Team</v>
      </c>
      <c r="Q22" s="1" t="s">
        <v>40</v>
      </c>
      <c r="R22" s="1"/>
    </row>
    <row r="23" spans="1:18" x14ac:dyDescent="0.25">
      <c r="A23" s="2">
        <f ca="1">IFERROR(__xludf.DUMMYFUNCTION("""COMPUTED_VALUE"""),44911.5734704166)</f>
        <v>44911.573470416603</v>
      </c>
      <c r="B23" s="1" t="str">
        <f ca="1">IFERROR(__xludf.DUMMYFUNCTION("""COMPUTED_VALUE"""),"India")</f>
        <v>India</v>
      </c>
      <c r="C23" s="1">
        <f ca="1">IFERROR(__xludf.DUMMYFUNCTION("""COMPUTED_VALUE"""),301019)</f>
        <v>301019</v>
      </c>
      <c r="D23" s="1" t="str">
        <f ca="1">IFERROR(__xludf.DUMMYFUNCTION("""COMPUTED_VALUE"""),"Male")</f>
        <v>Male</v>
      </c>
      <c r="E23" s="1" t="str">
        <f ca="1">IFERROR(__xludf.DUMMYFUNCTION("""COMPUTED_VALUE"""),"My Parents")</f>
        <v>My Parents</v>
      </c>
      <c r="F23" s="1" t="str">
        <f ca="1">IFERROR(__xludf.DUMMYFUNCTION("""COMPUTED_VALUE"""),"Yes, I will earn and do that")</f>
        <v>Yes, I will earn and do that</v>
      </c>
      <c r="G23" s="1" t="str">
        <f ca="1">IFERROR(__xludf.DUMMYFUNCTION("""COMPUTED_VALUE"""),"No way, 3 years with one employer is crazy")</f>
        <v>No way, 3 years with one employer is crazy</v>
      </c>
      <c r="H23" s="1" t="str">
        <f ca="1">IFERROR(__xludf.DUMMYFUNCTION("""COMPUTED_VALUE"""),"No")</f>
        <v>No</v>
      </c>
      <c r="I23" s="1" t="str">
        <f ca="1">IFERROR(__xludf.DUMMYFUNCTION("""COMPUTED_VALUE"""),"Will NOT work for them")</f>
        <v>Will NOT work for them</v>
      </c>
      <c r="J23" s="1">
        <f ca="1">IFERROR(__xludf.DUMMYFUNCTION("""COMPUTED_VALUE"""),1)</f>
        <v>1</v>
      </c>
      <c r="K23" s="1" t="str">
        <f ca="1">IFERROR(__xludf.DUMMYFUNCTION("""COMPUTED_VALUE"""),"Every Day Office Environment")</f>
        <v>Every Day Office Environment</v>
      </c>
      <c r="L23" s="1" t="str">
        <f ca="1">IFERROR(__xludf.DUMMYFUNCTION("""COMPUTED_VALUE"""),"Employer who pushes your limits by enabling an learning environment, and rewards you at the end")</f>
        <v>Employer who pushes your limits by enabling an learning environment, and rewards you at the end</v>
      </c>
      <c r="M23" s="1" t="str">
        <f ca="1">IFERROR(__xludf.DUMMYFUNCTION("""COMPUTED_VALUE"""),"Design and Creative strategy in any company, Build and develop a Team, Design and Develop amazing software")</f>
        <v>Design and Creative strategy in any company, Build and develop a Team, Design and Develop amazing software</v>
      </c>
      <c r="N23" s="4" t="s">
        <v>48</v>
      </c>
      <c r="O23" s="1" t="str">
        <f ca="1">IFERROR(__xludf.DUMMYFUNCTION("""COMPUTED_VALUE"""),"Manager who clearly describes what she/he needs")</f>
        <v>Manager who clearly describes what she/he needs</v>
      </c>
      <c r="P23" s="1" t="str">
        <f ca="1">IFERROR(__xludf.DUMMYFUNCTION("""COMPUTED_VALUE"""),"Work &lt;=6 People in the Team")</f>
        <v>Work &lt;=6 People in the Team</v>
      </c>
      <c r="Q23" s="1" t="s">
        <v>41</v>
      </c>
      <c r="R23" s="1"/>
    </row>
    <row r="24" spans="1:18" x14ac:dyDescent="0.25">
      <c r="A24" s="2">
        <f ca="1">IFERROR(__xludf.DUMMYFUNCTION("""COMPUTED_VALUE"""),44911.5742924189)</f>
        <v>44911.574292418903</v>
      </c>
      <c r="B24" s="1" t="str">
        <f ca="1">IFERROR(__xludf.DUMMYFUNCTION("""COMPUTED_VALUE"""),"India")</f>
        <v>India</v>
      </c>
      <c r="C24" s="1">
        <f ca="1">IFERROR(__xludf.DUMMYFUNCTION("""COMPUTED_VALUE"""),680613)</f>
        <v>680613</v>
      </c>
      <c r="D24" s="1" t="str">
        <f ca="1">IFERROR(__xludf.DUMMYFUNCTION("""COMPUTED_VALUE"""),"Female")</f>
        <v>Female</v>
      </c>
      <c r="E24" s="1" t="str">
        <f ca="1">IFERROR(__xludf.DUMMYFUNCTION("""COMPUTED_VALUE"""),"My Parents")</f>
        <v>My Parents</v>
      </c>
      <c r="F24" s="1" t="str">
        <f ca="1">IFERROR(__xludf.DUMMYFUNCTION("""COMPUTED_VALUE"""),"Yes, I will earn and do that")</f>
        <v>Yes, I will earn and do that</v>
      </c>
      <c r="G24" s="1" t="str">
        <f ca="1">IFERROR(__xludf.DUMMYFUNCTION("""COMPUTED_VALUE"""),"This will be hard to do, but if it is the right company I would try")</f>
        <v>This will be hard to do, but if it is the right company I would try</v>
      </c>
      <c r="H24" s="1" t="str">
        <f ca="1">IFERROR(__xludf.DUMMYFUNCTION("""COMPUTED_VALUE"""),"Yes")</f>
        <v>Yes</v>
      </c>
      <c r="I24" s="1" t="str">
        <f ca="1">IFERROR(__xludf.DUMMYFUNCTION("""COMPUTED_VALUE"""),"Will NOT work for them")</f>
        <v>Will NOT work for them</v>
      </c>
      <c r="J24" s="1">
        <f ca="1">IFERROR(__xludf.DUMMYFUNCTION("""COMPUTED_VALUE"""),3)</f>
        <v>3</v>
      </c>
      <c r="K24" s="1" t="str">
        <f ca="1">IFERROR(__xludf.DUMMYFUNCTION("""COMPUTED_VALUE"""),"Fully Remote with Options to travel as and when needed")</f>
        <v>Fully Remote with Options to travel as and when needed</v>
      </c>
      <c r="L24" s="1" t="str">
        <f ca="1">IFERROR(__xludf.DUMMYFUNCTION("""COMPUTED_VALUE"""),"Employer who rewards learning and enables that environment")</f>
        <v>Employer who rewards learning and enables that environment</v>
      </c>
      <c r="M2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24" s="4" t="s">
        <v>48</v>
      </c>
      <c r="O24" s="1" t="str">
        <f ca="1">IFERROR(__xludf.DUMMYFUNCTION("""COMPUTED_VALUE"""),"Manager who clearly describes what she/he needs")</f>
        <v>Manager who clearly describes what she/he needs</v>
      </c>
      <c r="P24" s="1" t="str">
        <f ca="1">IFERROR(__xludf.DUMMYFUNCTION("""COMPUTED_VALUE"""),"Work Alone, &lt;67 people in team")</f>
        <v>Work Alone, &lt;67 people in team</v>
      </c>
      <c r="Q24" s="1" t="s">
        <v>41</v>
      </c>
      <c r="R24" s="1"/>
    </row>
    <row r="25" spans="1:18" x14ac:dyDescent="0.25">
      <c r="A25" s="2">
        <f ca="1">IFERROR(__xludf.DUMMYFUNCTION("""COMPUTED_VALUE"""),44911.5773596527)</f>
        <v>44911.5773596527</v>
      </c>
      <c r="B25" s="1" t="str">
        <f ca="1">IFERROR(__xludf.DUMMYFUNCTION("""COMPUTED_VALUE"""),"India")</f>
        <v>India</v>
      </c>
      <c r="C25" s="1">
        <f ca="1">IFERROR(__xludf.DUMMYFUNCTION("""COMPUTED_VALUE"""),852201)</f>
        <v>852201</v>
      </c>
      <c r="D25" s="1" t="str">
        <f ca="1">IFERROR(__xludf.DUMMYFUNCTION("""COMPUTED_VALUE"""),"Male")</f>
        <v>Male</v>
      </c>
      <c r="E25" s="1" t="str">
        <f ca="1">IFERROR(__xludf.DUMMYFUNCTION("""COMPUTED_VALUE"""),"People who have changed the world for better")</f>
        <v>People who have changed the world for better</v>
      </c>
      <c r="F25" s="1" t="str">
        <f ca="1">IFERROR(__xludf.DUMMYFUNCTION("""COMPUTED_VALUE"""),"No, But if someone could bare the cost I will")</f>
        <v>No, But if someone could bare the cost I will</v>
      </c>
      <c r="G25" s="1" t="str">
        <f ca="1">IFERROR(__xludf.DUMMYFUNCTION("""COMPUTED_VALUE"""),"Will work for 3 years or more")</f>
        <v>Will work for 3 years or more</v>
      </c>
      <c r="H25" s="1" t="str">
        <f ca="1">IFERROR(__xludf.DUMMYFUNCTION("""COMPUTED_VALUE"""),"No")</f>
        <v>No</v>
      </c>
      <c r="I25" s="1" t="str">
        <f ca="1">IFERROR(__xludf.DUMMYFUNCTION("""COMPUTED_VALUE"""),"Will work for them")</f>
        <v>Will work for them</v>
      </c>
      <c r="J25" s="1">
        <f ca="1">IFERROR(__xludf.DUMMYFUNCTION("""COMPUTED_VALUE"""),8)</f>
        <v>8</v>
      </c>
      <c r="K25" s="1" t="str">
        <f ca="1">IFERROR(__xludf.DUMMYFUNCTION("""COMPUTED_VALUE"""),"Every Day Office Environment")</f>
        <v>Every Day Office Environment</v>
      </c>
      <c r="L25" s="1" t="str">
        <f ca="1">IFERROR(__xludf.DUMMYFUNCTION("""COMPUTED_VALUE"""),"Employer who pushes your limits by enabling an learning environment, and rewards you at the end")</f>
        <v>Employer who pushes your limits by enabling an learning environment, and rewards you at the end</v>
      </c>
      <c r="M2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25" s="4" t="s">
        <v>49</v>
      </c>
      <c r="O25" s="1" t="str">
        <f ca="1">IFERROR(__xludf.DUMMYFUNCTION("""COMPUTED_VALUE"""),"Manager who explains what is expected, sets a goal and helps achieve it")</f>
        <v>Manager who explains what is expected, sets a goal and helps achieve it</v>
      </c>
      <c r="P25" s="1" t="str">
        <f ca="1">IFERROR(__xludf.DUMMYFUNCTION("""COMPUTED_VALUE"""),"Work &gt;=7 People in the Team")</f>
        <v>Work &gt;=7 People in the Team</v>
      </c>
      <c r="Q25" s="1" t="s">
        <v>42</v>
      </c>
      <c r="R25" s="1"/>
    </row>
    <row r="26" spans="1:18" x14ac:dyDescent="0.25">
      <c r="A26" s="2">
        <f ca="1">IFERROR(__xludf.DUMMYFUNCTION("""COMPUTED_VALUE"""),44911.5795081944)</f>
        <v>44911.579508194402</v>
      </c>
      <c r="B26" s="1" t="str">
        <f ca="1">IFERROR(__xludf.DUMMYFUNCTION("""COMPUTED_VALUE"""),"India")</f>
        <v>India</v>
      </c>
      <c r="C26" s="1">
        <f ca="1">IFERROR(__xludf.DUMMYFUNCTION("""COMPUTED_VALUE"""),731021)</f>
        <v>731021</v>
      </c>
      <c r="D26" s="1" t="str">
        <f ca="1">IFERROR(__xludf.DUMMYFUNCTION("""COMPUTED_VALUE"""),"Male")</f>
        <v>Male</v>
      </c>
      <c r="E26" s="1" t="str">
        <f ca="1">IFERROR(__xludf.DUMMYFUNCTION("""COMPUTED_VALUE"""),"People from my circle, but not family members")</f>
        <v>People from my circle, but not family members</v>
      </c>
      <c r="F26" s="1" t="str">
        <f ca="1">IFERROR(__xludf.DUMMYFUNCTION("""COMPUTED_VALUE"""),"No, But if someone could bare the cost I will")</f>
        <v>No, But if someone could bare the cost I will</v>
      </c>
      <c r="G26" s="1" t="str">
        <f ca="1">IFERROR(__xludf.DUMMYFUNCTION("""COMPUTED_VALUE"""),"Will work for 3 years or more")</f>
        <v>Will work for 3 years or more</v>
      </c>
      <c r="H26" s="1" t="str">
        <f ca="1">IFERROR(__xludf.DUMMYFUNCTION("""COMPUTED_VALUE"""),"No")</f>
        <v>No</v>
      </c>
      <c r="I26" s="1" t="str">
        <f ca="1">IFERROR(__xludf.DUMMYFUNCTION("""COMPUTED_VALUE"""),"Will NOT work for them")</f>
        <v>Will NOT work for them</v>
      </c>
      <c r="J26" s="1">
        <f ca="1">IFERROR(__xludf.DUMMYFUNCTION("""COMPUTED_VALUE"""),5)</f>
        <v>5</v>
      </c>
      <c r="K26" s="1" t="str">
        <f ca="1">IFERROR(__xludf.DUMMYFUNCTION("""COMPUTED_VALUE"""),"Hybrid Working Environment with less than 15 days a month at office")</f>
        <v>Hybrid Working Environment with less than 15 days a month at office</v>
      </c>
      <c r="L26" s="1" t="str">
        <f ca="1">IFERROR(__xludf.DUMMYFUNCTION("""COMPUTED_VALUE"""),"Employer who pushes your limits by enabling an learning environment, and rewards you at the end")</f>
        <v>Employer who pushes your limits by enabling an learning environment, and rewards you at the end</v>
      </c>
      <c r="M26"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N26" s="4" t="s">
        <v>48</v>
      </c>
      <c r="O26" s="1" t="str">
        <f ca="1">IFERROR(__xludf.DUMMYFUNCTION("""COMPUTED_VALUE"""),"Manager who explains what is expected, sets a goal and helps achieve it")</f>
        <v>Manager who explains what is expected, sets a goal and helps achieve it</v>
      </c>
      <c r="P26" s="1" t="str">
        <f ca="1">IFERROR(__xludf.DUMMYFUNCTION("""COMPUTED_VALUE"""),"Work &lt;=6 People in the Team")</f>
        <v>Work &lt;=6 People in the Team</v>
      </c>
      <c r="Q26" s="1" t="s">
        <v>42</v>
      </c>
      <c r="R26" s="1"/>
    </row>
    <row r="27" spans="1:18" x14ac:dyDescent="0.25">
      <c r="A27" s="2">
        <f ca="1">IFERROR(__xludf.DUMMYFUNCTION("""COMPUTED_VALUE"""),44911.586111875)</f>
        <v>44911.586111875004</v>
      </c>
      <c r="B27" s="1" t="str">
        <f ca="1">IFERROR(__xludf.DUMMYFUNCTION("""COMPUTED_VALUE"""),"India")</f>
        <v>India</v>
      </c>
      <c r="C27" s="1">
        <f ca="1">IFERROR(__xludf.DUMMYFUNCTION("""COMPUTED_VALUE"""),303007)</f>
        <v>303007</v>
      </c>
      <c r="D27" s="1" t="str">
        <f ca="1">IFERROR(__xludf.DUMMYFUNCTION("""COMPUTED_VALUE"""),"Male")</f>
        <v>Male</v>
      </c>
      <c r="E27" s="1" t="str">
        <f ca="1">IFERROR(__xludf.DUMMYFUNCTION("""COMPUTED_VALUE"""),"Influencers who had successful careers")</f>
        <v>Influencers who had successful careers</v>
      </c>
      <c r="F27" s="1" t="str">
        <f ca="1">IFERROR(__xludf.DUMMYFUNCTION("""COMPUTED_VALUE"""),"Yes, I will earn and do that")</f>
        <v>Yes, I will earn and do that</v>
      </c>
      <c r="G27" s="1" t="str">
        <f ca="1">IFERROR(__xludf.DUMMYFUNCTION("""COMPUTED_VALUE"""),"This will be hard to do, but if it is the right company I would try")</f>
        <v>This will be hard to do, but if it is the right company I would try</v>
      </c>
      <c r="H27" s="1" t="str">
        <f ca="1">IFERROR(__xludf.DUMMYFUNCTION("""COMPUTED_VALUE"""),"No")</f>
        <v>No</v>
      </c>
      <c r="I27" s="1" t="str">
        <f ca="1">IFERROR(__xludf.DUMMYFUNCTION("""COMPUTED_VALUE"""),"Will NOT work for them")</f>
        <v>Will NOT work for them</v>
      </c>
      <c r="J27" s="1">
        <f ca="1">IFERROR(__xludf.DUMMYFUNCTION("""COMPUTED_VALUE"""),1)</f>
        <v>1</v>
      </c>
      <c r="K27" s="1" t="str">
        <f ca="1">IFERROR(__xludf.DUMMYFUNCTION("""COMPUTED_VALUE"""),"Fully Remote with Options to travel as and when needed")</f>
        <v>Fully Remote with Options to travel as and when needed</v>
      </c>
      <c r="L27" s="1" t="str">
        <f ca="1">IFERROR(__xludf.DUMMYFUNCTION("""COMPUTED_VALUE"""),"Employer who appreciates learning and enables that environment")</f>
        <v>Employer who appreciates learning and enables that environment</v>
      </c>
      <c r="M27"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N27" s="4" t="s">
        <v>48</v>
      </c>
      <c r="O27" s="1" t="str">
        <f ca="1">IFERROR(__xludf.DUMMYFUNCTION("""COMPUTED_VALUE"""),"Manager who sets goal and helps me achieve it")</f>
        <v>Manager who sets goal and helps me achieve it</v>
      </c>
      <c r="P27" s="1" t="str">
        <f ca="1">IFERROR(__xludf.DUMMYFUNCTION("""COMPUTED_VALUE"""),"Work &gt;10 people in Team")</f>
        <v>Work &gt;10 people in Team</v>
      </c>
      <c r="Q27" s="1" t="s">
        <v>41</v>
      </c>
      <c r="R27" s="1"/>
    </row>
    <row r="28" spans="1:18" x14ac:dyDescent="0.25">
      <c r="A28" s="2">
        <f ca="1">IFERROR(__xludf.DUMMYFUNCTION("""COMPUTED_VALUE"""),44911.587258912)</f>
        <v>44911.587258911997</v>
      </c>
      <c r="B28" s="1" t="str">
        <f ca="1">IFERROR(__xludf.DUMMYFUNCTION("""COMPUTED_VALUE"""),"India")</f>
        <v>India</v>
      </c>
      <c r="C28" s="1">
        <f ca="1">IFERROR(__xludf.DUMMYFUNCTION("""COMPUTED_VALUE"""),852201)</f>
        <v>852201</v>
      </c>
      <c r="D28" s="1" t="str">
        <f ca="1">IFERROR(__xludf.DUMMYFUNCTION("""COMPUTED_VALUE"""),"Female")</f>
        <v>Female</v>
      </c>
      <c r="E28" s="1" t="str">
        <f ca="1">IFERROR(__xludf.DUMMYFUNCTION("""COMPUTED_VALUE"""),"My Parents")</f>
        <v>My Parents</v>
      </c>
      <c r="F28" s="1" t="str">
        <f ca="1">IFERROR(__xludf.DUMMYFUNCTION("""COMPUTED_VALUE"""),"No I would not be pursuing Higher Education outside of India")</f>
        <v>No I would not be pursuing Higher Education outside of India</v>
      </c>
      <c r="G28" s="1" t="str">
        <f ca="1">IFERROR(__xludf.DUMMYFUNCTION("""COMPUTED_VALUE"""),"Will work for 3 years or more")</f>
        <v>Will work for 3 years or more</v>
      </c>
      <c r="H28" s="1" t="str">
        <f ca="1">IFERROR(__xludf.DUMMYFUNCTION("""COMPUTED_VALUE"""),"No")</f>
        <v>No</v>
      </c>
      <c r="I28" s="1" t="str">
        <f ca="1">IFERROR(__xludf.DUMMYFUNCTION("""COMPUTED_VALUE"""),"Will work for them")</f>
        <v>Will work for them</v>
      </c>
      <c r="J28" s="1">
        <f ca="1">IFERROR(__xludf.DUMMYFUNCTION("""COMPUTED_VALUE"""),6)</f>
        <v>6</v>
      </c>
      <c r="K28" s="1" t="str">
        <f ca="1">IFERROR(__xludf.DUMMYFUNCTION("""COMPUTED_VALUE"""),"Hybrid Working Environment with less than 3 days a month at office")</f>
        <v>Hybrid Working Environment with less than 3 days a month at office</v>
      </c>
      <c r="L28" s="1" t="str">
        <f ca="1">IFERROR(__xludf.DUMMYFUNCTION("""COMPUTED_VALUE"""),"Employer who appreciates learning and enables that environment")</f>
        <v>Employer who appreciates learning and enables that environment</v>
      </c>
      <c r="M28"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N28" s="4" t="s">
        <v>48</v>
      </c>
      <c r="O28" s="1" t="str">
        <f ca="1">IFERROR(__xludf.DUMMYFUNCTION("""COMPUTED_VALUE"""),"Manager who sets targets and expects me to achieve it")</f>
        <v>Manager who sets targets and expects me to achieve it</v>
      </c>
      <c r="P28" s="1" t="str">
        <f ca="1">IFERROR(__xludf.DUMMYFUNCTION("""COMPUTED_VALUE"""),"Work &lt;=6 People in the Team")</f>
        <v>Work &lt;=6 People in the Team</v>
      </c>
      <c r="Q28" s="1" t="s">
        <v>41</v>
      </c>
      <c r="R28" s="1"/>
    </row>
    <row r="29" spans="1:18" x14ac:dyDescent="0.25">
      <c r="A29" s="2">
        <f ca="1">IFERROR(__xludf.DUMMYFUNCTION("""COMPUTED_VALUE"""),44911.5904140625)</f>
        <v>44911.590414062499</v>
      </c>
      <c r="B29" s="1" t="str">
        <f ca="1">IFERROR(__xludf.DUMMYFUNCTION("""COMPUTED_VALUE"""),"United Arab Emirates")</f>
        <v>United Arab Emirates</v>
      </c>
      <c r="C29" s="1">
        <f ca="1">IFERROR(__xludf.DUMMYFUNCTION("""COMPUTED_VALUE"""),27287)</f>
        <v>27287</v>
      </c>
      <c r="D29" s="1" t="str">
        <f ca="1">IFERROR(__xludf.DUMMYFUNCTION("""COMPUTED_VALUE"""),"Female")</f>
        <v>Female</v>
      </c>
      <c r="E29" s="1" t="str">
        <f ca="1">IFERROR(__xludf.DUMMYFUNCTION("""COMPUTED_VALUE"""),"My Parents")</f>
        <v>My Parents</v>
      </c>
      <c r="F29" s="1" t="str">
        <f ca="1">IFERROR(__xludf.DUMMYFUNCTION("""COMPUTED_VALUE"""),"Yes, I will earn and do that")</f>
        <v>Yes, I will earn and do that</v>
      </c>
      <c r="G29" s="1" t="str">
        <f ca="1">IFERROR(__xludf.DUMMYFUNCTION("""COMPUTED_VALUE"""),"This will be hard to do, but if it is the right company I would try")</f>
        <v>This will be hard to do, but if it is the right company I would try</v>
      </c>
      <c r="H29" s="1" t="str">
        <f ca="1">IFERROR(__xludf.DUMMYFUNCTION("""COMPUTED_VALUE"""),"No")</f>
        <v>No</v>
      </c>
      <c r="I29" s="1" t="str">
        <f ca="1">IFERROR(__xludf.DUMMYFUNCTION("""COMPUTED_VALUE"""),"Will NOT work for them")</f>
        <v>Will NOT work for them</v>
      </c>
      <c r="J29" s="1">
        <f ca="1">IFERROR(__xludf.DUMMYFUNCTION("""COMPUTED_VALUE"""),6)</f>
        <v>6</v>
      </c>
      <c r="K29" s="1" t="str">
        <f ca="1">IFERROR(__xludf.DUMMYFUNCTION("""COMPUTED_VALUE"""),"Hybrid Working Environment with less than 15 days a month at office")</f>
        <v>Hybrid Working Environment with less than 15 days a month at office</v>
      </c>
      <c r="L29" s="1" t="str">
        <f ca="1">IFERROR(__xludf.DUMMYFUNCTION("""COMPUTED_VALUE"""),"Employer who pushes your limits by enabling an learning environment, and rewards you at the end")</f>
        <v>Employer who pushes your limits by enabling an learning environment, and rewards you at the end</v>
      </c>
      <c r="M2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9" s="4" t="s">
        <v>48</v>
      </c>
      <c r="O29" s="1" t="str">
        <f ca="1">IFERROR(__xludf.DUMMYFUNCTION("""COMPUTED_VALUE"""),"Manager who explains what is expected, sets a goal and helps achieve it")</f>
        <v>Manager who explains what is expected, sets a goal and helps achieve it</v>
      </c>
      <c r="P29" s="1" t="str">
        <f ca="1">IFERROR(__xludf.DUMMYFUNCTION("""COMPUTED_VALUE"""),"Work &lt;=6 People in the Team")</f>
        <v>Work &lt;=6 People in the Team</v>
      </c>
      <c r="Q29" s="1" t="s">
        <v>42</v>
      </c>
      <c r="R29" s="1"/>
    </row>
    <row r="30" spans="1:18" x14ac:dyDescent="0.25">
      <c r="A30" s="2">
        <f ca="1">IFERROR(__xludf.DUMMYFUNCTION("""COMPUTED_VALUE"""),44911.5985923495)</f>
        <v>44911.598592349503</v>
      </c>
      <c r="B30" s="1" t="str">
        <f ca="1">IFERROR(__xludf.DUMMYFUNCTION("""COMPUTED_VALUE"""),"India")</f>
        <v>India</v>
      </c>
      <c r="C30" s="1">
        <f ca="1">IFERROR(__xludf.DUMMYFUNCTION("""COMPUTED_VALUE"""),700063)</f>
        <v>700063</v>
      </c>
      <c r="D30" s="1" t="str">
        <f ca="1">IFERROR(__xludf.DUMMYFUNCTION("""COMPUTED_VALUE"""),"Male")</f>
        <v>Male</v>
      </c>
      <c r="E30" s="1" t="str">
        <f ca="1">IFERROR(__xludf.DUMMYFUNCTION("""COMPUTED_VALUE"""),"People who have changed the world for better")</f>
        <v>People who have changed the world for better</v>
      </c>
      <c r="F30" s="1" t="str">
        <f ca="1">IFERROR(__xludf.DUMMYFUNCTION("""COMPUTED_VALUE"""),"Yes, I will earn and do that")</f>
        <v>Yes, I will earn and do that</v>
      </c>
      <c r="G30" s="1" t="str">
        <f ca="1">IFERROR(__xludf.DUMMYFUNCTION("""COMPUTED_VALUE"""),"This will be hard to do, but if it is the right company I would try")</f>
        <v>This will be hard to do, but if it is the right company I would try</v>
      </c>
      <c r="H30" s="1" t="str">
        <f ca="1">IFERROR(__xludf.DUMMYFUNCTION("""COMPUTED_VALUE"""),"No")</f>
        <v>No</v>
      </c>
      <c r="I30" s="1" t="str">
        <f ca="1">IFERROR(__xludf.DUMMYFUNCTION("""COMPUTED_VALUE"""),"Will NOT work for them")</f>
        <v>Will NOT work for them</v>
      </c>
      <c r="J30" s="1">
        <f ca="1">IFERROR(__xludf.DUMMYFUNCTION("""COMPUTED_VALUE"""),5)</f>
        <v>5</v>
      </c>
      <c r="K30" s="1" t="str">
        <f ca="1">IFERROR(__xludf.DUMMYFUNCTION("""COMPUTED_VALUE"""),"Fully Remote with Options to travel as and when needed")</f>
        <v>Fully Remote with Options to travel as and when needed</v>
      </c>
      <c r="L30" s="1" t="str">
        <f ca="1">IFERROR(__xludf.DUMMYFUNCTION("""COMPUTED_VALUE"""),"Employer who pushes your limits by enabling an learning environment, and rewards you at the end")</f>
        <v>Employer who pushes your limits by enabling an learning environment, and rewards you at the end</v>
      </c>
      <c r="M30"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N30" s="4" t="s">
        <v>48</v>
      </c>
      <c r="O30" s="1" t="str">
        <f ca="1">IFERROR(__xludf.DUMMYFUNCTION("""COMPUTED_VALUE"""),"Manager who explains what is expected, sets a goal and helps achieve it")</f>
        <v>Manager who explains what is expected, sets a goal and helps achieve it</v>
      </c>
      <c r="P30" s="1" t="str">
        <f ca="1">IFERROR(__xludf.DUMMYFUNCTION("""COMPUTED_VALUE"""),"Work Alone, &lt;=6 in team")</f>
        <v>Work Alone, &lt;=6 in team</v>
      </c>
      <c r="Q30" s="1" t="s">
        <v>40</v>
      </c>
      <c r="R30" s="1"/>
    </row>
    <row r="31" spans="1:18" x14ac:dyDescent="0.25">
      <c r="A31" s="2">
        <f ca="1">IFERROR(__xludf.DUMMYFUNCTION("""COMPUTED_VALUE"""),44911.6073545833)</f>
        <v>44911.607354583299</v>
      </c>
      <c r="B31" s="1" t="str">
        <f ca="1">IFERROR(__xludf.DUMMYFUNCTION("""COMPUTED_VALUE"""),"India")</f>
        <v>India</v>
      </c>
      <c r="C31" s="1">
        <f ca="1">IFERROR(__xludf.DUMMYFUNCTION("""COMPUTED_VALUE"""),577528)</f>
        <v>577528</v>
      </c>
      <c r="D31" s="1" t="str">
        <f ca="1">IFERROR(__xludf.DUMMYFUNCTION("""COMPUTED_VALUE"""),"Male")</f>
        <v>Male</v>
      </c>
      <c r="E31" s="1" t="str">
        <f ca="1">IFERROR(__xludf.DUMMYFUNCTION("""COMPUTED_VALUE"""),"Social Media like LinkedIn")</f>
        <v>Social Media like LinkedIn</v>
      </c>
      <c r="F31" s="1" t="str">
        <f ca="1">IFERROR(__xludf.DUMMYFUNCTION("""COMPUTED_VALUE"""),"Yes, I will earn and do that")</f>
        <v>Yes, I will earn and do that</v>
      </c>
      <c r="G31" s="1" t="str">
        <f ca="1">IFERROR(__xludf.DUMMYFUNCTION("""COMPUTED_VALUE"""),"This will be hard to do, but if it is the right company I would try")</f>
        <v>This will be hard to do, but if it is the right company I would try</v>
      </c>
      <c r="H31" s="1" t="str">
        <f ca="1">IFERROR(__xludf.DUMMYFUNCTION("""COMPUTED_VALUE"""),"Yes")</f>
        <v>Yes</v>
      </c>
      <c r="I31" s="1" t="str">
        <f ca="1">IFERROR(__xludf.DUMMYFUNCTION("""COMPUTED_VALUE"""),"Will work for them")</f>
        <v>Will work for them</v>
      </c>
      <c r="J31" s="1">
        <f ca="1">IFERROR(__xludf.DUMMYFUNCTION("""COMPUTED_VALUE"""),1)</f>
        <v>1</v>
      </c>
      <c r="K31" s="1" t="str">
        <f ca="1">IFERROR(__xludf.DUMMYFUNCTION("""COMPUTED_VALUE"""),"Every Day Office Environment")</f>
        <v>Every Day Office Environment</v>
      </c>
      <c r="L31" s="1" t="str">
        <f ca="1">IFERROR(__xludf.DUMMYFUNCTION("""COMPUTED_VALUE"""),"Employer who appreciates learning and enables that environment")</f>
        <v>Employer who appreciates learning and enables that environment</v>
      </c>
      <c r="M31"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N31" s="4" t="s">
        <v>48</v>
      </c>
      <c r="O31" s="1" t="str">
        <f ca="1">IFERROR(__xludf.DUMMYFUNCTION("""COMPUTED_VALUE"""),"Manager who sets targets and expects me to achieve it")</f>
        <v>Manager who sets targets and expects me to achieve it</v>
      </c>
      <c r="P31" s="1" t="str">
        <f ca="1">IFERROR(__xludf.DUMMYFUNCTION("""COMPUTED_VALUE"""),"Work &gt;10 people in Team")</f>
        <v>Work &gt;10 people in Team</v>
      </c>
      <c r="Q31" s="1" t="s">
        <v>40</v>
      </c>
      <c r="R31" s="1"/>
    </row>
    <row r="32" spans="1:18" x14ac:dyDescent="0.25">
      <c r="A32" s="2">
        <f ca="1">IFERROR(__xludf.DUMMYFUNCTION("""COMPUTED_VALUE"""),44911.6114646875)</f>
        <v>44911.611464687499</v>
      </c>
      <c r="B32" s="1" t="str">
        <f ca="1">IFERROR(__xludf.DUMMYFUNCTION("""COMPUTED_VALUE"""),"India")</f>
        <v>India</v>
      </c>
      <c r="C32" s="1">
        <f ca="1">IFERROR(__xludf.DUMMYFUNCTION("""COMPUTED_VALUE"""),122003)</f>
        <v>122003</v>
      </c>
      <c r="D32" s="1" t="str">
        <f ca="1">IFERROR(__xludf.DUMMYFUNCTION("""COMPUTED_VALUE"""),"Male")</f>
        <v>Male</v>
      </c>
      <c r="E32" s="1" t="str">
        <f ca="1">IFERROR(__xludf.DUMMYFUNCTION("""COMPUTED_VALUE"""),"My Parents")</f>
        <v>My Parents</v>
      </c>
      <c r="F32" s="1" t="str">
        <f ca="1">IFERROR(__xludf.DUMMYFUNCTION("""COMPUTED_VALUE"""),"Yes, I will earn and do that")</f>
        <v>Yes, I will earn and do that</v>
      </c>
      <c r="G32" s="1" t="str">
        <f ca="1">IFERROR(__xludf.DUMMYFUNCTION("""COMPUTED_VALUE"""),"Will work for 3 years or more")</f>
        <v>Will work for 3 years or more</v>
      </c>
      <c r="H32" s="1" t="str">
        <f ca="1">IFERROR(__xludf.DUMMYFUNCTION("""COMPUTED_VALUE"""),"No")</f>
        <v>No</v>
      </c>
      <c r="I32" s="1" t="str">
        <f ca="1">IFERROR(__xludf.DUMMYFUNCTION("""COMPUTED_VALUE"""),"Will NOT work for them")</f>
        <v>Will NOT work for them</v>
      </c>
      <c r="J32" s="1">
        <f ca="1">IFERROR(__xludf.DUMMYFUNCTION("""COMPUTED_VALUE"""),7)</f>
        <v>7</v>
      </c>
      <c r="K32" s="1" t="str">
        <f ca="1">IFERROR(__xludf.DUMMYFUNCTION("""COMPUTED_VALUE"""),"Every Day Office Environment")</f>
        <v>Every Day Office Environment</v>
      </c>
      <c r="L32" s="1" t="str">
        <f ca="1">IFERROR(__xludf.DUMMYFUNCTION("""COMPUTED_VALUE"""),"Employer who pushes your limits by enabling an learning environment, and rewards you at the end")</f>
        <v>Employer who pushes your limits by enabling an learning environment, and rewards you at the end</v>
      </c>
      <c r="M3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32" s="4" t="s">
        <v>49</v>
      </c>
      <c r="O32" s="1" t="str">
        <f ca="1">IFERROR(__xludf.DUMMYFUNCTION("""COMPUTED_VALUE"""),"Manager who explains what is expected, sets a goal and helps achieve it")</f>
        <v>Manager who explains what is expected, sets a goal and helps achieve it</v>
      </c>
      <c r="P32" s="1" t="str">
        <f ca="1">IFERROR(__xludf.DUMMYFUNCTION("""COMPUTED_VALUE"""),"Work Alone, &lt;=6 in team")</f>
        <v>Work Alone, &lt;=6 in team</v>
      </c>
      <c r="Q32" s="1" t="s">
        <v>40</v>
      </c>
      <c r="R32" s="1"/>
    </row>
    <row r="33" spans="1:18" x14ac:dyDescent="0.25">
      <c r="A33" s="2">
        <f ca="1">IFERROR(__xludf.DUMMYFUNCTION("""COMPUTED_VALUE"""),44911.614053449)</f>
        <v>44911.614053448997</v>
      </c>
      <c r="B33" s="1" t="str">
        <f ca="1">IFERROR(__xludf.DUMMYFUNCTION("""COMPUTED_VALUE"""),"India")</f>
        <v>India</v>
      </c>
      <c r="C33" s="1">
        <f ca="1">IFERROR(__xludf.DUMMYFUNCTION("""COMPUTED_VALUE"""),122003)</f>
        <v>122003</v>
      </c>
      <c r="D33" s="1" t="str">
        <f ca="1">IFERROR(__xludf.DUMMYFUNCTION("""COMPUTED_VALUE"""),"Male")</f>
        <v>Male</v>
      </c>
      <c r="E33" s="1" t="str">
        <f ca="1">IFERROR(__xludf.DUMMYFUNCTION("""COMPUTED_VALUE"""),"People who have changed the world for better")</f>
        <v>People who have changed the world for better</v>
      </c>
      <c r="F33" s="1" t="str">
        <f ca="1">IFERROR(__xludf.DUMMYFUNCTION("""COMPUTED_VALUE"""),"Yes, I will earn and do that")</f>
        <v>Yes, I will earn and do that</v>
      </c>
      <c r="G33" s="1" t="str">
        <f ca="1">IFERROR(__xludf.DUMMYFUNCTION("""COMPUTED_VALUE"""),"This will be hard to do, but if it is the right company I would try")</f>
        <v>This will be hard to do, but if it is the right company I would try</v>
      </c>
      <c r="H33" s="1" t="str">
        <f ca="1">IFERROR(__xludf.DUMMYFUNCTION("""COMPUTED_VALUE"""),"No")</f>
        <v>No</v>
      </c>
      <c r="I33" s="1" t="str">
        <f ca="1">IFERROR(__xludf.DUMMYFUNCTION("""COMPUTED_VALUE"""),"Will NOT work for them")</f>
        <v>Will NOT work for them</v>
      </c>
      <c r="J33" s="1">
        <f ca="1">IFERROR(__xludf.DUMMYFUNCTION("""COMPUTED_VALUE"""),1)</f>
        <v>1</v>
      </c>
      <c r="K33" s="1" t="str">
        <f ca="1">IFERROR(__xludf.DUMMYFUNCTION("""COMPUTED_VALUE"""),"Hybrid Working Environment with less than 10 days a month at office")</f>
        <v>Hybrid Working Environment with less than 10 days a month at office</v>
      </c>
      <c r="L33" s="1" t="str">
        <f ca="1">IFERROR(__xludf.DUMMYFUNCTION("""COMPUTED_VALUE"""),"Employer who pushes your limits by enabling an learning environment, and rewards you at the end")</f>
        <v>Employer who pushes your limits by enabling an learning environment, and rewards you at the end</v>
      </c>
      <c r="M3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33" s="4" t="s">
        <v>48</v>
      </c>
      <c r="O33" s="1" t="str">
        <f ca="1">IFERROR(__xludf.DUMMYFUNCTION("""COMPUTED_VALUE"""),"Manager who explains what is expected, sets a goal and helps achieve it")</f>
        <v>Manager who explains what is expected, sets a goal and helps achieve it</v>
      </c>
      <c r="P33" s="1" t="str">
        <f ca="1">IFERROR(__xludf.DUMMYFUNCTION("""COMPUTED_VALUE"""),"Work &lt;=6 People in the Team")</f>
        <v>Work &lt;=6 People in the Team</v>
      </c>
      <c r="Q33" s="1" t="s">
        <v>40</v>
      </c>
      <c r="R33" s="1"/>
    </row>
    <row r="34" spans="1:18" x14ac:dyDescent="0.25">
      <c r="A34" s="2">
        <f ca="1">IFERROR(__xludf.DUMMYFUNCTION("""COMPUTED_VALUE"""),44911.6160341666)</f>
        <v>44911.616034166596</v>
      </c>
      <c r="B34" s="1" t="str">
        <f ca="1">IFERROR(__xludf.DUMMYFUNCTION("""COMPUTED_VALUE"""),"India")</f>
        <v>India</v>
      </c>
      <c r="C34" s="1">
        <f ca="1">IFERROR(__xludf.DUMMYFUNCTION("""COMPUTED_VALUE"""),440002)</f>
        <v>440002</v>
      </c>
      <c r="D34" s="1" t="str">
        <f ca="1">IFERROR(__xludf.DUMMYFUNCTION("""COMPUTED_VALUE"""),"Male")</f>
        <v>Male</v>
      </c>
      <c r="E34" s="1" t="str">
        <f ca="1">IFERROR(__xludf.DUMMYFUNCTION("""COMPUTED_VALUE"""),"Influencers who had successful careers")</f>
        <v>Influencers who had successful careers</v>
      </c>
      <c r="F34" s="1" t="str">
        <f ca="1">IFERROR(__xludf.DUMMYFUNCTION("""COMPUTED_VALUE"""),"No, But if someone could bare the cost I will")</f>
        <v>No, But if someone could bare the cost I will</v>
      </c>
      <c r="G34" s="1" t="str">
        <f ca="1">IFERROR(__xludf.DUMMYFUNCTION("""COMPUTED_VALUE"""),"Will work for 3 years or more")</f>
        <v>Will work for 3 years or more</v>
      </c>
      <c r="H34" s="1" t="str">
        <f ca="1">IFERROR(__xludf.DUMMYFUNCTION("""COMPUTED_VALUE"""),"No")</f>
        <v>No</v>
      </c>
      <c r="I34" s="1" t="str">
        <f ca="1">IFERROR(__xludf.DUMMYFUNCTION("""COMPUTED_VALUE"""),"Will NOT work for them")</f>
        <v>Will NOT work for them</v>
      </c>
      <c r="J34" s="1">
        <f ca="1">IFERROR(__xludf.DUMMYFUNCTION("""COMPUTED_VALUE"""),7)</f>
        <v>7</v>
      </c>
      <c r="K34" s="1" t="str">
        <f ca="1">IFERROR(__xludf.DUMMYFUNCTION("""COMPUTED_VALUE"""),"Hybrid Working Environment with less than 15 days a month at office")</f>
        <v>Hybrid Working Environment with less than 15 days a month at office</v>
      </c>
      <c r="L34" s="1" t="str">
        <f ca="1">IFERROR(__xludf.DUMMYFUNCTION("""COMPUTED_VALUE"""),"Employer who pushes your limits by enabling an learning environment, and rewards you at the end")</f>
        <v>Employer who pushes your limits by enabling an learning environment, and rewards you at the end</v>
      </c>
      <c r="M3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34" s="4" t="s">
        <v>48</v>
      </c>
      <c r="O34" s="1" t="str">
        <f ca="1">IFERROR(__xludf.DUMMYFUNCTION("""COMPUTED_VALUE"""),"Manager who sets goal and helps me achieve it")</f>
        <v>Manager who sets goal and helps me achieve it</v>
      </c>
      <c r="P34" s="1" t="str">
        <f ca="1">IFERROR(__xludf.DUMMYFUNCTION("""COMPUTED_VALUE"""),"Work &lt;=6 People in the Team")</f>
        <v>Work &lt;=6 People in the Team</v>
      </c>
      <c r="Q34" s="1" t="s">
        <v>40</v>
      </c>
      <c r="R34" s="1"/>
    </row>
    <row r="35" spans="1:18" x14ac:dyDescent="0.25">
      <c r="A35" s="2">
        <f ca="1">IFERROR(__xludf.DUMMYFUNCTION("""COMPUTED_VALUE"""),44911.6168346875)</f>
        <v>44911.616834687498</v>
      </c>
      <c r="B35" s="1" t="str">
        <f ca="1">IFERROR(__xludf.DUMMYFUNCTION("""COMPUTED_VALUE"""),"India")</f>
        <v>India</v>
      </c>
      <c r="C35" s="1">
        <f ca="1">IFERROR(__xludf.DUMMYFUNCTION("""COMPUTED_VALUE"""),852201)</f>
        <v>852201</v>
      </c>
      <c r="D35" s="1" t="str">
        <f ca="1">IFERROR(__xludf.DUMMYFUNCTION("""COMPUTED_VALUE"""),"Female")</f>
        <v>Female</v>
      </c>
      <c r="E35" s="1" t="str">
        <f ca="1">IFERROR(__xludf.DUMMYFUNCTION("""COMPUTED_VALUE"""),"People who have changed the world for better")</f>
        <v>People who have changed the world for better</v>
      </c>
      <c r="F35" s="1" t="str">
        <f ca="1">IFERROR(__xludf.DUMMYFUNCTION("""COMPUTED_VALUE"""),"No, But if someone could bare the cost I will")</f>
        <v>No, But if someone could bare the cost I will</v>
      </c>
      <c r="G35" s="1" t="str">
        <f ca="1">IFERROR(__xludf.DUMMYFUNCTION("""COMPUTED_VALUE"""),"This will be hard to do, but if it is the right company I would try")</f>
        <v>This will be hard to do, but if it is the right company I would try</v>
      </c>
      <c r="H35" s="1" t="str">
        <f ca="1">IFERROR(__xludf.DUMMYFUNCTION("""COMPUTED_VALUE"""),"No")</f>
        <v>No</v>
      </c>
      <c r="I35" s="1" t="str">
        <f ca="1">IFERROR(__xludf.DUMMYFUNCTION("""COMPUTED_VALUE"""),"Will NOT work for them")</f>
        <v>Will NOT work for them</v>
      </c>
      <c r="J35" s="1">
        <f ca="1">IFERROR(__xludf.DUMMYFUNCTION("""COMPUTED_VALUE"""),5)</f>
        <v>5</v>
      </c>
      <c r="K35" s="1" t="str">
        <f ca="1">IFERROR(__xludf.DUMMYFUNCTION("""COMPUTED_VALUE"""),"Fully Remote with No option to visit offices")</f>
        <v>Fully Remote with No option to visit offices</v>
      </c>
      <c r="L35" s="1" t="str">
        <f ca="1">IFERROR(__xludf.DUMMYFUNCTION("""COMPUTED_VALUE"""),"Employer who pushes your limits by enabling an learning environment, and rewards you at the end")</f>
        <v>Employer who pushes your limits by enabling an learning environment, and rewards you at the end</v>
      </c>
      <c r="M35"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N35" s="4" t="s">
        <v>50</v>
      </c>
      <c r="O35" s="1" t="str">
        <f ca="1">IFERROR(__xludf.DUMMYFUNCTION("""COMPUTED_VALUE"""),"Manager who explains what is expected, sets a goal and helps achieve it")</f>
        <v>Manager who explains what is expected, sets a goal and helps achieve it</v>
      </c>
      <c r="P35" s="1" t="str">
        <f ca="1">IFERROR(__xludf.DUMMYFUNCTION("""COMPUTED_VALUE"""),"Work Alone, &lt;=6 in team")</f>
        <v>Work Alone, &lt;=6 in team</v>
      </c>
      <c r="Q35" s="1" t="s">
        <v>41</v>
      </c>
      <c r="R35" s="1"/>
    </row>
    <row r="36" spans="1:18" x14ac:dyDescent="0.25">
      <c r="A36" s="2">
        <f ca="1">IFERROR(__xludf.DUMMYFUNCTION("""COMPUTED_VALUE"""),44911.6174134606)</f>
        <v>44911.617413460597</v>
      </c>
      <c r="B36" s="1" t="str">
        <f ca="1">IFERROR(__xludf.DUMMYFUNCTION("""COMPUTED_VALUE"""),"India")</f>
        <v>India</v>
      </c>
      <c r="C36" s="1">
        <f ca="1">IFERROR(__xludf.DUMMYFUNCTION("""COMPUTED_VALUE"""),465674)</f>
        <v>465674</v>
      </c>
      <c r="D36" s="1" t="str">
        <f ca="1">IFERROR(__xludf.DUMMYFUNCTION("""COMPUTED_VALUE"""),"Female")</f>
        <v>Female</v>
      </c>
      <c r="E36" s="1" t="str">
        <f ca="1">IFERROR(__xludf.DUMMYFUNCTION("""COMPUTED_VALUE"""),"My Parents")</f>
        <v>My Parents</v>
      </c>
      <c r="F36" s="1" t="str">
        <f ca="1">IFERROR(__xludf.DUMMYFUNCTION("""COMPUTED_VALUE"""),"No I would not be pursuing Higher Education outside of India")</f>
        <v>No I would not be pursuing Higher Education outside of India</v>
      </c>
      <c r="G36" s="1" t="str">
        <f ca="1">IFERROR(__xludf.DUMMYFUNCTION("""COMPUTED_VALUE"""),"This will be hard to do, but if it is the right company I would try")</f>
        <v>This will be hard to do, but if it is the right company I would try</v>
      </c>
      <c r="H36" s="1" t="str">
        <f ca="1">IFERROR(__xludf.DUMMYFUNCTION("""COMPUTED_VALUE"""),"No")</f>
        <v>No</v>
      </c>
      <c r="I36" s="1" t="str">
        <f ca="1">IFERROR(__xludf.DUMMYFUNCTION("""COMPUTED_VALUE"""),"Will NOT work for them")</f>
        <v>Will NOT work for them</v>
      </c>
      <c r="J36" s="1">
        <f ca="1">IFERROR(__xludf.DUMMYFUNCTION("""COMPUTED_VALUE"""),10)</f>
        <v>10</v>
      </c>
      <c r="K36" s="1" t="str">
        <f ca="1">IFERROR(__xludf.DUMMYFUNCTION("""COMPUTED_VALUE"""),"Hybrid Working Environment with less than 10 days a month at office")</f>
        <v>Hybrid Working Environment with less than 10 days a month at office</v>
      </c>
      <c r="L36" s="1" t="str">
        <f ca="1">IFERROR(__xludf.DUMMYFUNCTION("""COMPUTED_VALUE"""),"Employer who appreciates learning and enables that environment")</f>
        <v>Employer who appreciates learning and enables that environment</v>
      </c>
      <c r="M36"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36" s="4" t="s">
        <v>48</v>
      </c>
      <c r="O36" s="1" t="str">
        <f ca="1">IFERROR(__xludf.DUMMYFUNCTION("""COMPUTED_VALUE"""),"Manager who sets targets and expects me to achieve it")</f>
        <v>Manager who sets targets and expects me to achieve it</v>
      </c>
      <c r="P36" s="1" t="str">
        <f ca="1">IFERROR(__xludf.DUMMYFUNCTION("""COMPUTED_VALUE"""),"Work &lt;=6 People in the Team")</f>
        <v>Work &lt;=6 People in the Team</v>
      </c>
      <c r="Q36" s="1" t="s">
        <v>41</v>
      </c>
      <c r="R36" s="1"/>
    </row>
    <row r="37" spans="1:18" x14ac:dyDescent="0.25">
      <c r="A37" s="2">
        <f ca="1">IFERROR(__xludf.DUMMYFUNCTION("""COMPUTED_VALUE"""),44911.6268969675)</f>
        <v>44911.6268969675</v>
      </c>
      <c r="B37" s="1" t="str">
        <f ca="1">IFERROR(__xludf.DUMMYFUNCTION("""COMPUTED_VALUE"""),"India")</f>
        <v>India</v>
      </c>
      <c r="C37" s="1">
        <f ca="1">IFERROR(__xludf.DUMMYFUNCTION("""COMPUTED_VALUE"""),561203)</f>
        <v>561203</v>
      </c>
      <c r="D37" s="1" t="str">
        <f ca="1">IFERROR(__xludf.DUMMYFUNCTION("""COMPUTED_VALUE"""),"Male")</f>
        <v>Male</v>
      </c>
      <c r="E37" s="1" t="str">
        <f ca="1">IFERROR(__xludf.DUMMYFUNCTION("""COMPUTED_VALUE"""),"Influencers who had successful careers")</f>
        <v>Influencers who had successful careers</v>
      </c>
      <c r="F37" s="1" t="str">
        <f ca="1">IFERROR(__xludf.DUMMYFUNCTION("""COMPUTED_VALUE"""),"Yes, I will earn and do that")</f>
        <v>Yes, I will earn and do that</v>
      </c>
      <c r="G37" s="1" t="str">
        <f ca="1">IFERROR(__xludf.DUMMYFUNCTION("""COMPUTED_VALUE"""),"No way, 3 years with one employer is crazy")</f>
        <v>No way, 3 years with one employer is crazy</v>
      </c>
      <c r="H37" s="1" t="str">
        <f ca="1">IFERROR(__xludf.DUMMYFUNCTION("""COMPUTED_VALUE"""),"No")</f>
        <v>No</v>
      </c>
      <c r="I37" s="1" t="str">
        <f ca="1">IFERROR(__xludf.DUMMYFUNCTION("""COMPUTED_VALUE"""),"Will NOT work for them")</f>
        <v>Will NOT work for them</v>
      </c>
      <c r="J37" s="1">
        <f ca="1">IFERROR(__xludf.DUMMYFUNCTION("""COMPUTED_VALUE"""),6)</f>
        <v>6</v>
      </c>
      <c r="K37" s="1" t="str">
        <f ca="1">IFERROR(__xludf.DUMMYFUNCTION("""COMPUTED_VALUE"""),"Hybrid Working Environment with less than 3 days a month at office")</f>
        <v>Hybrid Working Environment with less than 3 days a month at office</v>
      </c>
      <c r="L37" s="1" t="str">
        <f ca="1">IFERROR(__xludf.DUMMYFUNCTION("""COMPUTED_VALUE"""),"Employer who pushes your limits by enabling an learning environment, and rewards you at the end")</f>
        <v>Employer who pushes your limits by enabling an learning environment, and rewards you at the end</v>
      </c>
      <c r="M37" s="1" t="str">
        <f ca="1">IFERROR(__xludf.DUMMYFUNCTION("""COMPUTED_VALUE"""),"Teaching in any of the institutes/online or Offline, Design and Develop amazing software, Work as a freelancer and do my thing my way")</f>
        <v>Teaching in any of the institutes/online or Offline, Design and Develop amazing software, Work as a freelancer and do my thing my way</v>
      </c>
      <c r="N37" s="4" t="s">
        <v>48</v>
      </c>
      <c r="O37" s="1" t="str">
        <f ca="1">IFERROR(__xludf.DUMMYFUNCTION("""COMPUTED_VALUE"""),"Manager who clearly describes what she/he needs")</f>
        <v>Manager who clearly describes what she/he needs</v>
      </c>
      <c r="P37" s="1" t="str">
        <f ca="1">IFERROR(__xludf.DUMMYFUNCTION("""COMPUTED_VALUE"""),"Work &lt;=6 People in the Team")</f>
        <v>Work &lt;=6 People in the Team</v>
      </c>
      <c r="Q37" s="1" t="s">
        <v>41</v>
      </c>
      <c r="R37" s="1"/>
    </row>
    <row r="38" spans="1:18" x14ac:dyDescent="0.25">
      <c r="A38" s="2">
        <f ca="1">IFERROR(__xludf.DUMMYFUNCTION("""COMPUTED_VALUE"""),44911.6297329282)</f>
        <v>44911.629732928202</v>
      </c>
      <c r="B38" s="1" t="str">
        <f ca="1">IFERROR(__xludf.DUMMYFUNCTION("""COMPUTED_VALUE"""),"India")</f>
        <v>India</v>
      </c>
      <c r="C38" s="1">
        <f ca="1">IFERROR(__xludf.DUMMYFUNCTION("""COMPUTED_VALUE"""),577004)</f>
        <v>577004</v>
      </c>
      <c r="D38" s="1" t="str">
        <f ca="1">IFERROR(__xludf.DUMMYFUNCTION("""COMPUTED_VALUE"""),"Female")</f>
        <v>Female</v>
      </c>
      <c r="E38" s="1" t="str">
        <f ca="1">IFERROR(__xludf.DUMMYFUNCTION("""COMPUTED_VALUE"""),"Influencers who had successful careers")</f>
        <v>Influencers who had successful careers</v>
      </c>
      <c r="F38" s="1" t="str">
        <f ca="1">IFERROR(__xludf.DUMMYFUNCTION("""COMPUTED_VALUE"""),"Yes, I will earn and do that")</f>
        <v>Yes, I will earn and do that</v>
      </c>
      <c r="G38" s="1" t="str">
        <f ca="1">IFERROR(__xludf.DUMMYFUNCTION("""COMPUTED_VALUE"""),"This will be hard to do, but if it is the right company I would try")</f>
        <v>This will be hard to do, but if it is the right company I would try</v>
      </c>
      <c r="H38" s="1" t="str">
        <f ca="1">IFERROR(__xludf.DUMMYFUNCTION("""COMPUTED_VALUE"""),"No")</f>
        <v>No</v>
      </c>
      <c r="I38" s="1" t="str">
        <f ca="1">IFERROR(__xludf.DUMMYFUNCTION("""COMPUTED_VALUE"""),"Will NOT work for them")</f>
        <v>Will NOT work for them</v>
      </c>
      <c r="J38" s="1">
        <f ca="1">IFERROR(__xludf.DUMMYFUNCTION("""COMPUTED_VALUE"""),5)</f>
        <v>5</v>
      </c>
      <c r="K38" s="1" t="str">
        <f ca="1">IFERROR(__xludf.DUMMYFUNCTION("""COMPUTED_VALUE"""),"Every Day Office Environment")</f>
        <v>Every Day Office Environment</v>
      </c>
      <c r="L38" s="1" t="str">
        <f ca="1">IFERROR(__xludf.DUMMYFUNCTION("""COMPUTED_VALUE"""),"Employer who pushes your limits by enabling an learning environment, and rewards you at the end")</f>
        <v>Employer who pushes your limits by enabling an learning environment, and rewards you at the end</v>
      </c>
      <c r="M38"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N38" s="4" t="s">
        <v>49</v>
      </c>
      <c r="O38" s="1" t="str">
        <f ca="1">IFERROR(__xludf.DUMMYFUNCTION("""COMPUTED_VALUE"""),"Manager who explains what is expected, sets a goal and helps achieve it")</f>
        <v>Manager who explains what is expected, sets a goal and helps achieve it</v>
      </c>
      <c r="P38" s="1" t="str">
        <f ca="1">IFERROR(__xludf.DUMMYFUNCTION("""COMPUTED_VALUE"""),"Work &lt;=6 People in the Team")</f>
        <v>Work &lt;=6 People in the Team</v>
      </c>
      <c r="Q38" s="1" t="s">
        <v>41</v>
      </c>
      <c r="R38" s="1"/>
    </row>
    <row r="39" spans="1:18" x14ac:dyDescent="0.25">
      <c r="A39" s="2">
        <f ca="1">IFERROR(__xludf.DUMMYFUNCTION("""COMPUTED_VALUE"""),44911.6302436226)</f>
        <v>44911.630243622603</v>
      </c>
      <c r="B39" s="1" t="str">
        <f ca="1">IFERROR(__xludf.DUMMYFUNCTION("""COMPUTED_VALUE"""),"India")</f>
        <v>India</v>
      </c>
      <c r="C39" s="1">
        <f ca="1">IFERROR(__xludf.DUMMYFUNCTION("""COMPUTED_VALUE"""),826004)</f>
        <v>826004</v>
      </c>
      <c r="D39" s="1" t="str">
        <f ca="1">IFERROR(__xludf.DUMMYFUNCTION("""COMPUTED_VALUE"""),"Male")</f>
        <v>Male</v>
      </c>
      <c r="E39" s="1" t="str">
        <f ca="1">IFERROR(__xludf.DUMMYFUNCTION("""COMPUTED_VALUE"""),"People who have changed the world for better")</f>
        <v>People who have changed the world for better</v>
      </c>
      <c r="F39" s="1" t="str">
        <f ca="1">IFERROR(__xludf.DUMMYFUNCTION("""COMPUTED_VALUE"""),"Yes, I will earn and do that")</f>
        <v>Yes, I will earn and do that</v>
      </c>
      <c r="G39" s="1" t="str">
        <f ca="1">IFERROR(__xludf.DUMMYFUNCTION("""COMPUTED_VALUE"""),"Will work for 3 years or more")</f>
        <v>Will work for 3 years or more</v>
      </c>
      <c r="H39" s="1" t="str">
        <f ca="1">IFERROR(__xludf.DUMMYFUNCTION("""COMPUTED_VALUE"""),"No")</f>
        <v>No</v>
      </c>
      <c r="I39" s="1" t="str">
        <f ca="1">IFERROR(__xludf.DUMMYFUNCTION("""COMPUTED_VALUE"""),"Will NOT work for them")</f>
        <v>Will NOT work for them</v>
      </c>
      <c r="J39" s="1">
        <f ca="1">IFERROR(__xludf.DUMMYFUNCTION("""COMPUTED_VALUE"""),4)</f>
        <v>4</v>
      </c>
      <c r="K39" s="1" t="str">
        <f ca="1">IFERROR(__xludf.DUMMYFUNCTION("""COMPUTED_VALUE"""),"Every Day Office Environment")</f>
        <v>Every Day Office Environment</v>
      </c>
      <c r="L39" s="1" t="str">
        <f ca="1">IFERROR(__xludf.DUMMYFUNCTION("""COMPUTED_VALUE"""),"Employer who appreciates learning and enables that environment")</f>
        <v>Employer who appreciates learning and enables that environment</v>
      </c>
      <c r="M39"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N39" s="4" t="s">
        <v>49</v>
      </c>
      <c r="O39" s="1" t="str">
        <f ca="1">IFERROR(__xludf.DUMMYFUNCTION("""COMPUTED_VALUE"""),"Manager who clearly describes what she/he needs")</f>
        <v>Manager who clearly describes what she/he needs</v>
      </c>
      <c r="P39" s="1" t="str">
        <f ca="1">IFERROR(__xludf.DUMMYFUNCTION("""COMPUTED_VALUE"""),"Work &lt;=6 People in the Team")</f>
        <v>Work &lt;=6 People in the Team</v>
      </c>
      <c r="Q39" s="1" t="s">
        <v>41</v>
      </c>
      <c r="R39" s="1"/>
    </row>
    <row r="40" spans="1:18" x14ac:dyDescent="0.25">
      <c r="A40" s="2">
        <f ca="1">IFERROR(__xludf.DUMMYFUNCTION("""COMPUTED_VALUE"""),44911.6429490393)</f>
        <v>44911.642949039298</v>
      </c>
      <c r="B40" s="1" t="str">
        <f ca="1">IFERROR(__xludf.DUMMYFUNCTION("""COMPUTED_VALUE"""),"India")</f>
        <v>India</v>
      </c>
      <c r="C40" s="1">
        <f ca="1">IFERROR(__xludf.DUMMYFUNCTION("""COMPUTED_VALUE"""),826004)</f>
        <v>826004</v>
      </c>
      <c r="D40" s="1" t="str">
        <f ca="1">IFERROR(__xludf.DUMMYFUNCTION("""COMPUTED_VALUE"""),"Male")</f>
        <v>Male</v>
      </c>
      <c r="E40" s="1" t="str">
        <f ca="1">IFERROR(__xludf.DUMMYFUNCTION("""COMPUTED_VALUE"""),"My Parents")</f>
        <v>My Parents</v>
      </c>
      <c r="F40" s="1" t="str">
        <f ca="1">IFERROR(__xludf.DUMMYFUNCTION("""COMPUTED_VALUE"""),"Yes, I will earn and do that")</f>
        <v>Yes, I will earn and do that</v>
      </c>
      <c r="G40" s="1" t="str">
        <f ca="1">IFERROR(__xludf.DUMMYFUNCTION("""COMPUTED_VALUE"""),"This will be hard to do, but if it is the right company I would try")</f>
        <v>This will be hard to do, but if it is the right company I would try</v>
      </c>
      <c r="H40" s="1" t="str">
        <f ca="1">IFERROR(__xludf.DUMMYFUNCTION("""COMPUTED_VALUE"""),"No")</f>
        <v>No</v>
      </c>
      <c r="I40" s="1" t="str">
        <f ca="1">IFERROR(__xludf.DUMMYFUNCTION("""COMPUTED_VALUE"""),"Will NOT work for them")</f>
        <v>Will NOT work for them</v>
      </c>
      <c r="J40" s="1">
        <f ca="1">IFERROR(__xludf.DUMMYFUNCTION("""COMPUTED_VALUE"""),7)</f>
        <v>7</v>
      </c>
      <c r="K40" s="1" t="str">
        <f ca="1">IFERROR(__xludf.DUMMYFUNCTION("""COMPUTED_VALUE"""),"Hybrid Working Environment with less than 15 days a month at office")</f>
        <v>Hybrid Working Environment with less than 15 days a month at office</v>
      </c>
      <c r="L40" s="1" t="str">
        <f ca="1">IFERROR(__xludf.DUMMYFUNCTION("""COMPUTED_VALUE"""),"Employer who appreciates learning and enables that environment")</f>
        <v>Employer who appreciates learning and enables that environment</v>
      </c>
      <c r="M40"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40" s="4" t="s">
        <v>48</v>
      </c>
      <c r="O40" s="1" t="str">
        <f ca="1">IFERROR(__xludf.DUMMYFUNCTION("""COMPUTED_VALUE"""),"Manager who explains what is expected, sets a goal and helps achieve it")</f>
        <v>Manager who explains what is expected, sets a goal and helps achieve it</v>
      </c>
      <c r="P40" s="1" t="str">
        <f ca="1">IFERROR(__xludf.DUMMYFUNCTION("""COMPUTED_VALUE"""),"Work Alone, &lt;=6 in team")</f>
        <v>Work Alone, &lt;=6 in team</v>
      </c>
      <c r="Q40" s="1" t="s">
        <v>40</v>
      </c>
      <c r="R40" s="1"/>
    </row>
    <row r="41" spans="1:18" x14ac:dyDescent="0.25">
      <c r="A41" s="2">
        <f ca="1">IFERROR(__xludf.DUMMYFUNCTION("""COMPUTED_VALUE"""),44911.645580706)</f>
        <v>44911.645580705997</v>
      </c>
      <c r="B41" s="1" t="str">
        <f ca="1">IFERROR(__xludf.DUMMYFUNCTION("""COMPUTED_VALUE"""),"India")</f>
        <v>India</v>
      </c>
      <c r="C41" s="1">
        <f ca="1">IFERROR(__xludf.DUMMYFUNCTION("""COMPUTED_VALUE"""),515003)</f>
        <v>515003</v>
      </c>
      <c r="D41" s="1" t="str">
        <f ca="1">IFERROR(__xludf.DUMMYFUNCTION("""COMPUTED_VALUE"""),"Male")</f>
        <v>Male</v>
      </c>
      <c r="E41" s="1" t="str">
        <f ca="1">IFERROR(__xludf.DUMMYFUNCTION("""COMPUTED_VALUE"""),"My Parents")</f>
        <v>My Parents</v>
      </c>
      <c r="F41" s="1" t="str">
        <f ca="1">IFERROR(__xludf.DUMMYFUNCTION("""COMPUTED_VALUE"""),"No I would not be pursuing Higher Education outside of India")</f>
        <v>No I would not be pursuing Higher Education outside of India</v>
      </c>
      <c r="G41" s="1" t="str">
        <f ca="1">IFERROR(__xludf.DUMMYFUNCTION("""COMPUTED_VALUE"""),"Will work for 3 years or more")</f>
        <v>Will work for 3 years or more</v>
      </c>
      <c r="H41" s="1" t="str">
        <f ca="1">IFERROR(__xludf.DUMMYFUNCTION("""COMPUTED_VALUE"""),"No")</f>
        <v>No</v>
      </c>
      <c r="I41" s="1" t="str">
        <f ca="1">IFERROR(__xludf.DUMMYFUNCTION("""COMPUTED_VALUE"""),"Will NOT work for them")</f>
        <v>Will NOT work for them</v>
      </c>
      <c r="J41" s="1">
        <f ca="1">IFERROR(__xludf.DUMMYFUNCTION("""COMPUTED_VALUE"""),8)</f>
        <v>8</v>
      </c>
      <c r="K41" s="1" t="str">
        <f ca="1">IFERROR(__xludf.DUMMYFUNCTION("""COMPUTED_VALUE"""),"Every Day Office Environment")</f>
        <v>Every Day Office Environment</v>
      </c>
      <c r="L41" s="1" t="str">
        <f ca="1">IFERROR(__xludf.DUMMYFUNCTION("""COMPUTED_VALUE"""),"Employer who pushes your limits by enabling an learning environment, and rewards you at the end")</f>
        <v>Employer who pushes your limits by enabling an learning environment, and rewards you at the end</v>
      </c>
      <c r="M4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N41" s="4" t="s">
        <v>48</v>
      </c>
      <c r="O41" s="1" t="str">
        <f ca="1">IFERROR(__xludf.DUMMYFUNCTION("""COMPUTED_VALUE"""),"Manager who explains what is expected, sets a goal and helps achieve it")</f>
        <v>Manager who explains what is expected, sets a goal and helps achieve it</v>
      </c>
      <c r="P41" s="1" t="str">
        <f ca="1">IFERROR(__xludf.DUMMYFUNCTION("""COMPUTED_VALUE"""),"Work &lt;=6 People in the Team")</f>
        <v>Work &lt;=6 People in the Team</v>
      </c>
      <c r="Q41" s="1" t="s">
        <v>40</v>
      </c>
      <c r="R41" s="1"/>
    </row>
    <row r="42" spans="1:18" x14ac:dyDescent="0.25">
      <c r="A42" s="2">
        <f ca="1">IFERROR(__xludf.DUMMYFUNCTION("""COMPUTED_VALUE"""),44911.6464124305)</f>
        <v>44911.646412430498</v>
      </c>
      <c r="B42" s="1" t="str">
        <f ca="1">IFERROR(__xludf.DUMMYFUNCTION("""COMPUTED_VALUE"""),"India")</f>
        <v>India</v>
      </c>
      <c r="C42" s="1">
        <f ca="1">IFERROR(__xludf.DUMMYFUNCTION("""COMPUTED_VALUE"""),496001)</f>
        <v>496001</v>
      </c>
      <c r="D42" s="1" t="str">
        <f ca="1">IFERROR(__xludf.DUMMYFUNCTION("""COMPUTED_VALUE"""),"Male")</f>
        <v>Male</v>
      </c>
      <c r="E42" s="1" t="str">
        <f ca="1">IFERROR(__xludf.DUMMYFUNCTION("""COMPUTED_VALUE"""),"My Parents")</f>
        <v>My Parents</v>
      </c>
      <c r="F42" s="1" t="str">
        <f ca="1">IFERROR(__xludf.DUMMYFUNCTION("""COMPUTED_VALUE"""),"Yes, I will earn and do that")</f>
        <v>Yes, I will earn and do that</v>
      </c>
      <c r="G42" s="1" t="str">
        <f ca="1">IFERROR(__xludf.DUMMYFUNCTION("""COMPUTED_VALUE"""),"This will be hard to do, but if it is the right company I would try")</f>
        <v>This will be hard to do, but if it is the right company I would try</v>
      </c>
      <c r="H42" s="1" t="str">
        <f ca="1">IFERROR(__xludf.DUMMYFUNCTION("""COMPUTED_VALUE"""),"No")</f>
        <v>No</v>
      </c>
      <c r="I42" s="1" t="str">
        <f ca="1">IFERROR(__xludf.DUMMYFUNCTION("""COMPUTED_VALUE"""),"Will NOT work for them")</f>
        <v>Will NOT work for them</v>
      </c>
      <c r="J42" s="1">
        <f ca="1">IFERROR(__xludf.DUMMYFUNCTION("""COMPUTED_VALUE"""),2)</f>
        <v>2</v>
      </c>
      <c r="K42" s="1" t="str">
        <f ca="1">IFERROR(__xludf.DUMMYFUNCTION("""COMPUTED_VALUE"""),"Hybrid Working Environment with less than 10 days a month at office")</f>
        <v>Hybrid Working Environment with less than 10 days a month at office</v>
      </c>
      <c r="L42" s="1" t="str">
        <f ca="1">IFERROR(__xludf.DUMMYFUNCTION("""COMPUTED_VALUE"""),"Employer who appreciates learning and enables that environment")</f>
        <v>Employer who appreciates learning and enables that environment</v>
      </c>
      <c r="M4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42" s="4" t="s">
        <v>50</v>
      </c>
      <c r="O42" s="1" t="str">
        <f ca="1">IFERROR(__xludf.DUMMYFUNCTION("""COMPUTED_VALUE"""),"Manager who sets goal and helps me achieve it")</f>
        <v>Manager who sets goal and helps me achieve it</v>
      </c>
      <c r="P42" s="1" t="str">
        <f ca="1">IFERROR(__xludf.DUMMYFUNCTION("""COMPUTED_VALUE"""),"Work &lt;=6 People in the Team")</f>
        <v>Work &lt;=6 People in the Team</v>
      </c>
      <c r="Q42" s="1" t="s">
        <v>40</v>
      </c>
      <c r="R42" s="1"/>
    </row>
    <row r="43" spans="1:18" x14ac:dyDescent="0.25">
      <c r="A43" s="2">
        <f ca="1">IFERROR(__xludf.DUMMYFUNCTION("""COMPUTED_VALUE"""),44911.6466687615)</f>
        <v>44911.646668761503</v>
      </c>
      <c r="B43" s="1" t="str">
        <f ca="1">IFERROR(__xludf.DUMMYFUNCTION("""COMPUTED_VALUE"""),"India")</f>
        <v>India</v>
      </c>
      <c r="C43" s="1">
        <f ca="1">IFERROR(__xludf.DUMMYFUNCTION("""COMPUTED_VALUE"""),713104)</f>
        <v>713104</v>
      </c>
      <c r="D43" s="1" t="str">
        <f ca="1">IFERROR(__xludf.DUMMYFUNCTION("""COMPUTED_VALUE"""),"Male")</f>
        <v>Male</v>
      </c>
      <c r="E43" s="1" t="str">
        <f ca="1">IFERROR(__xludf.DUMMYFUNCTION("""COMPUTED_VALUE"""),"People who have changed the world for better")</f>
        <v>People who have changed the world for better</v>
      </c>
      <c r="F43" s="1" t="str">
        <f ca="1">IFERROR(__xludf.DUMMYFUNCTION("""COMPUTED_VALUE"""),"Yes, I will earn and do that")</f>
        <v>Yes, I will earn and do that</v>
      </c>
      <c r="G43" s="1" t="str">
        <f ca="1">IFERROR(__xludf.DUMMYFUNCTION("""COMPUTED_VALUE"""),"Will work for 3 years or more")</f>
        <v>Will work for 3 years or more</v>
      </c>
      <c r="H43" s="1" t="str">
        <f ca="1">IFERROR(__xludf.DUMMYFUNCTION("""COMPUTED_VALUE"""),"No")</f>
        <v>No</v>
      </c>
      <c r="I43" s="1" t="str">
        <f ca="1">IFERROR(__xludf.DUMMYFUNCTION("""COMPUTED_VALUE"""),"Will NOT work for them")</f>
        <v>Will NOT work for them</v>
      </c>
      <c r="J43" s="1">
        <f ca="1">IFERROR(__xludf.DUMMYFUNCTION("""COMPUTED_VALUE"""),5)</f>
        <v>5</v>
      </c>
      <c r="K43" s="1" t="str">
        <f ca="1">IFERROR(__xludf.DUMMYFUNCTION("""COMPUTED_VALUE"""),"Fully Remote with No option to visit offices")</f>
        <v>Fully Remote with No option to visit offices</v>
      </c>
      <c r="L43" s="1" t="str">
        <f ca="1">IFERROR(__xludf.DUMMYFUNCTION("""COMPUTED_VALUE"""),"Employer who pushes your limits by enabling an learning environment, and rewards you at the end")</f>
        <v>Employer who pushes your limits by enabling an learning environment, and rewards you at the end</v>
      </c>
      <c r="M43"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N43" s="4" t="s">
        <v>51</v>
      </c>
      <c r="O43" s="1" t="str">
        <f ca="1">IFERROR(__xludf.DUMMYFUNCTION("""COMPUTED_VALUE"""),"Manager who explains what is expected, sets a goal and helps achieve it")</f>
        <v>Manager who explains what is expected, sets a goal and helps achieve it</v>
      </c>
      <c r="P43" s="1" t="str">
        <f ca="1">IFERROR(__xludf.DUMMYFUNCTION("""COMPUTED_VALUE"""),"Work &lt;67 People in the Team")</f>
        <v>Work &lt;67 People in the Team</v>
      </c>
      <c r="Q43" s="1" t="s">
        <v>41</v>
      </c>
      <c r="R43" s="1"/>
    </row>
    <row r="44" spans="1:18" x14ac:dyDescent="0.25">
      <c r="A44" s="2">
        <f ca="1">IFERROR(__xludf.DUMMYFUNCTION("""COMPUTED_VALUE"""),44911.6467276157)</f>
        <v>44911.646727615698</v>
      </c>
      <c r="B44" s="1" t="str">
        <f ca="1">IFERROR(__xludf.DUMMYFUNCTION("""COMPUTED_VALUE"""),"India")</f>
        <v>India</v>
      </c>
      <c r="C44" s="1">
        <f ca="1">IFERROR(__xludf.DUMMYFUNCTION("""COMPUTED_VALUE"""),416001)</f>
        <v>416001</v>
      </c>
      <c r="D44" s="1" t="str">
        <f ca="1">IFERROR(__xludf.DUMMYFUNCTION("""COMPUTED_VALUE"""),"Male")</f>
        <v>Male</v>
      </c>
      <c r="E44" s="1" t="str">
        <f ca="1">IFERROR(__xludf.DUMMYFUNCTION("""COMPUTED_VALUE"""),"My Parents")</f>
        <v>My Parents</v>
      </c>
      <c r="F44" s="1" t="str">
        <f ca="1">IFERROR(__xludf.DUMMYFUNCTION("""COMPUTED_VALUE"""),"No I would not be pursuing Higher Education outside of India")</f>
        <v>No I would not be pursuing Higher Education outside of India</v>
      </c>
      <c r="G44" s="1" t="str">
        <f ca="1">IFERROR(__xludf.DUMMYFUNCTION("""COMPUTED_VALUE"""),"This will be hard to do, but if it is the right company I would try")</f>
        <v>This will be hard to do, but if it is the right company I would try</v>
      </c>
      <c r="H44" s="1" t="str">
        <f ca="1">IFERROR(__xludf.DUMMYFUNCTION("""COMPUTED_VALUE"""),"Yes")</f>
        <v>Yes</v>
      </c>
      <c r="I44" s="1" t="str">
        <f ca="1">IFERROR(__xludf.DUMMYFUNCTION("""COMPUTED_VALUE"""),"Will NOT work for them")</f>
        <v>Will NOT work for them</v>
      </c>
      <c r="J44" s="1">
        <f ca="1">IFERROR(__xludf.DUMMYFUNCTION("""COMPUTED_VALUE"""),10)</f>
        <v>10</v>
      </c>
      <c r="K44" s="1" t="str">
        <f ca="1">IFERROR(__xludf.DUMMYFUNCTION("""COMPUTED_VALUE"""),"Fully Remote with Options to travel as and when needed")</f>
        <v>Fully Remote with Options to travel as and when needed</v>
      </c>
      <c r="L44" s="1" t="str">
        <f ca="1">IFERROR(__xludf.DUMMYFUNCTION("""COMPUTED_VALUE"""),"Employer who appreciates learning and enables that environment")</f>
        <v>Employer who appreciates learning and enables that environment</v>
      </c>
      <c r="M44"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N44" s="4" t="s">
        <v>51</v>
      </c>
      <c r="O44" s="1" t="str">
        <f ca="1">IFERROR(__xludf.DUMMYFUNCTION("""COMPUTED_VALUE"""),"Manager who explains what is expected, sets a goal and helps achieve it")</f>
        <v>Manager who explains what is expected, sets a goal and helps achieve it</v>
      </c>
      <c r="P44" s="1" t="str">
        <f ca="1">IFERROR(__xludf.DUMMYFUNCTION("""COMPUTED_VALUE"""),"Work Alone, &lt;67 people in team")</f>
        <v>Work Alone, &lt;67 people in team</v>
      </c>
      <c r="Q44" s="1" t="s">
        <v>40</v>
      </c>
      <c r="R44" s="1"/>
    </row>
    <row r="45" spans="1:18" x14ac:dyDescent="0.25">
      <c r="A45" s="2">
        <f ca="1">IFERROR(__xludf.DUMMYFUNCTION("""COMPUTED_VALUE"""),44911.6480711574)</f>
        <v>44911.648071157397</v>
      </c>
      <c r="B45" s="1" t="str">
        <f ca="1">IFERROR(__xludf.DUMMYFUNCTION("""COMPUTED_VALUE"""),"India")</f>
        <v>India</v>
      </c>
      <c r="C45" s="1">
        <f ca="1">IFERROR(__xludf.DUMMYFUNCTION("""COMPUTED_VALUE"""),826004)</f>
        <v>826004</v>
      </c>
      <c r="D45" s="1" t="str">
        <f ca="1">IFERROR(__xludf.DUMMYFUNCTION("""COMPUTED_VALUE"""),"Male")</f>
        <v>Male</v>
      </c>
      <c r="E45" s="1" t="str">
        <f ca="1">IFERROR(__xludf.DUMMYFUNCTION("""COMPUTED_VALUE"""),"People who have changed the world for better")</f>
        <v>People who have changed the world for better</v>
      </c>
      <c r="F45" s="1" t="str">
        <f ca="1">IFERROR(__xludf.DUMMYFUNCTION("""COMPUTED_VALUE"""),"No, But if someone could bare the cost I will")</f>
        <v>No, But if someone could bare the cost I will</v>
      </c>
      <c r="G45" s="1" t="str">
        <f ca="1">IFERROR(__xludf.DUMMYFUNCTION("""COMPUTED_VALUE"""),"This will be hard to do, but if it is the right company I would try")</f>
        <v>This will be hard to do, but if it is the right company I would try</v>
      </c>
      <c r="H45" s="1" t="str">
        <f ca="1">IFERROR(__xludf.DUMMYFUNCTION("""COMPUTED_VALUE"""),"No")</f>
        <v>No</v>
      </c>
      <c r="I45" s="1" t="str">
        <f ca="1">IFERROR(__xludf.DUMMYFUNCTION("""COMPUTED_VALUE"""),"Will NOT work for them")</f>
        <v>Will NOT work for them</v>
      </c>
      <c r="J45" s="1">
        <f ca="1">IFERROR(__xludf.DUMMYFUNCTION("""COMPUTED_VALUE"""),4)</f>
        <v>4</v>
      </c>
      <c r="K45" s="1" t="str">
        <f ca="1">IFERROR(__xludf.DUMMYFUNCTION("""COMPUTED_VALUE"""),"Hybrid Working Environment with less than 15 days a month at office")</f>
        <v>Hybrid Working Environment with less than 15 days a month at office</v>
      </c>
      <c r="L45" s="1" t="str">
        <f ca="1">IFERROR(__xludf.DUMMYFUNCTION("""COMPUTED_VALUE"""),"Employer who pushes your limits by enabling an learning environment, and rewards you at the end")</f>
        <v>Employer who pushes your limits by enabling an learning environment, and rewards you at the end</v>
      </c>
      <c r="M4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N45" s="4" t="s">
        <v>48</v>
      </c>
      <c r="O45" s="1" t="str">
        <f ca="1">IFERROR(__xludf.DUMMYFUNCTION("""COMPUTED_VALUE"""),"Manager who explains what is expected, sets a goal and helps achieve it")</f>
        <v>Manager who explains what is expected, sets a goal and helps achieve it</v>
      </c>
      <c r="P45" s="1" t="str">
        <f ca="1">IFERROR(__xludf.DUMMYFUNCTION("""COMPUTED_VALUE"""),"Work Alone, &lt;=6 in team")</f>
        <v>Work Alone, &lt;=6 in team</v>
      </c>
      <c r="Q45" s="1" t="s">
        <v>41</v>
      </c>
      <c r="R45" s="1"/>
    </row>
    <row r="46" spans="1:18" x14ac:dyDescent="0.25">
      <c r="A46" s="2">
        <f ca="1">IFERROR(__xludf.DUMMYFUNCTION("""COMPUTED_VALUE"""),44911.6489670717)</f>
        <v>44911.648967071698</v>
      </c>
      <c r="B46" s="1" t="str">
        <f ca="1">IFERROR(__xludf.DUMMYFUNCTION("""COMPUTED_VALUE"""),"India")</f>
        <v>India</v>
      </c>
      <c r="C46" s="1">
        <f ca="1">IFERROR(__xludf.DUMMYFUNCTION("""COMPUTED_VALUE"""),110088)</f>
        <v>110088</v>
      </c>
      <c r="D46" s="1" t="str">
        <f ca="1">IFERROR(__xludf.DUMMYFUNCTION("""COMPUTED_VALUE"""),"Male")</f>
        <v>Male</v>
      </c>
      <c r="E46" s="1" t="str">
        <f ca="1">IFERROR(__xludf.DUMMYFUNCTION("""COMPUTED_VALUE"""),"People from my circle, but not family members")</f>
        <v>People from my circle, but not family members</v>
      </c>
      <c r="F46" s="1" t="str">
        <f ca="1">IFERROR(__xludf.DUMMYFUNCTION("""COMPUTED_VALUE"""),"Yes, I will earn and do that")</f>
        <v>Yes, I will earn and do that</v>
      </c>
      <c r="G46" s="1" t="str">
        <f ca="1">IFERROR(__xludf.DUMMYFUNCTION("""COMPUTED_VALUE"""),"Will work for 3 years or more")</f>
        <v>Will work for 3 years or more</v>
      </c>
      <c r="H46" s="1" t="str">
        <f ca="1">IFERROR(__xludf.DUMMYFUNCTION("""COMPUTED_VALUE"""),"Yes")</f>
        <v>Yes</v>
      </c>
      <c r="I46" s="1" t="str">
        <f ca="1">IFERROR(__xludf.DUMMYFUNCTION("""COMPUTED_VALUE"""),"Will work for them")</f>
        <v>Will work for them</v>
      </c>
      <c r="J46" s="1">
        <f ca="1">IFERROR(__xludf.DUMMYFUNCTION("""COMPUTED_VALUE"""),8)</f>
        <v>8</v>
      </c>
      <c r="K46" s="1" t="str">
        <f ca="1">IFERROR(__xludf.DUMMYFUNCTION("""COMPUTED_VALUE"""),"Hybrid Working Environment with less than 10 days a month at office")</f>
        <v>Hybrid Working Environment with less than 10 days a month at office</v>
      </c>
      <c r="L46" s="1" t="str">
        <f ca="1">IFERROR(__xludf.DUMMYFUNCTION("""COMPUTED_VALUE"""),"Employer who pushes your limits by enabling an learning environment, and rewards you at the end")</f>
        <v>Employer who pushes your limits by enabling an learning environment, and rewards you at the end</v>
      </c>
      <c r="M46"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46" s="4" t="s">
        <v>48</v>
      </c>
      <c r="O46" s="1" t="str">
        <f ca="1">IFERROR(__xludf.DUMMYFUNCTION("""COMPUTED_VALUE"""),"Manager who explains what is expected, sets a goal and helps achieve it")</f>
        <v>Manager who explains what is expected, sets a goal and helps achieve it</v>
      </c>
      <c r="P46" s="1" t="str">
        <f ca="1">IFERROR(__xludf.DUMMYFUNCTION("""COMPUTED_VALUE"""),"Work &gt;10 people in Team")</f>
        <v>Work &gt;10 people in Team</v>
      </c>
      <c r="Q46" s="1" t="s">
        <v>41</v>
      </c>
      <c r="R46" s="1"/>
    </row>
    <row r="47" spans="1:18" x14ac:dyDescent="0.25">
      <c r="A47" s="2">
        <f ca="1">IFERROR(__xludf.DUMMYFUNCTION("""COMPUTED_VALUE"""),44911.6541017129)</f>
        <v>44911.654101712898</v>
      </c>
      <c r="B47" s="1" t="str">
        <f ca="1">IFERROR(__xludf.DUMMYFUNCTION("""COMPUTED_VALUE"""),"India")</f>
        <v>India</v>
      </c>
      <c r="C47" s="1">
        <f ca="1">IFERROR(__xludf.DUMMYFUNCTION("""COMPUTED_VALUE"""),110016)</f>
        <v>110016</v>
      </c>
      <c r="D47" s="1" t="str">
        <f ca="1">IFERROR(__xludf.DUMMYFUNCTION("""COMPUTED_VALUE"""),"Female")</f>
        <v>Female</v>
      </c>
      <c r="E47" s="1" t="str">
        <f ca="1">IFERROR(__xludf.DUMMYFUNCTION("""COMPUTED_VALUE"""),"My Parents")</f>
        <v>My Parents</v>
      </c>
      <c r="F47" s="1" t="str">
        <f ca="1">IFERROR(__xludf.DUMMYFUNCTION("""COMPUTED_VALUE"""),"No, But if someone could bare the cost I will")</f>
        <v>No, But if someone could bare the cost I will</v>
      </c>
      <c r="G47" s="1" t="str">
        <f ca="1">IFERROR(__xludf.DUMMYFUNCTION("""COMPUTED_VALUE"""),"This will be hard to do, but if it is the right company I would try")</f>
        <v>This will be hard to do, but if it is the right company I would try</v>
      </c>
      <c r="H47" s="1" t="str">
        <f ca="1">IFERROR(__xludf.DUMMYFUNCTION("""COMPUTED_VALUE"""),"No")</f>
        <v>No</v>
      </c>
      <c r="I47" s="1" t="str">
        <f ca="1">IFERROR(__xludf.DUMMYFUNCTION("""COMPUTED_VALUE"""),"Will NOT work for them")</f>
        <v>Will NOT work for them</v>
      </c>
      <c r="J47" s="1">
        <f ca="1">IFERROR(__xludf.DUMMYFUNCTION("""COMPUTED_VALUE"""),8)</f>
        <v>8</v>
      </c>
      <c r="K47" s="1" t="str">
        <f ca="1">IFERROR(__xludf.DUMMYFUNCTION("""COMPUTED_VALUE"""),"Hybrid Working Environment with less than 15 days a month at office")</f>
        <v>Hybrid Working Environment with less than 15 days a month at office</v>
      </c>
      <c r="L47" s="1" t="str">
        <f ca="1">IFERROR(__xludf.DUMMYFUNCTION("""COMPUTED_VALUE"""),"Employer who pushes your limits by enabling an learning environment, and rewards you at the end")</f>
        <v>Employer who pushes your limits by enabling an learning environment, and rewards you at the end</v>
      </c>
      <c r="M47"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N47" s="4" t="s">
        <v>48</v>
      </c>
      <c r="O47" s="1" t="str">
        <f ca="1">IFERROR(__xludf.DUMMYFUNCTION("""COMPUTED_VALUE"""),"Manager who explains what is expected, sets a goal and helps achieve it")</f>
        <v>Manager who explains what is expected, sets a goal and helps achieve it</v>
      </c>
      <c r="P47" s="1" t="str">
        <f ca="1">IFERROR(__xludf.DUMMYFUNCTION("""COMPUTED_VALUE"""),"Work &lt;=6 People in the Team")</f>
        <v>Work &lt;=6 People in the Team</v>
      </c>
      <c r="Q47" s="1" t="s">
        <v>40</v>
      </c>
      <c r="R47" s="1"/>
    </row>
    <row r="48" spans="1:18" x14ac:dyDescent="0.25">
      <c r="A48" s="2">
        <f ca="1">IFERROR(__xludf.DUMMYFUNCTION("""COMPUTED_VALUE"""),44911.6553786226)</f>
        <v>44911.6553786226</v>
      </c>
      <c r="B48" s="1" t="str">
        <f ca="1">IFERROR(__xludf.DUMMYFUNCTION("""COMPUTED_VALUE"""),"India")</f>
        <v>India</v>
      </c>
      <c r="C48" s="1">
        <f ca="1">IFERROR(__xludf.DUMMYFUNCTION("""COMPUTED_VALUE"""),131001)</f>
        <v>131001</v>
      </c>
      <c r="D48" s="1" t="str">
        <f ca="1">IFERROR(__xludf.DUMMYFUNCTION("""COMPUTED_VALUE"""),"Male")</f>
        <v>Male</v>
      </c>
      <c r="E48" s="1" t="str">
        <f ca="1">IFERROR(__xludf.DUMMYFUNCTION("""COMPUTED_VALUE"""),"My Parents")</f>
        <v>My Parents</v>
      </c>
      <c r="F48" s="1" t="str">
        <f ca="1">IFERROR(__xludf.DUMMYFUNCTION("""COMPUTED_VALUE"""),"Yes, I will earn and do that")</f>
        <v>Yes, I will earn and do that</v>
      </c>
      <c r="G48" s="1" t="str">
        <f ca="1">IFERROR(__xludf.DUMMYFUNCTION("""COMPUTED_VALUE"""),"Will work for 3 years or more")</f>
        <v>Will work for 3 years or more</v>
      </c>
      <c r="H48" s="1" t="str">
        <f ca="1">IFERROR(__xludf.DUMMYFUNCTION("""COMPUTED_VALUE"""),"Yes")</f>
        <v>Yes</v>
      </c>
      <c r="I48" s="1" t="str">
        <f ca="1">IFERROR(__xludf.DUMMYFUNCTION("""COMPUTED_VALUE"""),"Will work for them")</f>
        <v>Will work for them</v>
      </c>
      <c r="J48" s="1">
        <f ca="1">IFERROR(__xludf.DUMMYFUNCTION("""COMPUTED_VALUE"""),8)</f>
        <v>8</v>
      </c>
      <c r="K48" s="1" t="str">
        <f ca="1">IFERROR(__xludf.DUMMYFUNCTION("""COMPUTED_VALUE"""),"Hybrid Working Environment with less than 15 days a month at office")</f>
        <v>Hybrid Working Environment with less than 15 days a month at office</v>
      </c>
      <c r="L48" s="1" t="str">
        <f ca="1">IFERROR(__xludf.DUMMYFUNCTION("""COMPUTED_VALUE"""),"Employer who rewards learning and enables that environment")</f>
        <v>Employer who rewards learning and enables that environment</v>
      </c>
      <c r="M4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48" s="4" t="s">
        <v>48</v>
      </c>
      <c r="O48" s="1" t="str">
        <f ca="1">IFERROR(__xludf.DUMMYFUNCTION("""COMPUTED_VALUE"""),"Manager who explains what is expected, sets a goal and helps achieve it")</f>
        <v>Manager who explains what is expected, sets a goal and helps achieve it</v>
      </c>
      <c r="P48" s="1" t="str">
        <f ca="1">IFERROR(__xludf.DUMMYFUNCTION("""COMPUTED_VALUE"""),"Work  &lt;67 people in team")</f>
        <v>Work  &lt;67 people in team</v>
      </c>
      <c r="Q48" s="1" t="s">
        <v>42</v>
      </c>
      <c r="R48" s="1"/>
    </row>
    <row r="49" spans="1:18" x14ac:dyDescent="0.25">
      <c r="A49" s="2">
        <f ca="1">IFERROR(__xludf.DUMMYFUNCTION("""COMPUTED_VALUE"""),44911.6559680902)</f>
        <v>44911.655968090199</v>
      </c>
      <c r="B49" s="1" t="str">
        <f ca="1">IFERROR(__xludf.DUMMYFUNCTION("""COMPUTED_VALUE"""),"India")</f>
        <v>India</v>
      </c>
      <c r="C49" s="1">
        <f ca="1">IFERROR(__xludf.DUMMYFUNCTION("""COMPUTED_VALUE"""),505001)</f>
        <v>505001</v>
      </c>
      <c r="D49" s="1" t="str">
        <f ca="1">IFERROR(__xludf.DUMMYFUNCTION("""COMPUTED_VALUE"""),"Male")</f>
        <v>Male</v>
      </c>
      <c r="E49" s="1" t="str">
        <f ca="1">IFERROR(__xludf.DUMMYFUNCTION("""COMPUTED_VALUE"""),"People who have changed the world for better")</f>
        <v>People who have changed the world for better</v>
      </c>
      <c r="F49" s="1" t="str">
        <f ca="1">IFERROR(__xludf.DUMMYFUNCTION("""COMPUTED_VALUE"""),"No I would not be pursuing Higher Education outside of India")</f>
        <v>No I would not be pursuing Higher Education outside of India</v>
      </c>
      <c r="G49" s="1" t="str">
        <f ca="1">IFERROR(__xludf.DUMMYFUNCTION("""COMPUTED_VALUE"""),"Will work for 3 years or more")</f>
        <v>Will work for 3 years or more</v>
      </c>
      <c r="H49" s="1" t="str">
        <f ca="1">IFERROR(__xludf.DUMMYFUNCTION("""COMPUTED_VALUE"""),"No")</f>
        <v>No</v>
      </c>
      <c r="I49" s="1" t="str">
        <f ca="1">IFERROR(__xludf.DUMMYFUNCTION("""COMPUTED_VALUE"""),"Will NOT work for them")</f>
        <v>Will NOT work for them</v>
      </c>
      <c r="J49" s="1">
        <f ca="1">IFERROR(__xludf.DUMMYFUNCTION("""COMPUTED_VALUE"""),8)</f>
        <v>8</v>
      </c>
      <c r="K49" s="1" t="str">
        <f ca="1">IFERROR(__xludf.DUMMYFUNCTION("""COMPUTED_VALUE"""),"Fully Remote with Options to travel as and when needed")</f>
        <v>Fully Remote with Options to travel as and when needed</v>
      </c>
      <c r="L49" s="1" t="str">
        <f ca="1">IFERROR(__xludf.DUMMYFUNCTION("""COMPUTED_VALUE"""),"Employer who pushes your limits by enabling an learning environment, and rewards you at the end")</f>
        <v>Employer who pushes your limits by enabling an learning environment, and rewards you at the end</v>
      </c>
      <c r="M49"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N49" s="4" t="s">
        <v>48</v>
      </c>
      <c r="O49" s="1" t="str">
        <f ca="1">IFERROR(__xludf.DUMMYFUNCTION("""COMPUTED_VALUE"""),"Manager who sets goal and helps me achieve it")</f>
        <v>Manager who sets goal and helps me achieve it</v>
      </c>
      <c r="P49" s="1" t="str">
        <f ca="1">IFERROR(__xludf.DUMMYFUNCTION("""COMPUTED_VALUE"""),"Work alone, Work &gt;10 people in Team")</f>
        <v>Work alone, Work &gt;10 people in Team</v>
      </c>
      <c r="Q49" s="1" t="s">
        <v>41</v>
      </c>
      <c r="R49" s="1"/>
    </row>
    <row r="50" spans="1:18" x14ac:dyDescent="0.25">
      <c r="A50" s="2">
        <f ca="1">IFERROR(__xludf.DUMMYFUNCTION("""COMPUTED_VALUE"""),44911.6565905324)</f>
        <v>44911.656590532402</v>
      </c>
      <c r="B50" s="1" t="str">
        <f ca="1">IFERROR(__xludf.DUMMYFUNCTION("""COMPUTED_VALUE"""),"India")</f>
        <v>India</v>
      </c>
      <c r="C50" s="1">
        <f ca="1">IFERROR(__xludf.DUMMYFUNCTION("""COMPUTED_VALUE"""),600064)</f>
        <v>600064</v>
      </c>
      <c r="D50" s="1" t="str">
        <f ca="1">IFERROR(__xludf.DUMMYFUNCTION("""COMPUTED_VALUE"""),"Female")</f>
        <v>Female</v>
      </c>
      <c r="E50" s="1" t="str">
        <f ca="1">IFERROR(__xludf.DUMMYFUNCTION("""COMPUTED_VALUE"""),"People from my circle, but not family members")</f>
        <v>People from my circle, but not family members</v>
      </c>
      <c r="F50" s="1" t="str">
        <f ca="1">IFERROR(__xludf.DUMMYFUNCTION("""COMPUTED_VALUE"""),"No I would not be pursuing Higher Education outside of India")</f>
        <v>No I would not be pursuing Higher Education outside of India</v>
      </c>
      <c r="G50" s="1" t="str">
        <f ca="1">IFERROR(__xludf.DUMMYFUNCTION("""COMPUTED_VALUE"""),"Will work for 3 years or more")</f>
        <v>Will work for 3 years or more</v>
      </c>
      <c r="H50" s="1" t="str">
        <f ca="1">IFERROR(__xludf.DUMMYFUNCTION("""COMPUTED_VALUE"""),"No")</f>
        <v>No</v>
      </c>
      <c r="I50" s="1" t="str">
        <f ca="1">IFERROR(__xludf.DUMMYFUNCTION("""COMPUTED_VALUE"""),"Will work for them")</f>
        <v>Will work for them</v>
      </c>
      <c r="J50" s="1">
        <f ca="1">IFERROR(__xludf.DUMMYFUNCTION("""COMPUTED_VALUE"""),3)</f>
        <v>3</v>
      </c>
      <c r="K50" s="1" t="str">
        <f ca="1">IFERROR(__xludf.DUMMYFUNCTION("""COMPUTED_VALUE"""),"Hybrid Working Environment with less than 15 days a month at office")</f>
        <v>Hybrid Working Environment with less than 15 days a month at office</v>
      </c>
      <c r="L50" s="1" t="str">
        <f ca="1">IFERROR(__xludf.DUMMYFUNCTION("""COMPUTED_VALUE"""),"Employer who pushes your limits by enabling an learning environment, and rewards you at the end")</f>
        <v>Employer who pushes your limits by enabling an learning environment, and rewards you at the end</v>
      </c>
      <c r="M50" s="1" t="str">
        <f ca="1">IFERROR(__xludf.DUMMYFUNCTION("""COMPUTED_VALUE"""),"Design and Creative strategy in any company, Build and develop a Team, Design and Develop amazing software")</f>
        <v>Design and Creative strategy in any company, Build and develop a Team, Design and Develop amazing software</v>
      </c>
      <c r="N50" s="4" t="s">
        <v>51</v>
      </c>
      <c r="O50" s="1" t="str">
        <f ca="1">IFERROR(__xludf.DUMMYFUNCTION("""COMPUTED_VALUE"""),"Manager who explains what is expected, sets a goal and helps achieve it")</f>
        <v>Manager who explains what is expected, sets a goal and helps achieve it</v>
      </c>
      <c r="P50" s="1" t="str">
        <f ca="1">IFERROR(__xludf.DUMMYFUNCTION("""COMPUTED_VALUE"""),"Work &lt;=6 People in the Team")</f>
        <v>Work &lt;=6 People in the Team</v>
      </c>
      <c r="Q50" s="1" t="s">
        <v>40</v>
      </c>
      <c r="R50" s="1"/>
    </row>
    <row r="51" spans="1:18" x14ac:dyDescent="0.25">
      <c r="A51" s="2">
        <f ca="1">IFERROR(__xludf.DUMMYFUNCTION("""COMPUTED_VALUE"""),44911.6580789699)</f>
        <v>44911.6580789699</v>
      </c>
      <c r="B51" s="1" t="str">
        <f ca="1">IFERROR(__xludf.DUMMYFUNCTION("""COMPUTED_VALUE"""),"India")</f>
        <v>India</v>
      </c>
      <c r="C51" s="1">
        <f ca="1">IFERROR(__xludf.DUMMYFUNCTION("""COMPUTED_VALUE"""),600129)</f>
        <v>600129</v>
      </c>
      <c r="D51" s="1" t="str">
        <f ca="1">IFERROR(__xludf.DUMMYFUNCTION("""COMPUTED_VALUE"""),"Female")</f>
        <v>Female</v>
      </c>
      <c r="E51" s="1" t="str">
        <f ca="1">IFERROR(__xludf.DUMMYFUNCTION("""COMPUTED_VALUE"""),"Influencers who had successful careers")</f>
        <v>Influencers who had successful careers</v>
      </c>
      <c r="F51" s="1" t="str">
        <f ca="1">IFERROR(__xludf.DUMMYFUNCTION("""COMPUTED_VALUE"""),"No I would not be pursuing Higher Education outside of India")</f>
        <v>No I would not be pursuing Higher Education outside of India</v>
      </c>
      <c r="G51" s="1" t="str">
        <f ca="1">IFERROR(__xludf.DUMMYFUNCTION("""COMPUTED_VALUE"""),"Will work for 3 years or more")</f>
        <v>Will work for 3 years or more</v>
      </c>
      <c r="H51" s="1" t="str">
        <f ca="1">IFERROR(__xludf.DUMMYFUNCTION("""COMPUTED_VALUE"""),"Yes")</f>
        <v>Yes</v>
      </c>
      <c r="I51" s="1" t="str">
        <f ca="1">IFERROR(__xludf.DUMMYFUNCTION("""COMPUTED_VALUE"""),"Will work for them")</f>
        <v>Will work for them</v>
      </c>
      <c r="J51" s="1">
        <f ca="1">IFERROR(__xludf.DUMMYFUNCTION("""COMPUTED_VALUE"""),5)</f>
        <v>5</v>
      </c>
      <c r="K51" s="1" t="str">
        <f ca="1">IFERROR(__xludf.DUMMYFUNCTION("""COMPUTED_VALUE"""),"Hybrid Working Environment with less than 10 days a month at office")</f>
        <v>Hybrid Working Environment with less than 10 days a month at office</v>
      </c>
      <c r="L51" s="1" t="str">
        <f ca="1">IFERROR(__xludf.DUMMYFUNCTION("""COMPUTED_VALUE"""),"Employer who rewards learning and enables that environment")</f>
        <v>Employer who rewards learning and enables that environment</v>
      </c>
      <c r="M51"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51" s="4" t="s">
        <v>52</v>
      </c>
      <c r="O51" s="1" t="str">
        <f ca="1">IFERROR(__xludf.DUMMYFUNCTION("""COMPUTED_VALUE"""),"Manager who explains what is expected, sets a goal and helps achieve it")</f>
        <v>Manager who explains what is expected, sets a goal and helps achieve it</v>
      </c>
      <c r="P51" s="1" t="str">
        <f ca="1">IFERROR(__xludf.DUMMYFUNCTION("""COMPUTED_VALUE"""),"Work &lt;=6 People in the Team")</f>
        <v>Work &lt;=6 People in the Team</v>
      </c>
      <c r="Q51" s="1" t="s">
        <v>42</v>
      </c>
      <c r="R51" s="1"/>
    </row>
    <row r="52" spans="1:18" x14ac:dyDescent="0.25">
      <c r="A52" s="2">
        <f ca="1">IFERROR(__xludf.DUMMYFUNCTION("""COMPUTED_VALUE"""),44911.6606264467)</f>
        <v>44911.660626446697</v>
      </c>
      <c r="B52" s="1" t="str">
        <f ca="1">IFERROR(__xludf.DUMMYFUNCTION("""COMPUTED_VALUE"""),"India")</f>
        <v>India</v>
      </c>
      <c r="C52" s="1">
        <f ca="1">IFERROR(__xludf.DUMMYFUNCTION("""COMPUTED_VALUE"""),263126)</f>
        <v>263126</v>
      </c>
      <c r="D52" s="1" t="str">
        <f ca="1">IFERROR(__xludf.DUMMYFUNCTION("""COMPUTED_VALUE"""),"Male")</f>
        <v>Male</v>
      </c>
      <c r="E52" s="1" t="str">
        <f ca="1">IFERROR(__xludf.DUMMYFUNCTION("""COMPUTED_VALUE"""),"Social Media like LinkedIn")</f>
        <v>Social Media like LinkedIn</v>
      </c>
      <c r="F52" s="1" t="str">
        <f ca="1">IFERROR(__xludf.DUMMYFUNCTION("""COMPUTED_VALUE"""),"Yes, I will earn and do that")</f>
        <v>Yes, I will earn and do that</v>
      </c>
      <c r="G52" s="1" t="str">
        <f ca="1">IFERROR(__xludf.DUMMYFUNCTION("""COMPUTED_VALUE"""),"This will be hard to do, but if it is the right company I would try")</f>
        <v>This will be hard to do, but if it is the right company I would try</v>
      </c>
      <c r="H52" s="1" t="str">
        <f ca="1">IFERROR(__xludf.DUMMYFUNCTION("""COMPUTED_VALUE"""),"Yes")</f>
        <v>Yes</v>
      </c>
      <c r="I52" s="1" t="str">
        <f ca="1">IFERROR(__xludf.DUMMYFUNCTION("""COMPUTED_VALUE"""),"Will NOT work for them")</f>
        <v>Will NOT work for them</v>
      </c>
      <c r="J52" s="1">
        <f ca="1">IFERROR(__xludf.DUMMYFUNCTION("""COMPUTED_VALUE"""),6)</f>
        <v>6</v>
      </c>
      <c r="K52" s="1" t="str">
        <f ca="1">IFERROR(__xludf.DUMMYFUNCTION("""COMPUTED_VALUE"""),"Hybrid Working Environment with less than 3 days a month at office")</f>
        <v>Hybrid Working Environment with less than 3 days a month at office</v>
      </c>
      <c r="L52" s="1" t="str">
        <f ca="1">IFERROR(__xludf.DUMMYFUNCTION("""COMPUTED_VALUE"""),"Employer who rewards learning and enables that environment")</f>
        <v>Employer who rewards learning and enables that environment</v>
      </c>
      <c r="M5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52" s="4" t="s">
        <v>48</v>
      </c>
      <c r="O52" s="1" t="str">
        <f ca="1">IFERROR(__xludf.DUMMYFUNCTION("""COMPUTED_VALUE"""),"Manager who explains what is expected, sets a goal and helps achieve it")</f>
        <v>Manager who explains what is expected, sets a goal and helps achieve it</v>
      </c>
      <c r="P52" s="1" t="str">
        <f ca="1">IFERROR(__xludf.DUMMYFUNCTION("""COMPUTED_VALUE"""),"Work &gt;10 people in Team")</f>
        <v>Work &gt;10 people in Team</v>
      </c>
      <c r="Q52" s="1" t="s">
        <v>41</v>
      </c>
      <c r="R52" s="1"/>
    </row>
    <row r="53" spans="1:18" x14ac:dyDescent="0.25">
      <c r="A53" s="2">
        <f ca="1">IFERROR(__xludf.DUMMYFUNCTION("""COMPUTED_VALUE"""),44911.66313375)</f>
        <v>44911.66313375</v>
      </c>
      <c r="B53" s="1" t="str">
        <f ca="1">IFERROR(__xludf.DUMMYFUNCTION("""COMPUTED_VALUE"""),"India")</f>
        <v>India</v>
      </c>
      <c r="C53" s="1">
        <f ca="1">IFERROR(__xludf.DUMMYFUNCTION("""COMPUTED_VALUE"""),781008)</f>
        <v>781008</v>
      </c>
      <c r="D53" s="1" t="str">
        <f ca="1">IFERROR(__xludf.DUMMYFUNCTION("""COMPUTED_VALUE"""),"Male")</f>
        <v>Male</v>
      </c>
      <c r="E53" s="1" t="str">
        <f ca="1">IFERROR(__xludf.DUMMYFUNCTION("""COMPUTED_VALUE"""),"People from my circle, but not family members")</f>
        <v>People from my circle, but not family members</v>
      </c>
      <c r="F53" s="1" t="str">
        <f ca="1">IFERROR(__xludf.DUMMYFUNCTION("""COMPUTED_VALUE"""),"Yes, I will earn and do that")</f>
        <v>Yes, I will earn and do that</v>
      </c>
      <c r="G53" s="1" t="str">
        <f ca="1">IFERROR(__xludf.DUMMYFUNCTION("""COMPUTED_VALUE"""),"This will be hard to do, but if it is the right company I would try")</f>
        <v>This will be hard to do, but if it is the right company I would try</v>
      </c>
      <c r="H53" s="1" t="str">
        <f ca="1">IFERROR(__xludf.DUMMYFUNCTION("""COMPUTED_VALUE"""),"No")</f>
        <v>No</v>
      </c>
      <c r="I53" s="1" t="str">
        <f ca="1">IFERROR(__xludf.DUMMYFUNCTION("""COMPUTED_VALUE"""),"Will NOT work for them")</f>
        <v>Will NOT work for them</v>
      </c>
      <c r="J53" s="1">
        <f ca="1">IFERROR(__xludf.DUMMYFUNCTION("""COMPUTED_VALUE"""),5)</f>
        <v>5</v>
      </c>
      <c r="K53" s="1" t="str">
        <f ca="1">IFERROR(__xludf.DUMMYFUNCTION("""COMPUTED_VALUE"""),"Fully Remote with Options to travel as and when needed")</f>
        <v>Fully Remote with Options to travel as and when needed</v>
      </c>
      <c r="L53" s="1" t="str">
        <f ca="1">IFERROR(__xludf.DUMMYFUNCTION("""COMPUTED_VALUE"""),"Employer who pushes your limits by enabling an learning environment, and rewards you at the end")</f>
        <v>Employer who pushes your limits by enabling an learning environment, and rewards you at the end</v>
      </c>
      <c r="M53" s="1" t="str">
        <f ca="1">IFERROR(__xludf.DUMMYFUNCTION("""COMPUTED_VALUE"""),"Build and develop a Team, Look deeply into Data and generate insights, Become a content Creator in some platform")</f>
        <v>Build and develop a Team, Look deeply into Data and generate insights, Become a content Creator in some platform</v>
      </c>
      <c r="N53" s="4" t="s">
        <v>50</v>
      </c>
      <c r="O53" s="1" t="str">
        <f ca="1">IFERROR(__xludf.DUMMYFUNCTION("""COMPUTED_VALUE"""),"Manager who sets goal and helps me achieve it")</f>
        <v>Manager who sets goal and helps me achieve it</v>
      </c>
      <c r="P53" s="1" t="str">
        <f ca="1">IFERROR(__xludf.DUMMYFUNCTION("""COMPUTED_VALUE"""),"Work &lt;=6 People in the Team")</f>
        <v>Work &lt;=6 People in the Team</v>
      </c>
      <c r="Q53" s="1" t="s">
        <v>40</v>
      </c>
      <c r="R53" s="1"/>
    </row>
    <row r="54" spans="1:18" x14ac:dyDescent="0.25">
      <c r="A54" s="2">
        <f ca="1">IFERROR(__xludf.DUMMYFUNCTION("""COMPUTED_VALUE"""),44911.6648083217)</f>
        <v>44911.664808321701</v>
      </c>
      <c r="B54" s="1" t="str">
        <f ca="1">IFERROR(__xludf.DUMMYFUNCTION("""COMPUTED_VALUE"""),"India")</f>
        <v>India</v>
      </c>
      <c r="C54" s="1">
        <f ca="1">IFERROR(__xludf.DUMMYFUNCTION("""COMPUTED_VALUE"""),785001)</f>
        <v>785001</v>
      </c>
      <c r="D54" s="1" t="str">
        <f ca="1">IFERROR(__xludf.DUMMYFUNCTION("""COMPUTED_VALUE"""),"Male")</f>
        <v>Male</v>
      </c>
      <c r="E54" s="1" t="str">
        <f ca="1">IFERROR(__xludf.DUMMYFUNCTION("""COMPUTED_VALUE"""),"People who have changed the world for better")</f>
        <v>People who have changed the world for better</v>
      </c>
      <c r="F54" s="1" t="str">
        <f ca="1">IFERROR(__xludf.DUMMYFUNCTION("""COMPUTED_VALUE"""),"Yes, I will earn and do that")</f>
        <v>Yes, I will earn and do that</v>
      </c>
      <c r="G54" s="1" t="str">
        <f ca="1">IFERROR(__xludf.DUMMYFUNCTION("""COMPUTED_VALUE"""),"This will be hard to do, but if it is the right company I would try")</f>
        <v>This will be hard to do, but if it is the right company I would try</v>
      </c>
      <c r="H54" s="1" t="str">
        <f ca="1">IFERROR(__xludf.DUMMYFUNCTION("""COMPUTED_VALUE"""),"Yes")</f>
        <v>Yes</v>
      </c>
      <c r="I54" s="1" t="str">
        <f ca="1">IFERROR(__xludf.DUMMYFUNCTION("""COMPUTED_VALUE"""),"Will work for them")</f>
        <v>Will work for them</v>
      </c>
      <c r="J54" s="1">
        <f ca="1">IFERROR(__xludf.DUMMYFUNCTION("""COMPUTED_VALUE"""),7)</f>
        <v>7</v>
      </c>
      <c r="K54" s="1" t="str">
        <f ca="1">IFERROR(__xludf.DUMMYFUNCTION("""COMPUTED_VALUE"""),"Hybrid Working Environment with less than 10 days a month at office")</f>
        <v>Hybrid Working Environment with less than 10 days a month at office</v>
      </c>
      <c r="L54" s="1" t="str">
        <f ca="1">IFERROR(__xludf.DUMMYFUNCTION("""COMPUTED_VALUE"""),"Employer who rewards learning and enables that environment")</f>
        <v>Employer who rewards learning and enables that environment</v>
      </c>
      <c r="M54"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54" s="4" t="s">
        <v>48</v>
      </c>
      <c r="O54" s="1" t="str">
        <f ca="1">IFERROR(__xludf.DUMMYFUNCTION("""COMPUTED_VALUE"""),"Manager who sets goal and helps me achieve it")</f>
        <v>Manager who sets goal and helps me achieve it</v>
      </c>
      <c r="P54" s="1" t="str">
        <f ca="1">IFERROR(__xludf.DUMMYFUNCTION("""COMPUTED_VALUE"""),"Work Alone, &lt;=6 in team")</f>
        <v>Work Alone, &lt;=6 in team</v>
      </c>
      <c r="Q54" s="1" t="s">
        <v>41</v>
      </c>
      <c r="R54" s="1"/>
    </row>
    <row r="55" spans="1:18" x14ac:dyDescent="0.25">
      <c r="A55" s="2">
        <f ca="1">IFERROR(__xludf.DUMMYFUNCTION("""COMPUTED_VALUE"""),44911.6666351736)</f>
        <v>44911.666635173598</v>
      </c>
      <c r="B55" s="1" t="str">
        <f ca="1">IFERROR(__xludf.DUMMYFUNCTION("""COMPUTED_VALUE"""),"India")</f>
        <v>India</v>
      </c>
      <c r="C55" s="1">
        <f ca="1">IFERROR(__xludf.DUMMYFUNCTION("""COMPUTED_VALUE"""),629004)</f>
        <v>629004</v>
      </c>
      <c r="D55" s="1" t="str">
        <f ca="1">IFERROR(__xludf.DUMMYFUNCTION("""COMPUTED_VALUE"""),"Male")</f>
        <v>Male</v>
      </c>
      <c r="E55" s="1" t="str">
        <f ca="1">IFERROR(__xludf.DUMMYFUNCTION("""COMPUTED_VALUE"""),"People who have changed the world for better")</f>
        <v>People who have changed the world for better</v>
      </c>
      <c r="F55" s="1" t="str">
        <f ca="1">IFERROR(__xludf.DUMMYFUNCTION("""COMPUTED_VALUE"""),"No, But if someone could bare the cost I will")</f>
        <v>No, But if someone could bare the cost I will</v>
      </c>
      <c r="G55" s="1" t="str">
        <f ca="1">IFERROR(__xludf.DUMMYFUNCTION("""COMPUTED_VALUE"""),"Will work for 3 years or more")</f>
        <v>Will work for 3 years or more</v>
      </c>
      <c r="H55" s="1" t="str">
        <f ca="1">IFERROR(__xludf.DUMMYFUNCTION("""COMPUTED_VALUE"""),"Yes")</f>
        <v>Yes</v>
      </c>
      <c r="I55" s="1" t="str">
        <f ca="1">IFERROR(__xludf.DUMMYFUNCTION("""COMPUTED_VALUE"""),"Will NOT work for them")</f>
        <v>Will NOT work for them</v>
      </c>
      <c r="J55" s="1">
        <f ca="1">IFERROR(__xludf.DUMMYFUNCTION("""COMPUTED_VALUE"""),10)</f>
        <v>10</v>
      </c>
      <c r="K55" s="1" t="str">
        <f ca="1">IFERROR(__xludf.DUMMYFUNCTION("""COMPUTED_VALUE"""),"Fully Remote with Options to travel as and when needed")</f>
        <v>Fully Remote with Options to travel as and when needed</v>
      </c>
      <c r="L55" s="1" t="str">
        <f ca="1">IFERROR(__xludf.DUMMYFUNCTION("""COMPUTED_VALUE"""),"Employer who pushes your limits by enabling an learning environment, and rewards you at the end")</f>
        <v>Employer who pushes your limits by enabling an learning environment, and rewards you at the end</v>
      </c>
      <c r="M55"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55" s="4" t="s">
        <v>53</v>
      </c>
      <c r="O55" s="1" t="str">
        <f ca="1">IFERROR(__xludf.DUMMYFUNCTION("""COMPUTED_VALUE"""),"Manager who explains what is expected, sets a goal and helps achieve it")</f>
        <v>Manager who explains what is expected, sets a goal and helps achieve it</v>
      </c>
      <c r="P55" s="1" t="str">
        <f ca="1">IFERROR(__xludf.DUMMYFUNCTION("""COMPUTED_VALUE"""),"Work Alone, &lt;67 people in team")</f>
        <v>Work Alone, &lt;67 people in team</v>
      </c>
      <c r="Q55" s="1" t="s">
        <v>40</v>
      </c>
      <c r="R55" s="1"/>
    </row>
    <row r="56" spans="1:18" x14ac:dyDescent="0.25">
      <c r="A56" s="2">
        <f ca="1">IFERROR(__xludf.DUMMYFUNCTION("""COMPUTED_VALUE"""),44911.6707843634)</f>
        <v>44911.670784363399</v>
      </c>
      <c r="B56" s="1" t="str">
        <f ca="1">IFERROR(__xludf.DUMMYFUNCTION("""COMPUTED_VALUE"""),"India")</f>
        <v>India</v>
      </c>
      <c r="C56" s="1">
        <f ca="1">IFERROR(__xludf.DUMMYFUNCTION("""COMPUTED_VALUE"""),600089)</f>
        <v>600089</v>
      </c>
      <c r="D56" s="1" t="str">
        <f ca="1">IFERROR(__xludf.DUMMYFUNCTION("""COMPUTED_VALUE"""),"Male")</f>
        <v>Male</v>
      </c>
      <c r="E56" s="1" t="str">
        <f ca="1">IFERROR(__xludf.DUMMYFUNCTION("""COMPUTED_VALUE"""),"My Parents")</f>
        <v>My Parents</v>
      </c>
      <c r="F56" s="1" t="str">
        <f ca="1">IFERROR(__xludf.DUMMYFUNCTION("""COMPUTED_VALUE"""),"Yes, I will earn and do that")</f>
        <v>Yes, I will earn and do that</v>
      </c>
      <c r="G56" s="1" t="str">
        <f ca="1">IFERROR(__xludf.DUMMYFUNCTION("""COMPUTED_VALUE"""),"Will work for 3 years or more")</f>
        <v>Will work for 3 years or more</v>
      </c>
      <c r="H56" s="1" t="str">
        <f ca="1">IFERROR(__xludf.DUMMYFUNCTION("""COMPUTED_VALUE"""),"No")</f>
        <v>No</v>
      </c>
      <c r="I56" s="1" t="str">
        <f ca="1">IFERROR(__xludf.DUMMYFUNCTION("""COMPUTED_VALUE"""),"Will NOT work for them")</f>
        <v>Will NOT work for them</v>
      </c>
      <c r="J56" s="1">
        <f ca="1">IFERROR(__xludf.DUMMYFUNCTION("""COMPUTED_VALUE"""),4)</f>
        <v>4</v>
      </c>
      <c r="K56" s="1" t="str">
        <f ca="1">IFERROR(__xludf.DUMMYFUNCTION("""COMPUTED_VALUE"""),"Every Day Office Environment")</f>
        <v>Every Day Office Environment</v>
      </c>
      <c r="L56" s="1" t="str">
        <f ca="1">IFERROR(__xludf.DUMMYFUNCTION("""COMPUTED_VALUE"""),"Employer who pushes your limits and doesn't enables learning environment and never rewards you")</f>
        <v>Employer who pushes your limits and doesn't enables learning environment and never rewards you</v>
      </c>
      <c r="M56"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56" s="4" t="s">
        <v>48</v>
      </c>
      <c r="O56" s="1" t="str">
        <f ca="1">IFERROR(__xludf.DUMMYFUNCTION("""COMPUTED_VALUE"""),"Manager who explains what is expected, sets a goal and helps achieve it")</f>
        <v>Manager who explains what is expected, sets a goal and helps achieve it</v>
      </c>
      <c r="P56" s="1" t="str">
        <f ca="1">IFERROR(__xludf.DUMMYFUNCTION("""COMPUTED_VALUE"""),"Work &gt;=7 People in the Team")</f>
        <v>Work &gt;=7 People in the Team</v>
      </c>
      <c r="Q56" s="1" t="s">
        <v>40</v>
      </c>
      <c r="R56" s="1"/>
    </row>
    <row r="57" spans="1:18" x14ac:dyDescent="0.25">
      <c r="A57" s="2">
        <f ca="1">IFERROR(__xludf.DUMMYFUNCTION("""COMPUTED_VALUE"""),44911.672133831)</f>
        <v>44911.672133831002</v>
      </c>
      <c r="B57" s="1" t="str">
        <f ca="1">IFERROR(__xludf.DUMMYFUNCTION("""COMPUTED_VALUE"""),"India")</f>
        <v>India</v>
      </c>
      <c r="C57" s="1">
        <f ca="1">IFERROR(__xludf.DUMMYFUNCTION("""COMPUTED_VALUE"""),500005)</f>
        <v>500005</v>
      </c>
      <c r="D57" s="1" t="str">
        <f ca="1">IFERROR(__xludf.DUMMYFUNCTION("""COMPUTED_VALUE"""),"Male")</f>
        <v>Male</v>
      </c>
      <c r="E57" s="1" t="str">
        <f ca="1">IFERROR(__xludf.DUMMYFUNCTION("""COMPUTED_VALUE"""),"People who have changed the world for better")</f>
        <v>People who have changed the world for better</v>
      </c>
      <c r="F57" s="1" t="str">
        <f ca="1">IFERROR(__xludf.DUMMYFUNCTION("""COMPUTED_VALUE"""),"No, But if someone could bare the cost I will")</f>
        <v>No, But if someone could bare the cost I will</v>
      </c>
      <c r="G57" s="1" t="str">
        <f ca="1">IFERROR(__xludf.DUMMYFUNCTION("""COMPUTED_VALUE"""),"This will be hard to do, but if it is the right company I would try")</f>
        <v>This will be hard to do, but if it is the right company I would try</v>
      </c>
      <c r="H57" s="1" t="str">
        <f ca="1">IFERROR(__xludf.DUMMYFUNCTION("""COMPUTED_VALUE"""),"Yes")</f>
        <v>Yes</v>
      </c>
      <c r="I57" s="1" t="str">
        <f ca="1">IFERROR(__xludf.DUMMYFUNCTION("""COMPUTED_VALUE"""),"Will NOT work for them")</f>
        <v>Will NOT work for them</v>
      </c>
      <c r="J57" s="1">
        <f ca="1">IFERROR(__xludf.DUMMYFUNCTION("""COMPUTED_VALUE"""),5)</f>
        <v>5</v>
      </c>
      <c r="K57" s="1" t="str">
        <f ca="1">IFERROR(__xludf.DUMMYFUNCTION("""COMPUTED_VALUE"""),"Fully Remote with Options to travel as and when needed")</f>
        <v>Fully Remote with Options to travel as and when needed</v>
      </c>
      <c r="L57" s="1" t="str">
        <f ca="1">IFERROR(__xludf.DUMMYFUNCTION("""COMPUTED_VALUE"""),"Employer who pushes your limits by enabling an learning environment, and rewards you at the end")</f>
        <v>Employer who pushes your limits by enabling an learning environment, and rewards you at the end</v>
      </c>
      <c r="M5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57" s="4" t="s">
        <v>49</v>
      </c>
      <c r="O57" s="1" t="str">
        <f ca="1">IFERROR(__xludf.DUMMYFUNCTION("""COMPUTED_VALUE"""),"Manager who explains what is expected, sets a goal and helps achieve it")</f>
        <v>Manager who explains what is expected, sets a goal and helps achieve it</v>
      </c>
      <c r="P57" s="1" t="str">
        <f ca="1">IFERROR(__xludf.DUMMYFUNCTION("""COMPUTED_VALUE"""),"Work Alone, &lt;=6 in team")</f>
        <v>Work Alone, &lt;=6 in team</v>
      </c>
      <c r="Q57" s="1" t="s">
        <v>40</v>
      </c>
      <c r="R57" s="1"/>
    </row>
    <row r="58" spans="1:18" x14ac:dyDescent="0.25">
      <c r="A58" s="2">
        <f ca="1">IFERROR(__xludf.DUMMYFUNCTION("""COMPUTED_VALUE"""),44911.6725040393)</f>
        <v>44911.672504039299</v>
      </c>
      <c r="B58" s="1" t="str">
        <f ca="1">IFERROR(__xludf.DUMMYFUNCTION("""COMPUTED_VALUE"""),"India")</f>
        <v>India</v>
      </c>
      <c r="C58" s="1">
        <f ca="1">IFERROR(__xludf.DUMMYFUNCTION("""COMPUTED_VALUE"""),452007)</f>
        <v>452007</v>
      </c>
      <c r="D58" s="1" t="str">
        <f ca="1">IFERROR(__xludf.DUMMYFUNCTION("""COMPUTED_VALUE"""),"Male")</f>
        <v>Male</v>
      </c>
      <c r="E58" s="1" t="str">
        <f ca="1">IFERROR(__xludf.DUMMYFUNCTION("""COMPUTED_VALUE"""),"My Parents")</f>
        <v>My Parents</v>
      </c>
      <c r="F58" s="1" t="str">
        <f ca="1">IFERROR(__xludf.DUMMYFUNCTION("""COMPUTED_VALUE"""),"No, But if someone could bare the cost I will")</f>
        <v>No, But if someone could bare the cost I will</v>
      </c>
      <c r="G58" s="1" t="str">
        <f ca="1">IFERROR(__xludf.DUMMYFUNCTION("""COMPUTED_VALUE"""),"This will be hard to do, but if it is the right company I would try")</f>
        <v>This will be hard to do, but if it is the right company I would try</v>
      </c>
      <c r="H58" s="1" t="str">
        <f ca="1">IFERROR(__xludf.DUMMYFUNCTION("""COMPUTED_VALUE"""),"No")</f>
        <v>No</v>
      </c>
      <c r="I58" s="1" t="str">
        <f ca="1">IFERROR(__xludf.DUMMYFUNCTION("""COMPUTED_VALUE"""),"Will NOT work for them")</f>
        <v>Will NOT work for them</v>
      </c>
      <c r="J58" s="1">
        <f ca="1">IFERROR(__xludf.DUMMYFUNCTION("""COMPUTED_VALUE"""),4)</f>
        <v>4</v>
      </c>
      <c r="K58" s="1" t="str">
        <f ca="1">IFERROR(__xludf.DUMMYFUNCTION("""COMPUTED_VALUE"""),"Fully Remote with Options to travel as and when needed")</f>
        <v>Fully Remote with Options to travel as and when needed</v>
      </c>
      <c r="L58" s="1" t="str">
        <f ca="1">IFERROR(__xludf.DUMMYFUNCTION("""COMPUTED_VALUE"""),"Employer who pushes your limits by enabling an learning environment, and rewards you at the end")</f>
        <v>Employer who pushes your limits by enabling an learning environment, and rewards you at the end</v>
      </c>
      <c r="M5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58" s="4" t="s">
        <v>49</v>
      </c>
      <c r="O58" s="1" t="str">
        <f ca="1">IFERROR(__xludf.DUMMYFUNCTION("""COMPUTED_VALUE"""),"Manager who clearly describes what she/he needs")</f>
        <v>Manager who clearly describes what she/he needs</v>
      </c>
      <c r="P58" s="1" t="str">
        <f ca="1">IFERROR(__xludf.DUMMYFUNCTION("""COMPUTED_VALUE"""),"Work &lt;=6 People in the Team")</f>
        <v>Work &lt;=6 People in the Team</v>
      </c>
      <c r="Q58" s="1" t="s">
        <v>40</v>
      </c>
      <c r="R58" s="1"/>
    </row>
    <row r="59" spans="1:18" x14ac:dyDescent="0.25">
      <c r="A59" s="2">
        <f ca="1">IFERROR(__xludf.DUMMYFUNCTION("""COMPUTED_VALUE"""),44911.6803639004)</f>
        <v>44911.680363900399</v>
      </c>
      <c r="B59" s="1" t="str">
        <f ca="1">IFERROR(__xludf.DUMMYFUNCTION("""COMPUTED_VALUE"""),"India")</f>
        <v>India</v>
      </c>
      <c r="C59" s="1">
        <f ca="1">IFERROR(__xludf.DUMMYFUNCTION("""COMPUTED_VALUE"""),782001)</f>
        <v>782001</v>
      </c>
      <c r="D59" s="1" t="str">
        <f ca="1">IFERROR(__xludf.DUMMYFUNCTION("""COMPUTED_VALUE"""),"Male")</f>
        <v>Male</v>
      </c>
      <c r="E59" s="1" t="str">
        <f ca="1">IFERROR(__xludf.DUMMYFUNCTION("""COMPUTED_VALUE"""),"People who have changed the world for better")</f>
        <v>People who have changed the world for better</v>
      </c>
      <c r="F59" s="1" t="str">
        <f ca="1">IFERROR(__xludf.DUMMYFUNCTION("""COMPUTED_VALUE"""),"No I would not be pursuing Higher Education outside of India")</f>
        <v>No I would not be pursuing Higher Education outside of India</v>
      </c>
      <c r="G59" s="1" t="str">
        <f ca="1">IFERROR(__xludf.DUMMYFUNCTION("""COMPUTED_VALUE"""),"This will be hard to do, but if it is the right company I would try")</f>
        <v>This will be hard to do, but if it is the right company I would try</v>
      </c>
      <c r="H59" s="1" t="str">
        <f ca="1">IFERROR(__xludf.DUMMYFUNCTION("""COMPUTED_VALUE"""),"Yes")</f>
        <v>Yes</v>
      </c>
      <c r="I59" s="1" t="str">
        <f ca="1">IFERROR(__xludf.DUMMYFUNCTION("""COMPUTED_VALUE"""),"Will work for them")</f>
        <v>Will work for them</v>
      </c>
      <c r="J59" s="1">
        <f ca="1">IFERROR(__xludf.DUMMYFUNCTION("""COMPUTED_VALUE"""),6)</f>
        <v>6</v>
      </c>
      <c r="K59" s="1" t="str">
        <f ca="1">IFERROR(__xludf.DUMMYFUNCTION("""COMPUTED_VALUE"""),"Fully Remote with No option to visit offices")</f>
        <v>Fully Remote with No option to visit offices</v>
      </c>
      <c r="L59" s="1" t="str">
        <f ca="1">IFERROR(__xludf.DUMMYFUNCTION("""COMPUTED_VALUE"""),"Employer who appreciates learning and enables that environment")</f>
        <v>Employer who appreciates learning and enables that environment</v>
      </c>
      <c r="M59"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N59" s="4" t="s">
        <v>48</v>
      </c>
      <c r="O59" s="1" t="str">
        <f ca="1">IFERROR(__xludf.DUMMYFUNCTION("""COMPUTED_VALUE"""),"Manager who clearly describes what she/he needs")</f>
        <v>Manager who clearly describes what she/he needs</v>
      </c>
      <c r="P59" s="1" t="str">
        <f ca="1">IFERROR(__xludf.DUMMYFUNCTION("""COMPUTED_VALUE"""),"Work alone")</f>
        <v>Work alone</v>
      </c>
      <c r="Q59" s="1" t="s">
        <v>41</v>
      </c>
      <c r="R59" s="1"/>
    </row>
    <row r="60" spans="1:18" x14ac:dyDescent="0.25">
      <c r="A60" s="2">
        <f ca="1">IFERROR(__xludf.DUMMYFUNCTION("""COMPUTED_VALUE"""),44911.6818627893)</f>
        <v>44911.681862789301</v>
      </c>
      <c r="B60" s="1" t="str">
        <f ca="1">IFERROR(__xludf.DUMMYFUNCTION("""COMPUTED_VALUE"""),"India")</f>
        <v>India</v>
      </c>
      <c r="C60" s="1">
        <f ca="1">IFERROR(__xludf.DUMMYFUNCTION("""COMPUTED_VALUE"""),248001)</f>
        <v>248001</v>
      </c>
      <c r="D60" s="1" t="str">
        <f ca="1">IFERROR(__xludf.DUMMYFUNCTION("""COMPUTED_VALUE"""),"Female")</f>
        <v>Female</v>
      </c>
      <c r="E60" s="1" t="str">
        <f ca="1">IFERROR(__xludf.DUMMYFUNCTION("""COMPUTED_VALUE"""),"People who have changed the world for better")</f>
        <v>People who have changed the world for better</v>
      </c>
      <c r="F60" s="1" t="str">
        <f ca="1">IFERROR(__xludf.DUMMYFUNCTION("""COMPUTED_VALUE"""),"No, But if someone could bare the cost I will")</f>
        <v>No, But if someone could bare the cost I will</v>
      </c>
      <c r="G60" s="1" t="str">
        <f ca="1">IFERROR(__xludf.DUMMYFUNCTION("""COMPUTED_VALUE"""),"This will be hard to do, but if it is the right company I would try")</f>
        <v>This will be hard to do, but if it is the right company I would try</v>
      </c>
      <c r="H60" s="1" t="str">
        <f ca="1">IFERROR(__xludf.DUMMYFUNCTION("""COMPUTED_VALUE"""),"No")</f>
        <v>No</v>
      </c>
      <c r="I60" s="1" t="str">
        <f ca="1">IFERROR(__xludf.DUMMYFUNCTION("""COMPUTED_VALUE"""),"Will NOT work for them")</f>
        <v>Will NOT work for them</v>
      </c>
      <c r="J60" s="1">
        <f ca="1">IFERROR(__xludf.DUMMYFUNCTION("""COMPUTED_VALUE"""),6)</f>
        <v>6</v>
      </c>
      <c r="K60" s="1" t="str">
        <f ca="1">IFERROR(__xludf.DUMMYFUNCTION("""COMPUTED_VALUE"""),"Hybrid Working Environment with less than 10 days a month at office")</f>
        <v>Hybrid Working Environment with less than 10 days a month at office</v>
      </c>
      <c r="L60" s="1" t="str">
        <f ca="1">IFERROR(__xludf.DUMMYFUNCTION("""COMPUTED_VALUE"""),"Employer who pushes your limits by enabling an learning environment, and rewards you at the end")</f>
        <v>Employer who pushes your limits by enabling an learning environment, and rewards you at the end</v>
      </c>
      <c r="M6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60" s="4" t="s">
        <v>49</v>
      </c>
      <c r="O60" s="1" t="str">
        <f ca="1">IFERROR(__xludf.DUMMYFUNCTION("""COMPUTED_VALUE"""),"Manager who explains what is expected, sets a goal and helps achieve it")</f>
        <v>Manager who explains what is expected, sets a goal and helps achieve it</v>
      </c>
      <c r="P60" s="1" t="str">
        <f ca="1">IFERROR(__xludf.DUMMYFUNCTION("""COMPUTED_VALUE"""),"Work &lt;=6 People in the Team")</f>
        <v>Work &lt;=6 People in the Team</v>
      </c>
      <c r="Q60" s="1" t="s">
        <v>41</v>
      </c>
      <c r="R60" s="1"/>
    </row>
    <row r="61" spans="1:18" x14ac:dyDescent="0.25">
      <c r="A61" s="2">
        <f ca="1">IFERROR(__xludf.DUMMYFUNCTION("""COMPUTED_VALUE"""),44911.695590243)</f>
        <v>44911.695590242998</v>
      </c>
      <c r="B61" s="1" t="str">
        <f ca="1">IFERROR(__xludf.DUMMYFUNCTION("""COMPUTED_VALUE"""),"India")</f>
        <v>India</v>
      </c>
      <c r="C61" s="1">
        <f ca="1">IFERROR(__xludf.DUMMYFUNCTION("""COMPUTED_VALUE"""),785001)</f>
        <v>785001</v>
      </c>
      <c r="D61" s="1" t="str">
        <f ca="1">IFERROR(__xludf.DUMMYFUNCTION("""COMPUTED_VALUE"""),"Male")</f>
        <v>Male</v>
      </c>
      <c r="E61" s="1" t="str">
        <f ca="1">IFERROR(__xludf.DUMMYFUNCTION("""COMPUTED_VALUE"""),"My Parents")</f>
        <v>My Parents</v>
      </c>
      <c r="F61" s="1" t="str">
        <f ca="1">IFERROR(__xludf.DUMMYFUNCTION("""COMPUTED_VALUE"""),"Yes, I will earn and do that")</f>
        <v>Yes, I will earn and do that</v>
      </c>
      <c r="G61" s="1" t="str">
        <f ca="1">IFERROR(__xludf.DUMMYFUNCTION("""COMPUTED_VALUE"""),"Will work for 3 years or more")</f>
        <v>Will work for 3 years or more</v>
      </c>
      <c r="H61" s="1" t="str">
        <f ca="1">IFERROR(__xludf.DUMMYFUNCTION("""COMPUTED_VALUE"""),"No")</f>
        <v>No</v>
      </c>
      <c r="I61" s="1" t="str">
        <f ca="1">IFERROR(__xludf.DUMMYFUNCTION("""COMPUTED_VALUE"""),"Will NOT work for them")</f>
        <v>Will NOT work for them</v>
      </c>
      <c r="J61" s="1">
        <f ca="1">IFERROR(__xludf.DUMMYFUNCTION("""COMPUTED_VALUE"""),8)</f>
        <v>8</v>
      </c>
      <c r="K61" s="1" t="str">
        <f ca="1">IFERROR(__xludf.DUMMYFUNCTION("""COMPUTED_VALUE"""),"Every Day Office Environment")</f>
        <v>Every Day Office Environment</v>
      </c>
      <c r="L61" s="1" t="str">
        <f ca="1">IFERROR(__xludf.DUMMYFUNCTION("""COMPUTED_VALUE"""),"Employer who pushes your limits by enabling an learning environment, and rewards you at the end")</f>
        <v>Employer who pushes your limits by enabling an learning environment, and rewards you at the end</v>
      </c>
      <c r="M61" s="1" t="str">
        <f ca="1">IFERROR(__xludf.DUMMYFUNCTION("""COMPUTED_VALUE"""),"Business Operations in any organization, Build and develop a Team, Become a content Creator in some platform")</f>
        <v>Business Operations in any organization, Build and develop a Team, Become a content Creator in some platform</v>
      </c>
      <c r="N61" s="4" t="s">
        <v>49</v>
      </c>
      <c r="O61" s="1" t="str">
        <f ca="1">IFERROR(__xludf.DUMMYFUNCTION("""COMPUTED_VALUE"""),"Manager who explains what is expected, sets a goal and helps achieve it")</f>
        <v>Manager who explains what is expected, sets a goal and helps achieve it</v>
      </c>
      <c r="P61" s="1" t="str">
        <f ca="1">IFERROR(__xludf.DUMMYFUNCTION("""COMPUTED_VALUE"""),"Work &lt;=6 People in the Team")</f>
        <v>Work &lt;=6 People in the Team</v>
      </c>
      <c r="Q61" s="1" t="s">
        <v>41</v>
      </c>
      <c r="R61" s="1"/>
    </row>
    <row r="62" spans="1:18" x14ac:dyDescent="0.25">
      <c r="A62" s="2">
        <f ca="1">IFERROR(__xludf.DUMMYFUNCTION("""COMPUTED_VALUE"""),44911.6962909143)</f>
        <v>44911.696290914297</v>
      </c>
      <c r="B62" s="1" t="str">
        <f ca="1">IFERROR(__xludf.DUMMYFUNCTION("""COMPUTED_VALUE"""),"India")</f>
        <v>India</v>
      </c>
      <c r="C62" s="1">
        <f ca="1">IFERROR(__xludf.DUMMYFUNCTION("""COMPUTED_VALUE"""),852218)</f>
        <v>852218</v>
      </c>
      <c r="D62" s="1" t="str">
        <f ca="1">IFERROR(__xludf.DUMMYFUNCTION("""COMPUTED_VALUE"""),"Male")</f>
        <v>Male</v>
      </c>
      <c r="E62" s="1" t="str">
        <f ca="1">IFERROR(__xludf.DUMMYFUNCTION("""COMPUTED_VALUE"""),"My Parents")</f>
        <v>My Parents</v>
      </c>
      <c r="F62" s="1" t="str">
        <f ca="1">IFERROR(__xludf.DUMMYFUNCTION("""COMPUTED_VALUE"""),"No I would not be pursuing Higher Education outside of India")</f>
        <v>No I would not be pursuing Higher Education outside of India</v>
      </c>
      <c r="G62" s="1" t="str">
        <f ca="1">IFERROR(__xludf.DUMMYFUNCTION("""COMPUTED_VALUE"""),"This will be hard to do, but if it is the right company I would try")</f>
        <v>This will be hard to do, but if it is the right company I would try</v>
      </c>
      <c r="H62" s="1" t="str">
        <f ca="1">IFERROR(__xludf.DUMMYFUNCTION("""COMPUTED_VALUE"""),"No")</f>
        <v>No</v>
      </c>
      <c r="I62" s="1" t="str">
        <f ca="1">IFERROR(__xludf.DUMMYFUNCTION("""COMPUTED_VALUE"""),"Will NOT work for them")</f>
        <v>Will NOT work for them</v>
      </c>
      <c r="J62" s="1">
        <f ca="1">IFERROR(__xludf.DUMMYFUNCTION("""COMPUTED_VALUE"""),5)</f>
        <v>5</v>
      </c>
      <c r="K62" s="1" t="str">
        <f ca="1">IFERROR(__xludf.DUMMYFUNCTION("""COMPUTED_VALUE"""),"Fully Remote with Options to travel as and when needed")</f>
        <v>Fully Remote with Options to travel as and when needed</v>
      </c>
      <c r="L62" s="1" t="str">
        <f ca="1">IFERROR(__xludf.DUMMYFUNCTION("""COMPUTED_VALUE"""),"Employer who pushes your limits by enabling an learning environment, and rewards you at the end")</f>
        <v>Employer who pushes your limits by enabling an learning environment, and rewards you at the end</v>
      </c>
      <c r="M62" s="1" t="str">
        <f ca="1">IFERROR(__xludf.DUMMYFUNCTION("""COMPUTED_VALUE"""),"Build and develop a Team, Design and Develop amazing software, Look deeply into Data and generate insights")</f>
        <v>Build and develop a Team, Design and Develop amazing software, Look deeply into Data and generate insights</v>
      </c>
      <c r="N62" s="4" t="s">
        <v>49</v>
      </c>
      <c r="O62" s="1" t="str">
        <f ca="1">IFERROR(__xludf.DUMMYFUNCTION("""COMPUTED_VALUE"""),"Manager who sets goal and helps me achieve it")</f>
        <v>Manager who sets goal and helps me achieve it</v>
      </c>
      <c r="P62" s="1" t="str">
        <f ca="1">IFERROR(__xludf.DUMMYFUNCTION("""COMPUTED_VALUE"""),"Work &lt;=6 People in the Team")</f>
        <v>Work &lt;=6 People in the Team</v>
      </c>
      <c r="Q62" s="1" t="s">
        <v>40</v>
      </c>
      <c r="R62" s="1"/>
    </row>
    <row r="63" spans="1:18" x14ac:dyDescent="0.25">
      <c r="A63" s="2">
        <f ca="1">IFERROR(__xludf.DUMMYFUNCTION("""COMPUTED_VALUE"""),44911.6987544444)</f>
        <v>44911.698754444398</v>
      </c>
      <c r="B63" s="1" t="str">
        <f ca="1">IFERROR(__xludf.DUMMYFUNCTION("""COMPUTED_VALUE"""),"India")</f>
        <v>India</v>
      </c>
      <c r="C63" s="1">
        <f ca="1">IFERROR(__xludf.DUMMYFUNCTION("""COMPUTED_VALUE"""),411038)</f>
        <v>411038</v>
      </c>
      <c r="D63" s="1" t="str">
        <f ca="1">IFERROR(__xludf.DUMMYFUNCTION("""COMPUTED_VALUE"""),"Male")</f>
        <v>Male</v>
      </c>
      <c r="E63" s="1" t="str">
        <f ca="1">IFERROR(__xludf.DUMMYFUNCTION("""COMPUTED_VALUE"""),"People who have changed the world for better")</f>
        <v>People who have changed the world for better</v>
      </c>
      <c r="F63" s="1" t="str">
        <f ca="1">IFERROR(__xludf.DUMMYFUNCTION("""COMPUTED_VALUE"""),"Yes, I will earn and do that")</f>
        <v>Yes, I will earn and do that</v>
      </c>
      <c r="G63" s="1" t="str">
        <f ca="1">IFERROR(__xludf.DUMMYFUNCTION("""COMPUTED_VALUE"""),"This will be hard to do, but if it is the right company I would try")</f>
        <v>This will be hard to do, but if it is the right company I would try</v>
      </c>
      <c r="H63" s="1" t="str">
        <f ca="1">IFERROR(__xludf.DUMMYFUNCTION("""COMPUTED_VALUE"""),"No")</f>
        <v>No</v>
      </c>
      <c r="I63" s="1" t="str">
        <f ca="1">IFERROR(__xludf.DUMMYFUNCTION("""COMPUTED_VALUE"""),"Will NOT work for them")</f>
        <v>Will NOT work for them</v>
      </c>
      <c r="J63" s="1">
        <f ca="1">IFERROR(__xludf.DUMMYFUNCTION("""COMPUTED_VALUE"""),8)</f>
        <v>8</v>
      </c>
      <c r="K63" s="1" t="str">
        <f ca="1">IFERROR(__xludf.DUMMYFUNCTION("""COMPUTED_VALUE"""),"Hybrid Working Environment with less than 3 days a month at office")</f>
        <v>Hybrid Working Environment with less than 3 days a month at office</v>
      </c>
      <c r="L63" s="1" t="str">
        <f ca="1">IFERROR(__xludf.DUMMYFUNCTION("""COMPUTED_VALUE"""),"Employer who pushes your limits by enabling an learning environment, and rewards you at the end")</f>
        <v>Employer who pushes your limits by enabling an learning environment, and rewards you at the end</v>
      </c>
      <c r="M6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63" s="4" t="s">
        <v>49</v>
      </c>
      <c r="O63" s="1" t="str">
        <f ca="1">IFERROR(__xludf.DUMMYFUNCTION("""COMPUTED_VALUE"""),"Manager who explains what is expected, sets a goal and helps achieve it")</f>
        <v>Manager who explains what is expected, sets a goal and helps achieve it</v>
      </c>
      <c r="P63" s="1" t="str">
        <f ca="1">IFERROR(__xludf.DUMMYFUNCTION("""COMPUTED_VALUE"""),"Work Alone, &lt;=6 in team")</f>
        <v>Work Alone, &lt;=6 in team</v>
      </c>
      <c r="Q63" s="1" t="s">
        <v>41</v>
      </c>
      <c r="R63" s="1"/>
    </row>
    <row r="64" spans="1:18" x14ac:dyDescent="0.25">
      <c r="A64" s="2">
        <f ca="1">IFERROR(__xludf.DUMMYFUNCTION("""COMPUTED_VALUE"""),44911.7000213541)</f>
        <v>44911.700021354103</v>
      </c>
      <c r="B64" s="1" t="str">
        <f ca="1">IFERROR(__xludf.DUMMYFUNCTION("""COMPUTED_VALUE"""),"India")</f>
        <v>India</v>
      </c>
      <c r="C64" s="1">
        <f ca="1">IFERROR(__xludf.DUMMYFUNCTION("""COMPUTED_VALUE"""),282007)</f>
        <v>282007</v>
      </c>
      <c r="D64" s="1" t="str">
        <f ca="1">IFERROR(__xludf.DUMMYFUNCTION("""COMPUTED_VALUE"""),"Female")</f>
        <v>Female</v>
      </c>
      <c r="E64" s="1" t="str">
        <f ca="1">IFERROR(__xludf.DUMMYFUNCTION("""COMPUTED_VALUE"""),"Influencers who had successful careers")</f>
        <v>Influencers who had successful careers</v>
      </c>
      <c r="F64" s="1" t="str">
        <f ca="1">IFERROR(__xludf.DUMMYFUNCTION("""COMPUTED_VALUE"""),"No I would not be pursuing Higher Education outside of India")</f>
        <v>No I would not be pursuing Higher Education outside of India</v>
      </c>
      <c r="G64" s="1" t="str">
        <f ca="1">IFERROR(__xludf.DUMMYFUNCTION("""COMPUTED_VALUE"""),"This will be hard to do, but if it is the right company I would try")</f>
        <v>This will be hard to do, but if it is the right company I would try</v>
      </c>
      <c r="H64" s="1" t="str">
        <f ca="1">IFERROR(__xludf.DUMMYFUNCTION("""COMPUTED_VALUE"""),"No")</f>
        <v>No</v>
      </c>
      <c r="I64" s="1" t="str">
        <f ca="1">IFERROR(__xludf.DUMMYFUNCTION("""COMPUTED_VALUE"""),"Will NOT work for them")</f>
        <v>Will NOT work for them</v>
      </c>
      <c r="J64" s="1">
        <f ca="1">IFERROR(__xludf.DUMMYFUNCTION("""COMPUTED_VALUE"""),7)</f>
        <v>7</v>
      </c>
      <c r="K64" s="1" t="str">
        <f ca="1">IFERROR(__xludf.DUMMYFUNCTION("""COMPUTED_VALUE"""),"Hybrid Working Environment with less than 15 days a month at office")</f>
        <v>Hybrid Working Environment with less than 15 days a month at office</v>
      </c>
      <c r="L64" s="1" t="str">
        <f ca="1">IFERROR(__xludf.DUMMYFUNCTION("""COMPUTED_VALUE"""),"Employer who pushes your limits by enabling an learning environment, and rewards you at the end")</f>
        <v>Employer who pushes your limits by enabling an learning environment, and rewards you at the end</v>
      </c>
      <c r="M6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64" s="4" t="s">
        <v>50</v>
      </c>
      <c r="O64" s="1" t="str">
        <f ca="1">IFERROR(__xludf.DUMMYFUNCTION("""COMPUTED_VALUE"""),"Manager who explains what is expected, sets a goal and helps achieve it")</f>
        <v>Manager who explains what is expected, sets a goal and helps achieve it</v>
      </c>
      <c r="P64" s="1" t="str">
        <f ca="1">IFERROR(__xludf.DUMMYFUNCTION("""COMPUTED_VALUE"""),"Work &gt;10 people in Team")</f>
        <v>Work &gt;10 people in Team</v>
      </c>
      <c r="Q64" s="1" t="s">
        <v>40</v>
      </c>
      <c r="R64" s="1"/>
    </row>
    <row r="65" spans="1:18" x14ac:dyDescent="0.25">
      <c r="A65" s="2">
        <f ca="1">IFERROR(__xludf.DUMMYFUNCTION("""COMPUTED_VALUE"""),44911.7057608912)</f>
        <v>44911.7057608912</v>
      </c>
      <c r="B65" s="1" t="str">
        <f ca="1">IFERROR(__xludf.DUMMYFUNCTION("""COMPUTED_VALUE"""),"India")</f>
        <v>India</v>
      </c>
      <c r="C65" s="1">
        <f ca="1">IFERROR(__xludf.DUMMYFUNCTION("""COMPUTED_VALUE"""),207001)</f>
        <v>207001</v>
      </c>
      <c r="D65" s="1" t="str">
        <f ca="1">IFERROR(__xludf.DUMMYFUNCTION("""COMPUTED_VALUE"""),"Male")</f>
        <v>Male</v>
      </c>
      <c r="E65" s="1" t="str">
        <f ca="1">IFERROR(__xludf.DUMMYFUNCTION("""COMPUTED_VALUE"""),"People from my circle, but not family members")</f>
        <v>People from my circle, but not family members</v>
      </c>
      <c r="F65" s="1" t="str">
        <f ca="1">IFERROR(__xludf.DUMMYFUNCTION("""COMPUTED_VALUE"""),"No, But if someone could bare the cost I will")</f>
        <v>No, But if someone could bare the cost I will</v>
      </c>
      <c r="G65" s="1" t="str">
        <f ca="1">IFERROR(__xludf.DUMMYFUNCTION("""COMPUTED_VALUE"""),"This will be hard to do, but if it is the right company I would try")</f>
        <v>This will be hard to do, but if it is the right company I would try</v>
      </c>
      <c r="H65" s="1" t="str">
        <f ca="1">IFERROR(__xludf.DUMMYFUNCTION("""COMPUTED_VALUE"""),"No")</f>
        <v>No</v>
      </c>
      <c r="I65" s="1" t="str">
        <f ca="1">IFERROR(__xludf.DUMMYFUNCTION("""COMPUTED_VALUE"""),"Will NOT work for them")</f>
        <v>Will NOT work for them</v>
      </c>
      <c r="J65" s="1">
        <f ca="1">IFERROR(__xludf.DUMMYFUNCTION("""COMPUTED_VALUE"""),5)</f>
        <v>5</v>
      </c>
      <c r="K65" s="1" t="str">
        <f ca="1">IFERROR(__xludf.DUMMYFUNCTION("""COMPUTED_VALUE"""),"Fully Remote with Options to travel as and when needed")</f>
        <v>Fully Remote with Options to travel as and when needed</v>
      </c>
      <c r="L65" s="1" t="str">
        <f ca="1">IFERROR(__xludf.DUMMYFUNCTION("""COMPUTED_VALUE"""),"Employer who pushes your limits by enabling an learning environment, and rewards you at the end")</f>
        <v>Employer who pushes your limits by enabling an learning environment, and rewards you at the end</v>
      </c>
      <c r="M6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65" s="4" t="s">
        <v>51</v>
      </c>
      <c r="O65" s="1" t="str">
        <f ca="1">IFERROR(__xludf.DUMMYFUNCTION("""COMPUTED_VALUE"""),"Manager who explains what is expected, sets a goal and helps achieve it")</f>
        <v>Manager who explains what is expected, sets a goal and helps achieve it</v>
      </c>
      <c r="P65" s="1" t="str">
        <f ca="1">IFERROR(__xludf.DUMMYFUNCTION("""COMPUTED_VALUE"""),"Work &gt;10 people in Team")</f>
        <v>Work &gt;10 people in Team</v>
      </c>
      <c r="Q65" s="1" t="s">
        <v>41</v>
      </c>
      <c r="R65" s="1"/>
    </row>
    <row r="66" spans="1:18" x14ac:dyDescent="0.25">
      <c r="A66" s="2">
        <f ca="1">IFERROR(__xludf.DUMMYFUNCTION("""COMPUTED_VALUE"""),44911.7076760069)</f>
        <v>44911.707676006903</v>
      </c>
      <c r="B66" s="1" t="str">
        <f ca="1">IFERROR(__xludf.DUMMYFUNCTION("""COMPUTED_VALUE"""),"India")</f>
        <v>India</v>
      </c>
      <c r="C66" s="1">
        <f ca="1">IFERROR(__xludf.DUMMYFUNCTION("""COMPUTED_VALUE"""),425301)</f>
        <v>425301</v>
      </c>
      <c r="D66" s="1" t="str">
        <f ca="1">IFERROR(__xludf.DUMMYFUNCTION("""COMPUTED_VALUE"""),"Female")</f>
        <v>Female</v>
      </c>
      <c r="E66" s="1" t="str">
        <f ca="1">IFERROR(__xludf.DUMMYFUNCTION("""COMPUTED_VALUE"""),"People who have changed the world for better")</f>
        <v>People who have changed the world for better</v>
      </c>
      <c r="F66" s="1" t="str">
        <f ca="1">IFERROR(__xludf.DUMMYFUNCTION("""COMPUTED_VALUE"""),"No I would not be pursuing Higher Education outside of India")</f>
        <v>No I would not be pursuing Higher Education outside of India</v>
      </c>
      <c r="G66" s="1" t="str">
        <f ca="1">IFERROR(__xludf.DUMMYFUNCTION("""COMPUTED_VALUE"""),"This will be hard to do, but if it is the right company I would try")</f>
        <v>This will be hard to do, but if it is the right company I would try</v>
      </c>
      <c r="H66" s="1" t="str">
        <f ca="1">IFERROR(__xludf.DUMMYFUNCTION("""COMPUTED_VALUE"""),"No")</f>
        <v>No</v>
      </c>
      <c r="I66" s="1" t="str">
        <f ca="1">IFERROR(__xludf.DUMMYFUNCTION("""COMPUTED_VALUE"""),"Will NOT work for them")</f>
        <v>Will NOT work for them</v>
      </c>
      <c r="J66" s="1">
        <f ca="1">IFERROR(__xludf.DUMMYFUNCTION("""COMPUTED_VALUE"""),6)</f>
        <v>6</v>
      </c>
      <c r="K66" s="1" t="str">
        <f ca="1">IFERROR(__xludf.DUMMYFUNCTION("""COMPUTED_VALUE"""),"Hybrid Working Environment with less than 10 days a month at office")</f>
        <v>Hybrid Working Environment with less than 10 days a month at office</v>
      </c>
      <c r="L66" s="1" t="str">
        <f ca="1">IFERROR(__xludf.DUMMYFUNCTION("""COMPUTED_VALUE"""),"Employer who rewards learning and enables that environment")</f>
        <v>Employer who rewards learning and enables that environment</v>
      </c>
      <c r="M6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66" s="4" t="s">
        <v>51</v>
      </c>
      <c r="O66" s="1" t="str">
        <f ca="1">IFERROR(__xludf.DUMMYFUNCTION("""COMPUTED_VALUE"""),"Manager who explains what is expected, sets a goal and helps achieve it")</f>
        <v>Manager who explains what is expected, sets a goal and helps achieve it</v>
      </c>
      <c r="P66" s="1" t="str">
        <f ca="1">IFERROR(__xludf.DUMMYFUNCTION("""COMPUTED_VALUE"""),"Work  &lt;67 people in team")</f>
        <v>Work  &lt;67 people in team</v>
      </c>
      <c r="Q66" s="1" t="s">
        <v>41</v>
      </c>
      <c r="R66" s="1"/>
    </row>
    <row r="67" spans="1:18" x14ac:dyDescent="0.25">
      <c r="A67" s="2">
        <f ca="1">IFERROR(__xludf.DUMMYFUNCTION("""COMPUTED_VALUE"""),44911.7107908796)</f>
        <v>44911.710790879602</v>
      </c>
      <c r="B67" s="1" t="str">
        <f ca="1">IFERROR(__xludf.DUMMYFUNCTION("""COMPUTED_VALUE"""),"India")</f>
        <v>India</v>
      </c>
      <c r="C67" s="1">
        <f ca="1">IFERROR(__xludf.DUMMYFUNCTION("""COMPUTED_VALUE"""),828122)</f>
        <v>828122</v>
      </c>
      <c r="D67" s="1" t="str">
        <f ca="1">IFERROR(__xludf.DUMMYFUNCTION("""COMPUTED_VALUE"""),"Male")</f>
        <v>Male</v>
      </c>
      <c r="E67" s="1" t="str">
        <f ca="1">IFERROR(__xludf.DUMMYFUNCTION("""COMPUTED_VALUE"""),"People who have changed the world for better")</f>
        <v>People who have changed the world for better</v>
      </c>
      <c r="F67" s="1" t="str">
        <f ca="1">IFERROR(__xludf.DUMMYFUNCTION("""COMPUTED_VALUE"""),"No, But if someone could bare the cost I will")</f>
        <v>No, But if someone could bare the cost I will</v>
      </c>
      <c r="G67" s="1" t="str">
        <f ca="1">IFERROR(__xludf.DUMMYFUNCTION("""COMPUTED_VALUE"""),"This will be hard to do, but if it is the right company I would try")</f>
        <v>This will be hard to do, but if it is the right company I would try</v>
      </c>
      <c r="H67" s="1" t="str">
        <f ca="1">IFERROR(__xludf.DUMMYFUNCTION("""COMPUTED_VALUE"""),"No")</f>
        <v>No</v>
      </c>
      <c r="I67" s="1" t="str">
        <f ca="1">IFERROR(__xludf.DUMMYFUNCTION("""COMPUTED_VALUE"""),"Will work for them")</f>
        <v>Will work for them</v>
      </c>
      <c r="J67" s="1">
        <f ca="1">IFERROR(__xludf.DUMMYFUNCTION("""COMPUTED_VALUE"""),8)</f>
        <v>8</v>
      </c>
      <c r="K67" s="1" t="str">
        <f ca="1">IFERROR(__xludf.DUMMYFUNCTION("""COMPUTED_VALUE"""),"Hybrid Working Environment with less than 10 days a month at office")</f>
        <v>Hybrid Working Environment with less than 10 days a month at office</v>
      </c>
      <c r="L67" s="1" t="str">
        <f ca="1">IFERROR(__xludf.DUMMYFUNCTION("""COMPUTED_VALUE"""),"Employer who pushes your limits by enabling an learning environment, and rewards you at the end")</f>
        <v>Employer who pushes your limits by enabling an learning environment, and rewards you at the end</v>
      </c>
      <c r="M67" s="1" t="str">
        <f ca="1">IFERROR(__xludf.DUMMYFUNCTION("""COMPUTED_VALUE"""),"Design and Creative strategy in any company, Build and develop a Team, Design and Develop amazing software")</f>
        <v>Design and Creative strategy in any company, Build and develop a Team, Design and Develop amazing software</v>
      </c>
      <c r="N67" s="4" t="s">
        <v>51</v>
      </c>
      <c r="O67" s="1" t="str">
        <f ca="1">IFERROR(__xludf.DUMMYFUNCTION("""COMPUTED_VALUE"""),"Manager who explains what is expected, sets a goal and helps achieve it")</f>
        <v>Manager who explains what is expected, sets a goal and helps achieve it</v>
      </c>
      <c r="P67" s="1" t="str">
        <f ca="1">IFERROR(__xludf.DUMMYFUNCTION("""COMPUTED_VALUE"""),"Work &lt;=6 People in the Team")</f>
        <v>Work &lt;=6 People in the Team</v>
      </c>
      <c r="Q67" s="1" t="s">
        <v>40</v>
      </c>
      <c r="R67" s="1"/>
    </row>
    <row r="68" spans="1:18" x14ac:dyDescent="0.25">
      <c r="A68" s="2">
        <f ca="1">IFERROR(__xludf.DUMMYFUNCTION("""COMPUTED_VALUE"""),44911.7196049652)</f>
        <v>44911.719604965198</v>
      </c>
      <c r="B68" s="1" t="str">
        <f ca="1">IFERROR(__xludf.DUMMYFUNCTION("""COMPUTED_VALUE"""),"India")</f>
        <v>India</v>
      </c>
      <c r="C68" s="1">
        <f ca="1">IFERROR(__xludf.DUMMYFUNCTION("""COMPUTED_VALUE"""),244901)</f>
        <v>244901</v>
      </c>
      <c r="D68" s="1" t="str">
        <f ca="1">IFERROR(__xludf.DUMMYFUNCTION("""COMPUTED_VALUE"""),"Male")</f>
        <v>Male</v>
      </c>
      <c r="E68" s="1" t="str">
        <f ca="1">IFERROR(__xludf.DUMMYFUNCTION("""COMPUTED_VALUE"""),"People who have changed the world for better")</f>
        <v>People who have changed the world for better</v>
      </c>
      <c r="F68" s="1" t="str">
        <f ca="1">IFERROR(__xludf.DUMMYFUNCTION("""COMPUTED_VALUE"""),"Yes, I will earn and do that")</f>
        <v>Yes, I will earn and do that</v>
      </c>
      <c r="G68" s="1" t="str">
        <f ca="1">IFERROR(__xludf.DUMMYFUNCTION("""COMPUTED_VALUE"""),"Will work for 3 years or more")</f>
        <v>Will work for 3 years or more</v>
      </c>
      <c r="H68" s="1" t="str">
        <f ca="1">IFERROR(__xludf.DUMMYFUNCTION("""COMPUTED_VALUE"""),"No")</f>
        <v>No</v>
      </c>
      <c r="I68" s="1" t="str">
        <f ca="1">IFERROR(__xludf.DUMMYFUNCTION("""COMPUTED_VALUE"""),"Will NOT work for them")</f>
        <v>Will NOT work for them</v>
      </c>
      <c r="J68" s="1">
        <f ca="1">IFERROR(__xludf.DUMMYFUNCTION("""COMPUTED_VALUE"""),5)</f>
        <v>5</v>
      </c>
      <c r="K68" s="1" t="str">
        <f ca="1">IFERROR(__xludf.DUMMYFUNCTION("""COMPUTED_VALUE"""),"Fully Remote with Options to travel as and when needed")</f>
        <v>Fully Remote with Options to travel as and when needed</v>
      </c>
      <c r="L68" s="1" t="str">
        <f ca="1">IFERROR(__xludf.DUMMYFUNCTION("""COMPUTED_VALUE"""),"Employer who pushes your limits by enabling an learning environment, and rewards you at the end")</f>
        <v>Employer who pushes your limits by enabling an learning environment, and rewards you at the end</v>
      </c>
      <c r="M6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68" s="4" t="s">
        <v>51</v>
      </c>
      <c r="O68" s="1" t="str">
        <f ca="1">IFERROR(__xludf.DUMMYFUNCTION("""COMPUTED_VALUE"""),"Manager who explains what is expected, sets a goal and helps achieve it")</f>
        <v>Manager who explains what is expected, sets a goal and helps achieve it</v>
      </c>
      <c r="P68" s="1" t="str">
        <f ca="1">IFERROR(__xludf.DUMMYFUNCTION("""COMPUTED_VALUE"""),"Work Alone, &lt;=6 in team")</f>
        <v>Work Alone, &lt;=6 in team</v>
      </c>
      <c r="Q68" s="1" t="s">
        <v>40</v>
      </c>
      <c r="R68" s="1"/>
    </row>
    <row r="69" spans="1:18" x14ac:dyDescent="0.25">
      <c r="A69" s="2">
        <f ca="1">IFERROR(__xludf.DUMMYFUNCTION("""COMPUTED_VALUE"""),44911.7341539004)</f>
        <v>44911.734153900397</v>
      </c>
      <c r="B69" s="1" t="str">
        <f ca="1">IFERROR(__xludf.DUMMYFUNCTION("""COMPUTED_VALUE"""),"India")</f>
        <v>India</v>
      </c>
      <c r="C69" s="1">
        <f ca="1">IFERROR(__xludf.DUMMYFUNCTION("""COMPUTED_VALUE"""),641021)</f>
        <v>641021</v>
      </c>
      <c r="D69" s="1" t="str">
        <f ca="1">IFERROR(__xludf.DUMMYFUNCTION("""COMPUTED_VALUE"""),"Female")</f>
        <v>Female</v>
      </c>
      <c r="E69" s="1" t="str">
        <f ca="1">IFERROR(__xludf.DUMMYFUNCTION("""COMPUTED_VALUE"""),"People who have changed the world for better")</f>
        <v>People who have changed the world for better</v>
      </c>
      <c r="F69" s="1" t="str">
        <f ca="1">IFERROR(__xludf.DUMMYFUNCTION("""COMPUTED_VALUE"""),"No, But if someone could bare the cost I will")</f>
        <v>No, But if someone could bare the cost I will</v>
      </c>
      <c r="G69" s="1" t="str">
        <f ca="1">IFERROR(__xludf.DUMMYFUNCTION("""COMPUTED_VALUE"""),"This will be hard to do, but if it is the right company I would try")</f>
        <v>This will be hard to do, but if it is the right company I would try</v>
      </c>
      <c r="H69" s="1" t="str">
        <f ca="1">IFERROR(__xludf.DUMMYFUNCTION("""COMPUTED_VALUE"""),"No")</f>
        <v>No</v>
      </c>
      <c r="I69" s="1" t="str">
        <f ca="1">IFERROR(__xludf.DUMMYFUNCTION("""COMPUTED_VALUE"""),"Will NOT work for them")</f>
        <v>Will NOT work for them</v>
      </c>
      <c r="J69" s="1">
        <f ca="1">IFERROR(__xludf.DUMMYFUNCTION("""COMPUTED_VALUE"""),7)</f>
        <v>7</v>
      </c>
      <c r="K69" s="1" t="str">
        <f ca="1">IFERROR(__xludf.DUMMYFUNCTION("""COMPUTED_VALUE"""),"Fully Remote with Options to travel as and when needed")</f>
        <v>Fully Remote with Options to travel as and when needed</v>
      </c>
      <c r="L69" s="1" t="str">
        <f ca="1">IFERROR(__xludf.DUMMYFUNCTION("""COMPUTED_VALUE"""),"Employer who rewards learning and enables that environment")</f>
        <v>Employer who rewards learning and enables that environment</v>
      </c>
      <c r="M69"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N69" s="4" t="s">
        <v>50</v>
      </c>
      <c r="O69" s="1" t="str">
        <f ca="1">IFERROR(__xludf.DUMMYFUNCTION("""COMPUTED_VALUE"""),"Manager who explains what is expected, sets a goal and helps achieve it")</f>
        <v>Manager who explains what is expected, sets a goal and helps achieve it</v>
      </c>
      <c r="P69" s="1" t="str">
        <f ca="1">IFERROR(__xludf.DUMMYFUNCTION("""COMPUTED_VALUE"""),"Work &gt;10 people in Team")</f>
        <v>Work &gt;10 people in Team</v>
      </c>
      <c r="Q69" s="1" t="s">
        <v>41</v>
      </c>
      <c r="R69" s="1"/>
    </row>
    <row r="70" spans="1:18" x14ac:dyDescent="0.25">
      <c r="A70" s="2">
        <f ca="1">IFERROR(__xludf.DUMMYFUNCTION("""COMPUTED_VALUE"""),44911.74608625)</f>
        <v>44911.746086250001</v>
      </c>
      <c r="B70" s="1" t="str">
        <f ca="1">IFERROR(__xludf.DUMMYFUNCTION("""COMPUTED_VALUE"""),"India")</f>
        <v>India</v>
      </c>
      <c r="C70" s="1">
        <f ca="1">IFERROR(__xludf.DUMMYFUNCTION("""COMPUTED_VALUE"""),560060)</f>
        <v>560060</v>
      </c>
      <c r="D70" s="1" t="str">
        <f ca="1">IFERROR(__xludf.DUMMYFUNCTION("""COMPUTED_VALUE"""),"Female")</f>
        <v>Female</v>
      </c>
      <c r="E70" s="1" t="str">
        <f ca="1">IFERROR(__xludf.DUMMYFUNCTION("""COMPUTED_VALUE"""),"My Parents")</f>
        <v>My Parents</v>
      </c>
      <c r="F70" s="1" t="str">
        <f ca="1">IFERROR(__xludf.DUMMYFUNCTION("""COMPUTED_VALUE"""),"No I would not be pursuing Higher Education outside of India")</f>
        <v>No I would not be pursuing Higher Education outside of India</v>
      </c>
      <c r="G70" s="1" t="str">
        <f ca="1">IFERROR(__xludf.DUMMYFUNCTION("""COMPUTED_VALUE"""),"Will work for 3 years or more")</f>
        <v>Will work for 3 years or more</v>
      </c>
      <c r="H70" s="1" t="str">
        <f ca="1">IFERROR(__xludf.DUMMYFUNCTION("""COMPUTED_VALUE"""),"Yes")</f>
        <v>Yes</v>
      </c>
      <c r="I70" s="1" t="str">
        <f ca="1">IFERROR(__xludf.DUMMYFUNCTION("""COMPUTED_VALUE"""),"Will work for them")</f>
        <v>Will work for them</v>
      </c>
      <c r="J70" s="1">
        <f ca="1">IFERROR(__xludf.DUMMYFUNCTION("""COMPUTED_VALUE"""),5)</f>
        <v>5</v>
      </c>
      <c r="K70" s="1" t="str">
        <f ca="1">IFERROR(__xludf.DUMMYFUNCTION("""COMPUTED_VALUE"""),"Hybrid Working Environment with less than 15 days a month at office")</f>
        <v>Hybrid Working Environment with less than 15 days a month at office</v>
      </c>
      <c r="L70" s="1" t="str">
        <f ca="1">IFERROR(__xludf.DUMMYFUNCTION("""COMPUTED_VALUE"""),"Employer who appreciates learning and enables that environment")</f>
        <v>Employer who appreciates learning and enables that environment</v>
      </c>
      <c r="M7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70" s="4" t="s">
        <v>48</v>
      </c>
      <c r="O70" s="1" t="str">
        <f ca="1">IFERROR(__xludf.DUMMYFUNCTION("""COMPUTED_VALUE"""),"Manager who clearly describes what she/he needs")</f>
        <v>Manager who clearly describes what she/he needs</v>
      </c>
      <c r="P70" s="1" t="str">
        <f ca="1">IFERROR(__xludf.DUMMYFUNCTION("""COMPUTED_VALUE"""),"Work alone")</f>
        <v>Work alone</v>
      </c>
      <c r="Q70" s="1" t="s">
        <v>41</v>
      </c>
      <c r="R70" s="1"/>
    </row>
    <row r="71" spans="1:18" x14ac:dyDescent="0.25">
      <c r="A71" s="2">
        <f ca="1">IFERROR(__xludf.DUMMYFUNCTION("""COMPUTED_VALUE"""),44911.7466268634)</f>
        <v>44911.746626863402</v>
      </c>
      <c r="B71" s="1" t="str">
        <f ca="1">IFERROR(__xludf.DUMMYFUNCTION("""COMPUTED_VALUE"""),"India")</f>
        <v>India</v>
      </c>
      <c r="C71" s="1">
        <f ca="1">IFERROR(__xludf.DUMMYFUNCTION("""COMPUTED_VALUE"""),560098)</f>
        <v>560098</v>
      </c>
      <c r="D71" s="1" t="str">
        <f ca="1">IFERROR(__xludf.DUMMYFUNCTION("""COMPUTED_VALUE"""),"Female")</f>
        <v>Female</v>
      </c>
      <c r="E71" s="1" t="str">
        <f ca="1">IFERROR(__xludf.DUMMYFUNCTION("""COMPUTED_VALUE"""),"Influencers who had successful careers")</f>
        <v>Influencers who had successful careers</v>
      </c>
      <c r="F71" s="1" t="str">
        <f ca="1">IFERROR(__xludf.DUMMYFUNCTION("""COMPUTED_VALUE"""),"Yes, I will earn and do that")</f>
        <v>Yes, I will earn and do that</v>
      </c>
      <c r="G71" s="1" t="str">
        <f ca="1">IFERROR(__xludf.DUMMYFUNCTION("""COMPUTED_VALUE"""),"This will be hard to do, but if it is the right company I would try")</f>
        <v>This will be hard to do, but if it is the right company I would try</v>
      </c>
      <c r="H71" s="1" t="str">
        <f ca="1">IFERROR(__xludf.DUMMYFUNCTION("""COMPUTED_VALUE"""),"No")</f>
        <v>No</v>
      </c>
      <c r="I71" s="1" t="str">
        <f ca="1">IFERROR(__xludf.DUMMYFUNCTION("""COMPUTED_VALUE"""),"Will NOT work for them")</f>
        <v>Will NOT work for them</v>
      </c>
      <c r="J71" s="1">
        <f ca="1">IFERROR(__xludf.DUMMYFUNCTION("""COMPUTED_VALUE"""),2)</f>
        <v>2</v>
      </c>
      <c r="K71" s="1" t="str">
        <f ca="1">IFERROR(__xludf.DUMMYFUNCTION("""COMPUTED_VALUE"""),"Hybrid Working Environment with less than 3 days a month at office")</f>
        <v>Hybrid Working Environment with less than 3 days a month at office</v>
      </c>
      <c r="L71" s="1" t="str">
        <f ca="1">IFERROR(__xludf.DUMMYFUNCTION("""COMPUTED_VALUE"""),"Employer who rewards learning and enables that environment")</f>
        <v>Employer who rewards learning and enables that environment</v>
      </c>
      <c r="M7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N71" s="4" t="s">
        <v>54</v>
      </c>
      <c r="O71" s="1" t="str">
        <f ca="1">IFERROR(__xludf.DUMMYFUNCTION("""COMPUTED_VALUE"""),"Manager who explains what is expected, sets a goal and helps achieve it")</f>
        <v>Manager who explains what is expected, sets a goal and helps achieve it</v>
      </c>
      <c r="P71" s="1" t="str">
        <f ca="1">IFERROR(__xludf.DUMMYFUNCTION("""COMPUTED_VALUE"""),"Work &gt;=7 People in the Team")</f>
        <v>Work &gt;=7 People in the Team</v>
      </c>
      <c r="Q71" s="1" t="s">
        <v>40</v>
      </c>
      <c r="R71" s="1"/>
    </row>
    <row r="72" spans="1:18" x14ac:dyDescent="0.25">
      <c r="A72" s="2">
        <f ca="1">IFERROR(__xludf.DUMMYFUNCTION("""COMPUTED_VALUE"""),44911.7622293865)</f>
        <v>44911.762229386499</v>
      </c>
      <c r="B72" s="1" t="str">
        <f ca="1">IFERROR(__xludf.DUMMYFUNCTION("""COMPUTED_VALUE"""),"India")</f>
        <v>India</v>
      </c>
      <c r="C72" s="1">
        <f ca="1">IFERROR(__xludf.DUMMYFUNCTION("""COMPUTED_VALUE"""),457001)</f>
        <v>457001</v>
      </c>
      <c r="D72" s="1" t="str">
        <f ca="1">IFERROR(__xludf.DUMMYFUNCTION("""COMPUTED_VALUE"""),"Female")</f>
        <v>Female</v>
      </c>
      <c r="E72" s="1" t="str">
        <f ca="1">IFERROR(__xludf.DUMMYFUNCTION("""COMPUTED_VALUE"""),"Influencers who had successful careers")</f>
        <v>Influencers who had successful careers</v>
      </c>
      <c r="F72" s="1" t="str">
        <f ca="1">IFERROR(__xludf.DUMMYFUNCTION("""COMPUTED_VALUE"""),"Yes, I will earn and do that")</f>
        <v>Yes, I will earn and do that</v>
      </c>
      <c r="G72" s="1" t="str">
        <f ca="1">IFERROR(__xludf.DUMMYFUNCTION("""COMPUTED_VALUE"""),"Will work for 3 years or more")</f>
        <v>Will work for 3 years or more</v>
      </c>
      <c r="H72" s="1" t="str">
        <f ca="1">IFERROR(__xludf.DUMMYFUNCTION("""COMPUTED_VALUE"""),"No")</f>
        <v>No</v>
      </c>
      <c r="I72" s="1" t="str">
        <f ca="1">IFERROR(__xludf.DUMMYFUNCTION("""COMPUTED_VALUE"""),"Will NOT work for them")</f>
        <v>Will NOT work for them</v>
      </c>
      <c r="J72" s="1">
        <f ca="1">IFERROR(__xludf.DUMMYFUNCTION("""COMPUTED_VALUE"""),1)</f>
        <v>1</v>
      </c>
      <c r="K72" s="1" t="str">
        <f ca="1">IFERROR(__xludf.DUMMYFUNCTION("""COMPUTED_VALUE"""),"Hybrid Working Environment with less than 10 days a month at office")</f>
        <v>Hybrid Working Environment with less than 10 days a month at office</v>
      </c>
      <c r="L72" s="1" t="str">
        <f ca="1">IFERROR(__xludf.DUMMYFUNCTION("""COMPUTED_VALUE"""),"Employer who appreciates learning and enables that environment")</f>
        <v>Employer who appreciates learning and enables that environment</v>
      </c>
      <c r="M7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72" s="4" t="s">
        <v>48</v>
      </c>
      <c r="O72" s="1" t="str">
        <f ca="1">IFERROR(__xludf.DUMMYFUNCTION("""COMPUTED_VALUE"""),"Manager who clearly describes what she/he needs")</f>
        <v>Manager who clearly describes what she/he needs</v>
      </c>
      <c r="P72" s="1" t="str">
        <f ca="1">IFERROR(__xludf.DUMMYFUNCTION("""COMPUTED_VALUE"""),"Work &lt;=6 People in the Team")</f>
        <v>Work &lt;=6 People in the Team</v>
      </c>
      <c r="Q72" s="1" t="s">
        <v>40</v>
      </c>
      <c r="R72" s="1"/>
    </row>
    <row r="73" spans="1:18" x14ac:dyDescent="0.25">
      <c r="A73" s="2">
        <f ca="1">IFERROR(__xludf.DUMMYFUNCTION("""COMPUTED_VALUE"""),44911.7695800694)</f>
        <v>44911.769580069398</v>
      </c>
      <c r="B73" s="1" t="str">
        <f ca="1">IFERROR(__xludf.DUMMYFUNCTION("""COMPUTED_VALUE"""),"India")</f>
        <v>India</v>
      </c>
      <c r="C73" s="1">
        <f ca="1">IFERROR(__xludf.DUMMYFUNCTION("""COMPUTED_VALUE"""),524412)</f>
        <v>524412</v>
      </c>
      <c r="D73" s="1" t="str">
        <f ca="1">IFERROR(__xludf.DUMMYFUNCTION("""COMPUTED_VALUE"""),"Male")</f>
        <v>Male</v>
      </c>
      <c r="E73" s="1" t="str">
        <f ca="1">IFERROR(__xludf.DUMMYFUNCTION("""COMPUTED_VALUE"""),"People who have changed the world for better")</f>
        <v>People who have changed the world for better</v>
      </c>
      <c r="F73" s="1" t="str">
        <f ca="1">IFERROR(__xludf.DUMMYFUNCTION("""COMPUTED_VALUE"""),"No I would not be pursuing Higher Education outside of India")</f>
        <v>No I would not be pursuing Higher Education outside of India</v>
      </c>
      <c r="G73" s="1" t="str">
        <f ca="1">IFERROR(__xludf.DUMMYFUNCTION("""COMPUTED_VALUE"""),"Will work for 3 years or more")</f>
        <v>Will work for 3 years or more</v>
      </c>
      <c r="H73" s="1" t="str">
        <f ca="1">IFERROR(__xludf.DUMMYFUNCTION("""COMPUTED_VALUE"""),"No")</f>
        <v>No</v>
      </c>
      <c r="I73" s="1" t="str">
        <f ca="1">IFERROR(__xludf.DUMMYFUNCTION("""COMPUTED_VALUE"""),"Will NOT work for them")</f>
        <v>Will NOT work for them</v>
      </c>
      <c r="J73" s="1">
        <f ca="1">IFERROR(__xludf.DUMMYFUNCTION("""COMPUTED_VALUE"""),1)</f>
        <v>1</v>
      </c>
      <c r="K73" s="1" t="str">
        <f ca="1">IFERROR(__xludf.DUMMYFUNCTION("""COMPUTED_VALUE"""),"Fully Remote with Options to travel as and when needed")</f>
        <v>Fully Remote with Options to travel as and when needed</v>
      </c>
      <c r="L73" s="1" t="str">
        <f ca="1">IFERROR(__xludf.DUMMYFUNCTION("""COMPUTED_VALUE"""),"Employer who appreciates learning and enables that environment")</f>
        <v>Employer who appreciates learning and enables that environment</v>
      </c>
      <c r="M73"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N73" s="4" t="s">
        <v>48</v>
      </c>
      <c r="O73" s="1" t="str">
        <f ca="1">IFERROR(__xludf.DUMMYFUNCTION("""COMPUTED_VALUE"""),"Manager who explains what is expected, sets a goal and helps achieve it")</f>
        <v>Manager who explains what is expected, sets a goal and helps achieve it</v>
      </c>
      <c r="P73" s="1" t="str">
        <f ca="1">IFERROR(__xludf.DUMMYFUNCTION("""COMPUTED_VALUE"""),"Work &gt;10 people in Team")</f>
        <v>Work &gt;10 people in Team</v>
      </c>
      <c r="Q73" s="1" t="s">
        <v>40</v>
      </c>
      <c r="R73" s="1"/>
    </row>
    <row r="74" spans="1:18" x14ac:dyDescent="0.25">
      <c r="A74" s="2">
        <f ca="1">IFERROR(__xludf.DUMMYFUNCTION("""COMPUTED_VALUE"""),44911.786991493)</f>
        <v>44911.786991492998</v>
      </c>
      <c r="B74" s="1" t="str">
        <f ca="1">IFERROR(__xludf.DUMMYFUNCTION("""COMPUTED_VALUE"""),"India")</f>
        <v>India</v>
      </c>
      <c r="C74" s="1">
        <f ca="1">IFERROR(__xludf.DUMMYFUNCTION("""COMPUTED_VALUE"""),110059)</f>
        <v>110059</v>
      </c>
      <c r="D74" s="1" t="str">
        <f ca="1">IFERROR(__xludf.DUMMYFUNCTION("""COMPUTED_VALUE"""),"Female")</f>
        <v>Female</v>
      </c>
      <c r="E74" s="1" t="str">
        <f ca="1">IFERROR(__xludf.DUMMYFUNCTION("""COMPUTED_VALUE"""),"My Parents")</f>
        <v>My Parents</v>
      </c>
      <c r="F74" s="1" t="str">
        <f ca="1">IFERROR(__xludf.DUMMYFUNCTION("""COMPUTED_VALUE"""),"No I would not be pursuing Higher Education outside of India")</f>
        <v>No I would not be pursuing Higher Education outside of India</v>
      </c>
      <c r="G74" s="1" t="str">
        <f ca="1">IFERROR(__xludf.DUMMYFUNCTION("""COMPUTED_VALUE"""),"This will be hard to do, but if it is the right company I would try")</f>
        <v>This will be hard to do, but if it is the right company I would try</v>
      </c>
      <c r="H74" s="1" t="str">
        <f ca="1">IFERROR(__xludf.DUMMYFUNCTION("""COMPUTED_VALUE"""),"No")</f>
        <v>No</v>
      </c>
      <c r="I74" s="1" t="str">
        <f ca="1">IFERROR(__xludf.DUMMYFUNCTION("""COMPUTED_VALUE"""),"Will work for them")</f>
        <v>Will work for them</v>
      </c>
      <c r="J74" s="1">
        <f ca="1">IFERROR(__xludf.DUMMYFUNCTION("""COMPUTED_VALUE"""),1)</f>
        <v>1</v>
      </c>
      <c r="K74" s="1" t="str">
        <f ca="1">IFERROR(__xludf.DUMMYFUNCTION("""COMPUTED_VALUE"""),"Every Day Office Environment")</f>
        <v>Every Day Office Environment</v>
      </c>
      <c r="L74" s="1" t="str">
        <f ca="1">IFERROR(__xludf.DUMMYFUNCTION("""COMPUTED_VALUE"""),"Employer who appreciates learning and enables that environment")</f>
        <v>Employer who appreciates learning and enables that environment</v>
      </c>
      <c r="M74"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N74" s="4" t="s">
        <v>48</v>
      </c>
      <c r="O74" s="1" t="str">
        <f ca="1">IFERROR(__xludf.DUMMYFUNCTION("""COMPUTED_VALUE"""),"Manager who sets goal and helps me achieve it")</f>
        <v>Manager who sets goal and helps me achieve it</v>
      </c>
      <c r="P74" s="1" t="str">
        <f ca="1">IFERROR(__xludf.DUMMYFUNCTION("""COMPUTED_VALUE"""),"Work &lt;=6 People in the Team")</f>
        <v>Work &lt;=6 People in the Team</v>
      </c>
      <c r="Q74" s="1" t="s">
        <v>41</v>
      </c>
      <c r="R74" s="1"/>
    </row>
    <row r="75" spans="1:18" x14ac:dyDescent="0.25">
      <c r="A75" s="2">
        <f ca="1">IFERROR(__xludf.DUMMYFUNCTION("""COMPUTED_VALUE"""),44911.8049120717)</f>
        <v>44911.804912071697</v>
      </c>
      <c r="B75" s="1" t="str">
        <f ca="1">IFERROR(__xludf.DUMMYFUNCTION("""COMPUTED_VALUE"""),"India")</f>
        <v>India</v>
      </c>
      <c r="C75" s="1">
        <f ca="1">IFERROR(__xludf.DUMMYFUNCTION("""COMPUTED_VALUE"""),425001)</f>
        <v>425001</v>
      </c>
      <c r="D75" s="1" t="str">
        <f ca="1">IFERROR(__xludf.DUMMYFUNCTION("""COMPUTED_VALUE"""),"Male")</f>
        <v>Male</v>
      </c>
      <c r="E75" s="1" t="str">
        <f ca="1">IFERROR(__xludf.DUMMYFUNCTION("""COMPUTED_VALUE"""),"My Parents")</f>
        <v>My Parents</v>
      </c>
      <c r="F75" s="1" t="str">
        <f ca="1">IFERROR(__xludf.DUMMYFUNCTION("""COMPUTED_VALUE"""),"No I would not be pursuing Higher Education outside of India")</f>
        <v>No I would not be pursuing Higher Education outside of India</v>
      </c>
      <c r="G75" s="1" t="str">
        <f ca="1">IFERROR(__xludf.DUMMYFUNCTION("""COMPUTED_VALUE"""),"This will be hard to do, but if it is the right company I would try")</f>
        <v>This will be hard to do, but if it is the right company I would try</v>
      </c>
      <c r="H75" s="1" t="str">
        <f ca="1">IFERROR(__xludf.DUMMYFUNCTION("""COMPUTED_VALUE"""),"Yes")</f>
        <v>Yes</v>
      </c>
      <c r="I75" s="1" t="str">
        <f ca="1">IFERROR(__xludf.DUMMYFUNCTION("""COMPUTED_VALUE"""),"Will work for them")</f>
        <v>Will work for them</v>
      </c>
      <c r="J75" s="1">
        <f ca="1">IFERROR(__xludf.DUMMYFUNCTION("""COMPUTED_VALUE"""),7)</f>
        <v>7</v>
      </c>
      <c r="K75" s="1" t="str">
        <f ca="1">IFERROR(__xludf.DUMMYFUNCTION("""COMPUTED_VALUE"""),"Fully Remote with No option to visit offices")</f>
        <v>Fully Remote with No option to visit offices</v>
      </c>
      <c r="L75" s="1" t="str">
        <f ca="1">IFERROR(__xludf.DUMMYFUNCTION("""COMPUTED_VALUE"""),"Employer who pushes your limits by enabling an learning environment, and rewards you at the end")</f>
        <v>Employer who pushes your limits by enabling an learning environment, and rewards you at the end</v>
      </c>
      <c r="M75"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N75" s="4" t="s">
        <v>48</v>
      </c>
      <c r="O75" s="1" t="str">
        <f ca="1">IFERROR(__xludf.DUMMYFUNCTION("""COMPUTED_VALUE"""),"Manager who clearly describes what she/he needs")</f>
        <v>Manager who clearly describes what she/he needs</v>
      </c>
      <c r="P75" s="1" t="str">
        <f ca="1">IFERROR(__xludf.DUMMYFUNCTION("""COMPUTED_VALUE"""),"Work &lt;=6 People in the Team")</f>
        <v>Work &lt;=6 People in the Team</v>
      </c>
      <c r="Q75" s="1" t="s">
        <v>40</v>
      </c>
      <c r="R75" s="1"/>
    </row>
    <row r="76" spans="1:18" x14ac:dyDescent="0.25">
      <c r="A76" s="2">
        <f ca="1">IFERROR(__xludf.DUMMYFUNCTION("""COMPUTED_VALUE"""),44911.8078224074)</f>
        <v>44911.807822407398</v>
      </c>
      <c r="B76" s="1" t="str">
        <f ca="1">IFERROR(__xludf.DUMMYFUNCTION("""COMPUTED_VALUE"""),"India")</f>
        <v>India</v>
      </c>
      <c r="C76" s="1">
        <f ca="1">IFERROR(__xludf.DUMMYFUNCTION("""COMPUTED_VALUE"""),425001)</f>
        <v>425001</v>
      </c>
      <c r="D76" s="1" t="str">
        <f ca="1">IFERROR(__xludf.DUMMYFUNCTION("""COMPUTED_VALUE"""),"Female")</f>
        <v>Female</v>
      </c>
      <c r="E76" s="1" t="str">
        <f ca="1">IFERROR(__xludf.DUMMYFUNCTION("""COMPUTED_VALUE"""),"My Parents")</f>
        <v>My Parents</v>
      </c>
      <c r="F76" s="1" t="str">
        <f ca="1">IFERROR(__xludf.DUMMYFUNCTION("""COMPUTED_VALUE"""),"Yes, I will earn and do that")</f>
        <v>Yes, I will earn and do that</v>
      </c>
      <c r="G76" s="1" t="str">
        <f ca="1">IFERROR(__xludf.DUMMYFUNCTION("""COMPUTED_VALUE"""),"No way, 3 years with one employer is crazy")</f>
        <v>No way, 3 years with one employer is crazy</v>
      </c>
      <c r="H76" s="1" t="str">
        <f ca="1">IFERROR(__xludf.DUMMYFUNCTION("""COMPUTED_VALUE"""),"Yes")</f>
        <v>Yes</v>
      </c>
      <c r="I76" s="1" t="str">
        <f ca="1">IFERROR(__xludf.DUMMYFUNCTION("""COMPUTED_VALUE"""),"Will work for them")</f>
        <v>Will work for them</v>
      </c>
      <c r="J76" s="1">
        <f ca="1">IFERROR(__xludf.DUMMYFUNCTION("""COMPUTED_VALUE"""),1)</f>
        <v>1</v>
      </c>
      <c r="K76" s="1" t="str">
        <f ca="1">IFERROR(__xludf.DUMMYFUNCTION("""COMPUTED_VALUE"""),"Fully Remote with No option to visit offices")</f>
        <v>Fully Remote with No option to visit offices</v>
      </c>
      <c r="L76" s="1" t="str">
        <f ca="1">IFERROR(__xludf.DUMMYFUNCTION("""COMPUTED_VALUE"""),"Employers who appreciates learning but doesn't enables an learning environment")</f>
        <v>Employers who appreciates learning but doesn't enables an learning environment</v>
      </c>
      <c r="M76"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76" s="4" t="s">
        <v>48</v>
      </c>
      <c r="O76" s="1" t="str">
        <f ca="1">IFERROR(__xludf.DUMMYFUNCTION("""COMPUTED_VALUE"""),"Manager who clearly describes what she/he needs")</f>
        <v>Manager who clearly describes what she/he needs</v>
      </c>
      <c r="P76" s="1" t="str">
        <f ca="1">IFERROR(__xludf.DUMMYFUNCTION("""COMPUTED_VALUE"""),"Work alone")</f>
        <v>Work alone</v>
      </c>
      <c r="Q76" s="1" t="s">
        <v>41</v>
      </c>
      <c r="R76" s="1"/>
    </row>
    <row r="77" spans="1:18" x14ac:dyDescent="0.25">
      <c r="A77" s="2">
        <f ca="1">IFERROR(__xludf.DUMMYFUNCTION("""COMPUTED_VALUE"""),44911.8084942939)</f>
        <v>44911.808494293902</v>
      </c>
      <c r="B77" s="1" t="str">
        <f ca="1">IFERROR(__xludf.DUMMYFUNCTION("""COMPUTED_VALUE"""),"India")</f>
        <v>India</v>
      </c>
      <c r="C77" s="1">
        <f ca="1">IFERROR(__xludf.DUMMYFUNCTION("""COMPUTED_VALUE"""),851101)</f>
        <v>851101</v>
      </c>
      <c r="D77" s="1" t="str">
        <f ca="1">IFERROR(__xludf.DUMMYFUNCTION("""COMPUTED_VALUE"""),"Male")</f>
        <v>Male</v>
      </c>
      <c r="E77" s="1" t="str">
        <f ca="1">IFERROR(__xludf.DUMMYFUNCTION("""COMPUTED_VALUE"""),"People who have changed the world for better")</f>
        <v>People who have changed the world for better</v>
      </c>
      <c r="F77" s="1" t="str">
        <f ca="1">IFERROR(__xludf.DUMMYFUNCTION("""COMPUTED_VALUE"""),"No I would not be pursuing Higher Education outside of India")</f>
        <v>No I would not be pursuing Higher Education outside of India</v>
      </c>
      <c r="G77" s="1" t="str">
        <f ca="1">IFERROR(__xludf.DUMMYFUNCTION("""COMPUTED_VALUE"""),"This will be hard to do, but if it is the right company I would try")</f>
        <v>This will be hard to do, but if it is the right company I would try</v>
      </c>
      <c r="H77" s="1" t="str">
        <f ca="1">IFERROR(__xludf.DUMMYFUNCTION("""COMPUTED_VALUE"""),"No")</f>
        <v>No</v>
      </c>
      <c r="I77" s="1" t="str">
        <f ca="1">IFERROR(__xludf.DUMMYFUNCTION("""COMPUTED_VALUE"""),"Will NOT work for them")</f>
        <v>Will NOT work for them</v>
      </c>
      <c r="J77" s="1">
        <f ca="1">IFERROR(__xludf.DUMMYFUNCTION("""COMPUTED_VALUE"""),3)</f>
        <v>3</v>
      </c>
      <c r="K77" s="1" t="str">
        <f ca="1">IFERROR(__xludf.DUMMYFUNCTION("""COMPUTED_VALUE"""),"Fully Remote with Options to travel as and when needed")</f>
        <v>Fully Remote with Options to travel as and when needed</v>
      </c>
      <c r="L77" s="1" t="str">
        <f ca="1">IFERROR(__xludf.DUMMYFUNCTION("""COMPUTED_VALUE"""),"Employer who pushes your limits by enabling an learning environment, and rewards you at the end")</f>
        <v>Employer who pushes your limits by enabling an learning environment, and rewards you at the end</v>
      </c>
      <c r="M77"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77" s="4" t="s">
        <v>55</v>
      </c>
      <c r="O77" s="1" t="str">
        <f ca="1">IFERROR(__xludf.DUMMYFUNCTION("""COMPUTED_VALUE"""),"Manager who explains what is expected, sets a goal and helps achieve it")</f>
        <v>Manager who explains what is expected, sets a goal and helps achieve it</v>
      </c>
      <c r="P77" s="1" t="str">
        <f ca="1">IFERROR(__xludf.DUMMYFUNCTION("""COMPUTED_VALUE"""),"Work &lt;=6 People in the Team")</f>
        <v>Work &lt;=6 People in the Team</v>
      </c>
      <c r="Q77" s="1" t="s">
        <v>41</v>
      </c>
      <c r="R77" s="1"/>
    </row>
    <row r="78" spans="1:18" x14ac:dyDescent="0.25">
      <c r="A78" s="2">
        <f ca="1">IFERROR(__xludf.DUMMYFUNCTION("""COMPUTED_VALUE"""),44911.8144342591)</f>
        <v>44911.814434259097</v>
      </c>
      <c r="B78" s="1" t="str">
        <f ca="1">IFERROR(__xludf.DUMMYFUNCTION("""COMPUTED_VALUE"""),"India")</f>
        <v>India</v>
      </c>
      <c r="C78" s="1">
        <f ca="1">IFERROR(__xludf.DUMMYFUNCTION("""COMPUTED_VALUE"""),431009)</f>
        <v>431009</v>
      </c>
      <c r="D78" s="1" t="str">
        <f ca="1">IFERROR(__xludf.DUMMYFUNCTION("""COMPUTED_VALUE"""),"Female")</f>
        <v>Female</v>
      </c>
      <c r="E78" s="1" t="str">
        <f ca="1">IFERROR(__xludf.DUMMYFUNCTION("""COMPUTED_VALUE"""),"Social Media like LinkedIn")</f>
        <v>Social Media like LinkedIn</v>
      </c>
      <c r="F78" s="1" t="str">
        <f ca="1">IFERROR(__xludf.DUMMYFUNCTION("""COMPUTED_VALUE"""),"No I would not be pursuing Higher Education outside of India")</f>
        <v>No I would not be pursuing Higher Education outside of India</v>
      </c>
      <c r="G78" s="1" t="str">
        <f ca="1">IFERROR(__xludf.DUMMYFUNCTION("""COMPUTED_VALUE"""),"Will work for 3 years or more")</f>
        <v>Will work for 3 years or more</v>
      </c>
      <c r="H78" s="1" t="str">
        <f ca="1">IFERROR(__xludf.DUMMYFUNCTION("""COMPUTED_VALUE"""),"No")</f>
        <v>No</v>
      </c>
      <c r="I78" s="1" t="str">
        <f ca="1">IFERROR(__xludf.DUMMYFUNCTION("""COMPUTED_VALUE"""),"Will NOT work for them")</f>
        <v>Will NOT work for them</v>
      </c>
      <c r="J78" s="1">
        <f ca="1">IFERROR(__xludf.DUMMYFUNCTION("""COMPUTED_VALUE"""),6)</f>
        <v>6</v>
      </c>
      <c r="K78" s="1" t="str">
        <f ca="1">IFERROR(__xludf.DUMMYFUNCTION("""COMPUTED_VALUE"""),"Hybrid Working Environment with less than 3 days a month at office")</f>
        <v>Hybrid Working Environment with less than 3 days a month at office</v>
      </c>
      <c r="L78" s="1" t="str">
        <f ca="1">IFERROR(__xludf.DUMMYFUNCTION("""COMPUTED_VALUE"""),"Employer who appreciates learning and enables that environment")</f>
        <v>Employer who appreciates learning and enables that environment</v>
      </c>
      <c r="M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78" s="4" t="s">
        <v>48</v>
      </c>
      <c r="O78" s="1" t="str">
        <f ca="1">IFERROR(__xludf.DUMMYFUNCTION("""COMPUTED_VALUE"""),"Manager who explains what is expected, sets a goal and helps achieve it")</f>
        <v>Manager who explains what is expected, sets a goal and helps achieve it</v>
      </c>
      <c r="P78" s="1" t="str">
        <f ca="1">IFERROR(__xludf.DUMMYFUNCTION("""COMPUTED_VALUE"""),"Work &lt;=6 People in the Team")</f>
        <v>Work &lt;=6 People in the Team</v>
      </c>
      <c r="Q78" s="1" t="s">
        <v>42</v>
      </c>
      <c r="R78" s="1"/>
    </row>
    <row r="79" spans="1:18" x14ac:dyDescent="0.25">
      <c r="A79" s="2">
        <f ca="1">IFERROR(__xludf.DUMMYFUNCTION("""COMPUTED_VALUE"""),44911.8151597569)</f>
        <v>44911.815159756901</v>
      </c>
      <c r="B79" s="1" t="str">
        <f ca="1">IFERROR(__xludf.DUMMYFUNCTION("""COMPUTED_VALUE"""),"India")</f>
        <v>India</v>
      </c>
      <c r="C79" s="1">
        <f ca="1">IFERROR(__xludf.DUMMYFUNCTION("""COMPUTED_VALUE"""),400022)</f>
        <v>400022</v>
      </c>
      <c r="D79" s="1" t="str">
        <f ca="1">IFERROR(__xludf.DUMMYFUNCTION("""COMPUTED_VALUE"""),"Female")</f>
        <v>Female</v>
      </c>
      <c r="E79" s="1" t="str">
        <f ca="1">IFERROR(__xludf.DUMMYFUNCTION("""COMPUTED_VALUE"""),"People from my circle, but not family members")</f>
        <v>People from my circle, but not family members</v>
      </c>
      <c r="F79" s="1" t="str">
        <f ca="1">IFERROR(__xludf.DUMMYFUNCTION("""COMPUTED_VALUE"""),"Yes, I will earn and do that")</f>
        <v>Yes, I will earn and do that</v>
      </c>
      <c r="G79" s="1" t="str">
        <f ca="1">IFERROR(__xludf.DUMMYFUNCTION("""COMPUTED_VALUE"""),"This will be hard to do, but if it is the right company I would try")</f>
        <v>This will be hard to do, but if it is the right company I would try</v>
      </c>
      <c r="H79" s="1" t="str">
        <f ca="1">IFERROR(__xludf.DUMMYFUNCTION("""COMPUTED_VALUE"""),"No")</f>
        <v>No</v>
      </c>
      <c r="I79" s="1" t="str">
        <f ca="1">IFERROR(__xludf.DUMMYFUNCTION("""COMPUTED_VALUE"""),"Will NOT work for them")</f>
        <v>Will NOT work for them</v>
      </c>
      <c r="J79" s="1">
        <f ca="1">IFERROR(__xludf.DUMMYFUNCTION("""COMPUTED_VALUE"""),7)</f>
        <v>7</v>
      </c>
      <c r="K79" s="1" t="str">
        <f ca="1">IFERROR(__xludf.DUMMYFUNCTION("""COMPUTED_VALUE"""),"Hybrid Working Environment with less than 15 days a month at office")</f>
        <v>Hybrid Working Environment with less than 15 days a month at office</v>
      </c>
      <c r="L79" s="1" t="str">
        <f ca="1">IFERROR(__xludf.DUMMYFUNCTION("""COMPUTED_VALUE"""),"Employer who pushes your limits by enabling an learning environment, and rewards you at the end")</f>
        <v>Employer who pushes your limits by enabling an learning environment, and rewards you at the end</v>
      </c>
      <c r="M79"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N79" s="4" t="s">
        <v>50</v>
      </c>
      <c r="O79" s="1" t="str">
        <f ca="1">IFERROR(__xludf.DUMMYFUNCTION("""COMPUTED_VALUE"""),"Manager who explains what is expected, sets a goal and helps achieve it")</f>
        <v>Manager who explains what is expected, sets a goal and helps achieve it</v>
      </c>
      <c r="P79" s="1" t="str">
        <f ca="1">IFERROR(__xludf.DUMMYFUNCTION("""COMPUTED_VALUE"""),"Work &lt;=6 People in the Team")</f>
        <v>Work &lt;=6 People in the Team</v>
      </c>
      <c r="Q79" s="1" t="s">
        <v>40</v>
      </c>
      <c r="R79" s="1"/>
    </row>
    <row r="80" spans="1:18" x14ac:dyDescent="0.25">
      <c r="A80" s="2">
        <f ca="1">IFERROR(__xludf.DUMMYFUNCTION("""COMPUTED_VALUE"""),44911.815883206)</f>
        <v>44911.815883206</v>
      </c>
      <c r="B80" s="1" t="str">
        <f ca="1">IFERROR(__xludf.DUMMYFUNCTION("""COMPUTED_VALUE"""),"India")</f>
        <v>India</v>
      </c>
      <c r="C80" s="1">
        <f ca="1">IFERROR(__xludf.DUMMYFUNCTION("""COMPUTED_VALUE"""),828109)</f>
        <v>828109</v>
      </c>
      <c r="D80" s="1" t="str">
        <f ca="1">IFERROR(__xludf.DUMMYFUNCTION("""COMPUTED_VALUE"""),"Male")</f>
        <v>Male</v>
      </c>
      <c r="E80" s="1" t="str">
        <f ca="1">IFERROR(__xludf.DUMMYFUNCTION("""COMPUTED_VALUE"""),"My Parents")</f>
        <v>My Parents</v>
      </c>
      <c r="F80" s="1" t="str">
        <f ca="1">IFERROR(__xludf.DUMMYFUNCTION("""COMPUTED_VALUE"""),"Yes, I will earn and do that")</f>
        <v>Yes, I will earn and do that</v>
      </c>
      <c r="G80" s="1" t="str">
        <f ca="1">IFERROR(__xludf.DUMMYFUNCTION("""COMPUTED_VALUE"""),"Will work for 3 years or more")</f>
        <v>Will work for 3 years or more</v>
      </c>
      <c r="H80" s="1" t="str">
        <f ca="1">IFERROR(__xludf.DUMMYFUNCTION("""COMPUTED_VALUE"""),"Yes")</f>
        <v>Yes</v>
      </c>
      <c r="I80" s="1" t="str">
        <f ca="1">IFERROR(__xludf.DUMMYFUNCTION("""COMPUTED_VALUE"""),"Will work for them")</f>
        <v>Will work for them</v>
      </c>
      <c r="J80" s="1">
        <f ca="1">IFERROR(__xludf.DUMMYFUNCTION("""COMPUTED_VALUE"""),2)</f>
        <v>2</v>
      </c>
      <c r="K80" s="1" t="str">
        <f ca="1">IFERROR(__xludf.DUMMYFUNCTION("""COMPUTED_VALUE"""),"Every Day Office Environment")</f>
        <v>Every Day Office Environment</v>
      </c>
      <c r="L80" s="1" t="str">
        <f ca="1">IFERROR(__xludf.DUMMYFUNCTION("""COMPUTED_VALUE"""),"Employer who appreciates learning and enables that environment")</f>
        <v>Employer who appreciates learning and enables that environment</v>
      </c>
      <c r="M80"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N80" s="4" t="s">
        <v>48</v>
      </c>
      <c r="O80" s="1" t="str">
        <f ca="1">IFERROR(__xludf.DUMMYFUNCTION("""COMPUTED_VALUE"""),"Manager who sets targets and expects me to achieve it")</f>
        <v>Manager who sets targets and expects me to achieve it</v>
      </c>
      <c r="P80" s="1" t="str">
        <f ca="1">IFERROR(__xludf.DUMMYFUNCTION("""COMPUTED_VALUE"""),"Work &gt;=7 People in the Team")</f>
        <v>Work &gt;=7 People in the Team</v>
      </c>
      <c r="Q80" s="1" t="s">
        <v>40</v>
      </c>
      <c r="R80" s="1"/>
    </row>
    <row r="81" spans="1:18" x14ac:dyDescent="0.25">
      <c r="A81" s="2">
        <f ca="1">IFERROR(__xludf.DUMMYFUNCTION("""COMPUTED_VALUE"""),44911.8193083564)</f>
        <v>44911.819308356397</v>
      </c>
      <c r="B81" s="1" t="str">
        <f ca="1">IFERROR(__xludf.DUMMYFUNCTION("""COMPUTED_VALUE"""),"India")</f>
        <v>India</v>
      </c>
      <c r="C81" s="1">
        <f ca="1">IFERROR(__xludf.DUMMYFUNCTION("""COMPUTED_VALUE"""),425001)</f>
        <v>425001</v>
      </c>
      <c r="D81" s="1" t="str">
        <f ca="1">IFERROR(__xludf.DUMMYFUNCTION("""COMPUTED_VALUE"""),"Male")</f>
        <v>Male</v>
      </c>
      <c r="E81" s="1" t="str">
        <f ca="1">IFERROR(__xludf.DUMMYFUNCTION("""COMPUTED_VALUE"""),"People from my circle, but not family members")</f>
        <v>People from my circle, but not family members</v>
      </c>
      <c r="F81" s="1" t="str">
        <f ca="1">IFERROR(__xludf.DUMMYFUNCTION("""COMPUTED_VALUE"""),"Yes, I will earn and do that")</f>
        <v>Yes, I will earn and do that</v>
      </c>
      <c r="G81" s="1" t="str">
        <f ca="1">IFERROR(__xludf.DUMMYFUNCTION("""COMPUTED_VALUE"""),"Will work for 3 years or more")</f>
        <v>Will work for 3 years or more</v>
      </c>
      <c r="H81" s="1" t="str">
        <f ca="1">IFERROR(__xludf.DUMMYFUNCTION("""COMPUTED_VALUE"""),"No")</f>
        <v>No</v>
      </c>
      <c r="I81" s="1" t="str">
        <f ca="1">IFERROR(__xludf.DUMMYFUNCTION("""COMPUTED_VALUE"""),"Will work for them")</f>
        <v>Will work for them</v>
      </c>
      <c r="J81" s="1">
        <f ca="1">IFERROR(__xludf.DUMMYFUNCTION("""COMPUTED_VALUE"""),8)</f>
        <v>8</v>
      </c>
      <c r="K81" s="1" t="str">
        <f ca="1">IFERROR(__xludf.DUMMYFUNCTION("""COMPUTED_VALUE"""),"Hybrid Working Environment with less than 10 days a month at office")</f>
        <v>Hybrid Working Environment with less than 10 days a month at office</v>
      </c>
      <c r="L81" s="1" t="str">
        <f ca="1">IFERROR(__xludf.DUMMYFUNCTION("""COMPUTED_VALUE"""),"Employer who appreciates learning and enables that environment")</f>
        <v>Employer who appreciates learning and enables that environment</v>
      </c>
      <c r="M81" s="1" t="str">
        <f ca="1">IFERROR(__xludf.DUMMYFUNCTION("""COMPUTED_VALUE"""),"Design and Creative strategy in any company, Manage and drive End-to-End Projects or Products, Become a content Creator in some platform")</f>
        <v>Design and Creative strategy in any company, Manage and drive End-to-End Projects or Products, Become a content Creator in some platform</v>
      </c>
      <c r="N81" s="4" t="s">
        <v>48</v>
      </c>
      <c r="O81" s="1" t="str">
        <f ca="1">IFERROR(__xludf.DUMMYFUNCTION("""COMPUTED_VALUE"""),"Manager who sets goal and helps me achieve it")</f>
        <v>Manager who sets goal and helps me achieve it</v>
      </c>
      <c r="P81" s="1" t="str">
        <f ca="1">IFERROR(__xludf.DUMMYFUNCTION("""COMPUTED_VALUE"""),"Work &lt;=6 People in the Team")</f>
        <v>Work &lt;=6 People in the Team</v>
      </c>
      <c r="Q81" s="1" t="s">
        <v>41</v>
      </c>
      <c r="R81" s="1"/>
    </row>
    <row r="82" spans="1:18" x14ac:dyDescent="0.25">
      <c r="A82" s="2">
        <f ca="1">IFERROR(__xludf.DUMMYFUNCTION("""COMPUTED_VALUE"""),44911.8198259721)</f>
        <v>44911.819825972103</v>
      </c>
      <c r="B82" s="1" t="str">
        <f ca="1">IFERROR(__xludf.DUMMYFUNCTION("""COMPUTED_VALUE"""),"India")</f>
        <v>India</v>
      </c>
      <c r="C82" s="1">
        <f ca="1">IFERROR(__xludf.DUMMYFUNCTION("""COMPUTED_VALUE"""),224001)</f>
        <v>224001</v>
      </c>
      <c r="D82" s="1" t="str">
        <f ca="1">IFERROR(__xludf.DUMMYFUNCTION("""COMPUTED_VALUE"""),"Male")</f>
        <v>Male</v>
      </c>
      <c r="E82" s="1" t="str">
        <f ca="1">IFERROR(__xludf.DUMMYFUNCTION("""COMPUTED_VALUE"""),"My Parents")</f>
        <v>My Parents</v>
      </c>
      <c r="F82" s="1" t="str">
        <f ca="1">IFERROR(__xludf.DUMMYFUNCTION("""COMPUTED_VALUE"""),"No, But if someone could bare the cost I will")</f>
        <v>No, But if someone could bare the cost I will</v>
      </c>
      <c r="G82" s="1" t="str">
        <f ca="1">IFERROR(__xludf.DUMMYFUNCTION("""COMPUTED_VALUE"""),"This will be hard to do, but if it is the right company I would try")</f>
        <v>This will be hard to do, but if it is the right company I would try</v>
      </c>
      <c r="H82" s="1" t="str">
        <f ca="1">IFERROR(__xludf.DUMMYFUNCTION("""COMPUTED_VALUE"""),"Yes")</f>
        <v>Yes</v>
      </c>
      <c r="I82" s="1" t="str">
        <f ca="1">IFERROR(__xludf.DUMMYFUNCTION("""COMPUTED_VALUE"""),"Will work for them")</f>
        <v>Will work for them</v>
      </c>
      <c r="J82" s="1">
        <f ca="1">IFERROR(__xludf.DUMMYFUNCTION("""COMPUTED_VALUE"""),5)</f>
        <v>5</v>
      </c>
      <c r="K82" s="1" t="str">
        <f ca="1">IFERROR(__xludf.DUMMYFUNCTION("""COMPUTED_VALUE"""),"Fully Remote with No option to visit offices")</f>
        <v>Fully Remote with No option to visit offices</v>
      </c>
      <c r="L82" s="1" t="str">
        <f ca="1">IFERROR(__xludf.DUMMYFUNCTION("""COMPUTED_VALUE"""),"Employer who pushes your limits by enabling an learning environment, and rewards you at the end")</f>
        <v>Employer who pushes your limits by enabling an learning environment, and rewards you at the end</v>
      </c>
      <c r="M82"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N82" s="4" t="s">
        <v>48</v>
      </c>
      <c r="O82" s="1" t="str">
        <f ca="1">IFERROR(__xludf.DUMMYFUNCTION("""COMPUTED_VALUE"""),"Manager who explains what is expected, sets a goal and helps achieve it")</f>
        <v>Manager who explains what is expected, sets a goal and helps achieve it</v>
      </c>
      <c r="P82" s="1" t="str">
        <f ca="1">IFERROR(__xludf.DUMMYFUNCTION("""COMPUTED_VALUE"""),"Work &lt;=6 People in the Team")</f>
        <v>Work &lt;=6 People in the Team</v>
      </c>
      <c r="Q82" s="1" t="s">
        <v>40</v>
      </c>
      <c r="R82" s="1"/>
    </row>
    <row r="83" spans="1:18" x14ac:dyDescent="0.25">
      <c r="A83" s="2">
        <f ca="1">IFERROR(__xludf.DUMMYFUNCTION("""COMPUTED_VALUE"""),44911.8199102893)</f>
        <v>44911.819910289298</v>
      </c>
      <c r="B83" s="1" t="str">
        <f ca="1">IFERROR(__xludf.DUMMYFUNCTION("""COMPUTED_VALUE"""),"India")</f>
        <v>India</v>
      </c>
      <c r="C83" s="1">
        <f ca="1">IFERROR(__xludf.DUMMYFUNCTION("""COMPUTED_VALUE"""),110092)</f>
        <v>110092</v>
      </c>
      <c r="D83" s="1" t="str">
        <f ca="1">IFERROR(__xludf.DUMMYFUNCTION("""COMPUTED_VALUE"""),"Female")</f>
        <v>Female</v>
      </c>
      <c r="E83" s="1" t="str">
        <f ca="1">IFERROR(__xludf.DUMMYFUNCTION("""COMPUTED_VALUE"""),"Influencers who had successful careers")</f>
        <v>Influencers who had successful careers</v>
      </c>
      <c r="F83" s="1" t="str">
        <f ca="1">IFERROR(__xludf.DUMMYFUNCTION("""COMPUTED_VALUE"""),"Yes, I will earn and do that")</f>
        <v>Yes, I will earn and do that</v>
      </c>
      <c r="G83" s="1" t="str">
        <f ca="1">IFERROR(__xludf.DUMMYFUNCTION("""COMPUTED_VALUE"""),"This will be hard to do, but if it is the right company I would try")</f>
        <v>This will be hard to do, but if it is the right company I would try</v>
      </c>
      <c r="H83" s="1" t="str">
        <f ca="1">IFERROR(__xludf.DUMMYFUNCTION("""COMPUTED_VALUE"""),"No")</f>
        <v>No</v>
      </c>
      <c r="I83" s="1" t="str">
        <f ca="1">IFERROR(__xludf.DUMMYFUNCTION("""COMPUTED_VALUE"""),"Will NOT work for them")</f>
        <v>Will NOT work for them</v>
      </c>
      <c r="J83" s="1">
        <f ca="1">IFERROR(__xludf.DUMMYFUNCTION("""COMPUTED_VALUE"""),6)</f>
        <v>6</v>
      </c>
      <c r="K83" s="1" t="str">
        <f ca="1">IFERROR(__xludf.DUMMYFUNCTION("""COMPUTED_VALUE"""),"Fully Remote with Options to travel as and when needed")</f>
        <v>Fully Remote with Options to travel as and when needed</v>
      </c>
      <c r="L83" s="1" t="str">
        <f ca="1">IFERROR(__xludf.DUMMYFUNCTION("""COMPUTED_VALUE"""),"Employer who pushes your limits by enabling an learning environment, and rewards you at the end")</f>
        <v>Employer who pushes your limits by enabling an learning environment, and rewards you at the end</v>
      </c>
      <c r="M8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83" s="4" t="s">
        <v>55</v>
      </c>
      <c r="O83" s="1" t="str">
        <f ca="1">IFERROR(__xludf.DUMMYFUNCTION("""COMPUTED_VALUE"""),"Manager who explains what is expected, sets a goal and helps achieve it")</f>
        <v>Manager who explains what is expected, sets a goal and helps achieve it</v>
      </c>
      <c r="P83" s="1" t="str">
        <f ca="1">IFERROR(__xludf.DUMMYFUNCTION("""COMPUTED_VALUE"""),"Work &lt;=6 People in the Team")</f>
        <v>Work &lt;=6 People in the Team</v>
      </c>
      <c r="Q83" s="1" t="s">
        <v>41</v>
      </c>
      <c r="R83" s="1"/>
    </row>
    <row r="84" spans="1:18" x14ac:dyDescent="0.25">
      <c r="A84" s="2">
        <f ca="1">IFERROR(__xludf.DUMMYFUNCTION("""COMPUTED_VALUE"""),44911.820092824)</f>
        <v>44911.820092823997</v>
      </c>
      <c r="B84" s="1" t="str">
        <f ca="1">IFERROR(__xludf.DUMMYFUNCTION("""COMPUTED_VALUE"""),"India")</f>
        <v>India</v>
      </c>
      <c r="C84" s="1">
        <f ca="1">IFERROR(__xludf.DUMMYFUNCTION("""COMPUTED_VALUE"""),500018)</f>
        <v>500018</v>
      </c>
      <c r="D84" s="1" t="str">
        <f ca="1">IFERROR(__xludf.DUMMYFUNCTION("""COMPUTED_VALUE"""),"Male")</f>
        <v>Male</v>
      </c>
      <c r="E84" s="1" t="str">
        <f ca="1">IFERROR(__xludf.DUMMYFUNCTION("""COMPUTED_VALUE"""),"My Parents")</f>
        <v>My Parents</v>
      </c>
      <c r="F84" s="1" t="str">
        <f ca="1">IFERROR(__xludf.DUMMYFUNCTION("""COMPUTED_VALUE"""),"Yes, I will earn and do that")</f>
        <v>Yes, I will earn and do that</v>
      </c>
      <c r="G84" s="1" t="str">
        <f ca="1">IFERROR(__xludf.DUMMYFUNCTION("""COMPUTED_VALUE"""),"Will work for 3 years or more")</f>
        <v>Will work for 3 years or more</v>
      </c>
      <c r="H84" s="1" t="str">
        <f ca="1">IFERROR(__xludf.DUMMYFUNCTION("""COMPUTED_VALUE"""),"No")</f>
        <v>No</v>
      </c>
      <c r="I84" s="1" t="str">
        <f ca="1">IFERROR(__xludf.DUMMYFUNCTION("""COMPUTED_VALUE"""),"Will NOT work for them")</f>
        <v>Will NOT work for them</v>
      </c>
      <c r="J84" s="1">
        <f ca="1">IFERROR(__xludf.DUMMYFUNCTION("""COMPUTED_VALUE"""),8)</f>
        <v>8</v>
      </c>
      <c r="K84" s="1" t="str">
        <f ca="1">IFERROR(__xludf.DUMMYFUNCTION("""COMPUTED_VALUE"""),"Hybrid Working Environment with less than 3 days a month at office")</f>
        <v>Hybrid Working Environment with less than 3 days a month at office</v>
      </c>
      <c r="L84" s="1" t="str">
        <f ca="1">IFERROR(__xludf.DUMMYFUNCTION("""COMPUTED_VALUE"""),"Employer who rewards learning and enables that environment")</f>
        <v>Employer who rewards learning and enables that environment</v>
      </c>
      <c r="M8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84" s="4" t="s">
        <v>48</v>
      </c>
      <c r="O84" s="1" t="str">
        <f ca="1">IFERROR(__xludf.DUMMYFUNCTION("""COMPUTED_VALUE"""),"Manager who sets targets and expects me to achieve it")</f>
        <v>Manager who sets targets and expects me to achieve it</v>
      </c>
      <c r="P84" s="1" t="str">
        <f ca="1">IFERROR(__xludf.DUMMYFUNCTION("""COMPUTED_VALUE"""),"Work &gt;10 people in Team")</f>
        <v>Work &gt;10 people in Team</v>
      </c>
      <c r="Q84" s="1" t="s">
        <v>41</v>
      </c>
      <c r="R84" s="1"/>
    </row>
    <row r="85" spans="1:18" x14ac:dyDescent="0.25">
      <c r="A85" s="2">
        <f ca="1">IFERROR(__xludf.DUMMYFUNCTION("""COMPUTED_VALUE"""),44911.8250180439)</f>
        <v>44911.825018043899</v>
      </c>
      <c r="B85" s="1" t="str">
        <f ca="1">IFERROR(__xludf.DUMMYFUNCTION("""COMPUTED_VALUE"""),"India")</f>
        <v>India</v>
      </c>
      <c r="C85" s="1">
        <f ca="1">IFERROR(__xludf.DUMMYFUNCTION("""COMPUTED_VALUE"""),533342)</f>
        <v>533342</v>
      </c>
      <c r="D85" s="1" t="str">
        <f ca="1">IFERROR(__xludf.DUMMYFUNCTION("""COMPUTED_VALUE"""),"Male")</f>
        <v>Male</v>
      </c>
      <c r="E85" s="1" t="str">
        <f ca="1">IFERROR(__xludf.DUMMYFUNCTION("""COMPUTED_VALUE"""),"Influencers who had successful careers")</f>
        <v>Influencers who had successful careers</v>
      </c>
      <c r="F85" s="1" t="str">
        <f ca="1">IFERROR(__xludf.DUMMYFUNCTION("""COMPUTED_VALUE"""),"No I would not be pursuing Higher Education outside of India")</f>
        <v>No I would not be pursuing Higher Education outside of India</v>
      </c>
      <c r="G85" s="1" t="str">
        <f ca="1">IFERROR(__xludf.DUMMYFUNCTION("""COMPUTED_VALUE"""),"Will work for 3 years or more")</f>
        <v>Will work for 3 years or more</v>
      </c>
      <c r="H85" s="1" t="str">
        <f ca="1">IFERROR(__xludf.DUMMYFUNCTION("""COMPUTED_VALUE"""),"No")</f>
        <v>No</v>
      </c>
      <c r="I85" s="1" t="str">
        <f ca="1">IFERROR(__xludf.DUMMYFUNCTION("""COMPUTED_VALUE"""),"Will NOT work for them")</f>
        <v>Will NOT work for them</v>
      </c>
      <c r="J85" s="1">
        <f ca="1">IFERROR(__xludf.DUMMYFUNCTION("""COMPUTED_VALUE"""),9)</f>
        <v>9</v>
      </c>
      <c r="K85" s="1" t="str">
        <f ca="1">IFERROR(__xludf.DUMMYFUNCTION("""COMPUTED_VALUE"""),"Every Day Office Environment")</f>
        <v>Every Day Office Environment</v>
      </c>
      <c r="L85" s="1" t="str">
        <f ca="1">IFERROR(__xludf.DUMMYFUNCTION("""COMPUTED_VALUE"""),"Employer who pushes your limits by enabling an learning environment, and rewards you at the end")</f>
        <v>Employer who pushes your limits by enabling an learning environment, and rewards you at the end</v>
      </c>
      <c r="M8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85" s="4" t="s">
        <v>50</v>
      </c>
      <c r="O85" s="1" t="str">
        <f ca="1">IFERROR(__xludf.DUMMYFUNCTION("""COMPUTED_VALUE"""),"Manager who clearly describes what she/he needs")</f>
        <v>Manager who clearly describes what she/he needs</v>
      </c>
      <c r="P85" s="1" t="str">
        <f ca="1">IFERROR(__xludf.DUMMYFUNCTION("""COMPUTED_VALUE"""),"Work &lt;=6 People in the Team")</f>
        <v>Work &lt;=6 People in the Team</v>
      </c>
      <c r="Q85" s="1" t="s">
        <v>41</v>
      </c>
      <c r="R85" s="1"/>
    </row>
    <row r="86" spans="1:18" x14ac:dyDescent="0.25">
      <c r="A86" s="2">
        <f ca="1">IFERROR(__xludf.DUMMYFUNCTION("""COMPUTED_VALUE"""),44911.8252508564)</f>
        <v>44911.825250856396</v>
      </c>
      <c r="B86" s="1" t="str">
        <f ca="1">IFERROR(__xludf.DUMMYFUNCTION("""COMPUTED_VALUE"""),"India")</f>
        <v>India</v>
      </c>
      <c r="C86" s="1">
        <f ca="1">IFERROR(__xludf.DUMMYFUNCTION("""COMPUTED_VALUE"""),600053)</f>
        <v>600053</v>
      </c>
      <c r="D86" s="1" t="str">
        <f ca="1">IFERROR(__xludf.DUMMYFUNCTION("""COMPUTED_VALUE"""),"Female")</f>
        <v>Female</v>
      </c>
      <c r="E86" s="1" t="str">
        <f ca="1">IFERROR(__xludf.DUMMYFUNCTION("""COMPUTED_VALUE"""),"Social Media like LinkedIn")</f>
        <v>Social Media like LinkedIn</v>
      </c>
      <c r="F86" s="1" t="str">
        <f ca="1">IFERROR(__xludf.DUMMYFUNCTION("""COMPUTED_VALUE"""),"Yes, I will earn and do that")</f>
        <v>Yes, I will earn and do that</v>
      </c>
      <c r="G86" s="1" t="str">
        <f ca="1">IFERROR(__xludf.DUMMYFUNCTION("""COMPUTED_VALUE"""),"Will work for 3 years or more")</f>
        <v>Will work for 3 years or more</v>
      </c>
      <c r="H86" s="1" t="str">
        <f ca="1">IFERROR(__xludf.DUMMYFUNCTION("""COMPUTED_VALUE"""),"No")</f>
        <v>No</v>
      </c>
      <c r="I86" s="1" t="str">
        <f ca="1">IFERROR(__xludf.DUMMYFUNCTION("""COMPUTED_VALUE"""),"Will NOT work for them")</f>
        <v>Will NOT work for them</v>
      </c>
      <c r="J86" s="1">
        <f ca="1">IFERROR(__xludf.DUMMYFUNCTION("""COMPUTED_VALUE"""),4)</f>
        <v>4</v>
      </c>
      <c r="K86" s="1" t="str">
        <f ca="1">IFERROR(__xludf.DUMMYFUNCTION("""COMPUTED_VALUE"""),"Hybrid Working Environment with less than 10 days a month at office")</f>
        <v>Hybrid Working Environment with less than 10 days a month at office</v>
      </c>
      <c r="L86" s="1" t="str">
        <f ca="1">IFERROR(__xludf.DUMMYFUNCTION("""COMPUTED_VALUE"""),"Employer who appreciates learning and enables that environment")</f>
        <v>Employer who appreciates learning and enables that environment</v>
      </c>
      <c r="M8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86" s="4" t="s">
        <v>56</v>
      </c>
      <c r="O86" s="1" t="str">
        <f ca="1">IFERROR(__xludf.DUMMYFUNCTION("""COMPUTED_VALUE"""),"Manager who explains what is expected, sets a goal and helps achieve it")</f>
        <v>Manager who explains what is expected, sets a goal and helps achieve it</v>
      </c>
      <c r="P86" s="1" t="str">
        <f ca="1">IFERROR(__xludf.DUMMYFUNCTION("""COMPUTED_VALUE"""),"Work &gt;=7 People in the Team")</f>
        <v>Work &gt;=7 People in the Team</v>
      </c>
      <c r="Q86" s="1" t="s">
        <v>41</v>
      </c>
      <c r="R86" s="1"/>
    </row>
    <row r="87" spans="1:18" x14ac:dyDescent="0.25">
      <c r="A87" s="2">
        <f ca="1">IFERROR(__xludf.DUMMYFUNCTION("""COMPUTED_VALUE"""),44911.8294038888)</f>
        <v>44911.829403888798</v>
      </c>
      <c r="B87" s="1" t="str">
        <f ca="1">IFERROR(__xludf.DUMMYFUNCTION("""COMPUTED_VALUE"""),"India")</f>
        <v>India</v>
      </c>
      <c r="C87" s="1">
        <f ca="1">IFERROR(__xludf.DUMMYFUNCTION("""COMPUTED_VALUE"""),425001)</f>
        <v>425001</v>
      </c>
      <c r="D87" s="1" t="str">
        <f ca="1">IFERROR(__xludf.DUMMYFUNCTION("""COMPUTED_VALUE"""),"Female")</f>
        <v>Female</v>
      </c>
      <c r="E87" s="1" t="str">
        <f ca="1">IFERROR(__xludf.DUMMYFUNCTION("""COMPUTED_VALUE"""),"Influencers who had successful careers")</f>
        <v>Influencers who had successful careers</v>
      </c>
      <c r="F87" s="1" t="str">
        <f ca="1">IFERROR(__xludf.DUMMYFUNCTION("""COMPUTED_VALUE"""),"No I would not be pursuing Higher Education outside of India")</f>
        <v>No I would not be pursuing Higher Education outside of India</v>
      </c>
      <c r="G87" s="1" t="str">
        <f ca="1">IFERROR(__xludf.DUMMYFUNCTION("""COMPUTED_VALUE"""),"This will be hard to do, but if it is the right company I would try")</f>
        <v>This will be hard to do, but if it is the right company I would try</v>
      </c>
      <c r="H87" s="1" t="str">
        <f ca="1">IFERROR(__xludf.DUMMYFUNCTION("""COMPUTED_VALUE"""),"No")</f>
        <v>No</v>
      </c>
      <c r="I87" s="1" t="str">
        <f ca="1">IFERROR(__xludf.DUMMYFUNCTION("""COMPUTED_VALUE"""),"Will NOT work for them")</f>
        <v>Will NOT work for them</v>
      </c>
      <c r="J87" s="1">
        <f ca="1">IFERROR(__xludf.DUMMYFUNCTION("""COMPUTED_VALUE"""),5)</f>
        <v>5</v>
      </c>
      <c r="K87" s="1" t="str">
        <f ca="1">IFERROR(__xludf.DUMMYFUNCTION("""COMPUTED_VALUE"""),"Every Day Office Environment")</f>
        <v>Every Day Office Environment</v>
      </c>
      <c r="L87" s="1" t="str">
        <f ca="1">IFERROR(__xludf.DUMMYFUNCTION("""COMPUTED_VALUE"""),"Employer who pushes your limits by enabling an learning environment, and rewards you at the end")</f>
        <v>Employer who pushes your limits by enabling an learning environment, and rewards you at the end</v>
      </c>
      <c r="M87"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N87" s="4" t="s">
        <v>48</v>
      </c>
      <c r="O87" s="1" t="str">
        <f ca="1">IFERROR(__xludf.DUMMYFUNCTION("""COMPUTED_VALUE"""),"Manager who explains what is expected, sets a goal and helps achieve it")</f>
        <v>Manager who explains what is expected, sets a goal and helps achieve it</v>
      </c>
      <c r="P87" s="1" t="str">
        <f ca="1">IFERROR(__xludf.DUMMYFUNCTION("""COMPUTED_VALUE"""),"Work &gt;10 people in Team")</f>
        <v>Work &gt;10 people in Team</v>
      </c>
      <c r="Q87" s="1" t="s">
        <v>40</v>
      </c>
      <c r="R87" s="1"/>
    </row>
    <row r="88" spans="1:18" x14ac:dyDescent="0.25">
      <c r="A88" s="2">
        <f ca="1">IFERROR(__xludf.DUMMYFUNCTION("""COMPUTED_VALUE"""),44911.836129537)</f>
        <v>44911.836129536998</v>
      </c>
      <c r="B88" s="1" t="str">
        <f ca="1">IFERROR(__xludf.DUMMYFUNCTION("""COMPUTED_VALUE"""),"India")</f>
        <v>India</v>
      </c>
      <c r="C88" s="1">
        <f ca="1">IFERROR(__xludf.DUMMYFUNCTION("""COMPUTED_VALUE"""),370110)</f>
        <v>370110</v>
      </c>
      <c r="D88" s="1" t="str">
        <f ca="1">IFERROR(__xludf.DUMMYFUNCTION("""COMPUTED_VALUE"""),"Male")</f>
        <v>Male</v>
      </c>
      <c r="E88" s="1" t="str">
        <f ca="1">IFERROR(__xludf.DUMMYFUNCTION("""COMPUTED_VALUE"""),"Social Media like LinkedIn")</f>
        <v>Social Media like LinkedIn</v>
      </c>
      <c r="F88" s="1" t="str">
        <f ca="1">IFERROR(__xludf.DUMMYFUNCTION("""COMPUTED_VALUE"""),"No I would not be pursuing Higher Education outside of India")</f>
        <v>No I would not be pursuing Higher Education outside of India</v>
      </c>
      <c r="G88" s="1" t="str">
        <f ca="1">IFERROR(__xludf.DUMMYFUNCTION("""COMPUTED_VALUE"""),"This will be hard to do, but if it is the right company I would try")</f>
        <v>This will be hard to do, but if it is the right company I would try</v>
      </c>
      <c r="H88" s="1" t="str">
        <f ca="1">IFERROR(__xludf.DUMMYFUNCTION("""COMPUTED_VALUE"""),"Yes")</f>
        <v>Yes</v>
      </c>
      <c r="I88" s="1" t="str">
        <f ca="1">IFERROR(__xludf.DUMMYFUNCTION("""COMPUTED_VALUE"""),"Will NOT work for them")</f>
        <v>Will NOT work for them</v>
      </c>
      <c r="J88" s="1">
        <f ca="1">IFERROR(__xludf.DUMMYFUNCTION("""COMPUTED_VALUE"""),5)</f>
        <v>5</v>
      </c>
      <c r="K88" s="1" t="str">
        <f ca="1">IFERROR(__xludf.DUMMYFUNCTION("""COMPUTED_VALUE"""),"Hybrid Working Environment with less than 15 days a month at office")</f>
        <v>Hybrid Working Environment with less than 15 days a month at office</v>
      </c>
      <c r="L88" s="1" t="str">
        <f ca="1">IFERROR(__xludf.DUMMYFUNCTION("""COMPUTED_VALUE"""),"Employer who pushes your limits by enabling an learning environment, and rewards you at the end")</f>
        <v>Employer who pushes your limits by enabling an learning environment, and rewards you at the end</v>
      </c>
      <c r="M8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88" s="4" t="s">
        <v>55</v>
      </c>
      <c r="O88" s="1" t="str">
        <f ca="1">IFERROR(__xludf.DUMMYFUNCTION("""COMPUTED_VALUE"""),"Manager who sets goal and helps me achieve it")</f>
        <v>Manager who sets goal and helps me achieve it</v>
      </c>
      <c r="P88" s="1" t="str">
        <f ca="1">IFERROR(__xludf.DUMMYFUNCTION("""COMPUTED_VALUE"""),"Work Alone, &lt;67 people in team")</f>
        <v>Work Alone, &lt;67 people in team</v>
      </c>
      <c r="Q88" s="1" t="s">
        <v>41</v>
      </c>
      <c r="R88" s="1"/>
    </row>
    <row r="89" spans="1:18" x14ac:dyDescent="0.25">
      <c r="A89" s="2">
        <f ca="1">IFERROR(__xludf.DUMMYFUNCTION("""COMPUTED_VALUE"""),44911.8440283449)</f>
        <v>44911.844028344902</v>
      </c>
      <c r="B89" s="1" t="str">
        <f ca="1">IFERROR(__xludf.DUMMYFUNCTION("""COMPUTED_VALUE"""),"India")</f>
        <v>India</v>
      </c>
      <c r="C89" s="1">
        <f ca="1">IFERROR(__xludf.DUMMYFUNCTION("""COMPUTED_VALUE"""),110017)</f>
        <v>110017</v>
      </c>
      <c r="D89" s="1" t="str">
        <f ca="1">IFERROR(__xludf.DUMMYFUNCTION("""COMPUTED_VALUE"""),"Female")</f>
        <v>Female</v>
      </c>
      <c r="E89" s="1" t="str">
        <f ca="1">IFERROR(__xludf.DUMMYFUNCTION("""COMPUTED_VALUE"""),"People from my circle, but not family members")</f>
        <v>People from my circle, but not family members</v>
      </c>
      <c r="F89" s="1" t="str">
        <f ca="1">IFERROR(__xludf.DUMMYFUNCTION("""COMPUTED_VALUE"""),"Yes, I will earn and do that")</f>
        <v>Yes, I will earn and do that</v>
      </c>
      <c r="G89" s="1" t="str">
        <f ca="1">IFERROR(__xludf.DUMMYFUNCTION("""COMPUTED_VALUE"""),"This will be hard to do, but if it is the right company I would try")</f>
        <v>This will be hard to do, but if it is the right company I would try</v>
      </c>
      <c r="H89" s="1" t="str">
        <f ca="1">IFERROR(__xludf.DUMMYFUNCTION("""COMPUTED_VALUE"""),"No")</f>
        <v>No</v>
      </c>
      <c r="I89" s="1" t="str">
        <f ca="1">IFERROR(__xludf.DUMMYFUNCTION("""COMPUTED_VALUE"""),"Will NOT work for them")</f>
        <v>Will NOT work for them</v>
      </c>
      <c r="J89" s="1">
        <f ca="1">IFERROR(__xludf.DUMMYFUNCTION("""COMPUTED_VALUE"""),1)</f>
        <v>1</v>
      </c>
      <c r="K89" s="1" t="str">
        <f ca="1">IFERROR(__xludf.DUMMYFUNCTION("""COMPUTED_VALUE"""),"Every Day Office Environment")</f>
        <v>Every Day Office Environment</v>
      </c>
      <c r="L89" s="1" t="str">
        <f ca="1">IFERROR(__xludf.DUMMYFUNCTION("""COMPUTED_VALUE"""),"Employer who pushes your limits by enabling an learning environment, and rewards you at the end")</f>
        <v>Employer who pushes your limits by enabling an learning environment, and rewards you at the end</v>
      </c>
      <c r="M89"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N89" s="4" t="s">
        <v>50</v>
      </c>
      <c r="O89" s="1" t="str">
        <f ca="1">IFERROR(__xludf.DUMMYFUNCTION("""COMPUTED_VALUE"""),"Manager who explains what is expected, sets a goal and helps achieve it")</f>
        <v>Manager who explains what is expected, sets a goal and helps achieve it</v>
      </c>
      <c r="P89" s="1" t="str">
        <f ca="1">IFERROR(__xludf.DUMMYFUNCTION("""COMPUTED_VALUE"""),"Work Alone, &lt;=6 in team")</f>
        <v>Work Alone, &lt;=6 in team</v>
      </c>
      <c r="Q89" s="1" t="s">
        <v>42</v>
      </c>
      <c r="R89" s="1"/>
    </row>
    <row r="90" spans="1:18" x14ac:dyDescent="0.25">
      <c r="A90" s="2">
        <f ca="1">IFERROR(__xludf.DUMMYFUNCTION("""COMPUTED_VALUE"""),44911.8446268171)</f>
        <v>44911.844626817103</v>
      </c>
      <c r="B90" s="1" t="str">
        <f ca="1">IFERROR(__xludf.DUMMYFUNCTION("""COMPUTED_VALUE"""),"India")</f>
        <v>India</v>
      </c>
      <c r="C90" s="1">
        <f ca="1">IFERROR(__xludf.DUMMYFUNCTION("""COMPUTED_VALUE"""),574111)</f>
        <v>574111</v>
      </c>
      <c r="D90" s="1" t="str">
        <f ca="1">IFERROR(__xludf.DUMMYFUNCTION("""COMPUTED_VALUE"""),"Female")</f>
        <v>Female</v>
      </c>
      <c r="E90" s="1" t="str">
        <f ca="1">IFERROR(__xludf.DUMMYFUNCTION("""COMPUTED_VALUE"""),"People from my circle, but not family members")</f>
        <v>People from my circle, but not family members</v>
      </c>
      <c r="F90" s="1" t="str">
        <f ca="1">IFERROR(__xludf.DUMMYFUNCTION("""COMPUTED_VALUE"""),"No, But if someone could bare the cost I will")</f>
        <v>No, But if someone could bare the cost I will</v>
      </c>
      <c r="G90" s="1" t="str">
        <f ca="1">IFERROR(__xludf.DUMMYFUNCTION("""COMPUTED_VALUE"""),"Will work for 3 years or more")</f>
        <v>Will work for 3 years or more</v>
      </c>
      <c r="H90" s="1" t="str">
        <f ca="1">IFERROR(__xludf.DUMMYFUNCTION("""COMPUTED_VALUE"""),"No")</f>
        <v>No</v>
      </c>
      <c r="I90" s="1" t="str">
        <f ca="1">IFERROR(__xludf.DUMMYFUNCTION("""COMPUTED_VALUE"""),"Will NOT work for them")</f>
        <v>Will NOT work for them</v>
      </c>
      <c r="J90" s="1">
        <f ca="1">IFERROR(__xludf.DUMMYFUNCTION("""COMPUTED_VALUE"""),5)</f>
        <v>5</v>
      </c>
      <c r="K90" s="1" t="str">
        <f ca="1">IFERROR(__xludf.DUMMYFUNCTION("""COMPUTED_VALUE"""),"Hybrid Working Environment with less than 15 days a month at office")</f>
        <v>Hybrid Working Environment with less than 15 days a month at office</v>
      </c>
      <c r="L90" s="1" t="str">
        <f ca="1">IFERROR(__xludf.DUMMYFUNCTION("""COMPUTED_VALUE"""),"Employer who pushes your limits by enabling an learning environment, and rewards you at the end")</f>
        <v>Employer who pushes your limits by enabling an learning environment, and rewards you at the end</v>
      </c>
      <c r="M90" s="1" t="str">
        <f ca="1">IFERROR(__xludf.DUMMYFUNCTION("""COMPUTED_VALUE"""),"Design and Creative strategy in any company, Design and Develop amazing software, Work in a BPO setup for some well known client")</f>
        <v>Design and Creative strategy in any company, Design and Develop amazing software, Work in a BPO setup for some well known client</v>
      </c>
      <c r="N90" s="4" t="s">
        <v>48</v>
      </c>
      <c r="O90" s="1" t="str">
        <f ca="1">IFERROR(__xludf.DUMMYFUNCTION("""COMPUTED_VALUE"""),"Manager who explains what is expected, sets a goal and helps achieve it")</f>
        <v>Manager who explains what is expected, sets a goal and helps achieve it</v>
      </c>
      <c r="P90" s="1" t="str">
        <f ca="1">IFERROR(__xludf.DUMMYFUNCTION("""COMPUTED_VALUE"""),"Work Alone, &lt;=6 in team")</f>
        <v>Work Alone, &lt;=6 in team</v>
      </c>
      <c r="Q90" s="1" t="s">
        <v>42</v>
      </c>
      <c r="R90" s="1"/>
    </row>
    <row r="91" spans="1:18" x14ac:dyDescent="0.25">
      <c r="A91" s="2">
        <f ca="1">IFERROR(__xludf.DUMMYFUNCTION("""COMPUTED_VALUE"""),44911.851828993)</f>
        <v>44911.851828993</v>
      </c>
      <c r="B91" s="1" t="str">
        <f ca="1">IFERROR(__xludf.DUMMYFUNCTION("""COMPUTED_VALUE"""),"India")</f>
        <v>India</v>
      </c>
      <c r="C91" s="1">
        <f ca="1">IFERROR(__xludf.DUMMYFUNCTION("""COMPUTED_VALUE"""),576104)</f>
        <v>576104</v>
      </c>
      <c r="D91" s="1" t="str">
        <f ca="1">IFERROR(__xludf.DUMMYFUNCTION("""COMPUTED_VALUE"""),"Female")</f>
        <v>Female</v>
      </c>
      <c r="E91" s="1" t="str">
        <f ca="1">IFERROR(__xludf.DUMMYFUNCTION("""COMPUTED_VALUE"""),"People from my circle, but not family members")</f>
        <v>People from my circle, but not family members</v>
      </c>
      <c r="F91" s="1" t="str">
        <f ca="1">IFERROR(__xludf.DUMMYFUNCTION("""COMPUTED_VALUE"""),"No, But if someone could bare the cost I will")</f>
        <v>No, But if someone could bare the cost I will</v>
      </c>
      <c r="G91" s="1" t="str">
        <f ca="1">IFERROR(__xludf.DUMMYFUNCTION("""COMPUTED_VALUE"""),"This will be hard to do, but if it is the right company I would try")</f>
        <v>This will be hard to do, but if it is the right company I would try</v>
      </c>
      <c r="H91" s="1" t="str">
        <f ca="1">IFERROR(__xludf.DUMMYFUNCTION("""COMPUTED_VALUE"""),"No")</f>
        <v>No</v>
      </c>
      <c r="I91" s="1" t="str">
        <f ca="1">IFERROR(__xludf.DUMMYFUNCTION("""COMPUTED_VALUE"""),"Will NOT work for them")</f>
        <v>Will NOT work for them</v>
      </c>
      <c r="J91" s="1">
        <f ca="1">IFERROR(__xludf.DUMMYFUNCTION("""COMPUTED_VALUE"""),5)</f>
        <v>5</v>
      </c>
      <c r="K91" s="1" t="str">
        <f ca="1">IFERROR(__xludf.DUMMYFUNCTION("""COMPUTED_VALUE"""),"Fully Remote with Options to travel as and when needed")</f>
        <v>Fully Remote with Options to travel as and when needed</v>
      </c>
      <c r="L91" s="1" t="str">
        <f ca="1">IFERROR(__xludf.DUMMYFUNCTION("""COMPUTED_VALUE"""),"Employer who appreciates learning and enables that environment")</f>
        <v>Employer who appreciates learning and enables that environment</v>
      </c>
      <c r="M91" s="1" t="str">
        <f ca="1">IFERROR(__xludf.DUMMYFUNCTION("""COMPUTED_VALUE"""),"Look deeply into Data and generate insights, Work in a BPO setup for some well known client, Work as a freelancer and do my thing my way")</f>
        <v>Look deeply into Data and generate insights, Work in a BPO setup for some well known client, Work as a freelancer and do my thing my way</v>
      </c>
      <c r="N91" s="4" t="s">
        <v>48</v>
      </c>
      <c r="O91" s="1" t="str">
        <f ca="1">IFERROR(__xludf.DUMMYFUNCTION("""COMPUTED_VALUE"""),"Manager who explains what is expected, sets a goal and helps achieve it")</f>
        <v>Manager who explains what is expected, sets a goal and helps achieve it</v>
      </c>
      <c r="P91" s="1" t="str">
        <f ca="1">IFERROR(__xludf.DUMMYFUNCTION("""COMPUTED_VALUE"""),"Work &lt;=6 People in the Team")</f>
        <v>Work &lt;=6 People in the Team</v>
      </c>
      <c r="Q91" s="1" t="s">
        <v>41</v>
      </c>
      <c r="R91" s="1"/>
    </row>
    <row r="92" spans="1:18" x14ac:dyDescent="0.25">
      <c r="A92" s="2">
        <f ca="1">IFERROR(__xludf.DUMMYFUNCTION("""COMPUTED_VALUE"""),44911.8568034143)</f>
        <v>44911.856803414303</v>
      </c>
      <c r="B92" s="1" t="str">
        <f ca="1">IFERROR(__xludf.DUMMYFUNCTION("""COMPUTED_VALUE"""),"India")</f>
        <v>India</v>
      </c>
      <c r="C92" s="1">
        <f ca="1">IFERROR(__xludf.DUMMYFUNCTION("""COMPUTED_VALUE"""),246701)</f>
        <v>246701</v>
      </c>
      <c r="D92" s="1" t="str">
        <f ca="1">IFERROR(__xludf.DUMMYFUNCTION("""COMPUTED_VALUE"""),"Female")</f>
        <v>Female</v>
      </c>
      <c r="E92" s="1" t="str">
        <f ca="1">IFERROR(__xludf.DUMMYFUNCTION("""COMPUTED_VALUE"""),"Social Media like LinkedIn")</f>
        <v>Social Media like LinkedIn</v>
      </c>
      <c r="F92" s="1" t="str">
        <f ca="1">IFERROR(__xludf.DUMMYFUNCTION("""COMPUTED_VALUE"""),"Yes, I will earn and do that")</f>
        <v>Yes, I will earn and do that</v>
      </c>
      <c r="G92" s="1" t="str">
        <f ca="1">IFERROR(__xludf.DUMMYFUNCTION("""COMPUTED_VALUE"""),"This will be hard to do, but if it is the right company I would try")</f>
        <v>This will be hard to do, but if it is the right company I would try</v>
      </c>
      <c r="H92" s="1" t="str">
        <f ca="1">IFERROR(__xludf.DUMMYFUNCTION("""COMPUTED_VALUE"""),"No")</f>
        <v>No</v>
      </c>
      <c r="I92" s="1" t="str">
        <f ca="1">IFERROR(__xludf.DUMMYFUNCTION("""COMPUTED_VALUE"""),"Will NOT work for them")</f>
        <v>Will NOT work for them</v>
      </c>
      <c r="J92" s="1">
        <f ca="1">IFERROR(__xludf.DUMMYFUNCTION("""COMPUTED_VALUE"""),1)</f>
        <v>1</v>
      </c>
      <c r="K92" s="1" t="str">
        <f ca="1">IFERROR(__xludf.DUMMYFUNCTION("""COMPUTED_VALUE"""),"Hybrid Working Environment with less than 10 days a month at office")</f>
        <v>Hybrid Working Environment with less than 10 days a month at office</v>
      </c>
      <c r="L92" s="1" t="str">
        <f ca="1">IFERROR(__xludf.DUMMYFUNCTION("""COMPUTED_VALUE"""),"Employer who pushes your limits by enabling an learning environment, and rewards you at the end")</f>
        <v>Employer who pushes your limits by enabling an learning environment, and rewards you at the end</v>
      </c>
      <c r="M92"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N92" s="4" t="s">
        <v>48</v>
      </c>
      <c r="O92" s="1" t="str">
        <f ca="1">IFERROR(__xludf.DUMMYFUNCTION("""COMPUTED_VALUE"""),"Manager who explains what is expected, sets a goal and helps achieve it")</f>
        <v>Manager who explains what is expected, sets a goal and helps achieve it</v>
      </c>
      <c r="P92" s="1" t="str">
        <f ca="1">IFERROR(__xludf.DUMMYFUNCTION("""COMPUTED_VALUE"""),"Work &gt;=7 People in the Team")</f>
        <v>Work &gt;=7 People in the Team</v>
      </c>
      <c r="Q92" s="1" t="s">
        <v>41</v>
      </c>
      <c r="R92" s="1"/>
    </row>
    <row r="93" spans="1:18" x14ac:dyDescent="0.25">
      <c r="A93" s="2">
        <f ca="1">IFERROR(__xludf.DUMMYFUNCTION("""COMPUTED_VALUE"""),44911.8738833101)</f>
        <v>44911.873883310102</v>
      </c>
      <c r="B93" s="1" t="str">
        <f ca="1">IFERROR(__xludf.DUMMYFUNCTION("""COMPUTED_VALUE"""),"India")</f>
        <v>India</v>
      </c>
      <c r="C93" s="1">
        <f ca="1">IFERROR(__xludf.DUMMYFUNCTION("""COMPUTED_VALUE"""),560060)</f>
        <v>560060</v>
      </c>
      <c r="D93" s="1" t="str">
        <f ca="1">IFERROR(__xludf.DUMMYFUNCTION("""COMPUTED_VALUE"""),"Male")</f>
        <v>Male</v>
      </c>
      <c r="E93" s="1" t="str">
        <f ca="1">IFERROR(__xludf.DUMMYFUNCTION("""COMPUTED_VALUE"""),"My Parents")</f>
        <v>My Parents</v>
      </c>
      <c r="F93" s="1" t="str">
        <f ca="1">IFERROR(__xludf.DUMMYFUNCTION("""COMPUTED_VALUE"""),"Yes, I will earn and do that")</f>
        <v>Yes, I will earn and do that</v>
      </c>
      <c r="G93" s="1" t="str">
        <f ca="1">IFERROR(__xludf.DUMMYFUNCTION("""COMPUTED_VALUE"""),"Will work for 3 years or more")</f>
        <v>Will work for 3 years or more</v>
      </c>
      <c r="H93" s="1" t="str">
        <f ca="1">IFERROR(__xludf.DUMMYFUNCTION("""COMPUTED_VALUE"""),"Yes")</f>
        <v>Yes</v>
      </c>
      <c r="I93" s="1" t="str">
        <f ca="1">IFERROR(__xludf.DUMMYFUNCTION("""COMPUTED_VALUE"""),"Will work for them")</f>
        <v>Will work for them</v>
      </c>
      <c r="J93" s="1">
        <f ca="1">IFERROR(__xludf.DUMMYFUNCTION("""COMPUTED_VALUE"""),8)</f>
        <v>8</v>
      </c>
      <c r="K93" s="1" t="str">
        <f ca="1">IFERROR(__xludf.DUMMYFUNCTION("""COMPUTED_VALUE"""),"Every Day Office Environment")</f>
        <v>Every Day Office Environment</v>
      </c>
      <c r="L93" s="1" t="str">
        <f ca="1">IFERROR(__xludf.DUMMYFUNCTION("""COMPUTED_VALUE"""),"Employer who appreciates learning and enables that environment")</f>
        <v>Employer who appreciates learning and enables that environment</v>
      </c>
      <c r="M93" s="1" t="str">
        <f ca="1">IFERROR(__xludf.DUMMYFUNCTION("""COMPUTED_VALUE"""),"Business Operations in any organization, Manage and drive End-to-End Projects or Products, Design and Develop amazing software")</f>
        <v>Business Operations in any organization, Manage and drive End-to-End Projects or Products, Design and Develop amazing software</v>
      </c>
      <c r="N93" s="4" t="s">
        <v>48</v>
      </c>
      <c r="O93" s="1" t="str">
        <f ca="1">IFERROR(__xludf.DUMMYFUNCTION("""COMPUTED_VALUE"""),"Manager who sets goal and helps me achieve it")</f>
        <v>Manager who sets goal and helps me achieve it</v>
      </c>
      <c r="P93" s="1" t="str">
        <f ca="1">IFERROR(__xludf.DUMMYFUNCTION("""COMPUTED_VALUE"""),"Work &lt;=6 People in the Team")</f>
        <v>Work &lt;=6 People in the Team</v>
      </c>
      <c r="Q93" s="1" t="s">
        <v>41</v>
      </c>
      <c r="R93" s="1"/>
    </row>
    <row r="94" spans="1:18" x14ac:dyDescent="0.25">
      <c r="A94" s="2">
        <f ca="1">IFERROR(__xludf.DUMMYFUNCTION("""COMPUTED_VALUE"""),44911.8750993402)</f>
        <v>44911.875099340199</v>
      </c>
      <c r="B94" s="1" t="str">
        <f ca="1">IFERROR(__xludf.DUMMYFUNCTION("""COMPUTED_VALUE"""),"India")</f>
        <v>India</v>
      </c>
      <c r="C94" s="1">
        <f ca="1">IFERROR(__xludf.DUMMYFUNCTION("""COMPUTED_VALUE"""),520007)</f>
        <v>520007</v>
      </c>
      <c r="D94" s="1" t="str">
        <f ca="1">IFERROR(__xludf.DUMMYFUNCTION("""COMPUTED_VALUE"""),"Male")</f>
        <v>Male</v>
      </c>
      <c r="E94" s="1" t="str">
        <f ca="1">IFERROR(__xludf.DUMMYFUNCTION("""COMPUTED_VALUE"""),"People who have changed the world for better")</f>
        <v>People who have changed the world for better</v>
      </c>
      <c r="F94" s="1" t="str">
        <f ca="1">IFERROR(__xludf.DUMMYFUNCTION("""COMPUTED_VALUE"""),"No I would not be pursuing Higher Education outside of India")</f>
        <v>No I would not be pursuing Higher Education outside of India</v>
      </c>
      <c r="G94" s="1" t="str">
        <f ca="1">IFERROR(__xludf.DUMMYFUNCTION("""COMPUTED_VALUE"""),"Will work for 3 years or more")</f>
        <v>Will work for 3 years or more</v>
      </c>
      <c r="H94" s="1" t="str">
        <f ca="1">IFERROR(__xludf.DUMMYFUNCTION("""COMPUTED_VALUE"""),"No")</f>
        <v>No</v>
      </c>
      <c r="I94" s="1" t="str">
        <f ca="1">IFERROR(__xludf.DUMMYFUNCTION("""COMPUTED_VALUE"""),"Will work for them")</f>
        <v>Will work for them</v>
      </c>
      <c r="J94" s="1">
        <f ca="1">IFERROR(__xludf.DUMMYFUNCTION("""COMPUTED_VALUE"""),6)</f>
        <v>6</v>
      </c>
      <c r="K94" s="1" t="str">
        <f ca="1">IFERROR(__xludf.DUMMYFUNCTION("""COMPUTED_VALUE"""),"Hybrid Working Environment with less than 3 days a month at office")</f>
        <v>Hybrid Working Environment with less than 3 days a month at office</v>
      </c>
      <c r="L94" s="1" t="str">
        <f ca="1">IFERROR(__xludf.DUMMYFUNCTION("""COMPUTED_VALUE"""),"Employer who pushes your limits and doesn't enables learning environment and never rewards you")</f>
        <v>Employer who pushes your limits and doesn't enables learning environment and never rewards you</v>
      </c>
      <c r="M94" s="1" t="str">
        <f ca="1">IFERROR(__xludf.DUMMYFUNCTION("""COMPUTED_VALUE"""),"Build and develop a Team, Design and Develop amazing software, Look deeply into Data and generate insights")</f>
        <v>Build and develop a Team, Design and Develop amazing software, Look deeply into Data and generate insights</v>
      </c>
      <c r="N94" s="4" t="s">
        <v>53</v>
      </c>
      <c r="O94" s="1" t="str">
        <f ca="1">IFERROR(__xludf.DUMMYFUNCTION("""COMPUTED_VALUE"""),"Manager who explains what is expected, sets a goal and helps achieve it")</f>
        <v>Manager who explains what is expected, sets a goal and helps achieve it</v>
      </c>
      <c r="P94" s="1" t="str">
        <f ca="1">IFERROR(__xludf.DUMMYFUNCTION("""COMPUTED_VALUE"""),"Work &lt;=6 People in the Team")</f>
        <v>Work &lt;=6 People in the Team</v>
      </c>
      <c r="Q94" s="1" t="s">
        <v>41</v>
      </c>
      <c r="R94" s="1"/>
    </row>
    <row r="95" spans="1:18" x14ac:dyDescent="0.25">
      <c r="A95" s="2">
        <f ca="1">IFERROR(__xludf.DUMMYFUNCTION("""COMPUTED_VALUE"""),44911.887063368)</f>
        <v>44911.887063367998</v>
      </c>
      <c r="B95" s="1" t="str">
        <f ca="1">IFERROR(__xludf.DUMMYFUNCTION("""COMPUTED_VALUE"""),"India")</f>
        <v>India</v>
      </c>
      <c r="C95" s="1">
        <f ca="1">IFERROR(__xludf.DUMMYFUNCTION("""COMPUTED_VALUE"""),641663)</f>
        <v>641663</v>
      </c>
      <c r="D95" s="1" t="str">
        <f ca="1">IFERROR(__xludf.DUMMYFUNCTION("""COMPUTED_VALUE"""),"Male")</f>
        <v>Male</v>
      </c>
      <c r="E95" s="1" t="str">
        <f ca="1">IFERROR(__xludf.DUMMYFUNCTION("""COMPUTED_VALUE"""),"My Parents")</f>
        <v>My Parents</v>
      </c>
      <c r="F95" s="1" t="str">
        <f ca="1">IFERROR(__xludf.DUMMYFUNCTION("""COMPUTED_VALUE"""),"Yes, I will earn and do that")</f>
        <v>Yes, I will earn and do that</v>
      </c>
      <c r="G95" s="1" t="str">
        <f ca="1">IFERROR(__xludf.DUMMYFUNCTION("""COMPUTED_VALUE"""),"Will work for 3 years or more")</f>
        <v>Will work for 3 years or more</v>
      </c>
      <c r="H95" s="1" t="str">
        <f ca="1">IFERROR(__xludf.DUMMYFUNCTION("""COMPUTED_VALUE"""),"Yes")</f>
        <v>Yes</v>
      </c>
      <c r="I95" s="1" t="str">
        <f ca="1">IFERROR(__xludf.DUMMYFUNCTION("""COMPUTED_VALUE"""),"Will work for them")</f>
        <v>Will work for them</v>
      </c>
      <c r="J95" s="1">
        <f ca="1">IFERROR(__xludf.DUMMYFUNCTION("""COMPUTED_VALUE"""),9)</f>
        <v>9</v>
      </c>
      <c r="K95" s="1" t="str">
        <f ca="1">IFERROR(__xludf.DUMMYFUNCTION("""COMPUTED_VALUE"""),"Every Day Office Environment")</f>
        <v>Every Day Office Environment</v>
      </c>
      <c r="L95" s="1" t="str">
        <f ca="1">IFERROR(__xludf.DUMMYFUNCTION("""COMPUTED_VALUE"""),"Employer who appreciates learning and enables that environment")</f>
        <v>Employer who appreciates learning and enables that environment</v>
      </c>
      <c r="M95" s="1" t="str">
        <f ca="1">IFERROR(__xludf.DUMMYFUNCTION("""COMPUTED_VALUE"""),"Design and Creative strategy in any company, Build and develop a Team, Work as a freelancer and do my thing my way")</f>
        <v>Design and Creative strategy in any company, Build and develop a Team, Work as a freelancer and do my thing my way</v>
      </c>
      <c r="N95" s="4" t="s">
        <v>48</v>
      </c>
      <c r="O95" s="1" t="str">
        <f ca="1">IFERROR(__xludf.DUMMYFUNCTION("""COMPUTED_VALUE"""),"Manager who clearly describes what she/he needs")</f>
        <v>Manager who clearly describes what she/he needs</v>
      </c>
      <c r="P95" s="1" t="str">
        <f ca="1">IFERROR(__xludf.DUMMYFUNCTION("""COMPUTED_VALUE"""),"Work &gt;10 people in Team")</f>
        <v>Work &gt;10 people in Team</v>
      </c>
      <c r="Q95" s="1" t="s">
        <v>42</v>
      </c>
      <c r="R95" s="1"/>
    </row>
    <row r="96" spans="1:18" x14ac:dyDescent="0.25">
      <c r="A96" s="2">
        <f ca="1">IFERROR(__xludf.DUMMYFUNCTION("""COMPUTED_VALUE"""),44911.8935515625)</f>
        <v>44911.893551562498</v>
      </c>
      <c r="B96" s="1" t="str">
        <f ca="1">IFERROR(__xludf.DUMMYFUNCTION("""COMPUTED_VALUE"""),"United States of America")</f>
        <v>United States of America</v>
      </c>
      <c r="C96" s="1">
        <f ca="1">IFERROR(__xludf.DUMMYFUNCTION("""COMPUTED_VALUE"""),84321)</f>
        <v>84321</v>
      </c>
      <c r="D96" s="1" t="str">
        <f ca="1">IFERROR(__xludf.DUMMYFUNCTION("""COMPUTED_VALUE"""),"Male")</f>
        <v>Male</v>
      </c>
      <c r="E96" s="1" t="str">
        <f ca="1">IFERROR(__xludf.DUMMYFUNCTION("""COMPUTED_VALUE"""),"People from my circle, but not family members")</f>
        <v>People from my circle, but not family members</v>
      </c>
      <c r="F96" s="1" t="str">
        <f ca="1">IFERROR(__xludf.DUMMYFUNCTION("""COMPUTED_VALUE"""),"Yes, I will earn and do that")</f>
        <v>Yes, I will earn and do that</v>
      </c>
      <c r="G96" s="1" t="str">
        <f ca="1">IFERROR(__xludf.DUMMYFUNCTION("""COMPUTED_VALUE"""),"This will be hard to do, but if it is the right company I would try")</f>
        <v>This will be hard to do, but if it is the right company I would try</v>
      </c>
      <c r="H96" s="1" t="str">
        <f ca="1">IFERROR(__xludf.DUMMYFUNCTION("""COMPUTED_VALUE"""),"No")</f>
        <v>No</v>
      </c>
      <c r="I96" s="1" t="str">
        <f ca="1">IFERROR(__xludf.DUMMYFUNCTION("""COMPUTED_VALUE"""),"Will NOT work for them")</f>
        <v>Will NOT work for them</v>
      </c>
      <c r="J96" s="1">
        <f ca="1">IFERROR(__xludf.DUMMYFUNCTION("""COMPUTED_VALUE"""),5)</f>
        <v>5</v>
      </c>
      <c r="K96" s="1" t="str">
        <f ca="1">IFERROR(__xludf.DUMMYFUNCTION("""COMPUTED_VALUE"""),"Hybrid Working Environment with less than 15 days a month at office")</f>
        <v>Hybrid Working Environment with less than 15 days a month at office</v>
      </c>
      <c r="L96" s="1" t="str">
        <f ca="1">IFERROR(__xludf.DUMMYFUNCTION("""COMPUTED_VALUE"""),"Employer who appreciates learning and enables that environment")</f>
        <v>Employer who appreciates learning and enables that environment</v>
      </c>
      <c r="M96"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96" s="4" t="s">
        <v>48</v>
      </c>
      <c r="O96" s="1" t="str">
        <f ca="1">IFERROR(__xludf.DUMMYFUNCTION("""COMPUTED_VALUE"""),"Manager who explains what is expected, sets a goal and helps achieve it")</f>
        <v>Manager who explains what is expected, sets a goal and helps achieve it</v>
      </c>
      <c r="P96" s="1" t="str">
        <f ca="1">IFERROR(__xludf.DUMMYFUNCTION("""COMPUTED_VALUE"""),"Work Alone, &lt;=6 in team")</f>
        <v>Work Alone, &lt;=6 in team</v>
      </c>
      <c r="Q96" s="1" t="s">
        <v>41</v>
      </c>
      <c r="R96" s="1"/>
    </row>
    <row r="97" spans="1:18" x14ac:dyDescent="0.25">
      <c r="A97" s="2">
        <f ca="1">IFERROR(__xludf.DUMMYFUNCTION("""COMPUTED_VALUE"""),44911.9137505902)</f>
        <v>44911.913750590204</v>
      </c>
      <c r="B97" s="1" t="str">
        <f ca="1">IFERROR(__xludf.DUMMYFUNCTION("""COMPUTED_VALUE"""),"India")</f>
        <v>India</v>
      </c>
      <c r="C97" s="1">
        <f ca="1">IFERROR(__xludf.DUMMYFUNCTION("""COMPUTED_VALUE"""),607104)</f>
        <v>607104</v>
      </c>
      <c r="D97" s="1" t="str">
        <f ca="1">IFERROR(__xludf.DUMMYFUNCTION("""COMPUTED_VALUE"""),"Male")</f>
        <v>Male</v>
      </c>
      <c r="E97" s="1" t="str">
        <f ca="1">IFERROR(__xludf.DUMMYFUNCTION("""COMPUTED_VALUE"""),"People from my circle, but not family members")</f>
        <v>People from my circle, but not family members</v>
      </c>
      <c r="F97" s="1" t="str">
        <f ca="1">IFERROR(__xludf.DUMMYFUNCTION("""COMPUTED_VALUE"""),"No I would not be pursuing Higher Education outside of India")</f>
        <v>No I would not be pursuing Higher Education outside of India</v>
      </c>
      <c r="G97" s="1" t="str">
        <f ca="1">IFERROR(__xludf.DUMMYFUNCTION("""COMPUTED_VALUE"""),"This will be hard to do, but if it is the right company I would try")</f>
        <v>This will be hard to do, but if it is the right company I would try</v>
      </c>
      <c r="H97" s="1" t="str">
        <f ca="1">IFERROR(__xludf.DUMMYFUNCTION("""COMPUTED_VALUE"""),"No")</f>
        <v>No</v>
      </c>
      <c r="I97" s="1" t="str">
        <f ca="1">IFERROR(__xludf.DUMMYFUNCTION("""COMPUTED_VALUE"""),"Will work for them")</f>
        <v>Will work for them</v>
      </c>
      <c r="J97" s="1">
        <f ca="1">IFERROR(__xludf.DUMMYFUNCTION("""COMPUTED_VALUE"""),8)</f>
        <v>8</v>
      </c>
      <c r="K97" s="1" t="str">
        <f ca="1">IFERROR(__xludf.DUMMYFUNCTION("""COMPUTED_VALUE"""),"Hybrid Working Environment with less than 15 days a month at office")</f>
        <v>Hybrid Working Environment with less than 15 days a month at office</v>
      </c>
      <c r="L97" s="1" t="str">
        <f ca="1">IFERROR(__xludf.DUMMYFUNCTION("""COMPUTED_VALUE"""),"Employer who rewards learning and enables that environment")</f>
        <v>Employer who rewards learning and enables that environment</v>
      </c>
      <c r="M97"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N97" s="4" t="s">
        <v>49</v>
      </c>
      <c r="O97" s="1" t="str">
        <f ca="1">IFERROR(__xludf.DUMMYFUNCTION("""COMPUTED_VALUE"""),"Manager who explains what is expected, sets a goal and helps achieve it")</f>
        <v>Manager who explains what is expected, sets a goal and helps achieve it</v>
      </c>
      <c r="P97" s="1" t="str">
        <f ca="1">IFERROR(__xludf.DUMMYFUNCTION("""COMPUTED_VALUE"""),"Work &gt;10 people in Team")</f>
        <v>Work &gt;10 people in Team</v>
      </c>
      <c r="Q97" s="1" t="s">
        <v>42</v>
      </c>
      <c r="R97" s="1"/>
    </row>
    <row r="98" spans="1:18" x14ac:dyDescent="0.25">
      <c r="A98" s="2">
        <f ca="1">IFERROR(__xludf.DUMMYFUNCTION("""COMPUTED_VALUE"""),44911.9163591666)</f>
        <v>44911.9163591666</v>
      </c>
      <c r="B98" s="1" t="str">
        <f ca="1">IFERROR(__xludf.DUMMYFUNCTION("""COMPUTED_VALUE"""),"India")</f>
        <v>India</v>
      </c>
      <c r="C98" s="1">
        <f ca="1">IFERROR(__xludf.DUMMYFUNCTION("""COMPUTED_VALUE"""),609305)</f>
        <v>609305</v>
      </c>
      <c r="D98" s="1" t="str">
        <f ca="1">IFERROR(__xludf.DUMMYFUNCTION("""COMPUTED_VALUE"""),"Male")</f>
        <v>Male</v>
      </c>
      <c r="E98" s="1" t="str">
        <f ca="1">IFERROR(__xludf.DUMMYFUNCTION("""COMPUTED_VALUE"""),"People who have changed the world for better")</f>
        <v>People who have changed the world for better</v>
      </c>
      <c r="F98" s="1" t="str">
        <f ca="1">IFERROR(__xludf.DUMMYFUNCTION("""COMPUTED_VALUE"""),"No I would not be pursuing Higher Education outside of India")</f>
        <v>No I would not be pursuing Higher Education outside of India</v>
      </c>
      <c r="G98" s="1" t="str">
        <f ca="1">IFERROR(__xludf.DUMMYFUNCTION("""COMPUTED_VALUE"""),"No way, 3 years with one employer is crazy")</f>
        <v>No way, 3 years with one employer is crazy</v>
      </c>
      <c r="H98" s="1" t="str">
        <f ca="1">IFERROR(__xludf.DUMMYFUNCTION("""COMPUTED_VALUE"""),"No")</f>
        <v>No</v>
      </c>
      <c r="I98" s="1" t="str">
        <f ca="1">IFERROR(__xludf.DUMMYFUNCTION("""COMPUTED_VALUE"""),"Will NOT work for them")</f>
        <v>Will NOT work for them</v>
      </c>
      <c r="J98" s="1">
        <f ca="1">IFERROR(__xludf.DUMMYFUNCTION("""COMPUTED_VALUE"""),1)</f>
        <v>1</v>
      </c>
      <c r="K98" s="1" t="str">
        <f ca="1">IFERROR(__xludf.DUMMYFUNCTION("""COMPUTED_VALUE"""),"Every Day Office Environment")</f>
        <v>Every Day Office Environment</v>
      </c>
      <c r="L98" s="1" t="str">
        <f ca="1">IFERROR(__xludf.DUMMYFUNCTION("""COMPUTED_VALUE"""),"Employer who appreciates learning and enables that environment")</f>
        <v>Employer who appreciates learning and enables that environment</v>
      </c>
      <c r="M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98" s="4" t="s">
        <v>49</v>
      </c>
      <c r="O98" s="1" t="str">
        <f ca="1">IFERROR(__xludf.DUMMYFUNCTION("""COMPUTED_VALUE"""),"Manager who clearly describes what she/he needs")</f>
        <v>Manager who clearly describes what she/he needs</v>
      </c>
      <c r="P98" s="1" t="str">
        <f ca="1">IFERROR(__xludf.DUMMYFUNCTION("""COMPUTED_VALUE"""),"Work &lt;=6 People in the Team")</f>
        <v>Work &lt;=6 People in the Team</v>
      </c>
      <c r="Q98" s="1" t="s">
        <v>41</v>
      </c>
      <c r="R98" s="1"/>
    </row>
    <row r="99" spans="1:18" x14ac:dyDescent="0.25">
      <c r="A99" s="2">
        <f ca="1">IFERROR(__xludf.DUMMYFUNCTION("""COMPUTED_VALUE"""),44911.9184114236)</f>
        <v>44911.918411423598</v>
      </c>
      <c r="B99" s="1" t="str">
        <f ca="1">IFERROR(__xludf.DUMMYFUNCTION("""COMPUTED_VALUE"""),"India")</f>
        <v>India</v>
      </c>
      <c r="C99" s="1">
        <f ca="1">IFERROR(__xludf.DUMMYFUNCTION("""COMPUTED_VALUE"""),607104)</f>
        <v>607104</v>
      </c>
      <c r="D99" s="1" t="str">
        <f ca="1">IFERROR(__xludf.DUMMYFUNCTION("""COMPUTED_VALUE"""),"Male")</f>
        <v>Male</v>
      </c>
      <c r="E99" s="1" t="str">
        <f ca="1">IFERROR(__xludf.DUMMYFUNCTION("""COMPUTED_VALUE"""),"People who have changed the world for better")</f>
        <v>People who have changed the world for better</v>
      </c>
      <c r="F99" s="1" t="str">
        <f ca="1">IFERROR(__xludf.DUMMYFUNCTION("""COMPUTED_VALUE"""),"No I would not be pursuing Higher Education outside of India")</f>
        <v>No I would not be pursuing Higher Education outside of India</v>
      </c>
      <c r="G99" s="1" t="str">
        <f ca="1">IFERROR(__xludf.DUMMYFUNCTION("""COMPUTED_VALUE"""),"No way, 3 years with one employer is crazy")</f>
        <v>No way, 3 years with one employer is crazy</v>
      </c>
      <c r="H99" s="1" t="str">
        <f ca="1">IFERROR(__xludf.DUMMYFUNCTION("""COMPUTED_VALUE"""),"No")</f>
        <v>No</v>
      </c>
      <c r="I99" s="1" t="str">
        <f ca="1">IFERROR(__xludf.DUMMYFUNCTION("""COMPUTED_VALUE"""),"Will work for them")</f>
        <v>Will work for them</v>
      </c>
      <c r="J99" s="1">
        <f ca="1">IFERROR(__xludf.DUMMYFUNCTION("""COMPUTED_VALUE"""),3)</f>
        <v>3</v>
      </c>
      <c r="K99" s="1" t="str">
        <f ca="1">IFERROR(__xludf.DUMMYFUNCTION("""COMPUTED_VALUE"""),"Every Day Office Environment")</f>
        <v>Every Day Office Environment</v>
      </c>
      <c r="L99" s="1" t="str">
        <f ca="1">IFERROR(__xludf.DUMMYFUNCTION("""COMPUTED_VALUE"""),"Employer who pushes your limits by enabling an learning environment, and rewards you at the end")</f>
        <v>Employer who pushes your limits by enabling an learning environment, and rewards you at the end</v>
      </c>
      <c r="M99" s="1" t="str">
        <f ca="1">IFERROR(__xludf.DUMMYFUNCTION("""COMPUTED_VALUE"""),"Look deeply into Data and generate insights, Work in a BPO setup for some well known client, Become a content Creator in some platform")</f>
        <v>Look deeply into Data and generate insights, Work in a BPO setup for some well known client, Become a content Creator in some platform</v>
      </c>
      <c r="N99" s="4" t="s">
        <v>48</v>
      </c>
      <c r="O99" s="1" t="str">
        <f ca="1">IFERROR(__xludf.DUMMYFUNCTION("""COMPUTED_VALUE"""),"Manager who sets unrealistic targets")</f>
        <v>Manager who sets unrealistic targets</v>
      </c>
      <c r="P99" s="1" t="str">
        <f ca="1">IFERROR(__xludf.DUMMYFUNCTION("""COMPUTED_VALUE"""),"Work &lt;=6 People in the Team")</f>
        <v>Work &lt;=6 People in the Team</v>
      </c>
      <c r="Q99" s="1" t="s">
        <v>41</v>
      </c>
      <c r="R99" s="1"/>
    </row>
    <row r="100" spans="1:18" x14ac:dyDescent="0.25">
      <c r="A100" s="2">
        <f ca="1">IFERROR(__xludf.DUMMYFUNCTION("""COMPUTED_VALUE"""),44911.922811493)</f>
        <v>44911.922811493001</v>
      </c>
      <c r="B100" s="1" t="str">
        <f ca="1">IFERROR(__xludf.DUMMYFUNCTION("""COMPUTED_VALUE"""),"India")</f>
        <v>India</v>
      </c>
      <c r="C100" s="1">
        <f ca="1">IFERROR(__xludf.DUMMYFUNCTION("""COMPUTED_VALUE"""),425001)</f>
        <v>425001</v>
      </c>
      <c r="D100" s="1" t="str">
        <f ca="1">IFERROR(__xludf.DUMMYFUNCTION("""COMPUTED_VALUE"""),"Male")</f>
        <v>Male</v>
      </c>
      <c r="E100" s="1" t="str">
        <f ca="1">IFERROR(__xludf.DUMMYFUNCTION("""COMPUTED_VALUE"""),"Influencers who had successful careers")</f>
        <v>Influencers who had successful careers</v>
      </c>
      <c r="F100" s="1" t="str">
        <f ca="1">IFERROR(__xludf.DUMMYFUNCTION("""COMPUTED_VALUE"""),"Yes, I will earn and do that")</f>
        <v>Yes, I will earn and do that</v>
      </c>
      <c r="G100" s="1" t="str">
        <f ca="1">IFERROR(__xludf.DUMMYFUNCTION("""COMPUTED_VALUE"""),"This will be hard to do, but if it is the right company I would try")</f>
        <v>This will be hard to do, but if it is the right company I would try</v>
      </c>
      <c r="H100" s="1" t="str">
        <f ca="1">IFERROR(__xludf.DUMMYFUNCTION("""COMPUTED_VALUE"""),"No")</f>
        <v>No</v>
      </c>
      <c r="I100" s="1" t="str">
        <f ca="1">IFERROR(__xludf.DUMMYFUNCTION("""COMPUTED_VALUE"""),"Will work for them")</f>
        <v>Will work for them</v>
      </c>
      <c r="J100" s="1">
        <f ca="1">IFERROR(__xludf.DUMMYFUNCTION("""COMPUTED_VALUE"""),2)</f>
        <v>2</v>
      </c>
      <c r="K100" s="1" t="str">
        <f ca="1">IFERROR(__xludf.DUMMYFUNCTION("""COMPUTED_VALUE"""),"Every Day Office Environment")</f>
        <v>Every Day Office Environment</v>
      </c>
      <c r="L100" s="1" t="str">
        <f ca="1">IFERROR(__xludf.DUMMYFUNCTION("""COMPUTED_VALUE"""),"Employer who pushes your limits by enabling an learning environment, and rewards you at the end")</f>
        <v>Employer who pushes your limits by enabling an learning environment, and rewards you at the end</v>
      </c>
      <c r="M100"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100" s="4" t="s">
        <v>48</v>
      </c>
      <c r="O100" s="1" t="str">
        <f ca="1">IFERROR(__xludf.DUMMYFUNCTION("""COMPUTED_VALUE"""),"Manager who explains what is expected, sets a goal and helps achieve it")</f>
        <v>Manager who explains what is expected, sets a goal and helps achieve it</v>
      </c>
      <c r="P100" s="1" t="str">
        <f ca="1">IFERROR(__xludf.DUMMYFUNCTION("""COMPUTED_VALUE"""),"Work &lt;=6 People in the Team")</f>
        <v>Work &lt;=6 People in the Team</v>
      </c>
      <c r="Q100" s="1" t="s">
        <v>41</v>
      </c>
      <c r="R100" s="1"/>
    </row>
    <row r="101" spans="1:18" x14ac:dyDescent="0.25">
      <c r="A101" s="2">
        <f ca="1">IFERROR(__xludf.DUMMYFUNCTION("""COMPUTED_VALUE"""),44911.9230981597)</f>
        <v>44911.923098159699</v>
      </c>
      <c r="B101" s="1" t="str">
        <f ca="1">IFERROR(__xludf.DUMMYFUNCTION("""COMPUTED_VALUE"""),"India")</f>
        <v>India</v>
      </c>
      <c r="C101" s="1">
        <f ca="1">IFERROR(__xludf.DUMMYFUNCTION("""COMPUTED_VALUE"""),560029)</f>
        <v>560029</v>
      </c>
      <c r="D101" s="1" t="str">
        <f ca="1">IFERROR(__xludf.DUMMYFUNCTION("""COMPUTED_VALUE"""),"Female")</f>
        <v>Female</v>
      </c>
      <c r="E101" s="1" t="str">
        <f ca="1">IFERROR(__xludf.DUMMYFUNCTION("""COMPUTED_VALUE"""),"My Parents")</f>
        <v>My Parents</v>
      </c>
      <c r="F101" s="1" t="str">
        <f ca="1">IFERROR(__xludf.DUMMYFUNCTION("""COMPUTED_VALUE"""),"Yes, I will earn and do that")</f>
        <v>Yes, I will earn and do that</v>
      </c>
      <c r="G101" s="1" t="str">
        <f ca="1">IFERROR(__xludf.DUMMYFUNCTION("""COMPUTED_VALUE"""),"Will work for 3 years or more")</f>
        <v>Will work for 3 years or more</v>
      </c>
      <c r="H101" s="1" t="str">
        <f ca="1">IFERROR(__xludf.DUMMYFUNCTION("""COMPUTED_VALUE"""),"No")</f>
        <v>No</v>
      </c>
      <c r="I101" s="1" t="str">
        <f ca="1">IFERROR(__xludf.DUMMYFUNCTION("""COMPUTED_VALUE"""),"Will NOT work for them")</f>
        <v>Will NOT work for them</v>
      </c>
      <c r="J101" s="1">
        <f ca="1">IFERROR(__xludf.DUMMYFUNCTION("""COMPUTED_VALUE"""),2)</f>
        <v>2</v>
      </c>
      <c r="K101" s="1" t="str">
        <f ca="1">IFERROR(__xludf.DUMMYFUNCTION("""COMPUTED_VALUE"""),"Fully Remote with Options to travel as and when needed")</f>
        <v>Fully Remote with Options to travel as and when needed</v>
      </c>
      <c r="L101" s="1" t="str">
        <f ca="1">IFERROR(__xludf.DUMMYFUNCTION("""COMPUTED_VALUE"""),"Employer who pushes your limits by enabling an learning environment, and rewards you at the end")</f>
        <v>Employer who pushes your limits by enabling an learning environment, and rewards you at the end</v>
      </c>
      <c r="M101" s="1" t="str">
        <f ca="1">IFERROR(__xludf.DUMMYFUNCTION("""COMPUTED_VALUE"""),"Business Operations in any organization, Manage and drive End-to-End Projects or Products, Become a content Creator in some platform")</f>
        <v>Business Operations in any organization, Manage and drive End-to-End Projects or Products, Become a content Creator in some platform</v>
      </c>
      <c r="N101" s="4" t="s">
        <v>48</v>
      </c>
      <c r="O101" s="1" t="str">
        <f ca="1">IFERROR(__xludf.DUMMYFUNCTION("""COMPUTED_VALUE"""),"Manager who explains what is expected, sets a goal and helps achieve it")</f>
        <v>Manager who explains what is expected, sets a goal and helps achieve it</v>
      </c>
      <c r="P101" s="1" t="str">
        <f ca="1">IFERROR(__xludf.DUMMYFUNCTION("""COMPUTED_VALUE"""),"Work &lt;=6 People in the Team")</f>
        <v>Work &lt;=6 People in the Team</v>
      </c>
      <c r="Q101" s="1" t="s">
        <v>42</v>
      </c>
      <c r="R101" s="1"/>
    </row>
    <row r="102" spans="1:18" x14ac:dyDescent="0.25">
      <c r="A102" s="2">
        <f ca="1">IFERROR(__xludf.DUMMYFUNCTION("""COMPUTED_VALUE"""),44912.0025686342)</f>
        <v>44912.002568634198</v>
      </c>
      <c r="B102" s="1" t="str">
        <f ca="1">IFERROR(__xludf.DUMMYFUNCTION("""COMPUTED_VALUE"""),"India")</f>
        <v>India</v>
      </c>
      <c r="C102" s="1">
        <f ca="1">IFERROR(__xludf.DUMMYFUNCTION("""COMPUTED_VALUE"""),400013)</f>
        <v>400013</v>
      </c>
      <c r="D102" s="1" t="str">
        <f ca="1">IFERROR(__xludf.DUMMYFUNCTION("""COMPUTED_VALUE"""),"Male")</f>
        <v>Male</v>
      </c>
      <c r="E102" s="1" t="str">
        <f ca="1">IFERROR(__xludf.DUMMYFUNCTION("""COMPUTED_VALUE"""),"My Parents")</f>
        <v>My Parents</v>
      </c>
      <c r="F102" s="1" t="str">
        <f ca="1">IFERROR(__xludf.DUMMYFUNCTION("""COMPUTED_VALUE"""),"No, But if someone could bare the cost I will")</f>
        <v>No, But if someone could bare the cost I will</v>
      </c>
      <c r="G102" s="1" t="str">
        <f ca="1">IFERROR(__xludf.DUMMYFUNCTION("""COMPUTED_VALUE"""),"This will be hard to do, but if it is the right company I would try")</f>
        <v>This will be hard to do, but if it is the right company I would try</v>
      </c>
      <c r="H102" s="1" t="str">
        <f ca="1">IFERROR(__xludf.DUMMYFUNCTION("""COMPUTED_VALUE"""),"No")</f>
        <v>No</v>
      </c>
      <c r="I102" s="1" t="str">
        <f ca="1">IFERROR(__xludf.DUMMYFUNCTION("""COMPUTED_VALUE"""),"Will NOT work for them")</f>
        <v>Will NOT work for them</v>
      </c>
      <c r="J102" s="1">
        <f ca="1">IFERROR(__xludf.DUMMYFUNCTION("""COMPUTED_VALUE"""),7)</f>
        <v>7</v>
      </c>
      <c r="K102" s="1" t="str">
        <f ca="1">IFERROR(__xludf.DUMMYFUNCTION("""COMPUTED_VALUE"""),"Hybrid Working Environment with less than 10 days a month at office")</f>
        <v>Hybrid Working Environment with less than 10 days a month at office</v>
      </c>
      <c r="L102" s="1" t="str">
        <f ca="1">IFERROR(__xludf.DUMMYFUNCTION("""COMPUTED_VALUE"""),"Employer who pushes your limits by enabling an learning environment, and rewards you at the end")</f>
        <v>Employer who pushes your limits by enabling an learning environment, and rewards you at the end</v>
      </c>
      <c r="M10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102" s="4" t="s">
        <v>49</v>
      </c>
      <c r="O102" s="1" t="str">
        <f ca="1">IFERROR(__xludf.DUMMYFUNCTION("""COMPUTED_VALUE"""),"Manager who explains what is expected, sets a goal and helps achieve it")</f>
        <v>Manager who explains what is expected, sets a goal and helps achieve it</v>
      </c>
      <c r="P102" s="1" t="str">
        <f ca="1">IFERROR(__xludf.DUMMYFUNCTION("""COMPUTED_VALUE"""),"Work Alone, &lt;=6 in team")</f>
        <v>Work Alone, &lt;=6 in team</v>
      </c>
      <c r="Q102" s="1" t="s">
        <v>40</v>
      </c>
      <c r="R102" s="1"/>
    </row>
    <row r="103" spans="1:18" x14ac:dyDescent="0.25">
      <c r="A103" s="2">
        <f ca="1">IFERROR(__xludf.DUMMYFUNCTION("""COMPUTED_VALUE"""),44912.0078218287)</f>
        <v>44912.007821828702</v>
      </c>
      <c r="B103" s="1" t="str">
        <f ca="1">IFERROR(__xludf.DUMMYFUNCTION("""COMPUTED_VALUE"""),"India")</f>
        <v>India</v>
      </c>
      <c r="C103" s="1">
        <f ca="1">IFERROR(__xludf.DUMMYFUNCTION("""COMPUTED_VALUE"""),431109)</f>
        <v>431109</v>
      </c>
      <c r="D103" s="1" t="str">
        <f ca="1">IFERROR(__xludf.DUMMYFUNCTION("""COMPUTED_VALUE"""),"Male")</f>
        <v>Male</v>
      </c>
      <c r="E103" s="1" t="str">
        <f ca="1">IFERROR(__xludf.DUMMYFUNCTION("""COMPUTED_VALUE"""),"Influencers who had successful careers")</f>
        <v>Influencers who had successful careers</v>
      </c>
      <c r="F103" s="1" t="str">
        <f ca="1">IFERROR(__xludf.DUMMYFUNCTION("""COMPUTED_VALUE"""),"Yes, I will earn and do that")</f>
        <v>Yes, I will earn and do that</v>
      </c>
      <c r="G103" s="1" t="str">
        <f ca="1">IFERROR(__xludf.DUMMYFUNCTION("""COMPUTED_VALUE"""),"This will be hard to do, but if it is the right company I would try")</f>
        <v>This will be hard to do, but if it is the right company I would try</v>
      </c>
      <c r="H103" s="1" t="str">
        <f ca="1">IFERROR(__xludf.DUMMYFUNCTION("""COMPUTED_VALUE"""),"No")</f>
        <v>No</v>
      </c>
      <c r="I103" s="1" t="str">
        <f ca="1">IFERROR(__xludf.DUMMYFUNCTION("""COMPUTED_VALUE"""),"Will NOT work for them")</f>
        <v>Will NOT work for them</v>
      </c>
      <c r="J103" s="1">
        <f ca="1">IFERROR(__xludf.DUMMYFUNCTION("""COMPUTED_VALUE"""),5)</f>
        <v>5</v>
      </c>
      <c r="K103" s="1" t="str">
        <f ca="1">IFERROR(__xludf.DUMMYFUNCTION("""COMPUTED_VALUE"""),"Hybrid Working Environment with less than 15 days a month at office")</f>
        <v>Hybrid Working Environment with less than 15 days a month at office</v>
      </c>
      <c r="L103" s="1" t="str">
        <f ca="1">IFERROR(__xludf.DUMMYFUNCTION("""COMPUTED_VALUE"""),"Employer who pushes your limits by enabling an learning environment, and rewards you at the end")</f>
        <v>Employer who pushes your limits by enabling an learning environment, and rewards you at the end</v>
      </c>
      <c r="M10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103" s="4" t="s">
        <v>53</v>
      </c>
      <c r="O103" s="1" t="str">
        <f ca="1">IFERROR(__xludf.DUMMYFUNCTION("""COMPUTED_VALUE"""),"Manager who explains what is expected, sets a goal and helps achieve it")</f>
        <v>Manager who explains what is expected, sets a goal and helps achieve it</v>
      </c>
      <c r="P103" s="1" t="str">
        <f ca="1">IFERROR(__xludf.DUMMYFUNCTION("""COMPUTED_VALUE"""),"Work &lt;=6 People in the Team")</f>
        <v>Work &lt;=6 People in the Team</v>
      </c>
      <c r="Q103" s="1" t="s">
        <v>42</v>
      </c>
      <c r="R103" s="1"/>
    </row>
    <row r="104" spans="1:18" x14ac:dyDescent="0.25">
      <c r="A104" s="2">
        <f ca="1">IFERROR(__xludf.DUMMYFUNCTION("""COMPUTED_VALUE"""),44912.0479831365)</f>
        <v>44912.047983136501</v>
      </c>
      <c r="B104" s="1" t="str">
        <f ca="1">IFERROR(__xludf.DUMMYFUNCTION("""COMPUTED_VALUE"""),"India")</f>
        <v>India</v>
      </c>
      <c r="C104" s="1">
        <f ca="1">IFERROR(__xludf.DUMMYFUNCTION("""COMPUTED_VALUE"""),133001)</f>
        <v>133001</v>
      </c>
      <c r="D104" s="1" t="str">
        <f ca="1">IFERROR(__xludf.DUMMYFUNCTION("""COMPUTED_VALUE"""),"Male")</f>
        <v>Male</v>
      </c>
      <c r="E104" s="1" t="str">
        <f ca="1">IFERROR(__xludf.DUMMYFUNCTION("""COMPUTED_VALUE"""),"People from my circle, but not family members")</f>
        <v>People from my circle, but not family members</v>
      </c>
      <c r="F104" s="1" t="str">
        <f ca="1">IFERROR(__xludf.DUMMYFUNCTION("""COMPUTED_VALUE"""),"No I would not be pursuing Higher Education outside of India")</f>
        <v>No I would not be pursuing Higher Education outside of India</v>
      </c>
      <c r="G104" s="1" t="str">
        <f ca="1">IFERROR(__xludf.DUMMYFUNCTION("""COMPUTED_VALUE"""),"This will be hard to do, but if it is the right company I would try")</f>
        <v>This will be hard to do, but if it is the right company I would try</v>
      </c>
      <c r="H104" s="1" t="str">
        <f ca="1">IFERROR(__xludf.DUMMYFUNCTION("""COMPUTED_VALUE"""),"No")</f>
        <v>No</v>
      </c>
      <c r="I104" s="1" t="str">
        <f ca="1">IFERROR(__xludf.DUMMYFUNCTION("""COMPUTED_VALUE"""),"Will NOT work for them")</f>
        <v>Will NOT work for them</v>
      </c>
      <c r="J104" s="1">
        <f ca="1">IFERROR(__xludf.DUMMYFUNCTION("""COMPUTED_VALUE"""),8)</f>
        <v>8</v>
      </c>
      <c r="K104" s="1" t="str">
        <f ca="1">IFERROR(__xludf.DUMMYFUNCTION("""COMPUTED_VALUE"""),"Hybrid Working Environment with less than 10 days a month at office")</f>
        <v>Hybrid Working Environment with less than 10 days a month at office</v>
      </c>
      <c r="L104" s="1" t="str">
        <f ca="1">IFERROR(__xludf.DUMMYFUNCTION("""COMPUTED_VALUE"""),"Employer who pushes your limits by enabling an learning environment, and rewards you at the end")</f>
        <v>Employer who pushes your limits by enabling an learning environment, and rewards you at the end</v>
      </c>
      <c r="M104"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N104" s="4" t="s">
        <v>49</v>
      </c>
      <c r="O104" s="1" t="str">
        <f ca="1">IFERROR(__xludf.DUMMYFUNCTION("""COMPUTED_VALUE"""),"Manager who explains what is expected, sets a goal and helps achieve it")</f>
        <v>Manager who explains what is expected, sets a goal and helps achieve it</v>
      </c>
      <c r="P104" s="1" t="str">
        <f ca="1">IFERROR(__xludf.DUMMYFUNCTION("""COMPUTED_VALUE"""),"Work &lt;=6 People in the Team")</f>
        <v>Work &lt;=6 People in the Team</v>
      </c>
      <c r="Q104" s="1" t="s">
        <v>40</v>
      </c>
      <c r="R104" s="1"/>
    </row>
    <row r="105" spans="1:18" x14ac:dyDescent="0.25">
      <c r="A105" s="2">
        <f ca="1">IFERROR(__xludf.DUMMYFUNCTION("""COMPUTED_VALUE"""),44912.0572920833)</f>
        <v>44912.0572920833</v>
      </c>
      <c r="B105" s="1" t="str">
        <f ca="1">IFERROR(__xludf.DUMMYFUNCTION("""COMPUTED_VALUE"""),"India")</f>
        <v>India</v>
      </c>
      <c r="C105" s="1">
        <f ca="1">IFERROR(__xludf.DUMMYFUNCTION("""COMPUTED_VALUE"""),785001)</f>
        <v>785001</v>
      </c>
      <c r="D105" s="1" t="str">
        <f ca="1">IFERROR(__xludf.DUMMYFUNCTION("""COMPUTED_VALUE"""),"Male")</f>
        <v>Male</v>
      </c>
      <c r="E105" s="1" t="str">
        <f ca="1">IFERROR(__xludf.DUMMYFUNCTION("""COMPUTED_VALUE"""),"People from my circle, but not family members")</f>
        <v>People from my circle, but not family members</v>
      </c>
      <c r="F105" s="1" t="str">
        <f ca="1">IFERROR(__xludf.DUMMYFUNCTION("""COMPUTED_VALUE"""),"No I would not be pursuing Higher Education outside of India")</f>
        <v>No I would not be pursuing Higher Education outside of India</v>
      </c>
      <c r="G105" s="1" t="str">
        <f ca="1">IFERROR(__xludf.DUMMYFUNCTION("""COMPUTED_VALUE"""),"This will be hard to do, but if it is the right company I would try")</f>
        <v>This will be hard to do, but if it is the right company I would try</v>
      </c>
      <c r="H105" s="1" t="str">
        <f ca="1">IFERROR(__xludf.DUMMYFUNCTION("""COMPUTED_VALUE"""),"Yes")</f>
        <v>Yes</v>
      </c>
      <c r="I105" s="1" t="str">
        <f ca="1">IFERROR(__xludf.DUMMYFUNCTION("""COMPUTED_VALUE"""),"Will NOT work for them")</f>
        <v>Will NOT work for them</v>
      </c>
      <c r="J105" s="1">
        <f ca="1">IFERROR(__xludf.DUMMYFUNCTION("""COMPUTED_VALUE"""),5)</f>
        <v>5</v>
      </c>
      <c r="K105" s="1" t="str">
        <f ca="1">IFERROR(__xludf.DUMMYFUNCTION("""COMPUTED_VALUE"""),"Hybrid Working Environment with less than 3 days a month at office")</f>
        <v>Hybrid Working Environment with less than 3 days a month at office</v>
      </c>
      <c r="L105" s="1" t="str">
        <f ca="1">IFERROR(__xludf.DUMMYFUNCTION("""COMPUTED_VALUE"""),"Employer who appreciates learning and enables that environment")</f>
        <v>Employer who appreciates learning and enables that environment</v>
      </c>
      <c r="M1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105" s="4" t="s">
        <v>49</v>
      </c>
      <c r="O105" s="1" t="str">
        <f ca="1">IFERROR(__xludf.DUMMYFUNCTION("""COMPUTED_VALUE"""),"Manager who explains what is expected, sets a goal and helps achieve it")</f>
        <v>Manager who explains what is expected, sets a goal and helps achieve it</v>
      </c>
      <c r="P105" s="1" t="str">
        <f ca="1">IFERROR(__xludf.DUMMYFUNCTION("""COMPUTED_VALUE"""),"Work &lt;=6 People in the Team")</f>
        <v>Work &lt;=6 People in the Team</v>
      </c>
      <c r="Q105" s="1" t="s">
        <v>40</v>
      </c>
      <c r="R105" s="1"/>
    </row>
    <row r="106" spans="1:18" x14ac:dyDescent="0.25">
      <c r="A106" s="2">
        <f ca="1">IFERROR(__xludf.DUMMYFUNCTION("""COMPUTED_VALUE"""),44912.277851956)</f>
        <v>44912.277851956002</v>
      </c>
      <c r="B106" s="1" t="str">
        <f ca="1">IFERROR(__xludf.DUMMYFUNCTION("""COMPUTED_VALUE"""),"India")</f>
        <v>India</v>
      </c>
      <c r="C106" s="1">
        <f ca="1">IFERROR(__xludf.DUMMYFUNCTION("""COMPUTED_VALUE"""),561203)</f>
        <v>561203</v>
      </c>
      <c r="D106" s="1" t="str">
        <f ca="1">IFERROR(__xludf.DUMMYFUNCTION("""COMPUTED_VALUE"""),"Male")</f>
        <v>Male</v>
      </c>
      <c r="E106" s="1" t="str">
        <f ca="1">IFERROR(__xludf.DUMMYFUNCTION("""COMPUTED_VALUE"""),"Influencers who had successful careers")</f>
        <v>Influencers who had successful careers</v>
      </c>
      <c r="F106" s="1" t="str">
        <f ca="1">IFERROR(__xludf.DUMMYFUNCTION("""COMPUTED_VALUE"""),"Yes, I will earn and do that")</f>
        <v>Yes, I will earn and do that</v>
      </c>
      <c r="G106" s="1" t="str">
        <f ca="1">IFERROR(__xludf.DUMMYFUNCTION("""COMPUTED_VALUE"""),"This will be hard to do, but if it is the right company I would try")</f>
        <v>This will be hard to do, but if it is the right company I would try</v>
      </c>
      <c r="H106" s="1" t="str">
        <f ca="1">IFERROR(__xludf.DUMMYFUNCTION("""COMPUTED_VALUE"""),"Yes")</f>
        <v>Yes</v>
      </c>
      <c r="I106" s="1" t="str">
        <f ca="1">IFERROR(__xludf.DUMMYFUNCTION("""COMPUTED_VALUE"""),"Will work for them")</f>
        <v>Will work for them</v>
      </c>
      <c r="J106" s="1">
        <f ca="1">IFERROR(__xludf.DUMMYFUNCTION("""COMPUTED_VALUE"""),5)</f>
        <v>5</v>
      </c>
      <c r="K106" s="1" t="str">
        <f ca="1">IFERROR(__xludf.DUMMYFUNCTION("""COMPUTED_VALUE"""),"Hybrid Working Environment with less than 10 days a month at office")</f>
        <v>Hybrid Working Environment with less than 10 days a month at office</v>
      </c>
      <c r="L106" s="1" t="str">
        <f ca="1">IFERROR(__xludf.DUMMYFUNCTION("""COMPUTED_VALUE"""),"Employer who pushes your limits and doesn't enables learning environment and never rewards you")</f>
        <v>Employer who pushes your limits and doesn't enables learning environment and never rewards you</v>
      </c>
      <c r="M106"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106" s="4" t="s">
        <v>49</v>
      </c>
      <c r="O106" s="1" t="str">
        <f ca="1">IFERROR(__xludf.DUMMYFUNCTION("""COMPUTED_VALUE"""),"Manager who sets goal and helps me achieve it")</f>
        <v>Manager who sets goal and helps me achieve it</v>
      </c>
      <c r="P106" s="1" t="str">
        <f ca="1">IFERROR(__xludf.DUMMYFUNCTION("""COMPUTED_VALUE"""),"Work &lt;=6 People in the Team")</f>
        <v>Work &lt;=6 People in the Team</v>
      </c>
      <c r="Q106" s="1" t="s">
        <v>41</v>
      </c>
      <c r="R106" s="1"/>
    </row>
    <row r="107" spans="1:18" x14ac:dyDescent="0.25">
      <c r="A107" s="2">
        <f ca="1">IFERROR(__xludf.DUMMYFUNCTION("""COMPUTED_VALUE"""),44912.3732990277)</f>
        <v>44912.373299027699</v>
      </c>
      <c r="B107" s="1" t="str">
        <f ca="1">IFERROR(__xludf.DUMMYFUNCTION("""COMPUTED_VALUE"""),"India")</f>
        <v>India</v>
      </c>
      <c r="C107" s="1">
        <f ca="1">IFERROR(__xludf.DUMMYFUNCTION("""COMPUTED_VALUE"""),852131)</f>
        <v>852131</v>
      </c>
      <c r="D107" s="1" t="str">
        <f ca="1">IFERROR(__xludf.DUMMYFUNCTION("""COMPUTED_VALUE"""),"Male")</f>
        <v>Male</v>
      </c>
      <c r="E107" s="1" t="str">
        <f ca="1">IFERROR(__xludf.DUMMYFUNCTION("""COMPUTED_VALUE"""),"My Parents")</f>
        <v>My Parents</v>
      </c>
      <c r="F107" s="1" t="str">
        <f ca="1">IFERROR(__xludf.DUMMYFUNCTION("""COMPUTED_VALUE"""),"No, But if someone could bare the cost I will")</f>
        <v>No, But if someone could bare the cost I will</v>
      </c>
      <c r="G107" s="1" t="str">
        <f ca="1">IFERROR(__xludf.DUMMYFUNCTION("""COMPUTED_VALUE"""),"This will be hard to do, but if it is the right company I would try")</f>
        <v>This will be hard to do, but if it is the right company I would try</v>
      </c>
      <c r="H107" s="1" t="str">
        <f ca="1">IFERROR(__xludf.DUMMYFUNCTION("""COMPUTED_VALUE"""),"Yes")</f>
        <v>Yes</v>
      </c>
      <c r="I107" s="1" t="str">
        <f ca="1">IFERROR(__xludf.DUMMYFUNCTION("""COMPUTED_VALUE"""),"Will NOT work for them")</f>
        <v>Will NOT work for them</v>
      </c>
      <c r="J107" s="1">
        <f ca="1">IFERROR(__xludf.DUMMYFUNCTION("""COMPUTED_VALUE"""),4)</f>
        <v>4</v>
      </c>
      <c r="K107" s="1" t="str">
        <f ca="1">IFERROR(__xludf.DUMMYFUNCTION("""COMPUTED_VALUE"""),"Hybrid Working Environment with less than 15 days a month at office")</f>
        <v>Hybrid Working Environment with less than 15 days a month at office</v>
      </c>
      <c r="L107" s="1" t="str">
        <f ca="1">IFERROR(__xludf.DUMMYFUNCTION("""COMPUTED_VALUE"""),"Employer who pushes your limits by enabling an learning environment, and rewards you at the end")</f>
        <v>Employer who pushes your limits by enabling an learning environment, and rewards you at the end</v>
      </c>
      <c r="M10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107" s="4" t="s">
        <v>50</v>
      </c>
      <c r="O107" s="1" t="str">
        <f ca="1">IFERROR(__xludf.DUMMYFUNCTION("""COMPUTED_VALUE"""),"Manager who sets goal and helps me achieve it")</f>
        <v>Manager who sets goal and helps me achieve it</v>
      </c>
      <c r="P107" s="1" t="str">
        <f ca="1">IFERROR(__xludf.DUMMYFUNCTION("""COMPUTED_VALUE"""),"Work &lt;=6 People in the Team")</f>
        <v>Work &lt;=6 People in the Team</v>
      </c>
      <c r="Q107" s="1" t="s">
        <v>42</v>
      </c>
      <c r="R107" s="1"/>
    </row>
    <row r="108" spans="1:18" x14ac:dyDescent="0.25">
      <c r="A108" s="2">
        <f ca="1">IFERROR(__xludf.DUMMYFUNCTION("""COMPUTED_VALUE"""),44912.3887232291)</f>
        <v>44912.388723229102</v>
      </c>
      <c r="B108" s="1" t="str">
        <f ca="1">IFERROR(__xludf.DUMMYFUNCTION("""COMPUTED_VALUE"""),"India")</f>
        <v>India</v>
      </c>
      <c r="C108" s="1">
        <f ca="1">IFERROR(__xludf.DUMMYFUNCTION("""COMPUTED_VALUE"""),560072)</f>
        <v>560072</v>
      </c>
      <c r="D108" s="1" t="str">
        <f ca="1">IFERROR(__xludf.DUMMYFUNCTION("""COMPUTED_VALUE"""),"Male")</f>
        <v>Male</v>
      </c>
      <c r="E108" s="1" t="str">
        <f ca="1">IFERROR(__xludf.DUMMYFUNCTION("""COMPUTED_VALUE"""),"Social Media like LinkedIn")</f>
        <v>Social Media like LinkedIn</v>
      </c>
      <c r="F108" s="1" t="str">
        <f ca="1">IFERROR(__xludf.DUMMYFUNCTION("""COMPUTED_VALUE"""),"No I would not be pursuing Higher Education outside of India")</f>
        <v>No I would not be pursuing Higher Education outside of India</v>
      </c>
      <c r="G108" s="1" t="str">
        <f ca="1">IFERROR(__xludf.DUMMYFUNCTION("""COMPUTED_VALUE"""),"This will be hard to do, but if it is the right company I would try")</f>
        <v>This will be hard to do, but if it is the right company I would try</v>
      </c>
      <c r="H108" s="1" t="str">
        <f ca="1">IFERROR(__xludf.DUMMYFUNCTION("""COMPUTED_VALUE"""),"No")</f>
        <v>No</v>
      </c>
      <c r="I108" s="1" t="str">
        <f ca="1">IFERROR(__xludf.DUMMYFUNCTION("""COMPUTED_VALUE"""),"Will work for them")</f>
        <v>Will work for them</v>
      </c>
      <c r="J108" s="1">
        <f ca="1">IFERROR(__xludf.DUMMYFUNCTION("""COMPUTED_VALUE"""),8)</f>
        <v>8</v>
      </c>
      <c r="K108" s="1" t="str">
        <f ca="1">IFERROR(__xludf.DUMMYFUNCTION("""COMPUTED_VALUE"""),"Fully Remote with Options to travel as and when needed")</f>
        <v>Fully Remote with Options to travel as and when needed</v>
      </c>
      <c r="L108" s="1" t="str">
        <f ca="1">IFERROR(__xludf.DUMMYFUNCTION("""COMPUTED_VALUE"""),"Employer who pushes your limits by enabling an learning environment, and rewards you at the end")</f>
        <v>Employer who pushes your limits by enabling an learning environment, and rewards you at the end</v>
      </c>
      <c r="M10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108" s="4" t="s">
        <v>48</v>
      </c>
      <c r="O108" s="1" t="str">
        <f ca="1">IFERROR(__xludf.DUMMYFUNCTION("""COMPUTED_VALUE"""),"Manager who explains what is expected, sets a goal and helps achieve it")</f>
        <v>Manager who explains what is expected, sets a goal and helps achieve it</v>
      </c>
      <c r="P108" s="1" t="str">
        <f ca="1">IFERROR(__xludf.DUMMYFUNCTION("""COMPUTED_VALUE"""),"Work &gt;10 people in Team")</f>
        <v>Work &gt;10 people in Team</v>
      </c>
      <c r="Q108" s="1" t="s">
        <v>41</v>
      </c>
      <c r="R108" s="1"/>
    </row>
    <row r="109" spans="1:18" x14ac:dyDescent="0.25">
      <c r="A109" s="2">
        <f ca="1">IFERROR(__xludf.DUMMYFUNCTION("""COMPUTED_VALUE"""),44912.4495357986)</f>
        <v>44912.449535798602</v>
      </c>
      <c r="B109" s="1" t="str">
        <f ca="1">IFERROR(__xludf.DUMMYFUNCTION("""COMPUTED_VALUE"""),"India")</f>
        <v>India</v>
      </c>
      <c r="C109" s="1">
        <f ca="1">IFERROR(__xludf.DUMMYFUNCTION("""COMPUTED_VALUE"""),410206)</f>
        <v>410206</v>
      </c>
      <c r="D109" s="1" t="str">
        <f ca="1">IFERROR(__xludf.DUMMYFUNCTION("""COMPUTED_VALUE"""),"Male")</f>
        <v>Male</v>
      </c>
      <c r="E109" s="1" t="str">
        <f ca="1">IFERROR(__xludf.DUMMYFUNCTION("""COMPUTED_VALUE"""),"People from my circle, but not family members")</f>
        <v>People from my circle, but not family members</v>
      </c>
      <c r="F109" s="1" t="str">
        <f ca="1">IFERROR(__xludf.DUMMYFUNCTION("""COMPUTED_VALUE"""),"No I would not be pursuing Higher Education outside of India")</f>
        <v>No I would not be pursuing Higher Education outside of India</v>
      </c>
      <c r="G109" s="1" t="str">
        <f ca="1">IFERROR(__xludf.DUMMYFUNCTION("""COMPUTED_VALUE"""),"This will be hard to do, but if it is the right company I would try")</f>
        <v>This will be hard to do, but if it is the right company I would try</v>
      </c>
      <c r="H109" s="1" t="str">
        <f ca="1">IFERROR(__xludf.DUMMYFUNCTION("""COMPUTED_VALUE"""),"No")</f>
        <v>No</v>
      </c>
      <c r="I109" s="1" t="str">
        <f ca="1">IFERROR(__xludf.DUMMYFUNCTION("""COMPUTED_VALUE"""),"Will NOT work for them")</f>
        <v>Will NOT work for them</v>
      </c>
      <c r="J109" s="1">
        <f ca="1">IFERROR(__xludf.DUMMYFUNCTION("""COMPUTED_VALUE"""),3)</f>
        <v>3</v>
      </c>
      <c r="K109" s="1" t="str">
        <f ca="1">IFERROR(__xludf.DUMMYFUNCTION("""COMPUTED_VALUE"""),"Hybrid Working Environment with less than 10 days a month at office")</f>
        <v>Hybrid Working Environment with less than 10 days a month at office</v>
      </c>
      <c r="L109" s="1" t="str">
        <f ca="1">IFERROR(__xludf.DUMMYFUNCTION("""COMPUTED_VALUE"""),"Employer who pushes your limits by enabling an learning environment, and rewards you at the end")</f>
        <v>Employer who pushes your limits by enabling an learning environment, and rewards you at the end</v>
      </c>
      <c r="M10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N109" s="4" t="s">
        <v>51</v>
      </c>
      <c r="O109" s="1" t="str">
        <f ca="1">IFERROR(__xludf.DUMMYFUNCTION("""COMPUTED_VALUE"""),"Manager who explains what is expected, sets a goal and helps achieve it")</f>
        <v>Manager who explains what is expected, sets a goal and helps achieve it</v>
      </c>
      <c r="P109" s="1" t="str">
        <f ca="1">IFERROR(__xludf.DUMMYFUNCTION("""COMPUTED_VALUE"""),"Work &lt;=6 People in the Team")</f>
        <v>Work &lt;=6 People in the Team</v>
      </c>
      <c r="Q109" s="1" t="s">
        <v>41</v>
      </c>
      <c r="R109" s="1"/>
    </row>
    <row r="110" spans="1:18" x14ac:dyDescent="0.25">
      <c r="A110" s="2">
        <f ca="1">IFERROR(__xludf.DUMMYFUNCTION("""COMPUTED_VALUE"""),44912.4839661805)</f>
        <v>44912.483966180502</v>
      </c>
      <c r="B110" s="1" t="str">
        <f ca="1">IFERROR(__xludf.DUMMYFUNCTION("""COMPUTED_VALUE"""),"Germany")</f>
        <v>Germany</v>
      </c>
      <c r="C110" s="1">
        <f ca="1">IFERROR(__xludf.DUMMYFUNCTION("""COMPUTED_VALUE"""),83024)</f>
        <v>83024</v>
      </c>
      <c r="D110" s="1" t="str">
        <f ca="1">IFERROR(__xludf.DUMMYFUNCTION("""COMPUTED_VALUE"""),"Male")</f>
        <v>Male</v>
      </c>
      <c r="E110" s="1" t="str">
        <f ca="1">IFERROR(__xludf.DUMMYFUNCTION("""COMPUTED_VALUE"""),"Social Media like LinkedIn")</f>
        <v>Social Media like LinkedIn</v>
      </c>
      <c r="F110" s="1" t="str">
        <f ca="1">IFERROR(__xludf.DUMMYFUNCTION("""COMPUTED_VALUE"""),"Yes, I will earn and do that")</f>
        <v>Yes, I will earn and do that</v>
      </c>
      <c r="G110" s="1" t="str">
        <f ca="1">IFERROR(__xludf.DUMMYFUNCTION("""COMPUTED_VALUE"""),"Will work for 3 years or more")</f>
        <v>Will work for 3 years or more</v>
      </c>
      <c r="H110" s="1" t="str">
        <f ca="1">IFERROR(__xludf.DUMMYFUNCTION("""COMPUTED_VALUE"""),"No")</f>
        <v>No</v>
      </c>
      <c r="I110" s="1" t="str">
        <f ca="1">IFERROR(__xludf.DUMMYFUNCTION("""COMPUTED_VALUE"""),"Will NOT work for them")</f>
        <v>Will NOT work for them</v>
      </c>
      <c r="J110" s="1">
        <f ca="1">IFERROR(__xludf.DUMMYFUNCTION("""COMPUTED_VALUE"""),6)</f>
        <v>6</v>
      </c>
      <c r="K110" s="1" t="str">
        <f ca="1">IFERROR(__xludf.DUMMYFUNCTION("""COMPUTED_VALUE"""),"Hybrid Working Environment with less than 15 days a month at office")</f>
        <v>Hybrid Working Environment with less than 15 days a month at office</v>
      </c>
      <c r="L110" s="1" t="str">
        <f ca="1">IFERROR(__xludf.DUMMYFUNCTION("""COMPUTED_VALUE"""),"Employer who pushes your limits by enabling an learning environment, and rewards you at the end")</f>
        <v>Employer who pushes your limits by enabling an learning environment, and rewards you at the end</v>
      </c>
      <c r="M110"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N110" s="4" t="s">
        <v>54</v>
      </c>
      <c r="O110" s="1" t="str">
        <f ca="1">IFERROR(__xludf.DUMMYFUNCTION("""COMPUTED_VALUE"""),"Manager who clearly describes what she/he needs")</f>
        <v>Manager who clearly describes what she/he needs</v>
      </c>
      <c r="P110" s="1" t="str">
        <f ca="1">IFERROR(__xludf.DUMMYFUNCTION("""COMPUTED_VALUE"""),"Work Alone, &lt;67 people in team")</f>
        <v>Work Alone, &lt;67 people in team</v>
      </c>
      <c r="Q110" s="1" t="s">
        <v>40</v>
      </c>
      <c r="R110" s="1"/>
    </row>
    <row r="111" spans="1:18" x14ac:dyDescent="0.25">
      <c r="A111" s="2">
        <f ca="1">IFERROR(__xludf.DUMMYFUNCTION("""COMPUTED_VALUE"""),44912.5313577777)</f>
        <v>44912.531357777698</v>
      </c>
      <c r="B111" s="1" t="str">
        <f ca="1">IFERROR(__xludf.DUMMYFUNCTION("""COMPUTED_VALUE"""),"India")</f>
        <v>India</v>
      </c>
      <c r="C111" s="1">
        <f ca="1">IFERROR(__xludf.DUMMYFUNCTION("""COMPUTED_VALUE"""),474009)</f>
        <v>474009</v>
      </c>
      <c r="D111" s="1" t="str">
        <f ca="1">IFERROR(__xludf.DUMMYFUNCTION("""COMPUTED_VALUE"""),"Male")</f>
        <v>Male</v>
      </c>
      <c r="E111" s="1" t="str">
        <f ca="1">IFERROR(__xludf.DUMMYFUNCTION("""COMPUTED_VALUE"""),"People who have changed the world for better")</f>
        <v>People who have changed the world for better</v>
      </c>
      <c r="F111" s="1" t="str">
        <f ca="1">IFERROR(__xludf.DUMMYFUNCTION("""COMPUTED_VALUE"""),"No, But if someone could bare the cost I will")</f>
        <v>No, But if someone could bare the cost I will</v>
      </c>
      <c r="G111" s="1" t="str">
        <f ca="1">IFERROR(__xludf.DUMMYFUNCTION("""COMPUTED_VALUE"""),"This will be hard to do, but if it is the right company I would try")</f>
        <v>This will be hard to do, but if it is the right company I would try</v>
      </c>
      <c r="H111" s="1" t="str">
        <f ca="1">IFERROR(__xludf.DUMMYFUNCTION("""COMPUTED_VALUE"""),"No")</f>
        <v>No</v>
      </c>
      <c r="I111" s="1" t="str">
        <f ca="1">IFERROR(__xludf.DUMMYFUNCTION("""COMPUTED_VALUE"""),"Will NOT work for them")</f>
        <v>Will NOT work for them</v>
      </c>
      <c r="J111" s="1">
        <f ca="1">IFERROR(__xludf.DUMMYFUNCTION("""COMPUTED_VALUE"""),7)</f>
        <v>7</v>
      </c>
      <c r="K111" s="1" t="str">
        <f ca="1">IFERROR(__xludf.DUMMYFUNCTION("""COMPUTED_VALUE"""),"Hybrid Working Environment with less than 15 days a month at office")</f>
        <v>Hybrid Working Environment with less than 15 days a month at office</v>
      </c>
      <c r="L111" s="1" t="str">
        <f ca="1">IFERROR(__xludf.DUMMYFUNCTION("""COMPUTED_VALUE"""),"Employer who pushes your limits by enabling an learning environment, and rewards you at the end")</f>
        <v>Employer who pushes your limits by enabling an learning environment, and rewards you at the end</v>
      </c>
      <c r="M111" s="1" t="str">
        <f ca="1">IFERROR(__xludf.DUMMYFUNCTION("""COMPUTED_VALUE"""),"Build and develop a Team, Design and Develop amazing software, Look deeply into Data and generate insights")</f>
        <v>Build and develop a Team, Design and Develop amazing software, Look deeply into Data and generate insights</v>
      </c>
      <c r="N111" s="4" t="s">
        <v>52</v>
      </c>
      <c r="O111" s="1" t="str">
        <f ca="1">IFERROR(__xludf.DUMMYFUNCTION("""COMPUTED_VALUE"""),"Manager who explains what is expected, sets a goal and helps achieve it")</f>
        <v>Manager who explains what is expected, sets a goal and helps achieve it</v>
      </c>
      <c r="P111" s="1" t="str">
        <f ca="1">IFERROR(__xludf.DUMMYFUNCTION("""COMPUTED_VALUE"""),"Work &lt;=6 People in the Team")</f>
        <v>Work &lt;=6 People in the Team</v>
      </c>
      <c r="Q111" s="1" t="s">
        <v>42</v>
      </c>
      <c r="R111" s="1"/>
    </row>
    <row r="112" spans="1:18" x14ac:dyDescent="0.25">
      <c r="A112" s="2">
        <f ca="1">IFERROR(__xludf.DUMMYFUNCTION("""COMPUTED_VALUE"""),44912.5355464004)</f>
        <v>44912.535546400402</v>
      </c>
      <c r="B112" s="1" t="str">
        <f ca="1">IFERROR(__xludf.DUMMYFUNCTION("""COMPUTED_VALUE"""),"India")</f>
        <v>India</v>
      </c>
      <c r="C112" s="1">
        <f ca="1">IFERROR(__xludf.DUMMYFUNCTION("""COMPUTED_VALUE"""),400101)</f>
        <v>400101</v>
      </c>
      <c r="D112" s="1" t="str">
        <f ca="1">IFERROR(__xludf.DUMMYFUNCTION("""COMPUTED_VALUE"""),"Female")</f>
        <v>Female</v>
      </c>
      <c r="E112" s="1" t="str">
        <f ca="1">IFERROR(__xludf.DUMMYFUNCTION("""COMPUTED_VALUE"""),"My Parents")</f>
        <v>My Parents</v>
      </c>
      <c r="F112" s="1" t="str">
        <f ca="1">IFERROR(__xludf.DUMMYFUNCTION("""COMPUTED_VALUE"""),"No, But if someone could bare the cost I will")</f>
        <v>No, But if someone could bare the cost I will</v>
      </c>
      <c r="G112" s="1" t="str">
        <f ca="1">IFERROR(__xludf.DUMMYFUNCTION("""COMPUTED_VALUE"""),"Will work for 3 years or more")</f>
        <v>Will work for 3 years or more</v>
      </c>
      <c r="H112" s="1" t="str">
        <f ca="1">IFERROR(__xludf.DUMMYFUNCTION("""COMPUTED_VALUE"""),"No")</f>
        <v>No</v>
      </c>
      <c r="I112" s="1" t="str">
        <f ca="1">IFERROR(__xludf.DUMMYFUNCTION("""COMPUTED_VALUE"""),"Will NOT work for them")</f>
        <v>Will NOT work for them</v>
      </c>
      <c r="J112" s="1">
        <f ca="1">IFERROR(__xludf.DUMMYFUNCTION("""COMPUTED_VALUE"""),5)</f>
        <v>5</v>
      </c>
      <c r="K112" s="1" t="str">
        <f ca="1">IFERROR(__xludf.DUMMYFUNCTION("""COMPUTED_VALUE"""),"Hybrid Working Environment with less than 10 days a month at office")</f>
        <v>Hybrid Working Environment with less than 10 days a month at office</v>
      </c>
      <c r="L112" s="1" t="str">
        <f ca="1">IFERROR(__xludf.DUMMYFUNCTION("""COMPUTED_VALUE"""),"Employer who appreciates learning and enables that environment")</f>
        <v>Employer who appreciates learning and enables that environment</v>
      </c>
      <c r="M112"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N112" s="4" t="s">
        <v>54</v>
      </c>
      <c r="O112" s="1" t="str">
        <f ca="1">IFERROR(__xludf.DUMMYFUNCTION("""COMPUTED_VALUE"""),"Manager who sets targets and expects me to achieve it")</f>
        <v>Manager who sets targets and expects me to achieve it</v>
      </c>
      <c r="P112" s="1" t="str">
        <f ca="1">IFERROR(__xludf.DUMMYFUNCTION("""COMPUTED_VALUE"""),"Work Alone, &lt;=6 in team")</f>
        <v>Work Alone, &lt;=6 in team</v>
      </c>
      <c r="Q112" s="1" t="s">
        <v>42</v>
      </c>
      <c r="R112" s="1"/>
    </row>
    <row r="113" spans="1:18" x14ac:dyDescent="0.25">
      <c r="A113" s="2">
        <f ca="1">IFERROR(__xludf.DUMMYFUNCTION("""COMPUTED_VALUE"""),44912.5369905902)</f>
        <v>44912.536990590197</v>
      </c>
      <c r="B113" s="1" t="str">
        <f ca="1">IFERROR(__xludf.DUMMYFUNCTION("""COMPUTED_VALUE"""),"India")</f>
        <v>India</v>
      </c>
      <c r="C113" s="1">
        <f ca="1">IFERROR(__xludf.DUMMYFUNCTION("""COMPUTED_VALUE"""),560090)</f>
        <v>560090</v>
      </c>
      <c r="D113" s="1" t="str">
        <f ca="1">IFERROR(__xludf.DUMMYFUNCTION("""COMPUTED_VALUE"""),"Female")</f>
        <v>Female</v>
      </c>
      <c r="E113" s="1" t="str">
        <f ca="1">IFERROR(__xludf.DUMMYFUNCTION("""COMPUTED_VALUE"""),"My Parents")</f>
        <v>My Parents</v>
      </c>
      <c r="F113" s="1" t="str">
        <f ca="1">IFERROR(__xludf.DUMMYFUNCTION("""COMPUTED_VALUE"""),"Yes, I will earn and do that")</f>
        <v>Yes, I will earn and do that</v>
      </c>
      <c r="G113" s="1" t="str">
        <f ca="1">IFERROR(__xludf.DUMMYFUNCTION("""COMPUTED_VALUE"""),"Will work for 3 years or more")</f>
        <v>Will work for 3 years or more</v>
      </c>
      <c r="H113" s="1" t="str">
        <f ca="1">IFERROR(__xludf.DUMMYFUNCTION("""COMPUTED_VALUE"""),"No")</f>
        <v>No</v>
      </c>
      <c r="I113" s="1" t="str">
        <f ca="1">IFERROR(__xludf.DUMMYFUNCTION("""COMPUTED_VALUE"""),"Will NOT work for them")</f>
        <v>Will NOT work for them</v>
      </c>
      <c r="J113" s="1">
        <f ca="1">IFERROR(__xludf.DUMMYFUNCTION("""COMPUTED_VALUE"""),4)</f>
        <v>4</v>
      </c>
      <c r="K113" s="1" t="str">
        <f ca="1">IFERROR(__xludf.DUMMYFUNCTION("""COMPUTED_VALUE"""),"Hybrid Working Environment with less than 15 days a month at office")</f>
        <v>Hybrid Working Environment with less than 15 days a month at office</v>
      </c>
      <c r="L113" s="1" t="str">
        <f ca="1">IFERROR(__xludf.DUMMYFUNCTION("""COMPUTED_VALUE"""),"Employer who rewards learning and enables that environment")</f>
        <v>Employer who rewards learning and enables that environment</v>
      </c>
      <c r="M11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13" s="4" t="s">
        <v>51</v>
      </c>
      <c r="O113" s="1" t="str">
        <f ca="1">IFERROR(__xludf.DUMMYFUNCTION("""COMPUTED_VALUE"""),"Manager who clearly describes what she/he needs")</f>
        <v>Manager who clearly describes what she/he needs</v>
      </c>
      <c r="P113" s="1" t="str">
        <f ca="1">IFERROR(__xludf.DUMMYFUNCTION("""COMPUTED_VALUE"""),"Work &lt;=6 People in the Team")</f>
        <v>Work &lt;=6 People in the Team</v>
      </c>
      <c r="Q113" s="1" t="s">
        <v>40</v>
      </c>
      <c r="R113" s="1"/>
    </row>
    <row r="114" spans="1:18" x14ac:dyDescent="0.25">
      <c r="A114" s="2">
        <f ca="1">IFERROR(__xludf.DUMMYFUNCTION("""COMPUTED_VALUE"""),44912.5650412615)</f>
        <v>44912.5650412615</v>
      </c>
      <c r="B114" s="1" t="str">
        <f ca="1">IFERROR(__xludf.DUMMYFUNCTION("""COMPUTED_VALUE"""),"India")</f>
        <v>India</v>
      </c>
      <c r="C114" s="1">
        <f ca="1">IFERROR(__xludf.DUMMYFUNCTION("""COMPUTED_VALUE"""),380015)</f>
        <v>380015</v>
      </c>
      <c r="D114" s="1" t="str">
        <f ca="1">IFERROR(__xludf.DUMMYFUNCTION("""COMPUTED_VALUE"""),"Male")</f>
        <v>Male</v>
      </c>
      <c r="E114" s="1" t="str">
        <f ca="1">IFERROR(__xludf.DUMMYFUNCTION("""COMPUTED_VALUE"""),"Influencers who had successful careers")</f>
        <v>Influencers who had successful careers</v>
      </c>
      <c r="F114" s="1" t="str">
        <f ca="1">IFERROR(__xludf.DUMMYFUNCTION("""COMPUTED_VALUE"""),"No I would not be pursuing Higher Education outside of India")</f>
        <v>No I would not be pursuing Higher Education outside of India</v>
      </c>
      <c r="G114" s="1" t="str">
        <f ca="1">IFERROR(__xludf.DUMMYFUNCTION("""COMPUTED_VALUE"""),"Will work for 3 years or more")</f>
        <v>Will work for 3 years or more</v>
      </c>
      <c r="H114" s="1" t="str">
        <f ca="1">IFERROR(__xludf.DUMMYFUNCTION("""COMPUTED_VALUE"""),"Yes")</f>
        <v>Yes</v>
      </c>
      <c r="I114" s="1" t="str">
        <f ca="1">IFERROR(__xludf.DUMMYFUNCTION("""COMPUTED_VALUE"""),"Will work for them")</f>
        <v>Will work for them</v>
      </c>
      <c r="J114" s="1">
        <f ca="1">IFERROR(__xludf.DUMMYFUNCTION("""COMPUTED_VALUE"""),6)</f>
        <v>6</v>
      </c>
      <c r="K114" s="1" t="str">
        <f ca="1">IFERROR(__xludf.DUMMYFUNCTION("""COMPUTED_VALUE"""),"Hybrid Working Environment with less than 10 days a month at office")</f>
        <v>Hybrid Working Environment with less than 10 days a month at office</v>
      </c>
      <c r="L114" s="1" t="str">
        <f ca="1">IFERROR(__xludf.DUMMYFUNCTION("""COMPUTED_VALUE"""),"Employer who pushes your limits by enabling an learning environment, and rewards you at the end")</f>
        <v>Employer who pushes your limits by enabling an learning environment, and rewards you at the end</v>
      </c>
      <c r="M114"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N114" s="4" t="s">
        <v>48</v>
      </c>
      <c r="O114" s="1" t="str">
        <f ca="1">IFERROR(__xludf.DUMMYFUNCTION("""COMPUTED_VALUE"""),"Manager who explains what is expected, sets a goal and helps achieve it")</f>
        <v>Manager who explains what is expected, sets a goal and helps achieve it</v>
      </c>
      <c r="P114" s="1" t="str">
        <f ca="1">IFERROR(__xludf.DUMMYFUNCTION("""COMPUTED_VALUE"""),"Work &lt;=6 People in the Team")</f>
        <v>Work &lt;=6 People in the Team</v>
      </c>
      <c r="Q114" s="1" t="s">
        <v>40</v>
      </c>
      <c r="R114" s="1"/>
    </row>
    <row r="115" spans="1:18" x14ac:dyDescent="0.25">
      <c r="A115" s="2">
        <f ca="1">IFERROR(__xludf.DUMMYFUNCTION("""COMPUTED_VALUE"""),44912.578345949)</f>
        <v>44912.578345948998</v>
      </c>
      <c r="B115" s="1" t="str">
        <f ca="1">IFERROR(__xludf.DUMMYFUNCTION("""COMPUTED_VALUE"""),"India")</f>
        <v>India</v>
      </c>
      <c r="C115" s="1">
        <f ca="1">IFERROR(__xludf.DUMMYFUNCTION("""COMPUTED_VALUE"""),700111)</f>
        <v>700111</v>
      </c>
      <c r="D115" s="1" t="str">
        <f ca="1">IFERROR(__xludf.DUMMYFUNCTION("""COMPUTED_VALUE"""),"Male")</f>
        <v>Male</v>
      </c>
      <c r="E115" s="1" t="str">
        <f ca="1">IFERROR(__xludf.DUMMYFUNCTION("""COMPUTED_VALUE"""),"My Parents")</f>
        <v>My Parents</v>
      </c>
      <c r="F115" s="1" t="str">
        <f ca="1">IFERROR(__xludf.DUMMYFUNCTION("""COMPUTED_VALUE"""),"No, But if someone could bare the cost I will")</f>
        <v>No, But if someone could bare the cost I will</v>
      </c>
      <c r="G115" s="1" t="str">
        <f ca="1">IFERROR(__xludf.DUMMYFUNCTION("""COMPUTED_VALUE"""),"This will be hard to do, but if it is the right company I would try")</f>
        <v>This will be hard to do, but if it is the right company I would try</v>
      </c>
      <c r="H115" s="1" t="str">
        <f ca="1">IFERROR(__xludf.DUMMYFUNCTION("""COMPUTED_VALUE"""),"No")</f>
        <v>No</v>
      </c>
      <c r="I115" s="1" t="str">
        <f ca="1">IFERROR(__xludf.DUMMYFUNCTION("""COMPUTED_VALUE"""),"Will NOT work for them")</f>
        <v>Will NOT work for them</v>
      </c>
      <c r="J115" s="1">
        <f ca="1">IFERROR(__xludf.DUMMYFUNCTION("""COMPUTED_VALUE"""),5)</f>
        <v>5</v>
      </c>
      <c r="K115" s="1" t="str">
        <f ca="1">IFERROR(__xludf.DUMMYFUNCTION("""COMPUTED_VALUE"""),"Hybrid Working Environment with less than 15 days a month at office")</f>
        <v>Hybrid Working Environment with less than 15 days a month at office</v>
      </c>
      <c r="L115" s="1" t="str">
        <f ca="1">IFERROR(__xludf.DUMMYFUNCTION("""COMPUTED_VALUE"""),"Employer who pushes your limits by enabling an learning environment, and rewards you at the end")</f>
        <v>Employer who pushes your limits by enabling an learning environment, and rewards you at the end</v>
      </c>
      <c r="M115"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N115" s="4" t="s">
        <v>51</v>
      </c>
      <c r="O115" s="1" t="str">
        <f ca="1">IFERROR(__xludf.DUMMYFUNCTION("""COMPUTED_VALUE"""),"Manager who explains what is expected, sets a goal and helps achieve it")</f>
        <v>Manager who explains what is expected, sets a goal and helps achieve it</v>
      </c>
      <c r="P115" s="1" t="str">
        <f ca="1">IFERROR(__xludf.DUMMYFUNCTION("""COMPUTED_VALUE"""),"Work Alone, &lt;67 people in team")</f>
        <v>Work Alone, &lt;67 people in team</v>
      </c>
      <c r="Q115" s="1" t="s">
        <v>41</v>
      </c>
      <c r="R115" s="1"/>
    </row>
    <row r="116" spans="1:18" x14ac:dyDescent="0.25">
      <c r="A116" s="2">
        <f ca="1">IFERROR(__xludf.DUMMYFUNCTION("""COMPUTED_VALUE"""),44912.578838854)</f>
        <v>44912.578838854002</v>
      </c>
      <c r="B116" s="1" t="str">
        <f ca="1">IFERROR(__xludf.DUMMYFUNCTION("""COMPUTED_VALUE"""),"India")</f>
        <v>India</v>
      </c>
      <c r="C116" s="1">
        <f ca="1">IFERROR(__xludf.DUMMYFUNCTION("""COMPUTED_VALUE"""),281001)</f>
        <v>281001</v>
      </c>
      <c r="D116" s="1" t="str">
        <f ca="1">IFERROR(__xludf.DUMMYFUNCTION("""COMPUTED_VALUE"""),"Female")</f>
        <v>Female</v>
      </c>
      <c r="E116" s="1" t="str">
        <f ca="1">IFERROR(__xludf.DUMMYFUNCTION("""COMPUTED_VALUE"""),"People who have changed the world for better")</f>
        <v>People who have changed the world for better</v>
      </c>
      <c r="F116" s="1" t="str">
        <f ca="1">IFERROR(__xludf.DUMMYFUNCTION("""COMPUTED_VALUE"""),"Yes, I will earn and do that")</f>
        <v>Yes, I will earn and do that</v>
      </c>
      <c r="G116" s="1" t="str">
        <f ca="1">IFERROR(__xludf.DUMMYFUNCTION("""COMPUTED_VALUE"""),"Will work for 3 years or more")</f>
        <v>Will work for 3 years or more</v>
      </c>
      <c r="H116" s="1" t="str">
        <f ca="1">IFERROR(__xludf.DUMMYFUNCTION("""COMPUTED_VALUE"""),"No")</f>
        <v>No</v>
      </c>
      <c r="I116" s="1" t="str">
        <f ca="1">IFERROR(__xludf.DUMMYFUNCTION("""COMPUTED_VALUE"""),"Will NOT work for them")</f>
        <v>Will NOT work for them</v>
      </c>
      <c r="J116" s="1">
        <f ca="1">IFERROR(__xludf.DUMMYFUNCTION("""COMPUTED_VALUE"""),8)</f>
        <v>8</v>
      </c>
      <c r="K116" s="1" t="str">
        <f ca="1">IFERROR(__xludf.DUMMYFUNCTION("""COMPUTED_VALUE"""),"Fully Remote with Options to travel as and when needed")</f>
        <v>Fully Remote with Options to travel as and when needed</v>
      </c>
      <c r="L116" s="1" t="str">
        <f ca="1">IFERROR(__xludf.DUMMYFUNCTION("""COMPUTED_VALUE"""),"Employer who pushes your limits by enabling an learning environment, and rewards you at the end")</f>
        <v>Employer who pushes your limits by enabling an learning environment, and rewards you at the end</v>
      </c>
      <c r="M116"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N116" s="4" t="s">
        <v>48</v>
      </c>
      <c r="O116" s="1" t="str">
        <f ca="1">IFERROR(__xludf.DUMMYFUNCTION("""COMPUTED_VALUE"""),"Manager who explains what is expected, sets a goal and helps achieve it")</f>
        <v>Manager who explains what is expected, sets a goal and helps achieve it</v>
      </c>
      <c r="P116" s="1" t="str">
        <f ca="1">IFERROR(__xludf.DUMMYFUNCTION("""COMPUTED_VALUE"""),"Work &lt;=6 People in the Team")</f>
        <v>Work &lt;=6 People in the Team</v>
      </c>
      <c r="Q116" s="1" t="s">
        <v>40</v>
      </c>
      <c r="R116" s="1"/>
    </row>
    <row r="117" spans="1:18" x14ac:dyDescent="0.25">
      <c r="A117" s="2">
        <f ca="1">IFERROR(__xludf.DUMMYFUNCTION("""COMPUTED_VALUE"""),44912.5865962152)</f>
        <v>44912.586596215202</v>
      </c>
      <c r="B117" s="1" t="str">
        <f ca="1">IFERROR(__xludf.DUMMYFUNCTION("""COMPUTED_VALUE"""),"India")</f>
        <v>India</v>
      </c>
      <c r="C117" s="1">
        <f ca="1">IFERROR(__xludf.DUMMYFUNCTION("""COMPUTED_VALUE"""),517112)</f>
        <v>517112</v>
      </c>
      <c r="D117" s="1" t="str">
        <f ca="1">IFERROR(__xludf.DUMMYFUNCTION("""COMPUTED_VALUE"""),"Male")</f>
        <v>Male</v>
      </c>
      <c r="E117" s="1" t="str">
        <f ca="1">IFERROR(__xludf.DUMMYFUNCTION("""COMPUTED_VALUE"""),"My Parents")</f>
        <v>My Parents</v>
      </c>
      <c r="F117" s="1" t="str">
        <f ca="1">IFERROR(__xludf.DUMMYFUNCTION("""COMPUTED_VALUE"""),"No, But if someone could bare the cost I will")</f>
        <v>No, But if someone could bare the cost I will</v>
      </c>
      <c r="G117" s="1" t="str">
        <f ca="1">IFERROR(__xludf.DUMMYFUNCTION("""COMPUTED_VALUE"""),"This will be hard to do, but if it is the right company I would try")</f>
        <v>This will be hard to do, but if it is the right company I would try</v>
      </c>
      <c r="H117" s="1" t="str">
        <f ca="1">IFERROR(__xludf.DUMMYFUNCTION("""COMPUTED_VALUE"""),"No")</f>
        <v>No</v>
      </c>
      <c r="I117" s="1" t="str">
        <f ca="1">IFERROR(__xludf.DUMMYFUNCTION("""COMPUTED_VALUE"""),"Will NOT work for them")</f>
        <v>Will NOT work for them</v>
      </c>
      <c r="J117" s="1">
        <f ca="1">IFERROR(__xludf.DUMMYFUNCTION("""COMPUTED_VALUE"""),5)</f>
        <v>5</v>
      </c>
      <c r="K117" s="1" t="str">
        <f ca="1">IFERROR(__xludf.DUMMYFUNCTION("""COMPUTED_VALUE"""),"Hybrid Working Environment with less than 15 days a month at office")</f>
        <v>Hybrid Working Environment with less than 15 days a month at office</v>
      </c>
      <c r="L117" s="1" t="str">
        <f ca="1">IFERROR(__xludf.DUMMYFUNCTION("""COMPUTED_VALUE"""),"Employer who pushes your limits by enabling an learning environment, and rewards you at the end")</f>
        <v>Employer who pushes your limits by enabling an learning environment, and rewards you at the end</v>
      </c>
      <c r="M11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117" s="4" t="s">
        <v>51</v>
      </c>
      <c r="O117" s="1" t="str">
        <f ca="1">IFERROR(__xludf.DUMMYFUNCTION("""COMPUTED_VALUE"""),"Manager who clearly describes what she/he needs")</f>
        <v>Manager who clearly describes what she/he needs</v>
      </c>
      <c r="P117" s="1" t="str">
        <f ca="1">IFERROR(__xludf.DUMMYFUNCTION("""COMPUTED_VALUE"""),"Work &lt;=6 People in the Team")</f>
        <v>Work &lt;=6 People in the Team</v>
      </c>
      <c r="Q117" s="1" t="s">
        <v>40</v>
      </c>
      <c r="R117" s="1"/>
    </row>
    <row r="118" spans="1:18" x14ac:dyDescent="0.25">
      <c r="A118" s="2">
        <f ca="1">IFERROR(__xludf.DUMMYFUNCTION("""COMPUTED_VALUE"""),44912.5963452546)</f>
        <v>44912.596345254598</v>
      </c>
      <c r="B118" s="1" t="str">
        <f ca="1">IFERROR(__xludf.DUMMYFUNCTION("""COMPUTED_VALUE"""),"India")</f>
        <v>India</v>
      </c>
      <c r="C118" s="1">
        <f ca="1">IFERROR(__xludf.DUMMYFUNCTION("""COMPUTED_VALUE"""),711315)</f>
        <v>711315</v>
      </c>
      <c r="D118" s="1" t="str">
        <f ca="1">IFERROR(__xludf.DUMMYFUNCTION("""COMPUTED_VALUE"""),"Male")</f>
        <v>Male</v>
      </c>
      <c r="E118" s="1" t="str">
        <f ca="1">IFERROR(__xludf.DUMMYFUNCTION("""COMPUTED_VALUE"""),"My Parents")</f>
        <v>My Parents</v>
      </c>
      <c r="F118" s="1" t="str">
        <f ca="1">IFERROR(__xludf.DUMMYFUNCTION("""COMPUTED_VALUE"""),"No, But if someone could bare the cost I will")</f>
        <v>No, But if someone could bare the cost I will</v>
      </c>
      <c r="G118" s="1" t="str">
        <f ca="1">IFERROR(__xludf.DUMMYFUNCTION("""COMPUTED_VALUE"""),"This will be hard to do, but if it is the right company I would try")</f>
        <v>This will be hard to do, but if it is the right company I would try</v>
      </c>
      <c r="H118" s="1" t="str">
        <f ca="1">IFERROR(__xludf.DUMMYFUNCTION("""COMPUTED_VALUE"""),"Yes")</f>
        <v>Yes</v>
      </c>
      <c r="I118" s="1" t="str">
        <f ca="1">IFERROR(__xludf.DUMMYFUNCTION("""COMPUTED_VALUE"""),"Will work for them")</f>
        <v>Will work for them</v>
      </c>
      <c r="J118" s="1">
        <f ca="1">IFERROR(__xludf.DUMMYFUNCTION("""COMPUTED_VALUE"""),8)</f>
        <v>8</v>
      </c>
      <c r="K118" s="1" t="str">
        <f ca="1">IFERROR(__xludf.DUMMYFUNCTION("""COMPUTED_VALUE"""),"Fully Remote with Options to travel as and when needed")</f>
        <v>Fully Remote with Options to travel as and when needed</v>
      </c>
      <c r="L118" s="1" t="str">
        <f ca="1">IFERROR(__xludf.DUMMYFUNCTION("""COMPUTED_VALUE"""),"Employer who pushes your limits by enabling an learning environment, and rewards you at the end")</f>
        <v>Employer who pushes your limits by enabling an learning environment, and rewards you at the end</v>
      </c>
      <c r="M11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118" s="4" t="s">
        <v>50</v>
      </c>
      <c r="O118" s="1" t="str">
        <f ca="1">IFERROR(__xludf.DUMMYFUNCTION("""COMPUTED_VALUE"""),"Manager who explains what is expected, sets a goal and helps achieve it")</f>
        <v>Manager who explains what is expected, sets a goal and helps achieve it</v>
      </c>
      <c r="P118" s="1" t="str">
        <f ca="1">IFERROR(__xludf.DUMMYFUNCTION("""COMPUTED_VALUE"""),"Work &lt;=6 People in the Team")</f>
        <v>Work &lt;=6 People in the Team</v>
      </c>
      <c r="Q118" s="1" t="s">
        <v>40</v>
      </c>
      <c r="R118" s="1"/>
    </row>
    <row r="119" spans="1:18" x14ac:dyDescent="0.25">
      <c r="A119" s="2">
        <f ca="1">IFERROR(__xludf.DUMMYFUNCTION("""COMPUTED_VALUE"""),44912.5989569791)</f>
        <v>44912.598956979098</v>
      </c>
      <c r="B119" s="1" t="str">
        <f ca="1">IFERROR(__xludf.DUMMYFUNCTION("""COMPUTED_VALUE"""),"India")</f>
        <v>India</v>
      </c>
      <c r="C119" s="1">
        <f ca="1">IFERROR(__xludf.DUMMYFUNCTION("""COMPUTED_VALUE"""),400012)</f>
        <v>400012</v>
      </c>
      <c r="D119" s="1" t="str">
        <f ca="1">IFERROR(__xludf.DUMMYFUNCTION("""COMPUTED_VALUE"""),"Male")</f>
        <v>Male</v>
      </c>
      <c r="E119" s="1" t="str">
        <f ca="1">IFERROR(__xludf.DUMMYFUNCTION("""COMPUTED_VALUE"""),"My Parents")</f>
        <v>My Parents</v>
      </c>
      <c r="F119" s="1" t="str">
        <f ca="1">IFERROR(__xludf.DUMMYFUNCTION("""COMPUTED_VALUE"""),"No I would not be pursuing Higher Education outside of India")</f>
        <v>No I would not be pursuing Higher Education outside of India</v>
      </c>
      <c r="G119" s="1" t="str">
        <f ca="1">IFERROR(__xludf.DUMMYFUNCTION("""COMPUTED_VALUE"""),"Will work for 3 years or more")</f>
        <v>Will work for 3 years or more</v>
      </c>
      <c r="H119" s="1" t="str">
        <f ca="1">IFERROR(__xludf.DUMMYFUNCTION("""COMPUTED_VALUE"""),"No")</f>
        <v>No</v>
      </c>
      <c r="I119" s="1" t="str">
        <f ca="1">IFERROR(__xludf.DUMMYFUNCTION("""COMPUTED_VALUE"""),"Will NOT work for them")</f>
        <v>Will NOT work for them</v>
      </c>
      <c r="J119" s="1">
        <f ca="1">IFERROR(__xludf.DUMMYFUNCTION("""COMPUTED_VALUE"""),8)</f>
        <v>8</v>
      </c>
      <c r="K119" s="1" t="str">
        <f ca="1">IFERROR(__xludf.DUMMYFUNCTION("""COMPUTED_VALUE"""),"Hybrid Working Environment with less than 15 days a month at office")</f>
        <v>Hybrid Working Environment with less than 15 days a month at office</v>
      </c>
      <c r="L119" s="1" t="str">
        <f ca="1">IFERROR(__xludf.DUMMYFUNCTION("""COMPUTED_VALUE"""),"Employer who appreciates learning and enables that environment")</f>
        <v>Employer who appreciates learning and enables that environment</v>
      </c>
      <c r="M11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N119" s="4" t="s">
        <v>48</v>
      </c>
      <c r="O119" s="1" t="str">
        <f ca="1">IFERROR(__xludf.DUMMYFUNCTION("""COMPUTED_VALUE"""),"Manager who clearly describes what she/he needs")</f>
        <v>Manager who clearly describes what she/he needs</v>
      </c>
      <c r="P119" s="1" t="str">
        <f ca="1">IFERROR(__xludf.DUMMYFUNCTION("""COMPUTED_VALUE"""),"Work &lt;=6 People in the Team")</f>
        <v>Work &lt;=6 People in the Team</v>
      </c>
      <c r="Q119" s="1" t="s">
        <v>40</v>
      </c>
      <c r="R119" s="1"/>
    </row>
    <row r="120" spans="1:18" x14ac:dyDescent="0.25">
      <c r="A120" s="2">
        <f ca="1">IFERROR(__xludf.DUMMYFUNCTION("""COMPUTED_VALUE"""),44912.610390324)</f>
        <v>44912.610390324</v>
      </c>
      <c r="B120" s="1" t="str">
        <f ca="1">IFERROR(__xludf.DUMMYFUNCTION("""COMPUTED_VALUE"""),"India")</f>
        <v>India</v>
      </c>
      <c r="C120" s="1">
        <f ca="1">IFERROR(__xludf.DUMMYFUNCTION("""COMPUTED_VALUE"""),500072)</f>
        <v>500072</v>
      </c>
      <c r="D120" s="1" t="str">
        <f ca="1">IFERROR(__xludf.DUMMYFUNCTION("""COMPUTED_VALUE"""),"Male")</f>
        <v>Male</v>
      </c>
      <c r="E120" s="1" t="str">
        <f ca="1">IFERROR(__xludf.DUMMYFUNCTION("""COMPUTED_VALUE"""),"People from my circle, but not family members")</f>
        <v>People from my circle, but not family members</v>
      </c>
      <c r="F120" s="1" t="str">
        <f ca="1">IFERROR(__xludf.DUMMYFUNCTION("""COMPUTED_VALUE"""),"No, But if someone could bare the cost I will")</f>
        <v>No, But if someone could bare the cost I will</v>
      </c>
      <c r="G120" s="1" t="str">
        <f ca="1">IFERROR(__xludf.DUMMYFUNCTION("""COMPUTED_VALUE"""),"This will be hard to do, but if it is the right company I would try")</f>
        <v>This will be hard to do, but if it is the right company I would try</v>
      </c>
      <c r="H120" s="1" t="str">
        <f ca="1">IFERROR(__xludf.DUMMYFUNCTION("""COMPUTED_VALUE"""),"No")</f>
        <v>No</v>
      </c>
      <c r="I120" s="1" t="str">
        <f ca="1">IFERROR(__xludf.DUMMYFUNCTION("""COMPUTED_VALUE"""),"Will NOT work for them")</f>
        <v>Will NOT work for them</v>
      </c>
      <c r="J120" s="1">
        <f ca="1">IFERROR(__xludf.DUMMYFUNCTION("""COMPUTED_VALUE"""),6)</f>
        <v>6</v>
      </c>
      <c r="K120" s="1" t="str">
        <f ca="1">IFERROR(__xludf.DUMMYFUNCTION("""COMPUTED_VALUE"""),"Fully Remote with Options to travel as and when needed")</f>
        <v>Fully Remote with Options to travel as and when needed</v>
      </c>
      <c r="L120" s="1" t="str">
        <f ca="1">IFERROR(__xludf.DUMMYFUNCTION("""COMPUTED_VALUE"""),"Employer who pushes your limits by enabling an learning environment, and rewards you at the end")</f>
        <v>Employer who pushes your limits by enabling an learning environment, and rewards you at the end</v>
      </c>
      <c r="M12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20" s="4" t="s">
        <v>48</v>
      </c>
      <c r="O120" s="1" t="str">
        <f ca="1">IFERROR(__xludf.DUMMYFUNCTION("""COMPUTED_VALUE"""),"Manager who explains what is expected, sets a goal and helps achieve it")</f>
        <v>Manager who explains what is expected, sets a goal and helps achieve it</v>
      </c>
      <c r="P120" s="1" t="str">
        <f ca="1">IFERROR(__xludf.DUMMYFUNCTION("""COMPUTED_VALUE"""),"Work alone")</f>
        <v>Work alone</v>
      </c>
      <c r="Q120" s="1" t="s">
        <v>41</v>
      </c>
      <c r="R120" s="1"/>
    </row>
    <row r="121" spans="1:18" x14ac:dyDescent="0.25">
      <c r="A121" s="2">
        <f ca="1">IFERROR(__xludf.DUMMYFUNCTION("""COMPUTED_VALUE"""),44912.622110081)</f>
        <v>44912.622110081</v>
      </c>
      <c r="B121" s="1" t="str">
        <f ca="1">IFERROR(__xludf.DUMMYFUNCTION("""COMPUTED_VALUE"""),"India")</f>
        <v>India</v>
      </c>
      <c r="C121" s="1">
        <f ca="1">IFERROR(__xludf.DUMMYFUNCTION("""COMPUTED_VALUE"""),380015)</f>
        <v>380015</v>
      </c>
      <c r="D121" s="1" t="str">
        <f ca="1">IFERROR(__xludf.DUMMYFUNCTION("""COMPUTED_VALUE"""),"Female")</f>
        <v>Female</v>
      </c>
      <c r="E121" s="1" t="str">
        <f ca="1">IFERROR(__xludf.DUMMYFUNCTION("""COMPUTED_VALUE"""),"My Parents")</f>
        <v>My Parents</v>
      </c>
      <c r="F121" s="1" t="str">
        <f ca="1">IFERROR(__xludf.DUMMYFUNCTION("""COMPUTED_VALUE"""),"Yes, I will earn and do that")</f>
        <v>Yes, I will earn and do that</v>
      </c>
      <c r="G121" s="1" t="str">
        <f ca="1">IFERROR(__xludf.DUMMYFUNCTION("""COMPUTED_VALUE"""),"This will be hard to do, but if it is the right company I would try")</f>
        <v>This will be hard to do, but if it is the right company I would try</v>
      </c>
      <c r="H121" s="1" t="str">
        <f ca="1">IFERROR(__xludf.DUMMYFUNCTION("""COMPUTED_VALUE"""),"Yes")</f>
        <v>Yes</v>
      </c>
      <c r="I121" s="1" t="str">
        <f ca="1">IFERROR(__xludf.DUMMYFUNCTION("""COMPUTED_VALUE"""),"Will work for them")</f>
        <v>Will work for them</v>
      </c>
      <c r="J121" s="1">
        <f ca="1">IFERROR(__xludf.DUMMYFUNCTION("""COMPUTED_VALUE"""),8)</f>
        <v>8</v>
      </c>
      <c r="K121" s="1" t="str">
        <f ca="1">IFERROR(__xludf.DUMMYFUNCTION("""COMPUTED_VALUE"""),"Hybrid Working Environment with less than 3 days a month at office")</f>
        <v>Hybrid Working Environment with less than 3 days a month at office</v>
      </c>
      <c r="L121" s="1" t="str">
        <f ca="1">IFERROR(__xludf.DUMMYFUNCTION("""COMPUTED_VALUE"""),"Employer who rewards learning and enables that environment")</f>
        <v>Employer who rewards learning and enables that environment</v>
      </c>
      <c r="M12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N121" s="4" t="s">
        <v>55</v>
      </c>
      <c r="O121" s="1" t="str">
        <f ca="1">IFERROR(__xludf.DUMMYFUNCTION("""COMPUTED_VALUE"""),"Manager who sets goal and helps me achieve it")</f>
        <v>Manager who sets goal and helps me achieve it</v>
      </c>
      <c r="P121" s="1" t="str">
        <f ca="1">IFERROR(__xludf.DUMMYFUNCTION("""COMPUTED_VALUE"""),"Work &gt;10 people in Team")</f>
        <v>Work &gt;10 people in Team</v>
      </c>
      <c r="Q121" s="1" t="s">
        <v>41</v>
      </c>
      <c r="R121" s="1"/>
    </row>
    <row r="122" spans="1:18" x14ac:dyDescent="0.25">
      <c r="A122" s="2">
        <f ca="1">IFERROR(__xludf.DUMMYFUNCTION("""COMPUTED_VALUE"""),44912.6329566203)</f>
        <v>44912.632956620299</v>
      </c>
      <c r="B122" s="1" t="str">
        <f ca="1">IFERROR(__xludf.DUMMYFUNCTION("""COMPUTED_VALUE"""),"India")</f>
        <v>India</v>
      </c>
      <c r="C122" s="1">
        <f ca="1">IFERROR(__xludf.DUMMYFUNCTION("""COMPUTED_VALUE"""),751010)</f>
        <v>751010</v>
      </c>
      <c r="D122" s="1" t="str">
        <f ca="1">IFERROR(__xludf.DUMMYFUNCTION("""COMPUTED_VALUE"""),"Female")</f>
        <v>Female</v>
      </c>
      <c r="E122" s="1" t="str">
        <f ca="1">IFERROR(__xludf.DUMMYFUNCTION("""COMPUTED_VALUE"""),"People from my circle, but not family members")</f>
        <v>People from my circle, but not family members</v>
      </c>
      <c r="F122" s="1" t="str">
        <f ca="1">IFERROR(__xludf.DUMMYFUNCTION("""COMPUTED_VALUE"""),"Yes, I will earn and do that")</f>
        <v>Yes, I will earn and do that</v>
      </c>
      <c r="G122" s="1" t="str">
        <f ca="1">IFERROR(__xludf.DUMMYFUNCTION("""COMPUTED_VALUE"""),"This will be hard to do, but if it is the right company I would try")</f>
        <v>This will be hard to do, but if it is the right company I would try</v>
      </c>
      <c r="H122" s="1" t="str">
        <f ca="1">IFERROR(__xludf.DUMMYFUNCTION("""COMPUTED_VALUE"""),"No")</f>
        <v>No</v>
      </c>
      <c r="I122" s="1" t="str">
        <f ca="1">IFERROR(__xludf.DUMMYFUNCTION("""COMPUTED_VALUE"""),"Will NOT work for them")</f>
        <v>Will NOT work for them</v>
      </c>
      <c r="J122" s="1">
        <f ca="1">IFERROR(__xludf.DUMMYFUNCTION("""COMPUTED_VALUE"""),8)</f>
        <v>8</v>
      </c>
      <c r="K122" s="1" t="str">
        <f ca="1">IFERROR(__xludf.DUMMYFUNCTION("""COMPUTED_VALUE"""),"Hybrid Working Environment with less than 10 days a month at office")</f>
        <v>Hybrid Working Environment with less than 10 days a month at office</v>
      </c>
      <c r="L122" s="1" t="str">
        <f ca="1">IFERROR(__xludf.DUMMYFUNCTION("""COMPUTED_VALUE"""),"Employer who pushes your limits by enabling an learning environment, and rewards you at the end")</f>
        <v>Employer who pushes your limits by enabling an learning environment, and rewards you at the end</v>
      </c>
      <c r="M122"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122" s="4" t="s">
        <v>50</v>
      </c>
      <c r="O122" s="1" t="str">
        <f ca="1">IFERROR(__xludf.DUMMYFUNCTION("""COMPUTED_VALUE"""),"Manager who explains what is expected, sets a goal and helps achieve it")</f>
        <v>Manager who explains what is expected, sets a goal and helps achieve it</v>
      </c>
      <c r="P122" s="1" t="str">
        <f ca="1">IFERROR(__xludf.DUMMYFUNCTION("""COMPUTED_VALUE"""),"Work &lt;=6 People in the Team")</f>
        <v>Work &lt;=6 People in the Team</v>
      </c>
      <c r="Q122" s="1" t="s">
        <v>40</v>
      </c>
      <c r="R122" s="1"/>
    </row>
    <row r="123" spans="1:18" x14ac:dyDescent="0.25">
      <c r="A123" s="2">
        <f ca="1">IFERROR(__xludf.DUMMYFUNCTION("""COMPUTED_VALUE"""),44912.7057586574)</f>
        <v>44912.705758657401</v>
      </c>
      <c r="B123" s="1" t="str">
        <f ca="1">IFERROR(__xludf.DUMMYFUNCTION("""COMPUTED_VALUE"""),"India")</f>
        <v>India</v>
      </c>
      <c r="C123" s="1">
        <f ca="1">IFERROR(__xludf.DUMMYFUNCTION("""COMPUTED_VALUE"""),425401)</f>
        <v>425401</v>
      </c>
      <c r="D123" s="1" t="str">
        <f ca="1">IFERROR(__xludf.DUMMYFUNCTION("""COMPUTED_VALUE"""),"Male")</f>
        <v>Male</v>
      </c>
      <c r="E123" s="1" t="str">
        <f ca="1">IFERROR(__xludf.DUMMYFUNCTION("""COMPUTED_VALUE"""),"Influencers who had successful careers")</f>
        <v>Influencers who had successful careers</v>
      </c>
      <c r="F123" s="1" t="str">
        <f ca="1">IFERROR(__xludf.DUMMYFUNCTION("""COMPUTED_VALUE"""),"Yes, I will earn and do that")</f>
        <v>Yes, I will earn and do that</v>
      </c>
      <c r="G123" s="1" t="str">
        <f ca="1">IFERROR(__xludf.DUMMYFUNCTION("""COMPUTED_VALUE"""),"Will work for 3 years or more")</f>
        <v>Will work for 3 years or more</v>
      </c>
      <c r="H123" s="1" t="str">
        <f ca="1">IFERROR(__xludf.DUMMYFUNCTION("""COMPUTED_VALUE"""),"No")</f>
        <v>No</v>
      </c>
      <c r="I123" s="1" t="str">
        <f ca="1">IFERROR(__xludf.DUMMYFUNCTION("""COMPUTED_VALUE"""),"Will NOT work for them")</f>
        <v>Will NOT work for them</v>
      </c>
      <c r="J123" s="1">
        <f ca="1">IFERROR(__xludf.DUMMYFUNCTION("""COMPUTED_VALUE"""),6)</f>
        <v>6</v>
      </c>
      <c r="K123" s="1" t="str">
        <f ca="1">IFERROR(__xludf.DUMMYFUNCTION("""COMPUTED_VALUE"""),"Every Day Office Environment")</f>
        <v>Every Day Office Environment</v>
      </c>
      <c r="L123" s="1" t="str">
        <f ca="1">IFERROR(__xludf.DUMMYFUNCTION("""COMPUTED_VALUE"""),"Employer who appreciates learning and enables that environment")</f>
        <v>Employer who appreciates learning and enables that environment</v>
      </c>
      <c r="M12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23" s="4" t="s">
        <v>50</v>
      </c>
      <c r="O123" s="1" t="str">
        <f ca="1">IFERROR(__xludf.DUMMYFUNCTION("""COMPUTED_VALUE"""),"Manager who clearly describes what she/he needs")</f>
        <v>Manager who clearly describes what she/he needs</v>
      </c>
      <c r="P123" s="1" t="str">
        <f ca="1">IFERROR(__xludf.DUMMYFUNCTION("""COMPUTED_VALUE"""),"Work &gt;10 people in Team")</f>
        <v>Work &gt;10 people in Team</v>
      </c>
      <c r="Q123" s="1" t="s">
        <v>40</v>
      </c>
      <c r="R123" s="1"/>
    </row>
    <row r="124" spans="1:18" x14ac:dyDescent="0.25">
      <c r="A124" s="2">
        <f ca="1">IFERROR(__xludf.DUMMYFUNCTION("""COMPUTED_VALUE"""),44912.7106504861)</f>
        <v>44912.7106504861</v>
      </c>
      <c r="B124" s="1" t="str">
        <f ca="1">IFERROR(__xludf.DUMMYFUNCTION("""COMPUTED_VALUE"""),"India")</f>
        <v>India</v>
      </c>
      <c r="C124" s="1">
        <f ca="1">IFERROR(__xludf.DUMMYFUNCTION("""COMPUTED_VALUE"""),425002)</f>
        <v>425002</v>
      </c>
      <c r="D124" s="1" t="str">
        <f ca="1">IFERROR(__xludf.DUMMYFUNCTION("""COMPUTED_VALUE"""),"Female")</f>
        <v>Female</v>
      </c>
      <c r="E124" s="1" t="str">
        <f ca="1">IFERROR(__xludf.DUMMYFUNCTION("""COMPUTED_VALUE"""),"My Parents")</f>
        <v>My Parents</v>
      </c>
      <c r="F124" s="1" t="str">
        <f ca="1">IFERROR(__xludf.DUMMYFUNCTION("""COMPUTED_VALUE"""),"No I would not be pursuing Higher Education outside of India")</f>
        <v>No I would not be pursuing Higher Education outside of India</v>
      </c>
      <c r="G124" s="1" t="str">
        <f ca="1">IFERROR(__xludf.DUMMYFUNCTION("""COMPUTED_VALUE"""),"Will work for 3 years or more")</f>
        <v>Will work for 3 years or more</v>
      </c>
      <c r="H124" s="1" t="str">
        <f ca="1">IFERROR(__xludf.DUMMYFUNCTION("""COMPUTED_VALUE"""),"No")</f>
        <v>No</v>
      </c>
      <c r="I124" s="1" t="str">
        <f ca="1">IFERROR(__xludf.DUMMYFUNCTION("""COMPUTED_VALUE"""),"Will NOT work for them")</f>
        <v>Will NOT work for them</v>
      </c>
      <c r="J124" s="1">
        <f ca="1">IFERROR(__xludf.DUMMYFUNCTION("""COMPUTED_VALUE"""),2)</f>
        <v>2</v>
      </c>
      <c r="K124" s="1" t="str">
        <f ca="1">IFERROR(__xludf.DUMMYFUNCTION("""COMPUTED_VALUE"""),"Fully Remote with No option to visit offices")</f>
        <v>Fully Remote with No option to visit offices</v>
      </c>
      <c r="L124" s="1" t="str">
        <f ca="1">IFERROR(__xludf.DUMMYFUNCTION("""COMPUTED_VALUE"""),"Employer who appreciates learning and enables that environment")</f>
        <v>Employer who appreciates learning and enables that environment</v>
      </c>
      <c r="M12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124" s="4" t="s">
        <v>50</v>
      </c>
      <c r="O124" s="1" t="str">
        <f ca="1">IFERROR(__xludf.DUMMYFUNCTION("""COMPUTED_VALUE"""),"Manager who sets goal and helps me achieve it")</f>
        <v>Manager who sets goal and helps me achieve it</v>
      </c>
      <c r="P124" s="1" t="str">
        <f ca="1">IFERROR(__xludf.DUMMYFUNCTION("""COMPUTED_VALUE"""),"Work &lt;=6 People in the Team")</f>
        <v>Work &lt;=6 People in the Team</v>
      </c>
      <c r="Q124" s="1" t="s">
        <v>41</v>
      </c>
      <c r="R124" s="1"/>
    </row>
    <row r="125" spans="1:18" x14ac:dyDescent="0.25">
      <c r="A125" s="2">
        <f ca="1">IFERROR(__xludf.DUMMYFUNCTION("""COMPUTED_VALUE"""),44912.7714979629)</f>
        <v>44912.771497962902</v>
      </c>
      <c r="B125" s="1" t="str">
        <f ca="1">IFERROR(__xludf.DUMMYFUNCTION("""COMPUTED_VALUE"""),"India")</f>
        <v>India</v>
      </c>
      <c r="C125" s="1">
        <f ca="1">IFERROR(__xludf.DUMMYFUNCTION("""COMPUTED_VALUE"""),760001)</f>
        <v>760001</v>
      </c>
      <c r="D125" s="1" t="str">
        <f ca="1">IFERROR(__xludf.DUMMYFUNCTION("""COMPUTED_VALUE"""),"Female")</f>
        <v>Female</v>
      </c>
      <c r="E125" s="1" t="str">
        <f ca="1">IFERROR(__xludf.DUMMYFUNCTION("""COMPUTED_VALUE"""),"People from my circle, but not family members")</f>
        <v>People from my circle, but not family members</v>
      </c>
      <c r="F125" s="1" t="str">
        <f ca="1">IFERROR(__xludf.DUMMYFUNCTION("""COMPUTED_VALUE"""),"No I would not be pursuing Higher Education outside of India")</f>
        <v>No I would not be pursuing Higher Education outside of India</v>
      </c>
      <c r="G125" s="1" t="str">
        <f ca="1">IFERROR(__xludf.DUMMYFUNCTION("""COMPUTED_VALUE"""),"Will work for 3 years or more")</f>
        <v>Will work for 3 years or more</v>
      </c>
      <c r="H125" s="1" t="str">
        <f ca="1">IFERROR(__xludf.DUMMYFUNCTION("""COMPUTED_VALUE"""),"No")</f>
        <v>No</v>
      </c>
      <c r="I125" s="1" t="str">
        <f ca="1">IFERROR(__xludf.DUMMYFUNCTION("""COMPUTED_VALUE"""),"Will NOT work for them")</f>
        <v>Will NOT work for them</v>
      </c>
      <c r="J125" s="1">
        <f ca="1">IFERROR(__xludf.DUMMYFUNCTION("""COMPUTED_VALUE"""),10)</f>
        <v>10</v>
      </c>
      <c r="K125" s="1" t="str">
        <f ca="1">IFERROR(__xludf.DUMMYFUNCTION("""COMPUTED_VALUE"""),"Fully Remote with Options to travel as and when needed")</f>
        <v>Fully Remote with Options to travel as and when needed</v>
      </c>
      <c r="L125" s="1" t="str">
        <f ca="1">IFERROR(__xludf.DUMMYFUNCTION("""COMPUTED_VALUE"""),"Employer who pushes your limits and doesn't enables learning environment and never rewards you")</f>
        <v>Employer who pushes your limits and doesn't enables learning environment and never rewards you</v>
      </c>
      <c r="M125" s="1" t="str">
        <f ca="1">IFERROR(__xludf.DUMMYFUNCTION("""COMPUTED_VALUE"""),"Design and Creative strategy in any company, Business Operations in any organization, Work in a BPO setup for some well known client")</f>
        <v>Design and Creative strategy in any company, Business Operations in any organization, Work in a BPO setup for some well known client</v>
      </c>
      <c r="N125" s="4" t="s">
        <v>49</v>
      </c>
      <c r="O125" s="1" t="str">
        <f ca="1">IFERROR(__xludf.DUMMYFUNCTION("""COMPUTED_VALUE"""),"Manager who explains what is expected, sets a goal and helps achieve it")</f>
        <v>Manager who explains what is expected, sets a goal and helps achieve it</v>
      </c>
      <c r="P125" s="1" t="str">
        <f ca="1">IFERROR(__xludf.DUMMYFUNCTION("""COMPUTED_VALUE"""),"Work &lt;=6 People in the Team")</f>
        <v>Work &lt;=6 People in the Team</v>
      </c>
      <c r="Q125" s="1" t="s">
        <v>42</v>
      </c>
      <c r="R125" s="1"/>
    </row>
    <row r="126" spans="1:18" x14ac:dyDescent="0.25">
      <c r="A126" s="2">
        <f ca="1">IFERROR(__xludf.DUMMYFUNCTION("""COMPUTED_VALUE"""),44912.7996630092)</f>
        <v>44912.799663009202</v>
      </c>
      <c r="B126" s="1" t="str">
        <f ca="1">IFERROR(__xludf.DUMMYFUNCTION("""COMPUTED_VALUE"""),"India")</f>
        <v>India</v>
      </c>
      <c r="C126" s="1">
        <f ca="1">IFERROR(__xludf.DUMMYFUNCTION("""COMPUTED_VALUE"""),226023)</f>
        <v>226023</v>
      </c>
      <c r="D126" s="1" t="str">
        <f ca="1">IFERROR(__xludf.DUMMYFUNCTION("""COMPUTED_VALUE"""),"Male")</f>
        <v>Male</v>
      </c>
      <c r="E126" s="1" t="str">
        <f ca="1">IFERROR(__xludf.DUMMYFUNCTION("""COMPUTED_VALUE"""),"Influencers who had successful careers")</f>
        <v>Influencers who had successful careers</v>
      </c>
      <c r="F126" s="1" t="str">
        <f ca="1">IFERROR(__xludf.DUMMYFUNCTION("""COMPUTED_VALUE"""),"No I would not be pursuing Higher Education outside of India")</f>
        <v>No I would not be pursuing Higher Education outside of India</v>
      </c>
      <c r="G126" s="1" t="str">
        <f ca="1">IFERROR(__xludf.DUMMYFUNCTION("""COMPUTED_VALUE"""),"This will be hard to do, but if it is the right company I would try")</f>
        <v>This will be hard to do, but if it is the right company I would try</v>
      </c>
      <c r="H126" s="1" t="str">
        <f ca="1">IFERROR(__xludf.DUMMYFUNCTION("""COMPUTED_VALUE"""),"Yes")</f>
        <v>Yes</v>
      </c>
      <c r="I126" s="1" t="str">
        <f ca="1">IFERROR(__xludf.DUMMYFUNCTION("""COMPUTED_VALUE"""),"Will NOT work for them")</f>
        <v>Will NOT work for them</v>
      </c>
      <c r="J126" s="1">
        <f ca="1">IFERROR(__xludf.DUMMYFUNCTION("""COMPUTED_VALUE"""),5)</f>
        <v>5</v>
      </c>
      <c r="K126" s="1" t="str">
        <f ca="1">IFERROR(__xludf.DUMMYFUNCTION("""COMPUTED_VALUE"""),"Hybrid Working Environment with less than 10 days a month at office")</f>
        <v>Hybrid Working Environment with less than 10 days a month at office</v>
      </c>
      <c r="L126" s="1" t="str">
        <f ca="1">IFERROR(__xludf.DUMMYFUNCTION("""COMPUTED_VALUE"""),"Employer who appreciates learning and enables that environment")</f>
        <v>Employer who appreciates learning and enables that environment</v>
      </c>
      <c r="M126" s="1" t="str">
        <f ca="1">IFERROR(__xludf.DUMMYFUNCTION("""COMPUTED_VALUE"""),"Manage and drive End-to-End Projects or Products, Look deeply into Data and generate insights, Become a content Creator in some platform")</f>
        <v>Manage and drive End-to-End Projects or Products, Look deeply into Data and generate insights, Become a content Creator in some platform</v>
      </c>
      <c r="N126" s="4" t="s">
        <v>53</v>
      </c>
      <c r="O126" s="1" t="str">
        <f ca="1">IFERROR(__xludf.DUMMYFUNCTION("""COMPUTED_VALUE"""),"Manager who explains what is expected, sets a goal and helps achieve it")</f>
        <v>Manager who explains what is expected, sets a goal and helps achieve it</v>
      </c>
      <c r="P126" s="1" t="str">
        <f ca="1">IFERROR(__xludf.DUMMYFUNCTION("""COMPUTED_VALUE"""),"Work &lt;=6 People in the Team")</f>
        <v>Work &lt;=6 People in the Team</v>
      </c>
      <c r="Q126" s="1" t="s">
        <v>40</v>
      </c>
      <c r="R126" s="1"/>
    </row>
    <row r="127" spans="1:18" x14ac:dyDescent="0.25">
      <c r="A127" s="2">
        <f ca="1">IFERROR(__xludf.DUMMYFUNCTION("""COMPUTED_VALUE"""),44912.8112630787)</f>
        <v>44912.8112630787</v>
      </c>
      <c r="B127" s="1" t="str">
        <f ca="1">IFERROR(__xludf.DUMMYFUNCTION("""COMPUTED_VALUE"""),"India")</f>
        <v>India</v>
      </c>
      <c r="C127" s="1">
        <f ca="1">IFERROR(__xludf.DUMMYFUNCTION("""COMPUTED_VALUE"""),560077)</f>
        <v>560077</v>
      </c>
      <c r="D127" s="1" t="str">
        <f ca="1">IFERROR(__xludf.DUMMYFUNCTION("""COMPUTED_VALUE"""),"Male")</f>
        <v>Male</v>
      </c>
      <c r="E127" s="1" t="str">
        <f ca="1">IFERROR(__xludf.DUMMYFUNCTION("""COMPUTED_VALUE"""),"People who have changed the world for better")</f>
        <v>People who have changed the world for better</v>
      </c>
      <c r="F127" s="1" t="str">
        <f ca="1">IFERROR(__xludf.DUMMYFUNCTION("""COMPUTED_VALUE"""),"No I would not be pursuing Higher Education outside of India")</f>
        <v>No I would not be pursuing Higher Education outside of India</v>
      </c>
      <c r="G127" s="1" t="str">
        <f ca="1">IFERROR(__xludf.DUMMYFUNCTION("""COMPUTED_VALUE"""),"Will work for 3 years or more")</f>
        <v>Will work for 3 years or more</v>
      </c>
      <c r="H127" s="1" t="str">
        <f ca="1">IFERROR(__xludf.DUMMYFUNCTION("""COMPUTED_VALUE"""),"No")</f>
        <v>No</v>
      </c>
      <c r="I127" s="1" t="str">
        <f ca="1">IFERROR(__xludf.DUMMYFUNCTION("""COMPUTED_VALUE"""),"Will NOT work for them")</f>
        <v>Will NOT work for them</v>
      </c>
      <c r="J127" s="1">
        <f ca="1">IFERROR(__xludf.DUMMYFUNCTION("""COMPUTED_VALUE"""),2)</f>
        <v>2</v>
      </c>
      <c r="K127" s="1" t="str">
        <f ca="1">IFERROR(__xludf.DUMMYFUNCTION("""COMPUTED_VALUE"""),"Fully Remote with Options to travel as and when needed")</f>
        <v>Fully Remote with Options to travel as and when needed</v>
      </c>
      <c r="L127" s="1" t="str">
        <f ca="1">IFERROR(__xludf.DUMMYFUNCTION("""COMPUTED_VALUE"""),"Employer who pushes your limits by enabling an learning environment, and rewards you at the end")</f>
        <v>Employer who pushes your limits by enabling an learning environment, and rewards you at the end</v>
      </c>
      <c r="M127" s="1" t="str">
        <f ca="1">IFERROR(__xludf.DUMMYFUNCTION("""COMPUTED_VALUE"""),"Teaching in any of the institutes/online or Offline, Design and Develop amazing software, Look deeply into Data and generate insights")</f>
        <v>Teaching in any of the institutes/online or Offline, Design and Develop amazing software, Look deeply into Data and generate insights</v>
      </c>
      <c r="N127" s="4" t="s">
        <v>48</v>
      </c>
      <c r="O127" s="1" t="str">
        <f ca="1">IFERROR(__xludf.DUMMYFUNCTION("""COMPUTED_VALUE"""),"Manager who explains what is expected, sets a goal and helps achieve it")</f>
        <v>Manager who explains what is expected, sets a goal and helps achieve it</v>
      </c>
      <c r="P127" s="1" t="str">
        <f ca="1">IFERROR(__xludf.DUMMYFUNCTION("""COMPUTED_VALUE"""),"Work &lt;=6 People in the Team")</f>
        <v>Work &lt;=6 People in the Team</v>
      </c>
      <c r="Q127" s="1" t="s">
        <v>41</v>
      </c>
      <c r="R127" s="1"/>
    </row>
    <row r="128" spans="1:18" x14ac:dyDescent="0.25">
      <c r="A128" s="2">
        <f ca="1">IFERROR(__xludf.DUMMYFUNCTION("""COMPUTED_VALUE"""),44912.843230185)</f>
        <v>44912.843230184997</v>
      </c>
      <c r="B128" s="1" t="str">
        <f ca="1">IFERROR(__xludf.DUMMYFUNCTION("""COMPUTED_VALUE"""),"India")</f>
        <v>India</v>
      </c>
      <c r="C128" s="1">
        <f ca="1">IFERROR(__xludf.DUMMYFUNCTION("""COMPUTED_VALUE"""),302039)</f>
        <v>302039</v>
      </c>
      <c r="D128" s="1" t="str">
        <f ca="1">IFERROR(__xludf.DUMMYFUNCTION("""COMPUTED_VALUE"""),"Male")</f>
        <v>Male</v>
      </c>
      <c r="E128" s="1" t="str">
        <f ca="1">IFERROR(__xludf.DUMMYFUNCTION("""COMPUTED_VALUE"""),"My Parents")</f>
        <v>My Parents</v>
      </c>
      <c r="F128" s="1" t="str">
        <f ca="1">IFERROR(__xludf.DUMMYFUNCTION("""COMPUTED_VALUE"""),"No I would not be pursuing Higher Education outside of India")</f>
        <v>No I would not be pursuing Higher Education outside of India</v>
      </c>
      <c r="G128" s="1" t="str">
        <f ca="1">IFERROR(__xludf.DUMMYFUNCTION("""COMPUTED_VALUE"""),"Will work for 3 years or more")</f>
        <v>Will work for 3 years or more</v>
      </c>
      <c r="H128" s="1" t="str">
        <f ca="1">IFERROR(__xludf.DUMMYFUNCTION("""COMPUTED_VALUE"""),"Yes")</f>
        <v>Yes</v>
      </c>
      <c r="I128" s="1" t="str">
        <f ca="1">IFERROR(__xludf.DUMMYFUNCTION("""COMPUTED_VALUE"""),"Will work for them")</f>
        <v>Will work for them</v>
      </c>
      <c r="J128" s="1">
        <f ca="1">IFERROR(__xludf.DUMMYFUNCTION("""COMPUTED_VALUE"""),9)</f>
        <v>9</v>
      </c>
      <c r="K128" s="1" t="str">
        <f ca="1">IFERROR(__xludf.DUMMYFUNCTION("""COMPUTED_VALUE"""),"Fully Remote with No option to visit offices")</f>
        <v>Fully Remote with No option to visit offices</v>
      </c>
      <c r="L128" s="1" t="str">
        <f ca="1">IFERROR(__xludf.DUMMYFUNCTION("""COMPUTED_VALUE"""),"Employer who appreciates learning and enables that environment")</f>
        <v>Employer who appreciates learning and enables that environment</v>
      </c>
      <c r="M128"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128" s="4" t="s">
        <v>48</v>
      </c>
      <c r="O128" s="1" t="str">
        <f ca="1">IFERROR(__xludf.DUMMYFUNCTION("""COMPUTED_VALUE"""),"Manager who clearly describes what she/he needs")</f>
        <v>Manager who clearly describes what she/he needs</v>
      </c>
      <c r="P128" s="1" t="str">
        <f ca="1">IFERROR(__xludf.DUMMYFUNCTION("""COMPUTED_VALUE"""),"Work &lt;=6 People in the Team")</f>
        <v>Work &lt;=6 People in the Team</v>
      </c>
      <c r="Q128" s="1" t="s">
        <v>40</v>
      </c>
      <c r="R128" s="1"/>
    </row>
    <row r="129" spans="1:18" x14ac:dyDescent="0.25">
      <c r="A129" s="2">
        <f ca="1">IFERROR(__xludf.DUMMYFUNCTION("""COMPUTED_VALUE"""),44912.8588709953)</f>
        <v>44912.858870995296</v>
      </c>
      <c r="B129" s="1" t="str">
        <f ca="1">IFERROR(__xludf.DUMMYFUNCTION("""COMPUTED_VALUE"""),"India")</f>
        <v>India</v>
      </c>
      <c r="C129" s="1">
        <f ca="1">IFERROR(__xludf.DUMMYFUNCTION("""COMPUTED_VALUE"""),751010)</f>
        <v>751010</v>
      </c>
      <c r="D129" s="1" t="str">
        <f ca="1">IFERROR(__xludf.DUMMYFUNCTION("""COMPUTED_VALUE"""),"Male")</f>
        <v>Male</v>
      </c>
      <c r="E129" s="1" t="str">
        <f ca="1">IFERROR(__xludf.DUMMYFUNCTION("""COMPUTED_VALUE"""),"Influencers who had successful careers")</f>
        <v>Influencers who had successful careers</v>
      </c>
      <c r="F129" s="1" t="str">
        <f ca="1">IFERROR(__xludf.DUMMYFUNCTION("""COMPUTED_VALUE"""),"Yes, I will earn and do that")</f>
        <v>Yes, I will earn and do that</v>
      </c>
      <c r="G129" s="1" t="str">
        <f ca="1">IFERROR(__xludf.DUMMYFUNCTION("""COMPUTED_VALUE"""),"This will be hard to do, but if it is the right company I would try")</f>
        <v>This will be hard to do, but if it is the right company I would try</v>
      </c>
      <c r="H129" s="1" t="str">
        <f ca="1">IFERROR(__xludf.DUMMYFUNCTION("""COMPUTED_VALUE"""),"No")</f>
        <v>No</v>
      </c>
      <c r="I129" s="1" t="str">
        <f ca="1">IFERROR(__xludf.DUMMYFUNCTION("""COMPUTED_VALUE"""),"Will work for them")</f>
        <v>Will work for them</v>
      </c>
      <c r="J129" s="1">
        <f ca="1">IFERROR(__xludf.DUMMYFUNCTION("""COMPUTED_VALUE"""),3)</f>
        <v>3</v>
      </c>
      <c r="K129" s="1" t="str">
        <f ca="1">IFERROR(__xludf.DUMMYFUNCTION("""COMPUTED_VALUE"""),"Hybrid Working Environment with less than 15 days a month at office")</f>
        <v>Hybrid Working Environment with less than 15 days a month at office</v>
      </c>
      <c r="L129" s="1" t="str">
        <f ca="1">IFERROR(__xludf.DUMMYFUNCTION("""COMPUTED_VALUE"""),"Employer who pushes your limits by enabling an learning environment, and rewards you at the end")</f>
        <v>Employer who pushes your limits by enabling an learning environment, and rewards you at the end</v>
      </c>
      <c r="M129" s="1" t="str">
        <f ca="1">IFERROR(__xludf.DUMMYFUNCTION("""COMPUTED_VALUE"""),"Manage and drive End-to-End Projects or Products, Build and develop a Team, Work in a BPO setup for some well known client")</f>
        <v>Manage and drive End-to-End Projects or Products, Build and develop a Team, Work in a BPO setup for some well known client</v>
      </c>
      <c r="N129" s="4" t="s">
        <v>48</v>
      </c>
      <c r="O129" s="1" t="str">
        <f ca="1">IFERROR(__xludf.DUMMYFUNCTION("""COMPUTED_VALUE"""),"Manager who explains what is expected, sets a goal and helps achieve it")</f>
        <v>Manager who explains what is expected, sets a goal and helps achieve it</v>
      </c>
      <c r="P129" s="1" t="str">
        <f ca="1">IFERROR(__xludf.DUMMYFUNCTION("""COMPUTED_VALUE"""),"Work &gt;=7 People in the Team")</f>
        <v>Work &gt;=7 People in the Team</v>
      </c>
      <c r="Q129" s="1" t="s">
        <v>40</v>
      </c>
      <c r="R129" s="1"/>
    </row>
    <row r="130" spans="1:18" x14ac:dyDescent="0.25">
      <c r="A130" s="2">
        <f ca="1">IFERROR(__xludf.DUMMYFUNCTION("""COMPUTED_VALUE"""),44912.8644211805)</f>
        <v>44912.8644211805</v>
      </c>
      <c r="B130" s="1" t="str">
        <f ca="1">IFERROR(__xludf.DUMMYFUNCTION("""COMPUTED_VALUE"""),"Germany")</f>
        <v>Germany</v>
      </c>
      <c r="C130" s="1">
        <f ca="1">IFERROR(__xludf.DUMMYFUNCTION("""COMPUTED_VALUE"""),81827)</f>
        <v>81827</v>
      </c>
      <c r="D130" s="1" t="str">
        <f ca="1">IFERROR(__xludf.DUMMYFUNCTION("""COMPUTED_VALUE"""),"Male")</f>
        <v>Male</v>
      </c>
      <c r="E130" s="1" t="str">
        <f ca="1">IFERROR(__xludf.DUMMYFUNCTION("""COMPUTED_VALUE"""),"People who have changed the world for better")</f>
        <v>People who have changed the world for better</v>
      </c>
      <c r="F130" s="1" t="str">
        <f ca="1">IFERROR(__xludf.DUMMYFUNCTION("""COMPUTED_VALUE"""),"Yes, I will earn and do that")</f>
        <v>Yes, I will earn and do that</v>
      </c>
      <c r="G130" s="1" t="str">
        <f ca="1">IFERROR(__xludf.DUMMYFUNCTION("""COMPUTED_VALUE"""),"Will work for 3 years or more")</f>
        <v>Will work for 3 years or more</v>
      </c>
      <c r="H130" s="1" t="str">
        <f ca="1">IFERROR(__xludf.DUMMYFUNCTION("""COMPUTED_VALUE"""),"Yes")</f>
        <v>Yes</v>
      </c>
      <c r="I130" s="1" t="str">
        <f ca="1">IFERROR(__xludf.DUMMYFUNCTION("""COMPUTED_VALUE"""),"Will work for them")</f>
        <v>Will work for them</v>
      </c>
      <c r="J130" s="1">
        <f ca="1">IFERROR(__xludf.DUMMYFUNCTION("""COMPUTED_VALUE"""),5)</f>
        <v>5</v>
      </c>
      <c r="K130" s="1" t="str">
        <f ca="1">IFERROR(__xludf.DUMMYFUNCTION("""COMPUTED_VALUE"""),"Fully Remote with Options to travel as and when needed")</f>
        <v>Fully Remote with Options to travel as and when needed</v>
      </c>
      <c r="L130" s="1" t="str">
        <f ca="1">IFERROR(__xludf.DUMMYFUNCTION("""COMPUTED_VALUE"""),"Employer who pushes your limits by enabling an learning environment, and rewards you at the end")</f>
        <v>Employer who pushes your limits by enabling an learning environment, and rewards you at the end</v>
      </c>
      <c r="M130"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N130" s="4" t="s">
        <v>48</v>
      </c>
      <c r="O130" s="1" t="str">
        <f ca="1">IFERROR(__xludf.DUMMYFUNCTION("""COMPUTED_VALUE"""),"Manager who clearly describes what she/he needs")</f>
        <v>Manager who clearly describes what she/he needs</v>
      </c>
      <c r="P130" s="1" t="str">
        <f ca="1">IFERROR(__xludf.DUMMYFUNCTION("""COMPUTED_VALUE"""),"Work Alone, &lt;=6 in team")</f>
        <v>Work Alone, &lt;=6 in team</v>
      </c>
      <c r="Q130" s="1" t="s">
        <v>41</v>
      </c>
      <c r="R130" s="1"/>
    </row>
    <row r="131" spans="1:18" x14ac:dyDescent="0.25">
      <c r="A131" s="2">
        <f ca="1">IFERROR(__xludf.DUMMYFUNCTION("""COMPUTED_VALUE"""),44912.8955257638)</f>
        <v>44912.895525763801</v>
      </c>
      <c r="B131" s="1" t="str">
        <f ca="1">IFERROR(__xludf.DUMMYFUNCTION("""COMPUTED_VALUE"""),"India")</f>
        <v>India</v>
      </c>
      <c r="C131" s="1">
        <f ca="1">IFERROR(__xludf.DUMMYFUNCTION("""COMPUTED_VALUE"""),121003)</f>
        <v>121003</v>
      </c>
      <c r="D131" s="1" t="str">
        <f ca="1">IFERROR(__xludf.DUMMYFUNCTION("""COMPUTED_VALUE"""),"Male")</f>
        <v>Male</v>
      </c>
      <c r="E131" s="1" t="str">
        <f ca="1">IFERROR(__xludf.DUMMYFUNCTION("""COMPUTED_VALUE"""),"People from my circle, but not family members")</f>
        <v>People from my circle, but not family members</v>
      </c>
      <c r="F131" s="1" t="str">
        <f ca="1">IFERROR(__xludf.DUMMYFUNCTION("""COMPUTED_VALUE"""),"No, But if someone could bare the cost I will")</f>
        <v>No, But if someone could bare the cost I will</v>
      </c>
      <c r="G131" s="1" t="str">
        <f ca="1">IFERROR(__xludf.DUMMYFUNCTION("""COMPUTED_VALUE"""),"This will be hard to do, but if it is the right company I would try")</f>
        <v>This will be hard to do, but if it is the right company I would try</v>
      </c>
      <c r="H131" s="1" t="str">
        <f ca="1">IFERROR(__xludf.DUMMYFUNCTION("""COMPUTED_VALUE"""),"No")</f>
        <v>No</v>
      </c>
      <c r="I131" s="1" t="str">
        <f ca="1">IFERROR(__xludf.DUMMYFUNCTION("""COMPUTED_VALUE"""),"Will NOT work for them")</f>
        <v>Will NOT work for them</v>
      </c>
      <c r="J131" s="1">
        <f ca="1">IFERROR(__xludf.DUMMYFUNCTION("""COMPUTED_VALUE"""),5)</f>
        <v>5</v>
      </c>
      <c r="K131" s="1" t="str">
        <f ca="1">IFERROR(__xludf.DUMMYFUNCTION("""COMPUTED_VALUE"""),"Hybrid Working Environment with less than 15 days a month at office")</f>
        <v>Hybrid Working Environment with less than 15 days a month at office</v>
      </c>
      <c r="L131" s="1" t="str">
        <f ca="1">IFERROR(__xludf.DUMMYFUNCTION("""COMPUTED_VALUE"""),"Employer who pushes your limits by enabling an learning environment, and rewards you at the end")</f>
        <v>Employer who pushes your limits by enabling an learning environment, and rewards you at the end</v>
      </c>
      <c r="M13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31" s="4" t="s">
        <v>48</v>
      </c>
      <c r="O131" s="1" t="str">
        <f ca="1">IFERROR(__xludf.DUMMYFUNCTION("""COMPUTED_VALUE"""),"Manager who explains what is expected, sets a goal and helps achieve it")</f>
        <v>Manager who explains what is expected, sets a goal and helps achieve it</v>
      </c>
      <c r="P131" s="1" t="str">
        <f ca="1">IFERROR(__xludf.DUMMYFUNCTION("""COMPUTED_VALUE"""),"Work &lt;=6 People in the Team")</f>
        <v>Work &lt;=6 People in the Team</v>
      </c>
      <c r="Q131" s="1" t="s">
        <v>41</v>
      </c>
      <c r="R131" s="1"/>
    </row>
    <row r="132" spans="1:18" x14ac:dyDescent="0.25">
      <c r="A132" s="2">
        <f ca="1">IFERROR(__xludf.DUMMYFUNCTION("""COMPUTED_VALUE"""),44912.9253219907)</f>
        <v>44912.925321990697</v>
      </c>
      <c r="B132" s="1" t="str">
        <f ca="1">IFERROR(__xludf.DUMMYFUNCTION("""COMPUTED_VALUE"""),"India")</f>
        <v>India</v>
      </c>
      <c r="C132" s="1">
        <f ca="1">IFERROR(__xludf.DUMMYFUNCTION("""COMPUTED_VALUE"""),101201)</f>
        <v>101201</v>
      </c>
      <c r="D132" s="1" t="str">
        <f ca="1">IFERROR(__xludf.DUMMYFUNCTION("""COMPUTED_VALUE"""),"Male")</f>
        <v>Male</v>
      </c>
      <c r="E132" s="1" t="str">
        <f ca="1">IFERROR(__xludf.DUMMYFUNCTION("""COMPUTED_VALUE"""),"My Parents")</f>
        <v>My Parents</v>
      </c>
      <c r="F132" s="1" t="str">
        <f ca="1">IFERROR(__xludf.DUMMYFUNCTION("""COMPUTED_VALUE"""),"No I would not be pursuing Higher Education outside of India")</f>
        <v>No I would not be pursuing Higher Education outside of India</v>
      </c>
      <c r="G132" s="1" t="str">
        <f ca="1">IFERROR(__xludf.DUMMYFUNCTION("""COMPUTED_VALUE"""),"This will be hard to do, but if it is the right company I would try")</f>
        <v>This will be hard to do, but if it is the right company I would try</v>
      </c>
      <c r="H132" s="1" t="str">
        <f ca="1">IFERROR(__xludf.DUMMYFUNCTION("""COMPUTED_VALUE"""),"No")</f>
        <v>No</v>
      </c>
      <c r="I132" s="1" t="str">
        <f ca="1">IFERROR(__xludf.DUMMYFUNCTION("""COMPUTED_VALUE"""),"Will NOT work for them")</f>
        <v>Will NOT work for them</v>
      </c>
      <c r="J132" s="1">
        <f ca="1">IFERROR(__xludf.DUMMYFUNCTION("""COMPUTED_VALUE"""),2)</f>
        <v>2</v>
      </c>
      <c r="K132" s="1" t="str">
        <f ca="1">IFERROR(__xludf.DUMMYFUNCTION("""COMPUTED_VALUE"""),"Hybrid Working Environment with less than 3 days a month at office")</f>
        <v>Hybrid Working Environment with less than 3 days a month at office</v>
      </c>
      <c r="L132" s="1" t="str">
        <f ca="1">IFERROR(__xludf.DUMMYFUNCTION("""COMPUTED_VALUE"""),"Employer who pushes your limits by enabling an learning environment, and rewards you at the end")</f>
        <v>Employer who pushes your limits by enabling an learning environment, and rewards you at the end</v>
      </c>
      <c r="M132"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32" s="4" t="s">
        <v>49</v>
      </c>
      <c r="O132" s="1" t="str">
        <f ca="1">IFERROR(__xludf.DUMMYFUNCTION("""COMPUTED_VALUE"""),"Manager who sets goal and helps me achieve it")</f>
        <v>Manager who sets goal and helps me achieve it</v>
      </c>
      <c r="P132" s="1" t="str">
        <f ca="1">IFERROR(__xludf.DUMMYFUNCTION("""COMPUTED_VALUE"""),"Work &lt;=6 People in the Team")</f>
        <v>Work &lt;=6 People in the Team</v>
      </c>
      <c r="Q132" s="1" t="s">
        <v>40</v>
      </c>
      <c r="R132" s="1"/>
    </row>
    <row r="133" spans="1:18" x14ac:dyDescent="0.25">
      <c r="A133" s="2">
        <f ca="1">IFERROR(__xludf.DUMMYFUNCTION("""COMPUTED_VALUE"""),44912.9299202662)</f>
        <v>44912.9299202662</v>
      </c>
      <c r="B133" s="1" t="str">
        <f ca="1">IFERROR(__xludf.DUMMYFUNCTION("""COMPUTED_VALUE"""),"India")</f>
        <v>India</v>
      </c>
      <c r="C133" s="1">
        <f ca="1">IFERROR(__xludf.DUMMYFUNCTION("""COMPUTED_VALUE"""),605401)</f>
        <v>605401</v>
      </c>
      <c r="D133" s="1" t="str">
        <f ca="1">IFERROR(__xludf.DUMMYFUNCTION("""COMPUTED_VALUE"""),"Male")</f>
        <v>Male</v>
      </c>
      <c r="E133" s="1" t="str">
        <f ca="1">IFERROR(__xludf.DUMMYFUNCTION("""COMPUTED_VALUE"""),"My Parents")</f>
        <v>My Parents</v>
      </c>
      <c r="F133" s="1" t="str">
        <f ca="1">IFERROR(__xludf.DUMMYFUNCTION("""COMPUTED_VALUE"""),"Yes, I will earn and do that")</f>
        <v>Yes, I will earn and do that</v>
      </c>
      <c r="G133" s="1" t="str">
        <f ca="1">IFERROR(__xludf.DUMMYFUNCTION("""COMPUTED_VALUE"""),"Will work for 3 years or more")</f>
        <v>Will work for 3 years or more</v>
      </c>
      <c r="H133" s="1" t="str">
        <f ca="1">IFERROR(__xludf.DUMMYFUNCTION("""COMPUTED_VALUE"""),"Yes")</f>
        <v>Yes</v>
      </c>
      <c r="I133" s="1" t="str">
        <f ca="1">IFERROR(__xludf.DUMMYFUNCTION("""COMPUTED_VALUE"""),"Will NOT work for them")</f>
        <v>Will NOT work for them</v>
      </c>
      <c r="J133" s="1">
        <f ca="1">IFERROR(__xludf.DUMMYFUNCTION("""COMPUTED_VALUE"""),7)</f>
        <v>7</v>
      </c>
      <c r="K133" s="1" t="str">
        <f ca="1">IFERROR(__xludf.DUMMYFUNCTION("""COMPUTED_VALUE"""),"Hybrid Working Environment with less than 10 days a month at office")</f>
        <v>Hybrid Working Environment with less than 10 days a month at office</v>
      </c>
      <c r="L133" s="1" t="str">
        <f ca="1">IFERROR(__xludf.DUMMYFUNCTION("""COMPUTED_VALUE"""),"Employer who appreciates learning and enables that environment")</f>
        <v>Employer who appreciates learning and enables that environment</v>
      </c>
      <c r="M133"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133" s="4" t="s">
        <v>48</v>
      </c>
      <c r="O133" s="1" t="str">
        <f ca="1">IFERROR(__xludf.DUMMYFUNCTION("""COMPUTED_VALUE"""),"Manager who sets goal and helps me achieve it")</f>
        <v>Manager who sets goal and helps me achieve it</v>
      </c>
      <c r="P133" s="1" t="str">
        <f ca="1">IFERROR(__xludf.DUMMYFUNCTION("""COMPUTED_VALUE"""),"Work Alone, &lt;=6 in team")</f>
        <v>Work Alone, &lt;=6 in team</v>
      </c>
      <c r="Q133" s="1" t="s">
        <v>40</v>
      </c>
      <c r="R133" s="1"/>
    </row>
    <row r="134" spans="1:18" x14ac:dyDescent="0.25">
      <c r="A134" s="2">
        <f ca="1">IFERROR(__xludf.DUMMYFUNCTION("""COMPUTED_VALUE"""),44913.4007854976)</f>
        <v>44913.400785497601</v>
      </c>
      <c r="B134" s="1" t="str">
        <f ca="1">IFERROR(__xludf.DUMMYFUNCTION("""COMPUTED_VALUE"""),"India")</f>
        <v>India</v>
      </c>
      <c r="C134" s="1">
        <f ca="1">IFERROR(__xludf.DUMMYFUNCTION("""COMPUTED_VALUE"""),753003)</f>
        <v>753003</v>
      </c>
      <c r="D134" s="1" t="str">
        <f ca="1">IFERROR(__xludf.DUMMYFUNCTION("""COMPUTED_VALUE"""),"Male")</f>
        <v>Male</v>
      </c>
      <c r="E134" s="1" t="str">
        <f ca="1">IFERROR(__xludf.DUMMYFUNCTION("""COMPUTED_VALUE"""),"Influencers who had successful careers")</f>
        <v>Influencers who had successful careers</v>
      </c>
      <c r="F134" s="1" t="str">
        <f ca="1">IFERROR(__xludf.DUMMYFUNCTION("""COMPUTED_VALUE"""),"Yes, I will earn and do that")</f>
        <v>Yes, I will earn and do that</v>
      </c>
      <c r="G134" s="1" t="str">
        <f ca="1">IFERROR(__xludf.DUMMYFUNCTION("""COMPUTED_VALUE"""),"This will be hard to do, but if it is the right company I would try")</f>
        <v>This will be hard to do, but if it is the right company I would try</v>
      </c>
      <c r="H134" s="1" t="str">
        <f ca="1">IFERROR(__xludf.DUMMYFUNCTION("""COMPUTED_VALUE"""),"Yes")</f>
        <v>Yes</v>
      </c>
      <c r="I134" s="1" t="str">
        <f ca="1">IFERROR(__xludf.DUMMYFUNCTION("""COMPUTED_VALUE"""),"Will work for them")</f>
        <v>Will work for them</v>
      </c>
      <c r="J134" s="1">
        <f ca="1">IFERROR(__xludf.DUMMYFUNCTION("""COMPUTED_VALUE"""),7)</f>
        <v>7</v>
      </c>
      <c r="K134" s="1" t="str">
        <f ca="1">IFERROR(__xludf.DUMMYFUNCTION("""COMPUTED_VALUE"""),"Hybrid Working Environment with less than 15 days a month at office")</f>
        <v>Hybrid Working Environment with less than 15 days a month at office</v>
      </c>
      <c r="L134" s="1" t="str">
        <f ca="1">IFERROR(__xludf.DUMMYFUNCTION("""COMPUTED_VALUE"""),"Employer who appreciates learning and enables that environment")</f>
        <v>Employer who appreciates learning and enables that environment</v>
      </c>
      <c r="M134"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134" s="4" t="s">
        <v>48</v>
      </c>
      <c r="O134" s="1" t="str">
        <f ca="1">IFERROR(__xludf.DUMMYFUNCTION("""COMPUTED_VALUE"""),"Manager who clearly describes what she/he needs")</f>
        <v>Manager who clearly describes what she/he needs</v>
      </c>
      <c r="P134" s="1" t="str">
        <f ca="1">IFERROR(__xludf.DUMMYFUNCTION("""COMPUTED_VALUE"""),"Work &lt;=6 People in the Team")</f>
        <v>Work &lt;=6 People in the Team</v>
      </c>
      <c r="Q134" s="1" t="s">
        <v>41</v>
      </c>
      <c r="R134" s="1"/>
    </row>
    <row r="135" spans="1:18" x14ac:dyDescent="0.25">
      <c r="A135" s="2">
        <f ca="1">IFERROR(__xludf.DUMMYFUNCTION("""COMPUTED_VALUE"""),44913.4711179861)</f>
        <v>44913.471117986097</v>
      </c>
      <c r="B135" s="1" t="str">
        <f ca="1">IFERROR(__xludf.DUMMYFUNCTION("""COMPUTED_VALUE"""),"India")</f>
        <v>India</v>
      </c>
      <c r="C135" s="1">
        <f ca="1">IFERROR(__xludf.DUMMYFUNCTION("""COMPUTED_VALUE"""),416509)</f>
        <v>416509</v>
      </c>
      <c r="D135" s="1" t="str">
        <f ca="1">IFERROR(__xludf.DUMMYFUNCTION("""COMPUTED_VALUE"""),"Male")</f>
        <v>Male</v>
      </c>
      <c r="E135" s="1" t="str">
        <f ca="1">IFERROR(__xludf.DUMMYFUNCTION("""COMPUTED_VALUE"""),"Social Media like LinkedIn")</f>
        <v>Social Media like LinkedIn</v>
      </c>
      <c r="F135" s="1" t="str">
        <f ca="1">IFERROR(__xludf.DUMMYFUNCTION("""COMPUTED_VALUE"""),"Yes, I will earn and do that")</f>
        <v>Yes, I will earn and do that</v>
      </c>
      <c r="G135" s="1" t="str">
        <f ca="1">IFERROR(__xludf.DUMMYFUNCTION("""COMPUTED_VALUE"""),"This will be hard to do, but if it is the right company I would try")</f>
        <v>This will be hard to do, but if it is the right company I would try</v>
      </c>
      <c r="H135" s="1" t="str">
        <f ca="1">IFERROR(__xludf.DUMMYFUNCTION("""COMPUTED_VALUE"""),"No")</f>
        <v>No</v>
      </c>
      <c r="I135" s="1" t="str">
        <f ca="1">IFERROR(__xludf.DUMMYFUNCTION("""COMPUTED_VALUE"""),"Will NOT work for them")</f>
        <v>Will NOT work for them</v>
      </c>
      <c r="J135" s="1">
        <f ca="1">IFERROR(__xludf.DUMMYFUNCTION("""COMPUTED_VALUE"""),7)</f>
        <v>7</v>
      </c>
      <c r="K135" s="1" t="str">
        <f ca="1">IFERROR(__xludf.DUMMYFUNCTION("""COMPUTED_VALUE"""),"Hybrid Working Environment with less than 15 days a month at office")</f>
        <v>Hybrid Working Environment with less than 15 days a month at office</v>
      </c>
      <c r="L135" s="1" t="str">
        <f ca="1">IFERROR(__xludf.DUMMYFUNCTION("""COMPUTED_VALUE"""),"Employer who appreciates learning and enables that environment")</f>
        <v>Employer who appreciates learning and enables that environment</v>
      </c>
      <c r="M13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N135" s="4" t="s">
        <v>48</v>
      </c>
      <c r="O135" s="1" t="str">
        <f ca="1">IFERROR(__xludf.DUMMYFUNCTION("""COMPUTED_VALUE"""),"Manager who sets goal and helps me achieve it")</f>
        <v>Manager who sets goal and helps me achieve it</v>
      </c>
      <c r="P135" s="1" t="str">
        <f ca="1">IFERROR(__xludf.DUMMYFUNCTION("""COMPUTED_VALUE"""),"Work &lt;=6 People in the Team")</f>
        <v>Work &lt;=6 People in the Team</v>
      </c>
      <c r="Q135" s="1" t="s">
        <v>41</v>
      </c>
      <c r="R135" s="1"/>
    </row>
    <row r="136" spans="1:18" x14ac:dyDescent="0.25">
      <c r="A136" s="2">
        <f ca="1">IFERROR(__xludf.DUMMYFUNCTION("""COMPUTED_VALUE"""),44913.4988530324)</f>
        <v>44913.498853032397</v>
      </c>
      <c r="B136" s="1" t="str">
        <f ca="1">IFERROR(__xludf.DUMMYFUNCTION("""COMPUTED_VALUE"""),"India")</f>
        <v>India</v>
      </c>
      <c r="C136" s="1">
        <f ca="1">IFERROR(__xludf.DUMMYFUNCTION("""COMPUTED_VALUE"""),400099)</f>
        <v>400099</v>
      </c>
      <c r="D136" s="1" t="str">
        <f ca="1">IFERROR(__xludf.DUMMYFUNCTION("""COMPUTED_VALUE"""),"Male")</f>
        <v>Male</v>
      </c>
      <c r="E136" s="1" t="str">
        <f ca="1">IFERROR(__xludf.DUMMYFUNCTION("""COMPUTED_VALUE"""),"People who have changed the world for better")</f>
        <v>People who have changed the world for better</v>
      </c>
      <c r="F136" s="1" t="str">
        <f ca="1">IFERROR(__xludf.DUMMYFUNCTION("""COMPUTED_VALUE"""),"No, But if someone could bare the cost I will")</f>
        <v>No, But if someone could bare the cost I will</v>
      </c>
      <c r="G136" s="1" t="str">
        <f ca="1">IFERROR(__xludf.DUMMYFUNCTION("""COMPUTED_VALUE"""),"This will be hard to do, but if it is the right company I would try")</f>
        <v>This will be hard to do, but if it is the right company I would try</v>
      </c>
      <c r="H136" s="1" t="str">
        <f ca="1">IFERROR(__xludf.DUMMYFUNCTION("""COMPUTED_VALUE"""),"No")</f>
        <v>No</v>
      </c>
      <c r="I136" s="1" t="str">
        <f ca="1">IFERROR(__xludf.DUMMYFUNCTION("""COMPUTED_VALUE"""),"Will NOT work for them")</f>
        <v>Will NOT work for them</v>
      </c>
      <c r="J136" s="1">
        <f ca="1">IFERROR(__xludf.DUMMYFUNCTION("""COMPUTED_VALUE"""),6)</f>
        <v>6</v>
      </c>
      <c r="K136" s="1" t="str">
        <f ca="1">IFERROR(__xludf.DUMMYFUNCTION("""COMPUTED_VALUE"""),"Hybrid Working Environment with less than 3 days a month at office")</f>
        <v>Hybrid Working Environment with less than 3 days a month at office</v>
      </c>
      <c r="L136" s="1" t="str">
        <f ca="1">IFERROR(__xludf.DUMMYFUNCTION("""COMPUTED_VALUE"""),"Employer who rewards learning and enables that environment")</f>
        <v>Employer who rewards learning and enables that environment</v>
      </c>
      <c r="M13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136" s="4" t="s">
        <v>48</v>
      </c>
      <c r="O136" s="1" t="str">
        <f ca="1">IFERROR(__xludf.DUMMYFUNCTION("""COMPUTED_VALUE"""),"Manager who clearly describes what she/he needs")</f>
        <v>Manager who clearly describes what she/he needs</v>
      </c>
      <c r="P136" s="1" t="str">
        <f ca="1">IFERROR(__xludf.DUMMYFUNCTION("""COMPUTED_VALUE"""),"Work &lt;=6 People in the Team")</f>
        <v>Work &lt;=6 People in the Team</v>
      </c>
      <c r="Q136" s="1" t="s">
        <v>41</v>
      </c>
      <c r="R136" s="1"/>
    </row>
    <row r="137" spans="1:18" x14ac:dyDescent="0.25">
      <c r="A137" s="2">
        <f ca="1">IFERROR(__xludf.DUMMYFUNCTION("""COMPUTED_VALUE"""),44913.5584111226)</f>
        <v>44913.558411122598</v>
      </c>
      <c r="B137" s="1" t="str">
        <f ca="1">IFERROR(__xludf.DUMMYFUNCTION("""COMPUTED_VALUE"""),"India")</f>
        <v>India</v>
      </c>
      <c r="C137" s="1">
        <f ca="1">IFERROR(__xludf.DUMMYFUNCTION("""COMPUTED_VALUE"""),301001)</f>
        <v>301001</v>
      </c>
      <c r="D137" s="1" t="str">
        <f ca="1">IFERROR(__xludf.DUMMYFUNCTION("""COMPUTED_VALUE"""),"Male")</f>
        <v>Male</v>
      </c>
      <c r="E137" s="1" t="str">
        <f ca="1">IFERROR(__xludf.DUMMYFUNCTION("""COMPUTED_VALUE"""),"People who have changed the world for better")</f>
        <v>People who have changed the world for better</v>
      </c>
      <c r="F137" s="1" t="str">
        <f ca="1">IFERROR(__xludf.DUMMYFUNCTION("""COMPUTED_VALUE"""),"Yes, I will earn and do that")</f>
        <v>Yes, I will earn and do that</v>
      </c>
      <c r="G137" s="1" t="str">
        <f ca="1">IFERROR(__xludf.DUMMYFUNCTION("""COMPUTED_VALUE"""),"This will be hard to do, but if it is the right company I would try")</f>
        <v>This will be hard to do, but if it is the right company I would try</v>
      </c>
      <c r="H137" s="1" t="str">
        <f ca="1">IFERROR(__xludf.DUMMYFUNCTION("""COMPUTED_VALUE"""),"No")</f>
        <v>No</v>
      </c>
      <c r="I137" s="1" t="str">
        <f ca="1">IFERROR(__xludf.DUMMYFUNCTION("""COMPUTED_VALUE"""),"Will NOT work for them")</f>
        <v>Will NOT work for them</v>
      </c>
      <c r="J137" s="1">
        <f ca="1">IFERROR(__xludf.DUMMYFUNCTION("""COMPUTED_VALUE"""),4)</f>
        <v>4</v>
      </c>
      <c r="K137" s="1" t="str">
        <f ca="1">IFERROR(__xludf.DUMMYFUNCTION("""COMPUTED_VALUE"""),"Every Day Office Environment")</f>
        <v>Every Day Office Environment</v>
      </c>
      <c r="L137" s="1" t="str">
        <f ca="1">IFERROR(__xludf.DUMMYFUNCTION("""COMPUTED_VALUE"""),"Employer who appreciates learning and enables that environment")</f>
        <v>Employer who appreciates learning and enables that environment</v>
      </c>
      <c r="M1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137" s="4" t="s">
        <v>53</v>
      </c>
      <c r="O137" s="1" t="str">
        <f ca="1">IFERROR(__xludf.DUMMYFUNCTION("""COMPUTED_VALUE"""),"Manager who explains what is expected, sets a goal and helps achieve it")</f>
        <v>Manager who explains what is expected, sets a goal and helps achieve it</v>
      </c>
      <c r="P137" s="1" t="str">
        <f ca="1">IFERROR(__xludf.DUMMYFUNCTION("""COMPUTED_VALUE"""),"Work &lt;=6 People in the Team")</f>
        <v>Work &lt;=6 People in the Team</v>
      </c>
      <c r="Q137" s="1" t="s">
        <v>40</v>
      </c>
      <c r="R137" s="1"/>
    </row>
    <row r="138" spans="1:18" x14ac:dyDescent="0.25">
      <c r="A138" s="2">
        <f ca="1">IFERROR(__xludf.DUMMYFUNCTION("""COMPUTED_VALUE"""),44913.6298225694)</f>
        <v>44913.629822569397</v>
      </c>
      <c r="B138" s="1" t="str">
        <f ca="1">IFERROR(__xludf.DUMMYFUNCTION("""COMPUTED_VALUE"""),"India")</f>
        <v>India</v>
      </c>
      <c r="C138" s="1">
        <f ca="1">IFERROR(__xludf.DUMMYFUNCTION("""COMPUTED_VALUE"""),302017)</f>
        <v>302017</v>
      </c>
      <c r="D138" s="1" t="str">
        <f ca="1">IFERROR(__xludf.DUMMYFUNCTION("""COMPUTED_VALUE"""),"Male")</f>
        <v>Male</v>
      </c>
      <c r="E138" s="1" t="str">
        <f ca="1">IFERROR(__xludf.DUMMYFUNCTION("""COMPUTED_VALUE"""),"My Parents")</f>
        <v>My Parents</v>
      </c>
      <c r="F138" s="1" t="str">
        <f ca="1">IFERROR(__xludf.DUMMYFUNCTION("""COMPUTED_VALUE"""),"No I would not be pursuing Higher Education outside of India")</f>
        <v>No I would not be pursuing Higher Education outside of India</v>
      </c>
      <c r="G138" s="1" t="str">
        <f ca="1">IFERROR(__xludf.DUMMYFUNCTION("""COMPUTED_VALUE"""),"Will work for 3 years or more")</f>
        <v>Will work for 3 years or more</v>
      </c>
      <c r="H138" s="1" t="str">
        <f ca="1">IFERROR(__xludf.DUMMYFUNCTION("""COMPUTED_VALUE"""),"Yes")</f>
        <v>Yes</v>
      </c>
      <c r="I138" s="1" t="str">
        <f ca="1">IFERROR(__xludf.DUMMYFUNCTION("""COMPUTED_VALUE"""),"Will NOT work for them")</f>
        <v>Will NOT work for them</v>
      </c>
      <c r="J138" s="1">
        <f ca="1">IFERROR(__xludf.DUMMYFUNCTION("""COMPUTED_VALUE"""),5)</f>
        <v>5</v>
      </c>
      <c r="K138" s="1" t="str">
        <f ca="1">IFERROR(__xludf.DUMMYFUNCTION("""COMPUTED_VALUE"""),"Hybrid Working Environment with less than 15 days a month at office")</f>
        <v>Hybrid Working Environment with less than 15 days a month at office</v>
      </c>
      <c r="L138" s="1" t="str">
        <f ca="1">IFERROR(__xludf.DUMMYFUNCTION("""COMPUTED_VALUE"""),"Employer who pushes your limits by enabling an learning environment, and rewards you at the end")</f>
        <v>Employer who pushes your limits by enabling an learning environment, and rewards you at the end</v>
      </c>
      <c r="M13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138" s="4" t="s">
        <v>48</v>
      </c>
      <c r="O138" s="1" t="str">
        <f ca="1">IFERROR(__xludf.DUMMYFUNCTION("""COMPUTED_VALUE"""),"Manager who explains what is expected, sets a goal and helps achieve it")</f>
        <v>Manager who explains what is expected, sets a goal and helps achieve it</v>
      </c>
      <c r="P138" s="1" t="str">
        <f ca="1">IFERROR(__xludf.DUMMYFUNCTION("""COMPUTED_VALUE"""),"Work &lt;=6 People in the Team")</f>
        <v>Work &lt;=6 People in the Team</v>
      </c>
      <c r="Q138" s="1" t="s">
        <v>40</v>
      </c>
      <c r="R138" s="1"/>
    </row>
    <row r="139" spans="1:18" x14ac:dyDescent="0.25">
      <c r="A139" s="2">
        <f ca="1">IFERROR(__xludf.DUMMYFUNCTION("""COMPUTED_VALUE"""),44913.6537770138)</f>
        <v>44913.653777013802</v>
      </c>
      <c r="B139" s="1" t="str">
        <f ca="1">IFERROR(__xludf.DUMMYFUNCTION("""COMPUTED_VALUE"""),"India")</f>
        <v>India</v>
      </c>
      <c r="C139" s="1">
        <f ca="1">IFERROR(__xludf.DUMMYFUNCTION("""COMPUTED_VALUE"""),560096)</f>
        <v>560096</v>
      </c>
      <c r="D139" s="1" t="str">
        <f ca="1">IFERROR(__xludf.DUMMYFUNCTION("""COMPUTED_VALUE"""),"Female")</f>
        <v>Female</v>
      </c>
      <c r="E139" s="1" t="str">
        <f ca="1">IFERROR(__xludf.DUMMYFUNCTION("""COMPUTED_VALUE"""),"My Parents")</f>
        <v>My Parents</v>
      </c>
      <c r="F139" s="1" t="str">
        <f ca="1">IFERROR(__xludf.DUMMYFUNCTION("""COMPUTED_VALUE"""),"Yes, I will earn and do that")</f>
        <v>Yes, I will earn and do that</v>
      </c>
      <c r="G139" s="1" t="str">
        <f ca="1">IFERROR(__xludf.DUMMYFUNCTION("""COMPUTED_VALUE"""),"This will be hard to do, but if it is the right company I would try")</f>
        <v>This will be hard to do, but if it is the right company I would try</v>
      </c>
      <c r="H139" s="1" t="str">
        <f ca="1">IFERROR(__xludf.DUMMYFUNCTION("""COMPUTED_VALUE"""),"No")</f>
        <v>No</v>
      </c>
      <c r="I139" s="1" t="str">
        <f ca="1">IFERROR(__xludf.DUMMYFUNCTION("""COMPUTED_VALUE"""),"Will NOT work for them")</f>
        <v>Will NOT work for them</v>
      </c>
      <c r="J139" s="1">
        <f ca="1">IFERROR(__xludf.DUMMYFUNCTION("""COMPUTED_VALUE"""),2)</f>
        <v>2</v>
      </c>
      <c r="K139" s="1" t="str">
        <f ca="1">IFERROR(__xludf.DUMMYFUNCTION("""COMPUTED_VALUE"""),"Hybrid Working Environment with less than 10 days a month at office")</f>
        <v>Hybrid Working Environment with less than 10 days a month at office</v>
      </c>
      <c r="L139" s="1" t="str">
        <f ca="1">IFERROR(__xludf.DUMMYFUNCTION("""COMPUTED_VALUE"""),"Employer who pushes your limits by enabling an learning environment, and rewards you at the end")</f>
        <v>Employer who pushes your limits by enabling an learning environment, and rewards you at the end</v>
      </c>
      <c r="M139"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N139" s="4" t="s">
        <v>53</v>
      </c>
      <c r="O139" s="1" t="str">
        <f ca="1">IFERROR(__xludf.DUMMYFUNCTION("""COMPUTED_VALUE"""),"Manager who clearly describes what she/he needs")</f>
        <v>Manager who clearly describes what she/he needs</v>
      </c>
      <c r="P139" s="1" t="str">
        <f ca="1">IFERROR(__xludf.DUMMYFUNCTION("""COMPUTED_VALUE"""),"Work &lt;=6 People in the Team")</f>
        <v>Work &lt;=6 People in the Team</v>
      </c>
      <c r="Q139" s="1" t="s">
        <v>40</v>
      </c>
      <c r="R139" s="1"/>
    </row>
    <row r="140" spans="1:18" x14ac:dyDescent="0.25">
      <c r="A140" s="2">
        <f ca="1">IFERROR(__xludf.DUMMYFUNCTION("""COMPUTED_VALUE"""),44913.7305701504)</f>
        <v>44913.730570150401</v>
      </c>
      <c r="B140" s="1" t="str">
        <f ca="1">IFERROR(__xludf.DUMMYFUNCTION("""COMPUTED_VALUE"""),"India")</f>
        <v>India</v>
      </c>
      <c r="C140" s="1">
        <f ca="1">IFERROR(__xludf.DUMMYFUNCTION("""COMPUTED_VALUE"""),431005)</f>
        <v>431005</v>
      </c>
      <c r="D140" s="1" t="str">
        <f ca="1">IFERROR(__xludf.DUMMYFUNCTION("""COMPUTED_VALUE"""),"Male")</f>
        <v>Male</v>
      </c>
      <c r="E140" s="1" t="str">
        <f ca="1">IFERROR(__xludf.DUMMYFUNCTION("""COMPUTED_VALUE"""),"My Parents")</f>
        <v>My Parents</v>
      </c>
      <c r="F140" s="1" t="str">
        <f ca="1">IFERROR(__xludf.DUMMYFUNCTION("""COMPUTED_VALUE"""),"Yes, I will earn and do that")</f>
        <v>Yes, I will earn and do that</v>
      </c>
      <c r="G140" s="1" t="str">
        <f ca="1">IFERROR(__xludf.DUMMYFUNCTION("""COMPUTED_VALUE"""),"Will work for 3 years or more")</f>
        <v>Will work for 3 years or more</v>
      </c>
      <c r="H140" s="1" t="str">
        <f ca="1">IFERROR(__xludf.DUMMYFUNCTION("""COMPUTED_VALUE"""),"No")</f>
        <v>No</v>
      </c>
      <c r="I140" s="1" t="str">
        <f ca="1">IFERROR(__xludf.DUMMYFUNCTION("""COMPUTED_VALUE"""),"Will work for them")</f>
        <v>Will work for them</v>
      </c>
      <c r="J140" s="1">
        <f ca="1">IFERROR(__xludf.DUMMYFUNCTION("""COMPUTED_VALUE"""),1)</f>
        <v>1</v>
      </c>
      <c r="K140" s="1" t="str">
        <f ca="1">IFERROR(__xludf.DUMMYFUNCTION("""COMPUTED_VALUE"""),"Fully Remote with Options to travel as and when needed")</f>
        <v>Fully Remote with Options to travel as and when needed</v>
      </c>
      <c r="L140" s="1" t="str">
        <f ca="1">IFERROR(__xludf.DUMMYFUNCTION("""COMPUTED_VALUE"""),"Employer who pushes your limits by enabling an learning environment, and rewards you at the end")</f>
        <v>Employer who pushes your limits by enabling an learning environment, and rewards you at the end</v>
      </c>
      <c r="M140"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N140" s="4" t="s">
        <v>48</v>
      </c>
      <c r="O140" s="1" t="str">
        <f ca="1">IFERROR(__xludf.DUMMYFUNCTION("""COMPUTED_VALUE"""),"Manager who sets goal and helps me achieve it")</f>
        <v>Manager who sets goal and helps me achieve it</v>
      </c>
      <c r="P140" s="1" t="str">
        <f ca="1">IFERROR(__xludf.DUMMYFUNCTION("""COMPUTED_VALUE"""),"Work &lt;=6 People in the Team")</f>
        <v>Work &lt;=6 People in the Team</v>
      </c>
      <c r="Q140" s="1" t="s">
        <v>41</v>
      </c>
      <c r="R140" s="1"/>
    </row>
    <row r="141" spans="1:18" x14ac:dyDescent="0.25">
      <c r="A141" s="2">
        <f ca="1">IFERROR(__xludf.DUMMYFUNCTION("""COMPUTED_VALUE"""),44913.7358500231)</f>
        <v>44913.735850023098</v>
      </c>
      <c r="B141" s="1" t="str">
        <f ca="1">IFERROR(__xludf.DUMMYFUNCTION("""COMPUTED_VALUE"""),"India")</f>
        <v>India</v>
      </c>
      <c r="C141" s="1">
        <f ca="1">IFERROR(__xludf.DUMMYFUNCTION("""COMPUTED_VALUE"""),620005)</f>
        <v>620005</v>
      </c>
      <c r="D141" s="1" t="str">
        <f ca="1">IFERROR(__xludf.DUMMYFUNCTION("""COMPUTED_VALUE"""),"Male")</f>
        <v>Male</v>
      </c>
      <c r="E141" s="1" t="str">
        <f ca="1">IFERROR(__xludf.DUMMYFUNCTION("""COMPUTED_VALUE"""),"People from my circle, but not family members")</f>
        <v>People from my circle, but not family members</v>
      </c>
      <c r="F141" s="1" t="str">
        <f ca="1">IFERROR(__xludf.DUMMYFUNCTION("""COMPUTED_VALUE"""),"No I would not be pursuing Higher Education outside of India")</f>
        <v>No I would not be pursuing Higher Education outside of India</v>
      </c>
      <c r="G141" s="1" t="str">
        <f ca="1">IFERROR(__xludf.DUMMYFUNCTION("""COMPUTED_VALUE"""),"This will be hard to do, but if it is the right company I would try")</f>
        <v>This will be hard to do, but if it is the right company I would try</v>
      </c>
      <c r="H141" s="1" t="str">
        <f ca="1">IFERROR(__xludf.DUMMYFUNCTION("""COMPUTED_VALUE"""),"Yes")</f>
        <v>Yes</v>
      </c>
      <c r="I141" s="1" t="str">
        <f ca="1">IFERROR(__xludf.DUMMYFUNCTION("""COMPUTED_VALUE"""),"Will NOT work for them")</f>
        <v>Will NOT work for them</v>
      </c>
      <c r="J141" s="1">
        <f ca="1">IFERROR(__xludf.DUMMYFUNCTION("""COMPUTED_VALUE"""),3)</f>
        <v>3</v>
      </c>
      <c r="K141" s="1" t="str">
        <f ca="1">IFERROR(__xludf.DUMMYFUNCTION("""COMPUTED_VALUE"""),"Hybrid Working Environment with less than 15 days a month at office")</f>
        <v>Hybrid Working Environment with less than 15 days a month at office</v>
      </c>
      <c r="L141" s="1" t="str">
        <f ca="1">IFERROR(__xludf.DUMMYFUNCTION("""COMPUTED_VALUE"""),"Employer who pushes your limits by enabling an learning environment, and rewards you at the end")</f>
        <v>Employer who pushes your limits by enabling an learning environment, and rewards you at the end</v>
      </c>
      <c r="M14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N141" s="4" t="s">
        <v>48</v>
      </c>
      <c r="O141" s="1" t="str">
        <f ca="1">IFERROR(__xludf.DUMMYFUNCTION("""COMPUTED_VALUE"""),"Manager who explains what is expected, sets a goal and helps achieve it")</f>
        <v>Manager who explains what is expected, sets a goal and helps achieve it</v>
      </c>
      <c r="P141" s="1" t="str">
        <f ca="1">IFERROR(__xludf.DUMMYFUNCTION("""COMPUTED_VALUE"""),"Work &lt;=6 People in the Team")</f>
        <v>Work &lt;=6 People in the Team</v>
      </c>
      <c r="Q141" s="1" t="s">
        <v>42</v>
      </c>
      <c r="R141" s="1"/>
    </row>
    <row r="142" spans="1:18" x14ac:dyDescent="0.25">
      <c r="A142" s="2">
        <f ca="1">IFERROR(__xludf.DUMMYFUNCTION("""COMPUTED_VALUE"""),44913.7521120833)</f>
        <v>44913.752112083297</v>
      </c>
      <c r="B142" s="1" t="str">
        <f ca="1">IFERROR(__xludf.DUMMYFUNCTION("""COMPUTED_VALUE"""),"India")</f>
        <v>India</v>
      </c>
      <c r="C142" s="1">
        <f ca="1">IFERROR(__xludf.DUMMYFUNCTION("""COMPUTED_VALUE"""),786001)</f>
        <v>786001</v>
      </c>
      <c r="D142" s="1" t="str">
        <f ca="1">IFERROR(__xludf.DUMMYFUNCTION("""COMPUTED_VALUE"""),"Male")</f>
        <v>Male</v>
      </c>
      <c r="E142" s="1" t="str">
        <f ca="1">IFERROR(__xludf.DUMMYFUNCTION("""COMPUTED_VALUE"""),"My Parents")</f>
        <v>My Parents</v>
      </c>
      <c r="F142" s="1" t="str">
        <f ca="1">IFERROR(__xludf.DUMMYFUNCTION("""COMPUTED_VALUE"""),"Yes, I will earn and do that")</f>
        <v>Yes, I will earn and do that</v>
      </c>
      <c r="G142" s="1" t="str">
        <f ca="1">IFERROR(__xludf.DUMMYFUNCTION("""COMPUTED_VALUE"""),"This will be hard to do, but if it is the right company I would try")</f>
        <v>This will be hard to do, but if it is the right company I would try</v>
      </c>
      <c r="H142" s="1" t="str">
        <f ca="1">IFERROR(__xludf.DUMMYFUNCTION("""COMPUTED_VALUE"""),"No")</f>
        <v>No</v>
      </c>
      <c r="I142" s="1" t="str">
        <f ca="1">IFERROR(__xludf.DUMMYFUNCTION("""COMPUTED_VALUE"""),"Will NOT work for them")</f>
        <v>Will NOT work for them</v>
      </c>
      <c r="J142" s="1">
        <f ca="1">IFERROR(__xludf.DUMMYFUNCTION("""COMPUTED_VALUE"""),4)</f>
        <v>4</v>
      </c>
      <c r="K142" s="1" t="str">
        <f ca="1">IFERROR(__xludf.DUMMYFUNCTION("""COMPUTED_VALUE"""),"Every Day Office Environment")</f>
        <v>Every Day Office Environment</v>
      </c>
      <c r="L142" s="1" t="str">
        <f ca="1">IFERROR(__xludf.DUMMYFUNCTION("""COMPUTED_VALUE"""),"Employer who appreciates learning and enables that environment")</f>
        <v>Employer who appreciates learning and enables that environment</v>
      </c>
      <c r="M14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142" s="4" t="s">
        <v>49</v>
      </c>
      <c r="O142" s="1" t="str">
        <f ca="1">IFERROR(__xludf.DUMMYFUNCTION("""COMPUTED_VALUE"""),"Manager who clearly describes what she/he needs")</f>
        <v>Manager who clearly describes what she/he needs</v>
      </c>
      <c r="P142" s="1" t="str">
        <f ca="1">IFERROR(__xludf.DUMMYFUNCTION("""COMPUTED_VALUE"""),"Work &lt;=6 People in the Team")</f>
        <v>Work &lt;=6 People in the Team</v>
      </c>
      <c r="Q142" s="1" t="s">
        <v>40</v>
      </c>
      <c r="R142" s="1"/>
    </row>
    <row r="143" spans="1:18" x14ac:dyDescent="0.25">
      <c r="A143" s="2">
        <f ca="1">IFERROR(__xludf.DUMMYFUNCTION("""COMPUTED_VALUE"""),44913.7640911342)</f>
        <v>44913.764091134202</v>
      </c>
      <c r="B143" s="1" t="str">
        <f ca="1">IFERROR(__xludf.DUMMYFUNCTION("""COMPUTED_VALUE"""),"India")</f>
        <v>India</v>
      </c>
      <c r="C143" s="1">
        <f ca="1">IFERROR(__xludf.DUMMYFUNCTION("""COMPUTED_VALUE"""),422010)</f>
        <v>422010</v>
      </c>
      <c r="D143" s="1" t="str">
        <f ca="1">IFERROR(__xludf.DUMMYFUNCTION("""COMPUTED_VALUE"""),"Female")</f>
        <v>Female</v>
      </c>
      <c r="E143" s="1" t="str">
        <f ca="1">IFERROR(__xludf.DUMMYFUNCTION("""COMPUTED_VALUE"""),"People who have changed the world for better")</f>
        <v>People who have changed the world for better</v>
      </c>
      <c r="F143" s="1" t="str">
        <f ca="1">IFERROR(__xludf.DUMMYFUNCTION("""COMPUTED_VALUE"""),"No I would not be pursuing Higher Education outside of India")</f>
        <v>No I would not be pursuing Higher Education outside of India</v>
      </c>
      <c r="G143" s="1" t="str">
        <f ca="1">IFERROR(__xludf.DUMMYFUNCTION("""COMPUTED_VALUE"""),"Will work for 3 years or more")</f>
        <v>Will work for 3 years or more</v>
      </c>
      <c r="H143" s="1" t="str">
        <f ca="1">IFERROR(__xludf.DUMMYFUNCTION("""COMPUTED_VALUE"""),"No")</f>
        <v>No</v>
      </c>
      <c r="I143" s="1" t="str">
        <f ca="1">IFERROR(__xludf.DUMMYFUNCTION("""COMPUTED_VALUE"""),"Will NOT work for them")</f>
        <v>Will NOT work for them</v>
      </c>
      <c r="J143" s="1">
        <f ca="1">IFERROR(__xludf.DUMMYFUNCTION("""COMPUTED_VALUE"""),2)</f>
        <v>2</v>
      </c>
      <c r="K143" s="1" t="str">
        <f ca="1">IFERROR(__xludf.DUMMYFUNCTION("""COMPUTED_VALUE"""),"Fully Remote with Options to travel as and when needed")</f>
        <v>Fully Remote with Options to travel as and when needed</v>
      </c>
      <c r="L143" s="1" t="str">
        <f ca="1">IFERROR(__xludf.DUMMYFUNCTION("""COMPUTED_VALUE"""),"Employer who rewards learning and enables that environment")</f>
        <v>Employer who rewards learning and enables that environment</v>
      </c>
      <c r="M143"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N143" s="4" t="s">
        <v>50</v>
      </c>
      <c r="O143" s="1" t="str">
        <f ca="1">IFERROR(__xludf.DUMMYFUNCTION("""COMPUTED_VALUE"""),"Manager who explains what is expected, sets a goal and helps achieve it")</f>
        <v>Manager who explains what is expected, sets a goal and helps achieve it</v>
      </c>
      <c r="P143" s="1" t="str">
        <f ca="1">IFERROR(__xludf.DUMMYFUNCTION("""COMPUTED_VALUE"""),"Work  &lt;67 people in team")</f>
        <v>Work  &lt;67 people in team</v>
      </c>
      <c r="Q143" s="1" t="s">
        <v>42</v>
      </c>
      <c r="R143" s="1"/>
    </row>
    <row r="144" spans="1:18" x14ac:dyDescent="0.25">
      <c r="A144" s="2">
        <f ca="1">IFERROR(__xludf.DUMMYFUNCTION("""COMPUTED_VALUE"""),44913.8593947685)</f>
        <v>44913.8593947685</v>
      </c>
      <c r="B144" s="1" t="str">
        <f ca="1">IFERROR(__xludf.DUMMYFUNCTION("""COMPUTED_VALUE"""),"India")</f>
        <v>India</v>
      </c>
      <c r="C144" s="1">
        <f ca="1">IFERROR(__xludf.DUMMYFUNCTION("""COMPUTED_VALUE"""),110044)</f>
        <v>110044</v>
      </c>
      <c r="D144" s="1" t="str">
        <f ca="1">IFERROR(__xludf.DUMMYFUNCTION("""COMPUTED_VALUE"""),"Male")</f>
        <v>Male</v>
      </c>
      <c r="E144" s="1" t="str">
        <f ca="1">IFERROR(__xludf.DUMMYFUNCTION("""COMPUTED_VALUE"""),"Influencers who had successful careers")</f>
        <v>Influencers who had successful careers</v>
      </c>
      <c r="F144" s="1" t="str">
        <f ca="1">IFERROR(__xludf.DUMMYFUNCTION("""COMPUTED_VALUE"""),"No, But if someone could bare the cost I will")</f>
        <v>No, But if someone could bare the cost I will</v>
      </c>
      <c r="G144" s="1" t="str">
        <f ca="1">IFERROR(__xludf.DUMMYFUNCTION("""COMPUTED_VALUE"""),"This will be hard to do, but if it is the right company I would try")</f>
        <v>This will be hard to do, but if it is the right company I would try</v>
      </c>
      <c r="H144" s="1" t="str">
        <f ca="1">IFERROR(__xludf.DUMMYFUNCTION("""COMPUTED_VALUE"""),"Yes")</f>
        <v>Yes</v>
      </c>
      <c r="I144" s="1" t="str">
        <f ca="1">IFERROR(__xludf.DUMMYFUNCTION("""COMPUTED_VALUE"""),"Will work for them")</f>
        <v>Will work for them</v>
      </c>
      <c r="J144" s="1">
        <f ca="1">IFERROR(__xludf.DUMMYFUNCTION("""COMPUTED_VALUE"""),7)</f>
        <v>7</v>
      </c>
      <c r="K144" s="1" t="str">
        <f ca="1">IFERROR(__xludf.DUMMYFUNCTION("""COMPUTED_VALUE"""),"Fully Remote with Options to travel as and when needed")</f>
        <v>Fully Remote with Options to travel as and when needed</v>
      </c>
      <c r="L144" s="1" t="str">
        <f ca="1">IFERROR(__xludf.DUMMYFUNCTION("""COMPUTED_VALUE"""),"Employer who rewards learning and enables that environment")</f>
        <v>Employer who rewards learning and enables that environment</v>
      </c>
      <c r="M1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144" s="4" t="s">
        <v>48</v>
      </c>
      <c r="O144" s="1" t="str">
        <f ca="1">IFERROR(__xludf.DUMMYFUNCTION("""COMPUTED_VALUE"""),"Manager who explains what is expected, sets a goal and helps achieve it")</f>
        <v>Manager who explains what is expected, sets a goal and helps achieve it</v>
      </c>
      <c r="P144" s="1" t="str">
        <f ca="1">IFERROR(__xludf.DUMMYFUNCTION("""COMPUTED_VALUE"""),"Work Alone, &lt;=6 in team")</f>
        <v>Work Alone, &lt;=6 in team</v>
      </c>
      <c r="Q144" s="1" t="s">
        <v>41</v>
      </c>
      <c r="R144" s="1"/>
    </row>
    <row r="145" spans="1:18" x14ac:dyDescent="0.25">
      <c r="A145" s="2">
        <f ca="1">IFERROR(__xludf.DUMMYFUNCTION("""COMPUTED_VALUE"""),44913.8735975462)</f>
        <v>44913.873597546197</v>
      </c>
      <c r="B145" s="1" t="str">
        <f ca="1">IFERROR(__xludf.DUMMYFUNCTION("""COMPUTED_VALUE"""),"India")</f>
        <v>India</v>
      </c>
      <c r="C145" s="1">
        <f ca="1">IFERROR(__xludf.DUMMYFUNCTION("""COMPUTED_VALUE"""),700156)</f>
        <v>700156</v>
      </c>
      <c r="D145" s="1" t="str">
        <f ca="1">IFERROR(__xludf.DUMMYFUNCTION("""COMPUTED_VALUE"""),"Male")</f>
        <v>Male</v>
      </c>
      <c r="E145" s="1" t="str">
        <f ca="1">IFERROR(__xludf.DUMMYFUNCTION("""COMPUTED_VALUE"""),"People from my circle, but not family members")</f>
        <v>People from my circle, but not family members</v>
      </c>
      <c r="F145" s="1" t="str">
        <f ca="1">IFERROR(__xludf.DUMMYFUNCTION("""COMPUTED_VALUE"""),"No I would not be pursuing Higher Education outside of India")</f>
        <v>No I would not be pursuing Higher Education outside of India</v>
      </c>
      <c r="G145" s="1" t="str">
        <f ca="1">IFERROR(__xludf.DUMMYFUNCTION("""COMPUTED_VALUE"""),"Will work for 3 years or more")</f>
        <v>Will work for 3 years or more</v>
      </c>
      <c r="H145" s="1" t="str">
        <f ca="1">IFERROR(__xludf.DUMMYFUNCTION("""COMPUTED_VALUE"""),"No")</f>
        <v>No</v>
      </c>
      <c r="I145" s="1" t="str">
        <f ca="1">IFERROR(__xludf.DUMMYFUNCTION("""COMPUTED_VALUE"""),"Will NOT work for them")</f>
        <v>Will NOT work for them</v>
      </c>
      <c r="J145" s="1">
        <f ca="1">IFERROR(__xludf.DUMMYFUNCTION("""COMPUTED_VALUE"""),7)</f>
        <v>7</v>
      </c>
      <c r="K145" s="1" t="str">
        <f ca="1">IFERROR(__xludf.DUMMYFUNCTION("""COMPUTED_VALUE"""),"Hybrid Working Environment with less than 3 days a month at office")</f>
        <v>Hybrid Working Environment with less than 3 days a month at office</v>
      </c>
      <c r="L145" s="1" t="str">
        <f ca="1">IFERROR(__xludf.DUMMYFUNCTION("""COMPUTED_VALUE"""),"Employer who pushes your limits by enabling an learning environment, and rewards you at the end")</f>
        <v>Employer who pushes your limits by enabling an learning environment, and rewards you at the end</v>
      </c>
      <c r="M145"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N145" s="4" t="s">
        <v>55</v>
      </c>
      <c r="O145" s="1" t="str">
        <f ca="1">IFERROR(__xludf.DUMMYFUNCTION("""COMPUTED_VALUE"""),"Manager who explains what is expected, sets a goal and helps achieve it")</f>
        <v>Manager who explains what is expected, sets a goal and helps achieve it</v>
      </c>
      <c r="P145" s="1" t="str">
        <f ca="1">IFERROR(__xludf.DUMMYFUNCTION("""COMPUTED_VALUE"""),"Work  &lt;67 people in team")</f>
        <v>Work  &lt;67 people in team</v>
      </c>
      <c r="Q145" s="1" t="s">
        <v>40</v>
      </c>
      <c r="R145" s="1"/>
    </row>
    <row r="146" spans="1:18" x14ac:dyDescent="0.25">
      <c r="A146" s="2">
        <f ca="1">IFERROR(__xludf.DUMMYFUNCTION("""COMPUTED_VALUE"""),44913.9041031713)</f>
        <v>44913.904103171299</v>
      </c>
      <c r="B146" s="1" t="str">
        <f ca="1">IFERROR(__xludf.DUMMYFUNCTION("""COMPUTED_VALUE"""),"India")</f>
        <v>India</v>
      </c>
      <c r="C146" s="1">
        <f ca="1">IFERROR(__xludf.DUMMYFUNCTION("""COMPUTED_VALUE"""),824003)</f>
        <v>824003</v>
      </c>
      <c r="D146" s="1" t="str">
        <f ca="1">IFERROR(__xludf.DUMMYFUNCTION("""COMPUTED_VALUE"""),"Male")</f>
        <v>Male</v>
      </c>
      <c r="E146" s="1" t="str">
        <f ca="1">IFERROR(__xludf.DUMMYFUNCTION("""COMPUTED_VALUE"""),"People from my circle, but not family members")</f>
        <v>People from my circle, but not family members</v>
      </c>
      <c r="F146" s="1" t="str">
        <f ca="1">IFERROR(__xludf.DUMMYFUNCTION("""COMPUTED_VALUE"""),"Yes, I will earn and do that")</f>
        <v>Yes, I will earn and do that</v>
      </c>
      <c r="G146" s="1" t="str">
        <f ca="1">IFERROR(__xludf.DUMMYFUNCTION("""COMPUTED_VALUE"""),"This will be hard to do, but if it is the right company I would try")</f>
        <v>This will be hard to do, but if it is the right company I would try</v>
      </c>
      <c r="H146" s="1" t="str">
        <f ca="1">IFERROR(__xludf.DUMMYFUNCTION("""COMPUTED_VALUE"""),"No")</f>
        <v>No</v>
      </c>
      <c r="I146" s="1" t="str">
        <f ca="1">IFERROR(__xludf.DUMMYFUNCTION("""COMPUTED_VALUE"""),"Will NOT work for them")</f>
        <v>Will NOT work for them</v>
      </c>
      <c r="J146" s="1">
        <f ca="1">IFERROR(__xludf.DUMMYFUNCTION("""COMPUTED_VALUE"""),9)</f>
        <v>9</v>
      </c>
      <c r="K146" s="1" t="str">
        <f ca="1">IFERROR(__xludf.DUMMYFUNCTION("""COMPUTED_VALUE"""),"Hybrid Working Environment with less than 3 days a month at office")</f>
        <v>Hybrid Working Environment with less than 3 days a month at office</v>
      </c>
      <c r="L146" s="1" t="str">
        <f ca="1">IFERROR(__xludf.DUMMYFUNCTION("""COMPUTED_VALUE"""),"Employer who appreciates learning and enables that environment")</f>
        <v>Employer who appreciates learning and enables that environment</v>
      </c>
      <c r="M14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146" s="4" t="s">
        <v>48</v>
      </c>
      <c r="O146" s="1" t="str">
        <f ca="1">IFERROR(__xludf.DUMMYFUNCTION("""COMPUTED_VALUE"""),"Manager who sets goal and helps me achieve it")</f>
        <v>Manager who sets goal and helps me achieve it</v>
      </c>
      <c r="P146" s="1" t="str">
        <f ca="1">IFERROR(__xludf.DUMMYFUNCTION("""COMPUTED_VALUE"""),"Work &lt;=6 People in the Team")</f>
        <v>Work &lt;=6 People in the Team</v>
      </c>
      <c r="Q146" s="1" t="s">
        <v>42</v>
      </c>
      <c r="R146" s="1"/>
    </row>
    <row r="147" spans="1:18" x14ac:dyDescent="0.25">
      <c r="A147" s="2">
        <f ca="1">IFERROR(__xludf.DUMMYFUNCTION("""COMPUTED_VALUE"""),44914.0026249537)</f>
        <v>44914.002624953697</v>
      </c>
      <c r="B147" s="1" t="str">
        <f ca="1">IFERROR(__xludf.DUMMYFUNCTION("""COMPUTED_VALUE"""),"India")</f>
        <v>India</v>
      </c>
      <c r="C147" s="1">
        <f ca="1">IFERROR(__xludf.DUMMYFUNCTION("""COMPUTED_VALUE"""),410505)</f>
        <v>410505</v>
      </c>
      <c r="D147" s="1" t="str">
        <f ca="1">IFERROR(__xludf.DUMMYFUNCTION("""COMPUTED_VALUE"""),"Male")</f>
        <v>Male</v>
      </c>
      <c r="E147" s="1" t="str">
        <f ca="1">IFERROR(__xludf.DUMMYFUNCTION("""COMPUTED_VALUE"""),"Social Media like LinkedIn")</f>
        <v>Social Media like LinkedIn</v>
      </c>
      <c r="F147" s="1" t="str">
        <f ca="1">IFERROR(__xludf.DUMMYFUNCTION("""COMPUTED_VALUE"""),"Yes, I will earn and do that")</f>
        <v>Yes, I will earn and do that</v>
      </c>
      <c r="G147" s="1" t="str">
        <f ca="1">IFERROR(__xludf.DUMMYFUNCTION("""COMPUTED_VALUE"""),"Will work for 3 years or more")</f>
        <v>Will work for 3 years or more</v>
      </c>
      <c r="H147" s="1" t="str">
        <f ca="1">IFERROR(__xludf.DUMMYFUNCTION("""COMPUTED_VALUE"""),"Yes")</f>
        <v>Yes</v>
      </c>
      <c r="I147" s="1" t="str">
        <f ca="1">IFERROR(__xludf.DUMMYFUNCTION("""COMPUTED_VALUE"""),"Will work for them")</f>
        <v>Will work for them</v>
      </c>
      <c r="J147" s="1">
        <f ca="1">IFERROR(__xludf.DUMMYFUNCTION("""COMPUTED_VALUE"""),3)</f>
        <v>3</v>
      </c>
      <c r="K147" s="1" t="str">
        <f ca="1">IFERROR(__xludf.DUMMYFUNCTION("""COMPUTED_VALUE"""),"Hybrid Working Environment with less than 3 days a month at office")</f>
        <v>Hybrid Working Environment with less than 3 days a month at office</v>
      </c>
      <c r="L147" s="1" t="str">
        <f ca="1">IFERROR(__xludf.DUMMYFUNCTION("""COMPUTED_VALUE"""),"Employer who appreciates learning and enables that environment")</f>
        <v>Employer who appreciates learning and enables that environment</v>
      </c>
      <c r="M147"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N147" s="4" t="s">
        <v>48</v>
      </c>
      <c r="O147" s="1" t="str">
        <f ca="1">IFERROR(__xludf.DUMMYFUNCTION("""COMPUTED_VALUE"""),"Manager who clearly describes what she/he needs")</f>
        <v>Manager who clearly describes what she/he needs</v>
      </c>
      <c r="P147" s="1" t="str">
        <f ca="1">IFERROR(__xludf.DUMMYFUNCTION("""COMPUTED_VALUE"""),"Work alone")</f>
        <v>Work alone</v>
      </c>
      <c r="Q147" s="1" t="s">
        <v>41</v>
      </c>
      <c r="R147" s="1"/>
    </row>
    <row r="148" spans="1:18" x14ac:dyDescent="0.25">
      <c r="A148" s="2">
        <f ca="1">IFERROR(__xludf.DUMMYFUNCTION("""COMPUTED_VALUE"""),44914.0155626851)</f>
        <v>44914.015562685097</v>
      </c>
      <c r="B148" s="1" t="str">
        <f ca="1">IFERROR(__xludf.DUMMYFUNCTION("""COMPUTED_VALUE"""),"India")</f>
        <v>India</v>
      </c>
      <c r="C148" s="1">
        <f ca="1">IFERROR(__xludf.DUMMYFUNCTION("""COMPUTED_VALUE"""),151110)</f>
        <v>151110</v>
      </c>
      <c r="D148" s="1" t="str">
        <f ca="1">IFERROR(__xludf.DUMMYFUNCTION("""COMPUTED_VALUE"""),"Female")</f>
        <v>Female</v>
      </c>
      <c r="E148" s="1" t="str">
        <f ca="1">IFERROR(__xludf.DUMMYFUNCTION("""COMPUTED_VALUE"""),"People who have changed the world for better")</f>
        <v>People who have changed the world for better</v>
      </c>
      <c r="F148" s="1" t="str">
        <f ca="1">IFERROR(__xludf.DUMMYFUNCTION("""COMPUTED_VALUE"""),"No I would not be pursuing Higher Education outside of India")</f>
        <v>No I would not be pursuing Higher Education outside of India</v>
      </c>
      <c r="G148" s="1" t="str">
        <f ca="1">IFERROR(__xludf.DUMMYFUNCTION("""COMPUTED_VALUE"""),"This will be hard to do, but if it is the right company I would try")</f>
        <v>This will be hard to do, but if it is the right company I would try</v>
      </c>
      <c r="H148" s="1" t="str">
        <f ca="1">IFERROR(__xludf.DUMMYFUNCTION("""COMPUTED_VALUE"""),"Yes")</f>
        <v>Yes</v>
      </c>
      <c r="I148" s="1" t="str">
        <f ca="1">IFERROR(__xludf.DUMMYFUNCTION("""COMPUTED_VALUE"""),"Will work for them")</f>
        <v>Will work for them</v>
      </c>
      <c r="J148" s="1">
        <f ca="1">IFERROR(__xludf.DUMMYFUNCTION("""COMPUTED_VALUE"""),10)</f>
        <v>10</v>
      </c>
      <c r="K148" s="1" t="str">
        <f ca="1">IFERROR(__xludf.DUMMYFUNCTION("""COMPUTED_VALUE"""),"Fully Remote with Options to travel as and when needed")</f>
        <v>Fully Remote with Options to travel as and when needed</v>
      </c>
      <c r="L148" s="1" t="str">
        <f ca="1">IFERROR(__xludf.DUMMYFUNCTION("""COMPUTED_VALUE"""),"Employer who pushes your limits by enabling an learning environment, and rewards you at the end")</f>
        <v>Employer who pushes your limits by enabling an learning environment, and rewards you at the end</v>
      </c>
      <c r="M148" s="1" t="str">
        <f ca="1">IFERROR(__xludf.DUMMYFUNCTION("""COMPUTED_VALUE"""),"Design and Creative strategy in any company, Manage and drive End-to-End Projects or Products, Work as a freelancer and do my thing my way")</f>
        <v>Design and Creative strategy in any company, Manage and drive End-to-End Projects or Products, Work as a freelancer and do my thing my way</v>
      </c>
      <c r="N148" s="4" t="s">
        <v>51</v>
      </c>
      <c r="O148" s="1" t="str">
        <f ca="1">IFERROR(__xludf.DUMMYFUNCTION("""COMPUTED_VALUE"""),"Manager who explains what is expected, sets a goal and helps achieve it")</f>
        <v>Manager who explains what is expected, sets a goal and helps achieve it</v>
      </c>
      <c r="P148" s="1" t="str">
        <f ca="1">IFERROR(__xludf.DUMMYFUNCTION("""COMPUTED_VALUE"""),"Work &lt;=6 People in the Team")</f>
        <v>Work &lt;=6 People in the Team</v>
      </c>
      <c r="Q148" s="1" t="s">
        <v>40</v>
      </c>
      <c r="R148" s="1"/>
    </row>
    <row r="149" spans="1:18" x14ac:dyDescent="0.25">
      <c r="A149" s="2">
        <f ca="1">IFERROR(__xludf.DUMMYFUNCTION("""COMPUTED_VALUE"""),44914.0158162615)</f>
        <v>44914.015816261497</v>
      </c>
      <c r="B149" s="1" t="str">
        <f ca="1">IFERROR(__xludf.DUMMYFUNCTION("""COMPUTED_VALUE"""),"India")</f>
        <v>India</v>
      </c>
      <c r="C149" s="1">
        <f ca="1">IFERROR(__xludf.DUMMYFUNCTION("""COMPUTED_VALUE"""),410206)</f>
        <v>410206</v>
      </c>
      <c r="D149" s="1" t="str">
        <f ca="1">IFERROR(__xludf.DUMMYFUNCTION("""COMPUTED_VALUE"""),"Male")</f>
        <v>Male</v>
      </c>
      <c r="E149" s="1" t="str">
        <f ca="1">IFERROR(__xludf.DUMMYFUNCTION("""COMPUTED_VALUE"""),"People from my circle, but not family members")</f>
        <v>People from my circle, but not family members</v>
      </c>
      <c r="F149" s="1" t="str">
        <f ca="1">IFERROR(__xludf.DUMMYFUNCTION("""COMPUTED_VALUE"""),"No, But if someone could bare the cost I will")</f>
        <v>No, But if someone could bare the cost I will</v>
      </c>
      <c r="G149" s="1" t="str">
        <f ca="1">IFERROR(__xludf.DUMMYFUNCTION("""COMPUTED_VALUE"""),"This will be hard to do, but if it is the right company I would try")</f>
        <v>This will be hard to do, but if it is the right company I would try</v>
      </c>
      <c r="H149" s="1" t="str">
        <f ca="1">IFERROR(__xludf.DUMMYFUNCTION("""COMPUTED_VALUE"""),"No")</f>
        <v>No</v>
      </c>
      <c r="I149" s="1" t="str">
        <f ca="1">IFERROR(__xludf.DUMMYFUNCTION("""COMPUTED_VALUE"""),"Will NOT work for them")</f>
        <v>Will NOT work for them</v>
      </c>
      <c r="J149" s="1">
        <f ca="1">IFERROR(__xludf.DUMMYFUNCTION("""COMPUTED_VALUE"""),7)</f>
        <v>7</v>
      </c>
      <c r="K149" s="1" t="str">
        <f ca="1">IFERROR(__xludf.DUMMYFUNCTION("""COMPUTED_VALUE"""),"Hybrid Working Environment with less than 15 days a month at office")</f>
        <v>Hybrid Working Environment with less than 15 days a month at office</v>
      </c>
      <c r="L149" s="1" t="str">
        <f ca="1">IFERROR(__xludf.DUMMYFUNCTION("""COMPUTED_VALUE"""),"Employer who pushes your limits by enabling an learning environment, and rewards you at the end")</f>
        <v>Employer who pushes your limits by enabling an learning environment, and rewards you at the end</v>
      </c>
      <c r="M14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149" s="4" t="s">
        <v>55</v>
      </c>
      <c r="O149" s="1" t="str">
        <f ca="1">IFERROR(__xludf.DUMMYFUNCTION("""COMPUTED_VALUE"""),"Manager who explains what is expected, sets a goal and helps achieve it")</f>
        <v>Manager who explains what is expected, sets a goal and helps achieve it</v>
      </c>
      <c r="P149" s="1" t="str">
        <f ca="1">IFERROR(__xludf.DUMMYFUNCTION("""COMPUTED_VALUE"""),"Work &lt;=6 People in the Team")</f>
        <v>Work &lt;=6 People in the Team</v>
      </c>
      <c r="Q149" s="1" t="s">
        <v>40</v>
      </c>
      <c r="R149" s="1"/>
    </row>
    <row r="150" spans="1:18" x14ac:dyDescent="0.25">
      <c r="A150" s="2">
        <f ca="1">IFERROR(__xludf.DUMMYFUNCTION("""COMPUTED_VALUE"""),44914.0296985185)</f>
        <v>44914.029698518498</v>
      </c>
      <c r="B150" s="1" t="str">
        <f ca="1">IFERROR(__xludf.DUMMYFUNCTION("""COMPUTED_VALUE"""),"India")</f>
        <v>India</v>
      </c>
      <c r="C150" s="1">
        <f ca="1">IFERROR(__xludf.DUMMYFUNCTION("""COMPUTED_VALUE"""),721445)</f>
        <v>721445</v>
      </c>
      <c r="D150" s="1" t="str">
        <f ca="1">IFERROR(__xludf.DUMMYFUNCTION("""COMPUTED_VALUE"""),"Male")</f>
        <v>Male</v>
      </c>
      <c r="E150" s="1" t="str">
        <f ca="1">IFERROR(__xludf.DUMMYFUNCTION("""COMPUTED_VALUE"""),"Influencers who had successful careers")</f>
        <v>Influencers who had successful careers</v>
      </c>
      <c r="F150" s="1" t="str">
        <f ca="1">IFERROR(__xludf.DUMMYFUNCTION("""COMPUTED_VALUE"""),"No, But if someone could bare the cost I will")</f>
        <v>No, But if someone could bare the cost I will</v>
      </c>
      <c r="G150" s="1" t="str">
        <f ca="1">IFERROR(__xludf.DUMMYFUNCTION("""COMPUTED_VALUE"""),"Will work for 3 years or more")</f>
        <v>Will work for 3 years or more</v>
      </c>
      <c r="H150" s="1" t="str">
        <f ca="1">IFERROR(__xludf.DUMMYFUNCTION("""COMPUTED_VALUE"""),"No")</f>
        <v>No</v>
      </c>
      <c r="I150" s="1" t="str">
        <f ca="1">IFERROR(__xludf.DUMMYFUNCTION("""COMPUTED_VALUE"""),"Will work for them")</f>
        <v>Will work for them</v>
      </c>
      <c r="J150" s="1">
        <f ca="1">IFERROR(__xludf.DUMMYFUNCTION("""COMPUTED_VALUE"""),7)</f>
        <v>7</v>
      </c>
      <c r="K150" s="1" t="str">
        <f ca="1">IFERROR(__xludf.DUMMYFUNCTION("""COMPUTED_VALUE"""),"Every Day Office Environment")</f>
        <v>Every Day Office Environment</v>
      </c>
      <c r="L150" s="1" t="str">
        <f ca="1">IFERROR(__xludf.DUMMYFUNCTION("""COMPUTED_VALUE"""),"Employer who appreciates learning and enables that environment")</f>
        <v>Employer who appreciates learning and enables that environment</v>
      </c>
      <c r="M150"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50" s="4" t="s">
        <v>48</v>
      </c>
      <c r="O150" s="1" t="str">
        <f ca="1">IFERROR(__xludf.DUMMYFUNCTION("""COMPUTED_VALUE"""),"Manager who clearly describes what she/he needs")</f>
        <v>Manager who clearly describes what she/he needs</v>
      </c>
      <c r="P150" s="1" t="str">
        <f ca="1">IFERROR(__xludf.DUMMYFUNCTION("""COMPUTED_VALUE"""),"Work &lt;=6 People in the Team")</f>
        <v>Work &lt;=6 People in the Team</v>
      </c>
      <c r="Q150" s="1" t="s">
        <v>41</v>
      </c>
      <c r="R150" s="1"/>
    </row>
    <row r="151" spans="1:18" x14ac:dyDescent="0.25">
      <c r="A151" s="2">
        <f ca="1">IFERROR(__xludf.DUMMYFUNCTION("""COMPUTED_VALUE"""),44914.3522707638)</f>
        <v>44914.352270763797</v>
      </c>
      <c r="B151" s="1" t="str">
        <f ca="1">IFERROR(__xludf.DUMMYFUNCTION("""COMPUTED_VALUE"""),"India")</f>
        <v>India</v>
      </c>
      <c r="C151" s="1">
        <f ca="1">IFERROR(__xludf.DUMMYFUNCTION("""COMPUTED_VALUE"""),251309)</f>
        <v>251309</v>
      </c>
      <c r="D151" s="1" t="str">
        <f ca="1">IFERROR(__xludf.DUMMYFUNCTION("""COMPUTED_VALUE"""),"Female")</f>
        <v>Female</v>
      </c>
      <c r="E151" s="1" t="str">
        <f ca="1">IFERROR(__xludf.DUMMYFUNCTION("""COMPUTED_VALUE"""),"Social Media like LinkedIn")</f>
        <v>Social Media like LinkedIn</v>
      </c>
      <c r="F151" s="1" t="str">
        <f ca="1">IFERROR(__xludf.DUMMYFUNCTION("""COMPUTED_VALUE"""),"Yes, I will earn and do that")</f>
        <v>Yes, I will earn and do that</v>
      </c>
      <c r="G151" s="1" t="str">
        <f ca="1">IFERROR(__xludf.DUMMYFUNCTION("""COMPUTED_VALUE"""),"This will be hard to do, but if it is the right company I would try")</f>
        <v>This will be hard to do, but if it is the right company I would try</v>
      </c>
      <c r="H151" s="1" t="str">
        <f ca="1">IFERROR(__xludf.DUMMYFUNCTION("""COMPUTED_VALUE"""),"No")</f>
        <v>No</v>
      </c>
      <c r="I151" s="1" t="str">
        <f ca="1">IFERROR(__xludf.DUMMYFUNCTION("""COMPUTED_VALUE"""),"Will NOT work for them")</f>
        <v>Will NOT work for them</v>
      </c>
      <c r="J151" s="1">
        <f ca="1">IFERROR(__xludf.DUMMYFUNCTION("""COMPUTED_VALUE"""),5)</f>
        <v>5</v>
      </c>
      <c r="K151" s="1" t="str">
        <f ca="1">IFERROR(__xludf.DUMMYFUNCTION("""COMPUTED_VALUE"""),"Fully Remote with Options to travel as and when needed")</f>
        <v>Fully Remote with Options to travel as and when needed</v>
      </c>
      <c r="L151" s="1" t="str">
        <f ca="1">IFERROR(__xludf.DUMMYFUNCTION("""COMPUTED_VALUE"""),"Employer who appreciates learning and enables that environment")</f>
        <v>Employer who appreciates learning and enables that environment</v>
      </c>
      <c r="M151"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N151" s="4" t="s">
        <v>51</v>
      </c>
      <c r="O151" s="1" t="str">
        <f ca="1">IFERROR(__xludf.DUMMYFUNCTION("""COMPUTED_VALUE"""),"Manager who explains what is expected, sets a goal and helps achieve it")</f>
        <v>Manager who explains what is expected, sets a goal and helps achieve it</v>
      </c>
      <c r="P151" s="1" t="str">
        <f ca="1">IFERROR(__xludf.DUMMYFUNCTION("""COMPUTED_VALUE"""),"Work &lt;=6 People in the Team")</f>
        <v>Work &lt;=6 People in the Team</v>
      </c>
      <c r="Q151" s="1" t="s">
        <v>40</v>
      </c>
      <c r="R151" s="1"/>
    </row>
    <row r="152" spans="1:18" x14ac:dyDescent="0.25">
      <c r="A152" s="2">
        <f ca="1">IFERROR(__xludf.DUMMYFUNCTION("""COMPUTED_VALUE"""),44914.4065719444)</f>
        <v>44914.406571944397</v>
      </c>
      <c r="B152" s="1" t="str">
        <f ca="1">IFERROR(__xludf.DUMMYFUNCTION("""COMPUTED_VALUE"""),"India")</f>
        <v>India</v>
      </c>
      <c r="C152" s="1">
        <f ca="1">IFERROR(__xludf.DUMMYFUNCTION("""COMPUTED_VALUE"""),713216)</f>
        <v>713216</v>
      </c>
      <c r="D152" s="1" t="str">
        <f ca="1">IFERROR(__xludf.DUMMYFUNCTION("""COMPUTED_VALUE"""),"Female")</f>
        <v>Female</v>
      </c>
      <c r="E152" s="1" t="str">
        <f ca="1">IFERROR(__xludf.DUMMYFUNCTION("""COMPUTED_VALUE"""),"My Parents")</f>
        <v>My Parents</v>
      </c>
      <c r="F152" s="1" t="str">
        <f ca="1">IFERROR(__xludf.DUMMYFUNCTION("""COMPUTED_VALUE"""),"No I would not be pursuing Higher Education outside of India")</f>
        <v>No I would not be pursuing Higher Education outside of India</v>
      </c>
      <c r="G152" s="1" t="str">
        <f ca="1">IFERROR(__xludf.DUMMYFUNCTION("""COMPUTED_VALUE"""),"Will work for 3 years or more")</f>
        <v>Will work for 3 years or more</v>
      </c>
      <c r="H152" s="1" t="str">
        <f ca="1">IFERROR(__xludf.DUMMYFUNCTION("""COMPUTED_VALUE"""),"No")</f>
        <v>No</v>
      </c>
      <c r="I152" s="1" t="str">
        <f ca="1">IFERROR(__xludf.DUMMYFUNCTION("""COMPUTED_VALUE"""),"Will NOT work for them")</f>
        <v>Will NOT work for them</v>
      </c>
      <c r="J152" s="1">
        <f ca="1">IFERROR(__xludf.DUMMYFUNCTION("""COMPUTED_VALUE"""),6)</f>
        <v>6</v>
      </c>
      <c r="K152" s="1" t="str">
        <f ca="1">IFERROR(__xludf.DUMMYFUNCTION("""COMPUTED_VALUE"""),"Fully Remote with Options to travel as and when needed")</f>
        <v>Fully Remote with Options to travel as and when needed</v>
      </c>
      <c r="L152" s="1" t="str">
        <f ca="1">IFERROR(__xludf.DUMMYFUNCTION("""COMPUTED_VALUE"""),"Employer who pushes your limits by enabling an learning environment, and rewards you at the end")</f>
        <v>Employer who pushes your limits by enabling an learning environment, and rewards you at the end</v>
      </c>
      <c r="M15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152" s="4" t="s">
        <v>48</v>
      </c>
      <c r="O152" s="1" t="str">
        <f ca="1">IFERROR(__xludf.DUMMYFUNCTION("""COMPUTED_VALUE"""),"Manager who explains what is expected, sets a goal and helps achieve it")</f>
        <v>Manager who explains what is expected, sets a goal and helps achieve it</v>
      </c>
      <c r="P152" s="1" t="str">
        <f ca="1">IFERROR(__xludf.DUMMYFUNCTION("""COMPUTED_VALUE"""),"Work &lt;=6 People in the Team")</f>
        <v>Work &lt;=6 People in the Team</v>
      </c>
      <c r="Q152" s="1" t="s">
        <v>41</v>
      </c>
      <c r="R152" s="1"/>
    </row>
    <row r="153" spans="1:18" x14ac:dyDescent="0.25">
      <c r="A153" s="2">
        <f ca="1">IFERROR(__xludf.DUMMYFUNCTION("""COMPUTED_VALUE"""),44914.4230697106)</f>
        <v>44914.423069710603</v>
      </c>
      <c r="B153" s="1" t="str">
        <f ca="1">IFERROR(__xludf.DUMMYFUNCTION("""COMPUTED_VALUE"""),"India")</f>
        <v>India</v>
      </c>
      <c r="C153" s="1">
        <f ca="1">IFERROR(__xludf.DUMMYFUNCTION("""COMPUTED_VALUE"""),670102)</f>
        <v>670102</v>
      </c>
      <c r="D153" s="1" t="str">
        <f ca="1">IFERROR(__xludf.DUMMYFUNCTION("""COMPUTED_VALUE"""),"Male")</f>
        <v>Male</v>
      </c>
      <c r="E153" s="1" t="str">
        <f ca="1">IFERROR(__xludf.DUMMYFUNCTION("""COMPUTED_VALUE"""),"My Parents")</f>
        <v>My Parents</v>
      </c>
      <c r="F153" s="1" t="str">
        <f ca="1">IFERROR(__xludf.DUMMYFUNCTION("""COMPUTED_VALUE"""),"No I would not be pursuing Higher Education outside of India")</f>
        <v>No I would not be pursuing Higher Education outside of India</v>
      </c>
      <c r="G153" s="1" t="str">
        <f ca="1">IFERROR(__xludf.DUMMYFUNCTION("""COMPUTED_VALUE"""),"This will be hard to do, but if it is the right company I would try")</f>
        <v>This will be hard to do, but if it is the right company I would try</v>
      </c>
      <c r="H153" s="1" t="str">
        <f ca="1">IFERROR(__xludf.DUMMYFUNCTION("""COMPUTED_VALUE"""),"Yes")</f>
        <v>Yes</v>
      </c>
      <c r="I153" s="1" t="str">
        <f ca="1">IFERROR(__xludf.DUMMYFUNCTION("""COMPUTED_VALUE"""),"Will work for them")</f>
        <v>Will work for them</v>
      </c>
      <c r="J153" s="1">
        <f ca="1">IFERROR(__xludf.DUMMYFUNCTION("""COMPUTED_VALUE"""),2)</f>
        <v>2</v>
      </c>
      <c r="K153" s="1" t="str">
        <f ca="1">IFERROR(__xludf.DUMMYFUNCTION("""COMPUTED_VALUE"""),"Hybrid Working Environment with less than 15 days a month at office")</f>
        <v>Hybrid Working Environment with less than 15 days a month at office</v>
      </c>
      <c r="L153" s="1" t="str">
        <f ca="1">IFERROR(__xludf.DUMMYFUNCTION("""COMPUTED_VALUE"""),"Employer who pushes your limits by enabling an learning environment, and rewards you at the end")</f>
        <v>Employer who pushes your limits by enabling an learning environment, and rewards you at the end</v>
      </c>
      <c r="M15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153" s="4" t="s">
        <v>48</v>
      </c>
      <c r="O153" s="1" t="str">
        <f ca="1">IFERROR(__xludf.DUMMYFUNCTION("""COMPUTED_VALUE"""),"Manager who explains what is expected, sets a goal and helps achieve it")</f>
        <v>Manager who explains what is expected, sets a goal and helps achieve it</v>
      </c>
      <c r="P153" s="1" t="str">
        <f ca="1">IFERROR(__xludf.DUMMYFUNCTION("""COMPUTED_VALUE"""),"Work &lt;=6 People in the Team")</f>
        <v>Work &lt;=6 People in the Team</v>
      </c>
      <c r="Q153" s="1" t="s">
        <v>40</v>
      </c>
      <c r="R153" s="1"/>
    </row>
    <row r="154" spans="1:18" x14ac:dyDescent="0.25">
      <c r="A154" s="2">
        <f ca="1">IFERROR(__xludf.DUMMYFUNCTION("""COMPUTED_VALUE"""),44914.4232865277)</f>
        <v>44914.423286527701</v>
      </c>
      <c r="B154" s="1" t="str">
        <f ca="1">IFERROR(__xludf.DUMMYFUNCTION("""COMPUTED_VALUE"""),"India")</f>
        <v>India</v>
      </c>
      <c r="C154" s="1">
        <f ca="1">IFERROR(__xludf.DUMMYFUNCTION("""COMPUTED_VALUE"""),251309)</f>
        <v>251309</v>
      </c>
      <c r="D154" s="1" t="str">
        <f ca="1">IFERROR(__xludf.DUMMYFUNCTION("""COMPUTED_VALUE"""),"Female")</f>
        <v>Female</v>
      </c>
      <c r="E154" s="1" t="str">
        <f ca="1">IFERROR(__xludf.DUMMYFUNCTION("""COMPUTED_VALUE"""),"Social Media like LinkedIn")</f>
        <v>Social Media like LinkedIn</v>
      </c>
      <c r="F154" s="1" t="str">
        <f ca="1">IFERROR(__xludf.DUMMYFUNCTION("""COMPUTED_VALUE"""),"Yes, I will earn and do that")</f>
        <v>Yes, I will earn and do that</v>
      </c>
      <c r="G154" s="1" t="str">
        <f ca="1">IFERROR(__xludf.DUMMYFUNCTION("""COMPUTED_VALUE"""),"This will be hard to do, but if it is the right company I would try")</f>
        <v>This will be hard to do, but if it is the right company I would try</v>
      </c>
      <c r="H154" s="1" t="str">
        <f ca="1">IFERROR(__xludf.DUMMYFUNCTION("""COMPUTED_VALUE"""),"No")</f>
        <v>No</v>
      </c>
      <c r="I154" s="1" t="str">
        <f ca="1">IFERROR(__xludf.DUMMYFUNCTION("""COMPUTED_VALUE"""),"Will NOT work for them")</f>
        <v>Will NOT work for them</v>
      </c>
      <c r="J154" s="1">
        <f ca="1">IFERROR(__xludf.DUMMYFUNCTION("""COMPUTED_VALUE"""),5)</f>
        <v>5</v>
      </c>
      <c r="K154" s="1" t="str">
        <f ca="1">IFERROR(__xludf.DUMMYFUNCTION("""COMPUTED_VALUE"""),"Hybrid Working Environment with less than 3 days a month at office")</f>
        <v>Hybrid Working Environment with less than 3 days a month at office</v>
      </c>
      <c r="L154" s="1" t="str">
        <f ca="1">IFERROR(__xludf.DUMMYFUNCTION("""COMPUTED_VALUE"""),"Employer who appreciates learning and enables that environment")</f>
        <v>Employer who appreciates learning and enables that environment</v>
      </c>
      <c r="M154"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N154" s="4" t="s">
        <v>50</v>
      </c>
      <c r="O154" s="1" t="str">
        <f ca="1">IFERROR(__xludf.DUMMYFUNCTION("""COMPUTED_VALUE"""),"Manager who explains what is expected, sets a goal and helps achieve it")</f>
        <v>Manager who explains what is expected, sets a goal and helps achieve it</v>
      </c>
      <c r="P154" s="1" t="str">
        <f ca="1">IFERROR(__xludf.DUMMYFUNCTION("""COMPUTED_VALUE"""),"Work &lt;67 People in the Team")</f>
        <v>Work &lt;67 People in the Team</v>
      </c>
      <c r="Q154" s="1" t="s">
        <v>40</v>
      </c>
      <c r="R154" s="1"/>
    </row>
    <row r="155" spans="1:18" x14ac:dyDescent="0.25">
      <c r="A155" s="2">
        <f ca="1">IFERROR(__xludf.DUMMYFUNCTION("""COMPUTED_VALUE"""),44914.4602142245)</f>
        <v>44914.460214224498</v>
      </c>
      <c r="B155" s="1" t="str">
        <f ca="1">IFERROR(__xludf.DUMMYFUNCTION("""COMPUTED_VALUE"""),"India")</f>
        <v>India</v>
      </c>
      <c r="C155" s="1">
        <f ca="1">IFERROR(__xludf.DUMMYFUNCTION("""COMPUTED_VALUE"""),721302)</f>
        <v>721302</v>
      </c>
      <c r="D155" s="1" t="str">
        <f ca="1">IFERROR(__xludf.DUMMYFUNCTION("""COMPUTED_VALUE"""),"Male")</f>
        <v>Male</v>
      </c>
      <c r="E155" s="1" t="str">
        <f ca="1">IFERROR(__xludf.DUMMYFUNCTION("""COMPUTED_VALUE"""),"My Parents")</f>
        <v>My Parents</v>
      </c>
      <c r="F155" s="1" t="str">
        <f ca="1">IFERROR(__xludf.DUMMYFUNCTION("""COMPUTED_VALUE"""),"No, But if someone could bare the cost I will")</f>
        <v>No, But if someone could bare the cost I will</v>
      </c>
      <c r="G155" s="1" t="str">
        <f ca="1">IFERROR(__xludf.DUMMYFUNCTION("""COMPUTED_VALUE"""),"This will be hard to do, but if it is the right company I would try")</f>
        <v>This will be hard to do, but if it is the right company I would try</v>
      </c>
      <c r="H155" s="1" t="str">
        <f ca="1">IFERROR(__xludf.DUMMYFUNCTION("""COMPUTED_VALUE"""),"Yes")</f>
        <v>Yes</v>
      </c>
      <c r="I155" s="1" t="str">
        <f ca="1">IFERROR(__xludf.DUMMYFUNCTION("""COMPUTED_VALUE"""),"Will NOT work for them")</f>
        <v>Will NOT work for them</v>
      </c>
      <c r="J155" s="1">
        <f ca="1">IFERROR(__xludf.DUMMYFUNCTION("""COMPUTED_VALUE"""),3)</f>
        <v>3</v>
      </c>
      <c r="K155" s="1" t="str">
        <f ca="1">IFERROR(__xludf.DUMMYFUNCTION("""COMPUTED_VALUE"""),"Hybrid Working Environment with less than 10 days a month at office")</f>
        <v>Hybrid Working Environment with less than 10 days a month at office</v>
      </c>
      <c r="L155" s="1" t="str">
        <f ca="1">IFERROR(__xludf.DUMMYFUNCTION("""COMPUTED_VALUE"""),"Employer who pushes your limits by enabling an learning environment, and rewards you at the end")</f>
        <v>Employer who pushes your limits by enabling an learning environment, and rewards you at the end</v>
      </c>
      <c r="M15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N155" s="4" t="s">
        <v>55</v>
      </c>
      <c r="O155" s="1" t="str">
        <f ca="1">IFERROR(__xludf.DUMMYFUNCTION("""COMPUTED_VALUE"""),"Manager who explains what is expected, sets a goal and helps achieve it")</f>
        <v>Manager who explains what is expected, sets a goal and helps achieve it</v>
      </c>
      <c r="P155" s="1" t="str">
        <f ca="1">IFERROR(__xludf.DUMMYFUNCTION("""COMPUTED_VALUE"""),"Work &lt;=6 People in the Team")</f>
        <v>Work &lt;=6 People in the Team</v>
      </c>
      <c r="Q155" s="1" t="s">
        <v>41</v>
      </c>
      <c r="R155" s="1"/>
    </row>
    <row r="156" spans="1:18" x14ac:dyDescent="0.25">
      <c r="A156" s="2">
        <f ca="1">IFERROR(__xludf.DUMMYFUNCTION("""COMPUTED_VALUE"""),44914.510397037)</f>
        <v>44914.510397036996</v>
      </c>
      <c r="B156" s="1" t="str">
        <f ca="1">IFERROR(__xludf.DUMMYFUNCTION("""COMPUTED_VALUE"""),"India")</f>
        <v>India</v>
      </c>
      <c r="C156" s="1">
        <f ca="1">IFERROR(__xludf.DUMMYFUNCTION("""COMPUTED_VALUE"""),382421)</f>
        <v>382421</v>
      </c>
      <c r="D156" s="1" t="str">
        <f ca="1">IFERROR(__xludf.DUMMYFUNCTION("""COMPUTED_VALUE"""),"Female")</f>
        <v>Female</v>
      </c>
      <c r="E156" s="1" t="str">
        <f ca="1">IFERROR(__xludf.DUMMYFUNCTION("""COMPUTED_VALUE"""),"People who have changed the world for better")</f>
        <v>People who have changed the world for better</v>
      </c>
      <c r="F156" s="1" t="str">
        <f ca="1">IFERROR(__xludf.DUMMYFUNCTION("""COMPUTED_VALUE"""),"No I would not be pursuing Higher Education outside of India")</f>
        <v>No I would not be pursuing Higher Education outside of India</v>
      </c>
      <c r="G156" s="1" t="str">
        <f ca="1">IFERROR(__xludf.DUMMYFUNCTION("""COMPUTED_VALUE"""),"Will work for 3 years or more")</f>
        <v>Will work for 3 years or more</v>
      </c>
      <c r="H156" s="1" t="str">
        <f ca="1">IFERROR(__xludf.DUMMYFUNCTION("""COMPUTED_VALUE"""),"No")</f>
        <v>No</v>
      </c>
      <c r="I156" s="1" t="str">
        <f ca="1">IFERROR(__xludf.DUMMYFUNCTION("""COMPUTED_VALUE"""),"Will NOT work for them")</f>
        <v>Will NOT work for them</v>
      </c>
      <c r="J156" s="1">
        <f ca="1">IFERROR(__xludf.DUMMYFUNCTION("""COMPUTED_VALUE"""),1)</f>
        <v>1</v>
      </c>
      <c r="K156" s="1" t="str">
        <f ca="1">IFERROR(__xludf.DUMMYFUNCTION("""COMPUTED_VALUE"""),"Fully Remote with Options to travel as and when needed")</f>
        <v>Fully Remote with Options to travel as and when needed</v>
      </c>
      <c r="L156" s="1" t="str">
        <f ca="1">IFERROR(__xludf.DUMMYFUNCTION("""COMPUTED_VALUE"""),"Employer who pushes your limits by enabling an learning environment, and rewards you at the end")</f>
        <v>Employer who pushes your limits by enabling an learning environment, and rewards you at the end</v>
      </c>
      <c r="M156"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N156" s="4" t="s">
        <v>51</v>
      </c>
      <c r="O156" s="1" t="str">
        <f ca="1">IFERROR(__xludf.DUMMYFUNCTION("""COMPUTED_VALUE"""),"Manager who clearly describes what she/he needs")</f>
        <v>Manager who clearly describes what she/he needs</v>
      </c>
      <c r="P156" s="1" t="str">
        <f ca="1">IFERROR(__xludf.DUMMYFUNCTION("""COMPUTED_VALUE"""),"Work alone, Work &gt;10 people in Team")</f>
        <v>Work alone, Work &gt;10 people in Team</v>
      </c>
      <c r="Q156" s="1" t="s">
        <v>42</v>
      </c>
      <c r="R156" s="1"/>
    </row>
    <row r="157" spans="1:18" x14ac:dyDescent="0.25">
      <c r="A157" s="2">
        <f ca="1">IFERROR(__xludf.DUMMYFUNCTION("""COMPUTED_VALUE"""),44914.5436196412)</f>
        <v>44914.543619641197</v>
      </c>
      <c r="B157" s="1" t="str">
        <f ca="1">IFERROR(__xludf.DUMMYFUNCTION("""COMPUTED_VALUE"""),"India")</f>
        <v>India</v>
      </c>
      <c r="C157" s="1">
        <f ca="1">IFERROR(__xludf.DUMMYFUNCTION("""COMPUTED_VALUE"""),600016)</f>
        <v>600016</v>
      </c>
      <c r="D157" s="1" t="str">
        <f ca="1">IFERROR(__xludf.DUMMYFUNCTION("""COMPUTED_VALUE"""),"Male")</f>
        <v>Male</v>
      </c>
      <c r="E157" s="1" t="str">
        <f ca="1">IFERROR(__xludf.DUMMYFUNCTION("""COMPUTED_VALUE"""),"Influencers who had successful careers")</f>
        <v>Influencers who had successful careers</v>
      </c>
      <c r="F157" s="1" t="str">
        <f ca="1">IFERROR(__xludf.DUMMYFUNCTION("""COMPUTED_VALUE"""),"No I would not be pursuing Higher Education outside of India")</f>
        <v>No I would not be pursuing Higher Education outside of India</v>
      </c>
      <c r="G157" s="1" t="str">
        <f ca="1">IFERROR(__xludf.DUMMYFUNCTION("""COMPUTED_VALUE"""),"Will work for 3 years or more")</f>
        <v>Will work for 3 years or more</v>
      </c>
      <c r="H157" s="1" t="str">
        <f ca="1">IFERROR(__xludf.DUMMYFUNCTION("""COMPUTED_VALUE"""),"Yes")</f>
        <v>Yes</v>
      </c>
      <c r="I157" s="1" t="str">
        <f ca="1">IFERROR(__xludf.DUMMYFUNCTION("""COMPUTED_VALUE"""),"Will work for them")</f>
        <v>Will work for them</v>
      </c>
      <c r="J157" s="1">
        <f ca="1">IFERROR(__xludf.DUMMYFUNCTION("""COMPUTED_VALUE"""),3)</f>
        <v>3</v>
      </c>
      <c r="K157" s="1" t="str">
        <f ca="1">IFERROR(__xludf.DUMMYFUNCTION("""COMPUTED_VALUE"""),"Hybrid Working Environment with less than 10 days a month at office")</f>
        <v>Hybrid Working Environment with less than 10 days a month at office</v>
      </c>
      <c r="L157" s="1" t="str">
        <f ca="1">IFERROR(__xludf.DUMMYFUNCTION("""COMPUTED_VALUE"""),"Employer who pushes your limits by enabling an learning environment, and rewards you at the end")</f>
        <v>Employer who pushes your limits by enabling an learning environment, and rewards you at the end</v>
      </c>
      <c r="M15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57" s="4" t="s">
        <v>48</v>
      </c>
      <c r="O157" s="1" t="str">
        <f ca="1">IFERROR(__xludf.DUMMYFUNCTION("""COMPUTED_VALUE"""),"Manager who sets targets and expects me to achieve it")</f>
        <v>Manager who sets targets and expects me to achieve it</v>
      </c>
      <c r="P157" s="1" t="str">
        <f ca="1">IFERROR(__xludf.DUMMYFUNCTION("""COMPUTED_VALUE"""),"Work &lt;67 People in the Team")</f>
        <v>Work &lt;67 People in the Team</v>
      </c>
      <c r="Q157" s="1" t="s">
        <v>42</v>
      </c>
      <c r="R157" s="1"/>
    </row>
    <row r="158" spans="1:18" x14ac:dyDescent="0.25">
      <c r="A158" s="2">
        <f ca="1">IFERROR(__xludf.DUMMYFUNCTION("""COMPUTED_VALUE"""),44914.559505081)</f>
        <v>44914.559505081001</v>
      </c>
      <c r="B158" s="1" t="str">
        <f ca="1">IFERROR(__xludf.DUMMYFUNCTION("""COMPUTED_VALUE"""),"India")</f>
        <v>India</v>
      </c>
      <c r="C158" s="1">
        <f ca="1">IFERROR(__xludf.DUMMYFUNCTION("""COMPUTED_VALUE"""),560037)</f>
        <v>560037</v>
      </c>
      <c r="D158" s="1" t="str">
        <f ca="1">IFERROR(__xludf.DUMMYFUNCTION("""COMPUTED_VALUE"""),"Male")</f>
        <v>Male</v>
      </c>
      <c r="E158" s="1" t="str">
        <f ca="1">IFERROR(__xludf.DUMMYFUNCTION("""COMPUTED_VALUE"""),"Influencers who had successful careers")</f>
        <v>Influencers who had successful careers</v>
      </c>
      <c r="F158" s="1" t="str">
        <f ca="1">IFERROR(__xludf.DUMMYFUNCTION("""COMPUTED_VALUE"""),"No, But if someone could bare the cost I will")</f>
        <v>No, But if someone could bare the cost I will</v>
      </c>
      <c r="G158" s="1" t="str">
        <f ca="1">IFERROR(__xludf.DUMMYFUNCTION("""COMPUTED_VALUE"""),"This will be hard to do, but if it is the right company I would try")</f>
        <v>This will be hard to do, but if it is the right company I would try</v>
      </c>
      <c r="H158" s="1" t="str">
        <f ca="1">IFERROR(__xludf.DUMMYFUNCTION("""COMPUTED_VALUE"""),"No")</f>
        <v>No</v>
      </c>
      <c r="I158" s="1" t="str">
        <f ca="1">IFERROR(__xludf.DUMMYFUNCTION("""COMPUTED_VALUE"""),"Will NOT work for them")</f>
        <v>Will NOT work for them</v>
      </c>
      <c r="J158" s="1">
        <f ca="1">IFERROR(__xludf.DUMMYFUNCTION("""COMPUTED_VALUE"""),5)</f>
        <v>5</v>
      </c>
      <c r="K158" s="1" t="str">
        <f ca="1">IFERROR(__xludf.DUMMYFUNCTION("""COMPUTED_VALUE"""),"Fully Remote with Options to travel as and when needed")</f>
        <v>Fully Remote with Options to travel as and when needed</v>
      </c>
      <c r="L158" s="1" t="str">
        <f ca="1">IFERROR(__xludf.DUMMYFUNCTION("""COMPUTED_VALUE"""),"Employer who pushes your limits by enabling an learning environment, and rewards you at the end")</f>
        <v>Employer who pushes your limits by enabling an learning environment, and rewards you at the end</v>
      </c>
      <c r="M158"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58" s="4" t="s">
        <v>51</v>
      </c>
      <c r="O158" s="1" t="str">
        <f ca="1">IFERROR(__xludf.DUMMYFUNCTION("""COMPUTED_VALUE"""),"Manager who explains what is expected, sets a goal and helps achieve it")</f>
        <v>Manager who explains what is expected, sets a goal and helps achieve it</v>
      </c>
      <c r="P158" s="1" t="str">
        <f ca="1">IFERROR(__xludf.DUMMYFUNCTION("""COMPUTED_VALUE"""),"Work &lt;=6 People in the Team")</f>
        <v>Work &lt;=6 People in the Team</v>
      </c>
      <c r="Q158" s="1" t="s">
        <v>41</v>
      </c>
      <c r="R158" s="1"/>
    </row>
    <row r="159" spans="1:18" x14ac:dyDescent="0.25">
      <c r="A159" s="2">
        <f ca="1">IFERROR(__xludf.DUMMYFUNCTION("""COMPUTED_VALUE"""),44914.6061718634)</f>
        <v>44914.606171863401</v>
      </c>
      <c r="B159" s="1" t="str">
        <f ca="1">IFERROR(__xludf.DUMMYFUNCTION("""COMPUTED_VALUE"""),"India")</f>
        <v>India</v>
      </c>
      <c r="C159" s="1">
        <f ca="1">IFERROR(__xludf.DUMMYFUNCTION("""COMPUTED_VALUE"""),122011)</f>
        <v>122011</v>
      </c>
      <c r="D159" s="1" t="str">
        <f ca="1">IFERROR(__xludf.DUMMYFUNCTION("""COMPUTED_VALUE"""),"Male")</f>
        <v>Male</v>
      </c>
      <c r="E159" s="1" t="str">
        <f ca="1">IFERROR(__xludf.DUMMYFUNCTION("""COMPUTED_VALUE"""),"Social Media like LinkedIn")</f>
        <v>Social Media like LinkedIn</v>
      </c>
      <c r="F159" s="1" t="str">
        <f ca="1">IFERROR(__xludf.DUMMYFUNCTION("""COMPUTED_VALUE"""),"No, But if someone could bare the cost I will")</f>
        <v>No, But if someone could bare the cost I will</v>
      </c>
      <c r="G159" s="1" t="str">
        <f ca="1">IFERROR(__xludf.DUMMYFUNCTION("""COMPUTED_VALUE"""),"This will be hard to do, but if it is the right company I would try")</f>
        <v>This will be hard to do, but if it is the right company I would try</v>
      </c>
      <c r="H159" s="1" t="str">
        <f ca="1">IFERROR(__xludf.DUMMYFUNCTION("""COMPUTED_VALUE"""),"No")</f>
        <v>No</v>
      </c>
      <c r="I159" s="1" t="str">
        <f ca="1">IFERROR(__xludf.DUMMYFUNCTION("""COMPUTED_VALUE"""),"Will NOT work for them")</f>
        <v>Will NOT work for them</v>
      </c>
      <c r="J159" s="1">
        <f ca="1">IFERROR(__xludf.DUMMYFUNCTION("""COMPUTED_VALUE"""),8)</f>
        <v>8</v>
      </c>
      <c r="K159" s="1" t="str">
        <f ca="1">IFERROR(__xludf.DUMMYFUNCTION("""COMPUTED_VALUE"""),"Every Day Office Environment")</f>
        <v>Every Day Office Environment</v>
      </c>
      <c r="L159" s="1" t="str">
        <f ca="1">IFERROR(__xludf.DUMMYFUNCTION("""COMPUTED_VALUE"""),"Employer who pushes your limits by enabling an learning environment, and rewards you at the end")</f>
        <v>Employer who pushes your limits by enabling an learning environment, and rewards you at the end</v>
      </c>
      <c r="M159"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159" s="4" t="s">
        <v>51</v>
      </c>
      <c r="O159" s="1" t="str">
        <f ca="1">IFERROR(__xludf.DUMMYFUNCTION("""COMPUTED_VALUE"""),"Manager who explains what is expected, sets a goal and helps achieve it")</f>
        <v>Manager who explains what is expected, sets a goal and helps achieve it</v>
      </c>
      <c r="P159" s="1" t="str">
        <f ca="1">IFERROR(__xludf.DUMMYFUNCTION("""COMPUTED_VALUE"""),"Work &lt;=6 People in the Team")</f>
        <v>Work &lt;=6 People in the Team</v>
      </c>
      <c r="Q159" s="1" t="s">
        <v>40</v>
      </c>
      <c r="R159" s="1"/>
    </row>
    <row r="160" spans="1:18" x14ac:dyDescent="0.25">
      <c r="A160" s="2">
        <f ca="1">IFERROR(__xludf.DUMMYFUNCTION("""COMPUTED_VALUE"""),44914.6994043287)</f>
        <v>44914.699404328698</v>
      </c>
      <c r="B160" s="1" t="str">
        <f ca="1">IFERROR(__xludf.DUMMYFUNCTION("""COMPUTED_VALUE"""),"India")</f>
        <v>India</v>
      </c>
      <c r="C160" s="1">
        <f ca="1">IFERROR(__xludf.DUMMYFUNCTION("""COMPUTED_VALUE"""),123106)</f>
        <v>123106</v>
      </c>
      <c r="D160" s="1" t="str">
        <f ca="1">IFERROR(__xludf.DUMMYFUNCTION("""COMPUTED_VALUE"""),"Female")</f>
        <v>Female</v>
      </c>
      <c r="E160" s="1" t="str">
        <f ca="1">IFERROR(__xludf.DUMMYFUNCTION("""COMPUTED_VALUE"""),"Influencers who had successful careers")</f>
        <v>Influencers who had successful careers</v>
      </c>
      <c r="F160" s="1" t="str">
        <f ca="1">IFERROR(__xludf.DUMMYFUNCTION("""COMPUTED_VALUE"""),"Yes, I will earn and do that")</f>
        <v>Yes, I will earn and do that</v>
      </c>
      <c r="G160" s="1" t="str">
        <f ca="1">IFERROR(__xludf.DUMMYFUNCTION("""COMPUTED_VALUE"""),"This will be hard to do, but if it is the right company I would try")</f>
        <v>This will be hard to do, but if it is the right company I would try</v>
      </c>
      <c r="H160" s="1" t="str">
        <f ca="1">IFERROR(__xludf.DUMMYFUNCTION("""COMPUTED_VALUE"""),"No")</f>
        <v>No</v>
      </c>
      <c r="I160" s="1" t="str">
        <f ca="1">IFERROR(__xludf.DUMMYFUNCTION("""COMPUTED_VALUE"""),"Will NOT work for them")</f>
        <v>Will NOT work for them</v>
      </c>
      <c r="J160" s="1">
        <f ca="1">IFERROR(__xludf.DUMMYFUNCTION("""COMPUTED_VALUE"""),7)</f>
        <v>7</v>
      </c>
      <c r="K160" s="1" t="str">
        <f ca="1">IFERROR(__xludf.DUMMYFUNCTION("""COMPUTED_VALUE"""),"Fully Remote with Options to travel as and when needed")</f>
        <v>Fully Remote with Options to travel as and when needed</v>
      </c>
      <c r="L160" s="1" t="str">
        <f ca="1">IFERROR(__xludf.DUMMYFUNCTION("""COMPUTED_VALUE"""),"Employer who appreciates learning and enables that environment")</f>
        <v>Employer who appreciates learning and enables that environment</v>
      </c>
      <c r="M160"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160" s="4" t="s">
        <v>50</v>
      </c>
      <c r="O160" s="1" t="str">
        <f ca="1">IFERROR(__xludf.DUMMYFUNCTION("""COMPUTED_VALUE"""),"Manager who explains what is expected, sets a goal and helps achieve it")</f>
        <v>Manager who explains what is expected, sets a goal and helps achieve it</v>
      </c>
      <c r="P160" s="1" t="str">
        <f ca="1">IFERROR(__xludf.DUMMYFUNCTION("""COMPUTED_VALUE"""),"Work &lt;=6 People in the Team")</f>
        <v>Work &lt;=6 People in the Team</v>
      </c>
      <c r="Q160" s="1" t="s">
        <v>41</v>
      </c>
      <c r="R160" s="1"/>
    </row>
    <row r="161" spans="1:18" x14ac:dyDescent="0.25">
      <c r="A161" s="2">
        <f ca="1">IFERROR(__xludf.DUMMYFUNCTION("""COMPUTED_VALUE"""),44914.7154116319)</f>
        <v>44914.7154116319</v>
      </c>
      <c r="B161" s="1" t="str">
        <f ca="1">IFERROR(__xludf.DUMMYFUNCTION("""COMPUTED_VALUE"""),"India")</f>
        <v>India</v>
      </c>
      <c r="C161" s="1">
        <f ca="1">IFERROR(__xludf.DUMMYFUNCTION("""COMPUTED_VALUE"""),121001)</f>
        <v>121001</v>
      </c>
      <c r="D161" s="1" t="str">
        <f ca="1">IFERROR(__xludf.DUMMYFUNCTION("""COMPUTED_VALUE"""),"Female")</f>
        <v>Female</v>
      </c>
      <c r="E161" s="1" t="str">
        <f ca="1">IFERROR(__xludf.DUMMYFUNCTION("""COMPUTED_VALUE"""),"My Parents")</f>
        <v>My Parents</v>
      </c>
      <c r="F161" s="1" t="str">
        <f ca="1">IFERROR(__xludf.DUMMYFUNCTION("""COMPUTED_VALUE"""),"Yes, I will earn and do that")</f>
        <v>Yes, I will earn and do that</v>
      </c>
      <c r="G161" s="1" t="str">
        <f ca="1">IFERROR(__xludf.DUMMYFUNCTION("""COMPUTED_VALUE"""),"Will work for 3 years or more")</f>
        <v>Will work for 3 years or more</v>
      </c>
      <c r="H161" s="1" t="str">
        <f ca="1">IFERROR(__xludf.DUMMYFUNCTION("""COMPUTED_VALUE"""),"No")</f>
        <v>No</v>
      </c>
      <c r="I161" s="1" t="str">
        <f ca="1">IFERROR(__xludf.DUMMYFUNCTION("""COMPUTED_VALUE"""),"Will NOT work for them")</f>
        <v>Will NOT work for them</v>
      </c>
      <c r="J161" s="1">
        <f ca="1">IFERROR(__xludf.DUMMYFUNCTION("""COMPUTED_VALUE"""),5)</f>
        <v>5</v>
      </c>
      <c r="K161" s="1" t="str">
        <f ca="1">IFERROR(__xludf.DUMMYFUNCTION("""COMPUTED_VALUE"""),"Hybrid Working Environment with less than 3 days a month at office")</f>
        <v>Hybrid Working Environment with less than 3 days a month at office</v>
      </c>
      <c r="L161" s="1" t="str">
        <f ca="1">IFERROR(__xludf.DUMMYFUNCTION("""COMPUTED_VALUE"""),"Employer who appreciates learning and enables that environment")</f>
        <v>Employer who appreciates learning and enables that environment</v>
      </c>
      <c r="M16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61" s="4" t="s">
        <v>48</v>
      </c>
      <c r="O161" s="1" t="str">
        <f ca="1">IFERROR(__xludf.DUMMYFUNCTION("""COMPUTED_VALUE"""),"Manager who explains what is expected, sets a goal and helps achieve it")</f>
        <v>Manager who explains what is expected, sets a goal and helps achieve it</v>
      </c>
      <c r="P161" s="1" t="str">
        <f ca="1">IFERROR(__xludf.DUMMYFUNCTION("""COMPUTED_VALUE"""),"Work &gt;=7 People in the Team")</f>
        <v>Work &gt;=7 People in the Team</v>
      </c>
      <c r="Q161" s="1" t="s">
        <v>40</v>
      </c>
      <c r="R161" s="1"/>
    </row>
    <row r="162" spans="1:18" x14ac:dyDescent="0.25">
      <c r="A162" s="2">
        <f ca="1">IFERROR(__xludf.DUMMYFUNCTION("""COMPUTED_VALUE"""),44914.7398211805)</f>
        <v>44914.739821180498</v>
      </c>
      <c r="B162" s="1" t="str">
        <f ca="1">IFERROR(__xludf.DUMMYFUNCTION("""COMPUTED_VALUE"""),"India")</f>
        <v>India</v>
      </c>
      <c r="C162" s="1">
        <f ca="1">IFERROR(__xludf.DUMMYFUNCTION("""COMPUTED_VALUE"""),363310)</f>
        <v>363310</v>
      </c>
      <c r="D162" s="1" t="str">
        <f ca="1">IFERROR(__xludf.DUMMYFUNCTION("""COMPUTED_VALUE"""),"Male")</f>
        <v>Male</v>
      </c>
      <c r="E162" s="1" t="str">
        <f ca="1">IFERROR(__xludf.DUMMYFUNCTION("""COMPUTED_VALUE"""),"People who have changed the world for better")</f>
        <v>People who have changed the world for better</v>
      </c>
      <c r="F162" s="1" t="str">
        <f ca="1">IFERROR(__xludf.DUMMYFUNCTION("""COMPUTED_VALUE"""),"No I would not be pursuing Higher Education outside of India")</f>
        <v>No I would not be pursuing Higher Education outside of India</v>
      </c>
      <c r="G162" s="1" t="str">
        <f ca="1">IFERROR(__xludf.DUMMYFUNCTION("""COMPUTED_VALUE"""),"This will be hard to do, but if it is the right company I would try")</f>
        <v>This will be hard to do, but if it is the right company I would try</v>
      </c>
      <c r="H162" s="1" t="str">
        <f ca="1">IFERROR(__xludf.DUMMYFUNCTION("""COMPUTED_VALUE"""),"No")</f>
        <v>No</v>
      </c>
      <c r="I162" s="1" t="str">
        <f ca="1">IFERROR(__xludf.DUMMYFUNCTION("""COMPUTED_VALUE"""),"Will NOT work for them")</f>
        <v>Will NOT work for them</v>
      </c>
      <c r="J162" s="1">
        <f ca="1">IFERROR(__xludf.DUMMYFUNCTION("""COMPUTED_VALUE"""),9)</f>
        <v>9</v>
      </c>
      <c r="K162" s="1" t="str">
        <f ca="1">IFERROR(__xludf.DUMMYFUNCTION("""COMPUTED_VALUE"""),"Hybrid Working Environment with less than 15 days a month at office")</f>
        <v>Hybrid Working Environment with less than 15 days a month at office</v>
      </c>
      <c r="L162" s="1" t="str">
        <f ca="1">IFERROR(__xludf.DUMMYFUNCTION("""COMPUTED_VALUE"""),"Employer who pushes your limits and doesn't enables learning environment and never rewards you")</f>
        <v>Employer who pushes your limits and doesn't enables learning environment and never rewards you</v>
      </c>
      <c r="M16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162" s="4" t="s">
        <v>52</v>
      </c>
      <c r="O162" s="1" t="str">
        <f ca="1">IFERROR(__xludf.DUMMYFUNCTION("""COMPUTED_VALUE"""),"Manager who explains what is expected, sets a goal and helps achieve it")</f>
        <v>Manager who explains what is expected, sets a goal and helps achieve it</v>
      </c>
      <c r="P162" s="1" t="str">
        <f ca="1">IFERROR(__xludf.DUMMYFUNCTION("""COMPUTED_VALUE"""),"Work &lt;=6 People in the Team")</f>
        <v>Work &lt;=6 People in the Team</v>
      </c>
      <c r="Q162" s="1" t="s">
        <v>41</v>
      </c>
      <c r="R162" s="1"/>
    </row>
    <row r="163" spans="1:18" x14ac:dyDescent="0.25">
      <c r="A163" s="2">
        <f ca="1">IFERROR(__xludf.DUMMYFUNCTION("""COMPUTED_VALUE"""),44914.8156590856)</f>
        <v>44914.815659085602</v>
      </c>
      <c r="B163" s="1" t="str">
        <f ca="1">IFERROR(__xludf.DUMMYFUNCTION("""COMPUTED_VALUE"""),"India")</f>
        <v>India</v>
      </c>
      <c r="C163" s="1">
        <f ca="1">IFERROR(__xludf.DUMMYFUNCTION("""COMPUTED_VALUE"""),382010)</f>
        <v>382010</v>
      </c>
      <c r="D163" s="1" t="str">
        <f ca="1">IFERROR(__xludf.DUMMYFUNCTION("""COMPUTED_VALUE"""),"Female")</f>
        <v>Female</v>
      </c>
      <c r="E163" s="1" t="str">
        <f ca="1">IFERROR(__xludf.DUMMYFUNCTION("""COMPUTED_VALUE"""),"People who have changed the world for better")</f>
        <v>People who have changed the world for better</v>
      </c>
      <c r="F163" s="1" t="str">
        <f ca="1">IFERROR(__xludf.DUMMYFUNCTION("""COMPUTED_VALUE"""),"Yes, I will earn and do that")</f>
        <v>Yes, I will earn and do that</v>
      </c>
      <c r="G163" s="1" t="str">
        <f ca="1">IFERROR(__xludf.DUMMYFUNCTION("""COMPUTED_VALUE"""),"This will be hard to do, but if it is the right company I would try")</f>
        <v>This will be hard to do, but if it is the right company I would try</v>
      </c>
      <c r="H163" s="1" t="str">
        <f ca="1">IFERROR(__xludf.DUMMYFUNCTION("""COMPUTED_VALUE"""),"No")</f>
        <v>No</v>
      </c>
      <c r="I163" s="1" t="str">
        <f ca="1">IFERROR(__xludf.DUMMYFUNCTION("""COMPUTED_VALUE"""),"Will NOT work for them")</f>
        <v>Will NOT work for them</v>
      </c>
      <c r="J163" s="1">
        <f ca="1">IFERROR(__xludf.DUMMYFUNCTION("""COMPUTED_VALUE"""),8)</f>
        <v>8</v>
      </c>
      <c r="K163" s="1" t="str">
        <f ca="1">IFERROR(__xludf.DUMMYFUNCTION("""COMPUTED_VALUE"""),"Fully Remote with Options to travel as and when needed")</f>
        <v>Fully Remote with Options to travel as and when needed</v>
      </c>
      <c r="L163" s="1" t="str">
        <f ca="1">IFERROR(__xludf.DUMMYFUNCTION("""COMPUTED_VALUE"""),"Employer who rewards learning and enables that environment")</f>
        <v>Employer who rewards learning and enables that environment</v>
      </c>
      <c r="M163"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N163" s="4" t="s">
        <v>50</v>
      </c>
      <c r="O163" s="1" t="str">
        <f ca="1">IFERROR(__xludf.DUMMYFUNCTION("""COMPUTED_VALUE"""),"Manager who sets targets and expects me to achieve it")</f>
        <v>Manager who sets targets and expects me to achieve it</v>
      </c>
      <c r="P163" s="1" t="str">
        <f ca="1">IFERROR(__xludf.DUMMYFUNCTION("""COMPUTED_VALUE"""),"Work &lt;=6 People in the Team")</f>
        <v>Work &lt;=6 People in the Team</v>
      </c>
      <c r="Q163" s="1" t="s">
        <v>41</v>
      </c>
      <c r="R163" s="1"/>
    </row>
    <row r="164" spans="1:18" x14ac:dyDescent="0.25">
      <c r="A164" s="2">
        <f ca="1">IFERROR(__xludf.DUMMYFUNCTION("""COMPUTED_VALUE"""),44914.8177716319)</f>
        <v>44914.817771631897</v>
      </c>
      <c r="B164" s="1" t="str">
        <f ca="1">IFERROR(__xludf.DUMMYFUNCTION("""COMPUTED_VALUE"""),"India")</f>
        <v>India</v>
      </c>
      <c r="C164" s="1">
        <f ca="1">IFERROR(__xludf.DUMMYFUNCTION("""COMPUTED_VALUE"""),394210)</f>
        <v>394210</v>
      </c>
      <c r="D164" s="1" t="str">
        <f ca="1">IFERROR(__xludf.DUMMYFUNCTION("""COMPUTED_VALUE"""),"Male")</f>
        <v>Male</v>
      </c>
      <c r="E164" s="1" t="str">
        <f ca="1">IFERROR(__xludf.DUMMYFUNCTION("""COMPUTED_VALUE"""),"My Parents")</f>
        <v>My Parents</v>
      </c>
      <c r="F164" s="1" t="str">
        <f ca="1">IFERROR(__xludf.DUMMYFUNCTION("""COMPUTED_VALUE"""),"No I would not be pursuing Higher Education outside of India")</f>
        <v>No I would not be pursuing Higher Education outside of India</v>
      </c>
      <c r="G164" s="1" t="str">
        <f ca="1">IFERROR(__xludf.DUMMYFUNCTION("""COMPUTED_VALUE"""),"No way, 3 years with one employer is crazy")</f>
        <v>No way, 3 years with one employer is crazy</v>
      </c>
      <c r="H164" s="1" t="str">
        <f ca="1">IFERROR(__xludf.DUMMYFUNCTION("""COMPUTED_VALUE"""),"No")</f>
        <v>No</v>
      </c>
      <c r="I164" s="1" t="str">
        <f ca="1">IFERROR(__xludf.DUMMYFUNCTION("""COMPUTED_VALUE"""),"Will NOT work for them")</f>
        <v>Will NOT work for them</v>
      </c>
      <c r="J164" s="1">
        <f ca="1">IFERROR(__xludf.DUMMYFUNCTION("""COMPUTED_VALUE"""),6)</f>
        <v>6</v>
      </c>
      <c r="K164" s="1" t="str">
        <f ca="1">IFERROR(__xludf.DUMMYFUNCTION("""COMPUTED_VALUE"""),"Hybrid Working Environment with less than 3 days a month at office")</f>
        <v>Hybrid Working Environment with less than 3 days a month at office</v>
      </c>
      <c r="L164" s="1" t="str">
        <f ca="1">IFERROR(__xludf.DUMMYFUNCTION("""COMPUTED_VALUE"""),"Employer who pushes your limits by enabling an learning environment, and rewards you at the end")</f>
        <v>Employer who pushes your limits by enabling an learning environment, and rewards you at the end</v>
      </c>
      <c r="M164"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N164" s="4" t="s">
        <v>49</v>
      </c>
      <c r="O164" s="1" t="str">
        <f ca="1">IFERROR(__xludf.DUMMYFUNCTION("""COMPUTED_VALUE"""),"Manager who sets goal and helps me achieve it")</f>
        <v>Manager who sets goal and helps me achieve it</v>
      </c>
      <c r="P164" s="1" t="str">
        <f ca="1">IFERROR(__xludf.DUMMYFUNCTION("""COMPUTED_VALUE"""),"Work &lt;=6 People in the Team")</f>
        <v>Work &lt;=6 People in the Team</v>
      </c>
      <c r="Q164" s="1" t="s">
        <v>41</v>
      </c>
      <c r="R164" s="1"/>
    </row>
    <row r="165" spans="1:18" x14ac:dyDescent="0.25">
      <c r="A165" s="2">
        <f ca="1">IFERROR(__xludf.DUMMYFUNCTION("""COMPUTED_VALUE"""),44914.8510455787)</f>
        <v>44914.851045578704</v>
      </c>
      <c r="B165" s="1" t="str">
        <f ca="1">IFERROR(__xludf.DUMMYFUNCTION("""COMPUTED_VALUE"""),"India")</f>
        <v>India</v>
      </c>
      <c r="C165" s="1">
        <f ca="1">IFERROR(__xludf.DUMMYFUNCTION("""COMPUTED_VALUE"""),382024)</f>
        <v>382024</v>
      </c>
      <c r="D165" s="1" t="str">
        <f ca="1">IFERROR(__xludf.DUMMYFUNCTION("""COMPUTED_VALUE"""),"Male")</f>
        <v>Male</v>
      </c>
      <c r="E165" s="1" t="str">
        <f ca="1">IFERROR(__xludf.DUMMYFUNCTION("""COMPUTED_VALUE"""),"My Parents")</f>
        <v>My Parents</v>
      </c>
      <c r="F165" s="1" t="str">
        <f ca="1">IFERROR(__xludf.DUMMYFUNCTION("""COMPUTED_VALUE"""),"Yes, I will earn and do that")</f>
        <v>Yes, I will earn and do that</v>
      </c>
      <c r="G165" s="1" t="str">
        <f ca="1">IFERROR(__xludf.DUMMYFUNCTION("""COMPUTED_VALUE"""),"This will be hard to do, but if it is the right company I would try")</f>
        <v>This will be hard to do, but if it is the right company I would try</v>
      </c>
      <c r="H165" s="1" t="str">
        <f ca="1">IFERROR(__xludf.DUMMYFUNCTION("""COMPUTED_VALUE"""),"No")</f>
        <v>No</v>
      </c>
      <c r="I165" s="1" t="str">
        <f ca="1">IFERROR(__xludf.DUMMYFUNCTION("""COMPUTED_VALUE"""),"Will work for them")</f>
        <v>Will work for them</v>
      </c>
      <c r="J165" s="1">
        <f ca="1">IFERROR(__xludf.DUMMYFUNCTION("""COMPUTED_VALUE"""),4)</f>
        <v>4</v>
      </c>
      <c r="K165" s="1" t="str">
        <f ca="1">IFERROR(__xludf.DUMMYFUNCTION("""COMPUTED_VALUE"""),"Every Day Office Environment")</f>
        <v>Every Day Office Environment</v>
      </c>
      <c r="L165" s="1" t="str">
        <f ca="1">IFERROR(__xludf.DUMMYFUNCTION("""COMPUTED_VALUE"""),"Employer who appreciates learning and enables that environment")</f>
        <v>Employer who appreciates learning and enables that environment</v>
      </c>
      <c r="M165" s="1" t="str">
        <f ca="1">IFERROR(__xludf.DUMMYFUNCTION("""COMPUTED_VALUE"""),"Teaching in any of the institutes/online or Offline, Build and develop a Team, Design and Develop amazing software")</f>
        <v>Teaching in any of the institutes/online or Offline, Build and develop a Team, Design and Develop amazing software</v>
      </c>
      <c r="N165" s="4" t="s">
        <v>48</v>
      </c>
      <c r="O165" s="1" t="str">
        <f ca="1">IFERROR(__xludf.DUMMYFUNCTION("""COMPUTED_VALUE"""),"Manager who clearly describes what she/he needs")</f>
        <v>Manager who clearly describes what she/he needs</v>
      </c>
      <c r="P165" s="1" t="str">
        <f ca="1">IFERROR(__xludf.DUMMYFUNCTION("""COMPUTED_VALUE"""),"Work &lt;=6 People in the Team")</f>
        <v>Work &lt;=6 People in the Team</v>
      </c>
      <c r="Q165" s="1" t="s">
        <v>42</v>
      </c>
      <c r="R165" s="1"/>
    </row>
    <row r="166" spans="1:18" x14ac:dyDescent="0.25">
      <c r="A166" s="2">
        <f ca="1">IFERROR(__xludf.DUMMYFUNCTION("""COMPUTED_VALUE"""),44914.8974539467)</f>
        <v>44914.897453946702</v>
      </c>
      <c r="B166" s="1" t="str">
        <f ca="1">IFERROR(__xludf.DUMMYFUNCTION("""COMPUTED_VALUE"""),"India")</f>
        <v>India</v>
      </c>
      <c r="C166" s="1">
        <f ca="1">IFERROR(__xludf.DUMMYFUNCTION("""COMPUTED_VALUE"""),721101)</f>
        <v>721101</v>
      </c>
      <c r="D166" s="1" t="str">
        <f ca="1">IFERROR(__xludf.DUMMYFUNCTION("""COMPUTED_VALUE"""),"Male")</f>
        <v>Male</v>
      </c>
      <c r="E166" s="1" t="str">
        <f ca="1">IFERROR(__xludf.DUMMYFUNCTION("""COMPUTED_VALUE"""),"People from my circle, but not family members")</f>
        <v>People from my circle, but not family members</v>
      </c>
      <c r="F166" s="1" t="str">
        <f ca="1">IFERROR(__xludf.DUMMYFUNCTION("""COMPUTED_VALUE"""),"No, But if someone could bare the cost I will")</f>
        <v>No, But if someone could bare the cost I will</v>
      </c>
      <c r="G166" s="1" t="str">
        <f ca="1">IFERROR(__xludf.DUMMYFUNCTION("""COMPUTED_VALUE"""),"No way, 3 years with one employer is crazy")</f>
        <v>No way, 3 years with one employer is crazy</v>
      </c>
      <c r="H166" s="1" t="str">
        <f ca="1">IFERROR(__xludf.DUMMYFUNCTION("""COMPUTED_VALUE"""),"No")</f>
        <v>No</v>
      </c>
      <c r="I166" s="1" t="str">
        <f ca="1">IFERROR(__xludf.DUMMYFUNCTION("""COMPUTED_VALUE"""),"Will NOT work for them")</f>
        <v>Will NOT work for them</v>
      </c>
      <c r="J166" s="1">
        <f ca="1">IFERROR(__xludf.DUMMYFUNCTION("""COMPUTED_VALUE"""),9)</f>
        <v>9</v>
      </c>
      <c r="K166" s="1" t="str">
        <f ca="1">IFERROR(__xludf.DUMMYFUNCTION("""COMPUTED_VALUE"""),"Hybrid Working Environment with less than 15 days a month at office")</f>
        <v>Hybrid Working Environment with less than 15 days a month at office</v>
      </c>
      <c r="L166" s="1" t="str">
        <f ca="1">IFERROR(__xludf.DUMMYFUNCTION("""COMPUTED_VALUE"""),"Employers who appreciates learning but doesn't enables an learning environment")</f>
        <v>Employers who appreciates learning but doesn't enables an learning environment</v>
      </c>
      <c r="M166" s="1" t="str">
        <f ca="1">IFERROR(__xludf.DUMMYFUNCTION("""COMPUTED_VALUE"""),"Design and Develop amazing software, Look deeply into Data and generate insights, Become a content Creator in some platform")</f>
        <v>Design and Develop amazing software, Look deeply into Data and generate insights, Become a content Creator in some platform</v>
      </c>
      <c r="N166" s="4" t="s">
        <v>53</v>
      </c>
      <c r="O166" s="1" t="str">
        <f ca="1">IFERROR(__xludf.DUMMYFUNCTION("""COMPUTED_VALUE"""),"Manager who clearly describes what she/he needs")</f>
        <v>Manager who clearly describes what she/he needs</v>
      </c>
      <c r="P166" s="1" t="str">
        <f ca="1">IFERROR(__xludf.DUMMYFUNCTION("""COMPUTED_VALUE"""),"Work &gt;10 people in Team")</f>
        <v>Work &gt;10 people in Team</v>
      </c>
      <c r="Q166" s="1" t="s">
        <v>40</v>
      </c>
      <c r="R166" s="1"/>
    </row>
    <row r="167" spans="1:18" x14ac:dyDescent="0.25">
      <c r="A167" s="2">
        <f ca="1">IFERROR(__xludf.DUMMYFUNCTION("""COMPUTED_VALUE"""),44914.925777037)</f>
        <v>44914.925777037002</v>
      </c>
      <c r="B167" s="1" t="str">
        <f ca="1">IFERROR(__xludf.DUMMYFUNCTION("""COMPUTED_VALUE"""),"India")</f>
        <v>India</v>
      </c>
      <c r="C167" s="1">
        <f ca="1">IFERROR(__xludf.DUMMYFUNCTION("""COMPUTED_VALUE"""),503175)</f>
        <v>503175</v>
      </c>
      <c r="D167" s="1" t="str">
        <f ca="1">IFERROR(__xludf.DUMMYFUNCTION("""COMPUTED_VALUE"""),"Male")</f>
        <v>Male</v>
      </c>
      <c r="E167" s="1" t="str">
        <f ca="1">IFERROR(__xludf.DUMMYFUNCTION("""COMPUTED_VALUE"""),"My Parents")</f>
        <v>My Parents</v>
      </c>
      <c r="F167" s="1" t="str">
        <f ca="1">IFERROR(__xludf.DUMMYFUNCTION("""COMPUTED_VALUE"""),"Yes, I will earn and do that")</f>
        <v>Yes, I will earn and do that</v>
      </c>
      <c r="G167" s="1" t="str">
        <f ca="1">IFERROR(__xludf.DUMMYFUNCTION("""COMPUTED_VALUE"""),"Will work for 3 years or more")</f>
        <v>Will work for 3 years or more</v>
      </c>
      <c r="H167" s="1" t="str">
        <f ca="1">IFERROR(__xludf.DUMMYFUNCTION("""COMPUTED_VALUE"""),"No")</f>
        <v>No</v>
      </c>
      <c r="I167" s="1" t="str">
        <f ca="1">IFERROR(__xludf.DUMMYFUNCTION("""COMPUTED_VALUE"""),"Will NOT work for them")</f>
        <v>Will NOT work for them</v>
      </c>
      <c r="J167" s="1">
        <f ca="1">IFERROR(__xludf.DUMMYFUNCTION("""COMPUTED_VALUE"""),5)</f>
        <v>5</v>
      </c>
      <c r="K167" s="1" t="str">
        <f ca="1">IFERROR(__xludf.DUMMYFUNCTION("""COMPUTED_VALUE"""),"Fully Remote with No option to visit offices")</f>
        <v>Fully Remote with No option to visit offices</v>
      </c>
      <c r="L167" s="1" t="str">
        <f ca="1">IFERROR(__xludf.DUMMYFUNCTION("""COMPUTED_VALUE"""),"Employer who pushes your limits and doesn't enables learning environment and never rewards you")</f>
        <v>Employer who pushes your limits and doesn't enables learning environment and never rewards you</v>
      </c>
      <c r="M167"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N167" s="4" t="s">
        <v>49</v>
      </c>
      <c r="O167" s="1" t="str">
        <f ca="1">IFERROR(__xludf.DUMMYFUNCTION("""COMPUTED_VALUE"""),"Manager who sets targets and expects me to achieve it")</f>
        <v>Manager who sets targets and expects me to achieve it</v>
      </c>
      <c r="P167" s="1" t="str">
        <f ca="1">IFERROR(__xludf.DUMMYFUNCTION("""COMPUTED_VALUE"""),"Work alone")</f>
        <v>Work alone</v>
      </c>
      <c r="Q167" s="1" t="s">
        <v>41</v>
      </c>
      <c r="R167" s="1"/>
    </row>
    <row r="168" spans="1:18" x14ac:dyDescent="0.25">
      <c r="A168" s="2">
        <f ca="1">IFERROR(__xludf.DUMMYFUNCTION("""COMPUTED_VALUE"""),44914.9315464814)</f>
        <v>44914.931546481399</v>
      </c>
      <c r="B168" s="1" t="str">
        <f ca="1">IFERROR(__xludf.DUMMYFUNCTION("""COMPUTED_VALUE"""),"India")</f>
        <v>India</v>
      </c>
      <c r="C168" s="1">
        <f ca="1">IFERROR(__xludf.DUMMYFUNCTION("""COMPUTED_VALUE"""),533103)</f>
        <v>533103</v>
      </c>
      <c r="D168" s="1" t="str">
        <f ca="1">IFERROR(__xludf.DUMMYFUNCTION("""COMPUTED_VALUE"""),"Male")</f>
        <v>Male</v>
      </c>
      <c r="E168" s="1" t="str">
        <f ca="1">IFERROR(__xludf.DUMMYFUNCTION("""COMPUTED_VALUE"""),"My Parents")</f>
        <v>My Parents</v>
      </c>
      <c r="F168" s="1" t="str">
        <f ca="1">IFERROR(__xludf.DUMMYFUNCTION("""COMPUTED_VALUE"""),"Yes, I will earn and do that")</f>
        <v>Yes, I will earn and do that</v>
      </c>
      <c r="G168" s="1" t="str">
        <f ca="1">IFERROR(__xludf.DUMMYFUNCTION("""COMPUTED_VALUE"""),"This will be hard to do, but if it is the right company I would try")</f>
        <v>This will be hard to do, but if it is the right company I would try</v>
      </c>
      <c r="H168" s="1" t="str">
        <f ca="1">IFERROR(__xludf.DUMMYFUNCTION("""COMPUTED_VALUE"""),"Yes")</f>
        <v>Yes</v>
      </c>
      <c r="I168" s="1" t="str">
        <f ca="1">IFERROR(__xludf.DUMMYFUNCTION("""COMPUTED_VALUE"""),"Will work for them")</f>
        <v>Will work for them</v>
      </c>
      <c r="J168" s="1">
        <f ca="1">IFERROR(__xludf.DUMMYFUNCTION("""COMPUTED_VALUE"""),8)</f>
        <v>8</v>
      </c>
      <c r="K168" s="1" t="str">
        <f ca="1">IFERROR(__xludf.DUMMYFUNCTION("""COMPUTED_VALUE"""),"Hybrid Working Environment with less than 3 days a month at office")</f>
        <v>Hybrid Working Environment with less than 3 days a month at office</v>
      </c>
      <c r="L168" s="1" t="str">
        <f ca="1">IFERROR(__xludf.DUMMYFUNCTION("""COMPUTED_VALUE"""),"Employer who pushes your limits by enabling an learning environment, and rewards you at the end")</f>
        <v>Employer who pushes your limits by enabling an learning environment, and rewards you at the end</v>
      </c>
      <c r="M168"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N168" s="4" t="s">
        <v>48</v>
      </c>
      <c r="O168" s="1" t="str">
        <f ca="1">IFERROR(__xludf.DUMMYFUNCTION("""COMPUTED_VALUE"""),"Manager who explains what is expected, sets a goal and helps achieve it")</f>
        <v>Manager who explains what is expected, sets a goal and helps achieve it</v>
      </c>
      <c r="P168" s="1" t="str">
        <f ca="1">IFERROR(__xludf.DUMMYFUNCTION("""COMPUTED_VALUE"""),"Work Alone, &lt;67 people in team")</f>
        <v>Work Alone, &lt;67 people in team</v>
      </c>
      <c r="Q168" s="1" t="s">
        <v>41</v>
      </c>
      <c r="R168" s="1"/>
    </row>
    <row r="169" spans="1:18" x14ac:dyDescent="0.25">
      <c r="A169" s="2">
        <f ca="1">IFERROR(__xludf.DUMMYFUNCTION("""COMPUTED_VALUE"""),44915.4097427777)</f>
        <v>44915.409742777701</v>
      </c>
      <c r="B169" s="1" t="str">
        <f ca="1">IFERROR(__xludf.DUMMYFUNCTION("""COMPUTED_VALUE"""),"India")</f>
        <v>India</v>
      </c>
      <c r="C169" s="1">
        <f ca="1">IFERROR(__xludf.DUMMYFUNCTION("""COMPUTED_VALUE"""),382042)</f>
        <v>382042</v>
      </c>
      <c r="D169" s="1" t="str">
        <f ca="1">IFERROR(__xludf.DUMMYFUNCTION("""COMPUTED_VALUE"""),"Female")</f>
        <v>Female</v>
      </c>
      <c r="E169" s="1" t="str">
        <f ca="1">IFERROR(__xludf.DUMMYFUNCTION("""COMPUTED_VALUE"""),"People from my circle, but not family members")</f>
        <v>People from my circle, but not family members</v>
      </c>
      <c r="F169" s="1" t="str">
        <f ca="1">IFERROR(__xludf.DUMMYFUNCTION("""COMPUTED_VALUE"""),"No, But if someone could bare the cost I will")</f>
        <v>No, But if someone could bare the cost I will</v>
      </c>
      <c r="G169" s="1" t="str">
        <f ca="1">IFERROR(__xludf.DUMMYFUNCTION("""COMPUTED_VALUE"""),"Will work for 3 years or more")</f>
        <v>Will work for 3 years or more</v>
      </c>
      <c r="H169" s="1" t="str">
        <f ca="1">IFERROR(__xludf.DUMMYFUNCTION("""COMPUTED_VALUE"""),"No")</f>
        <v>No</v>
      </c>
      <c r="I169" s="1" t="str">
        <f ca="1">IFERROR(__xludf.DUMMYFUNCTION("""COMPUTED_VALUE"""),"Will NOT work for them")</f>
        <v>Will NOT work for them</v>
      </c>
      <c r="J169" s="1">
        <f ca="1">IFERROR(__xludf.DUMMYFUNCTION("""COMPUTED_VALUE"""),1)</f>
        <v>1</v>
      </c>
      <c r="K169" s="1" t="str">
        <f ca="1">IFERROR(__xludf.DUMMYFUNCTION("""COMPUTED_VALUE"""),"Every Day Office Environment")</f>
        <v>Every Day Office Environment</v>
      </c>
      <c r="L169" s="1" t="str">
        <f ca="1">IFERROR(__xludf.DUMMYFUNCTION("""COMPUTED_VALUE"""),"Employer who appreciates learning and enables that environment")</f>
        <v>Employer who appreciates learning and enables that environment</v>
      </c>
      <c r="M169"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N169" s="4" t="s">
        <v>49</v>
      </c>
      <c r="O169" s="1" t="str">
        <f ca="1">IFERROR(__xludf.DUMMYFUNCTION("""COMPUTED_VALUE"""),"Manager who clearly describes what she/he needs")</f>
        <v>Manager who clearly describes what she/he needs</v>
      </c>
      <c r="P169" s="1" t="str">
        <f ca="1">IFERROR(__xludf.DUMMYFUNCTION("""COMPUTED_VALUE"""),"Work &lt;=6 People in the Team")</f>
        <v>Work &lt;=6 People in the Team</v>
      </c>
      <c r="Q169" s="1" t="s">
        <v>41</v>
      </c>
      <c r="R169" s="1"/>
    </row>
    <row r="170" spans="1:18" x14ac:dyDescent="0.25">
      <c r="A170" s="2">
        <f ca="1">IFERROR(__xludf.DUMMYFUNCTION("""COMPUTED_VALUE"""),44915.5154813657)</f>
        <v>44915.515481365699</v>
      </c>
      <c r="B170" s="1" t="str">
        <f ca="1">IFERROR(__xludf.DUMMYFUNCTION("""COMPUTED_VALUE"""),"India")</f>
        <v>India</v>
      </c>
      <c r="C170" s="1">
        <f ca="1">IFERROR(__xludf.DUMMYFUNCTION("""COMPUTED_VALUE"""),600036)</f>
        <v>600036</v>
      </c>
      <c r="D170" s="1" t="str">
        <f ca="1">IFERROR(__xludf.DUMMYFUNCTION("""COMPUTED_VALUE"""),"Female")</f>
        <v>Female</v>
      </c>
      <c r="E170" s="1" t="str">
        <f ca="1">IFERROR(__xludf.DUMMYFUNCTION("""COMPUTED_VALUE"""),"Influencers who had successful careers")</f>
        <v>Influencers who had successful careers</v>
      </c>
      <c r="F170" s="1" t="str">
        <f ca="1">IFERROR(__xludf.DUMMYFUNCTION("""COMPUTED_VALUE"""),"No I would not be pursuing Higher Education outside of India")</f>
        <v>No I would not be pursuing Higher Education outside of India</v>
      </c>
      <c r="G170" s="1" t="str">
        <f ca="1">IFERROR(__xludf.DUMMYFUNCTION("""COMPUTED_VALUE"""),"This will be hard to do, but if it is the right company I would try")</f>
        <v>This will be hard to do, but if it is the right company I would try</v>
      </c>
      <c r="H170" s="1" t="str">
        <f ca="1">IFERROR(__xludf.DUMMYFUNCTION("""COMPUTED_VALUE"""),"No")</f>
        <v>No</v>
      </c>
      <c r="I170" s="1" t="str">
        <f ca="1">IFERROR(__xludf.DUMMYFUNCTION("""COMPUTED_VALUE"""),"Will NOT work for them")</f>
        <v>Will NOT work for them</v>
      </c>
      <c r="J170" s="1">
        <f ca="1">IFERROR(__xludf.DUMMYFUNCTION("""COMPUTED_VALUE"""),2)</f>
        <v>2</v>
      </c>
      <c r="K170" s="1" t="str">
        <f ca="1">IFERROR(__xludf.DUMMYFUNCTION("""COMPUTED_VALUE"""),"Hybrid Working Environment with less than 3 days a month at office")</f>
        <v>Hybrid Working Environment with less than 3 days a month at office</v>
      </c>
      <c r="L170" s="1" t="str">
        <f ca="1">IFERROR(__xludf.DUMMYFUNCTION("""COMPUTED_VALUE"""),"Employer who appreciates learning and enables that environment")</f>
        <v>Employer who appreciates learning and enables that environment</v>
      </c>
      <c r="M170"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170" s="4" t="s">
        <v>49</v>
      </c>
      <c r="O170" s="1" t="str">
        <f ca="1">IFERROR(__xludf.DUMMYFUNCTION("""COMPUTED_VALUE"""),"Manager who explains what is expected, sets a goal and helps achieve it")</f>
        <v>Manager who explains what is expected, sets a goal and helps achieve it</v>
      </c>
      <c r="P170" s="1" t="str">
        <f ca="1">IFERROR(__xludf.DUMMYFUNCTION("""COMPUTED_VALUE"""),"Work &lt;=6 People in the Team")</f>
        <v>Work &lt;=6 People in the Team</v>
      </c>
      <c r="Q170" s="1" t="s">
        <v>41</v>
      </c>
      <c r="R170" s="1"/>
    </row>
    <row r="171" spans="1:18" x14ac:dyDescent="0.25">
      <c r="A171" s="2">
        <f ca="1">IFERROR(__xludf.DUMMYFUNCTION("""COMPUTED_VALUE"""),44915.6647387037)</f>
        <v>44915.664738703701</v>
      </c>
      <c r="B171" s="1" t="str">
        <f ca="1">IFERROR(__xludf.DUMMYFUNCTION("""COMPUTED_VALUE"""),"India")</f>
        <v>India</v>
      </c>
      <c r="C171" s="1">
        <f ca="1">IFERROR(__xludf.DUMMYFUNCTION("""COMPUTED_VALUE"""),605110)</f>
        <v>605110</v>
      </c>
      <c r="D171" s="1" t="str">
        <f ca="1">IFERROR(__xludf.DUMMYFUNCTION("""COMPUTED_VALUE"""),"Male")</f>
        <v>Male</v>
      </c>
      <c r="E171" s="1" t="str">
        <f ca="1">IFERROR(__xludf.DUMMYFUNCTION("""COMPUTED_VALUE"""),"Influencers who had successful careers")</f>
        <v>Influencers who had successful careers</v>
      </c>
      <c r="F171" s="1" t="str">
        <f ca="1">IFERROR(__xludf.DUMMYFUNCTION("""COMPUTED_VALUE"""),"No, But if someone could bare the cost I will")</f>
        <v>No, But if someone could bare the cost I will</v>
      </c>
      <c r="G171" s="1" t="str">
        <f ca="1">IFERROR(__xludf.DUMMYFUNCTION("""COMPUTED_VALUE"""),"Will work for 3 years or more")</f>
        <v>Will work for 3 years or more</v>
      </c>
      <c r="H171" s="1" t="str">
        <f ca="1">IFERROR(__xludf.DUMMYFUNCTION("""COMPUTED_VALUE"""),"No")</f>
        <v>No</v>
      </c>
      <c r="I171" s="1" t="str">
        <f ca="1">IFERROR(__xludf.DUMMYFUNCTION("""COMPUTED_VALUE"""),"Will NOT work for them")</f>
        <v>Will NOT work for them</v>
      </c>
      <c r="J171" s="1">
        <f ca="1">IFERROR(__xludf.DUMMYFUNCTION("""COMPUTED_VALUE"""),6)</f>
        <v>6</v>
      </c>
      <c r="K171" s="1" t="str">
        <f ca="1">IFERROR(__xludf.DUMMYFUNCTION("""COMPUTED_VALUE"""),"Fully Remote with Options to travel as and when needed")</f>
        <v>Fully Remote with Options to travel as and when needed</v>
      </c>
      <c r="L171" s="1" t="str">
        <f ca="1">IFERROR(__xludf.DUMMYFUNCTION("""COMPUTED_VALUE"""),"Employer who pushes your limits by enabling an learning environment, and rewards you at the end")</f>
        <v>Employer who pushes your limits by enabling an learning environment, and rewards you at the end</v>
      </c>
      <c r="M171"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N171" s="4" t="s">
        <v>48</v>
      </c>
      <c r="O171" s="1" t="str">
        <f ca="1">IFERROR(__xludf.DUMMYFUNCTION("""COMPUTED_VALUE"""),"Manager who explains what is expected, sets a goal and helps achieve it")</f>
        <v>Manager who explains what is expected, sets a goal and helps achieve it</v>
      </c>
      <c r="P171" s="1" t="str">
        <f ca="1">IFERROR(__xludf.DUMMYFUNCTION("""COMPUTED_VALUE"""),"Work Alone, &lt;=6 in team")</f>
        <v>Work Alone, &lt;=6 in team</v>
      </c>
      <c r="Q171" s="1" t="s">
        <v>41</v>
      </c>
      <c r="R171" s="1"/>
    </row>
    <row r="172" spans="1:18" x14ac:dyDescent="0.25">
      <c r="A172" s="2">
        <f ca="1">IFERROR(__xludf.DUMMYFUNCTION("""COMPUTED_VALUE"""),44915.6680855208)</f>
        <v>44915.668085520803</v>
      </c>
      <c r="B172" s="1" t="str">
        <f ca="1">IFERROR(__xludf.DUMMYFUNCTION("""COMPUTED_VALUE"""),"India")</f>
        <v>India</v>
      </c>
      <c r="C172" s="1">
        <f ca="1">IFERROR(__xludf.DUMMYFUNCTION("""COMPUTED_VALUE"""),800009)</f>
        <v>800009</v>
      </c>
      <c r="D172" s="1" t="str">
        <f ca="1">IFERROR(__xludf.DUMMYFUNCTION("""COMPUTED_VALUE"""),"Female")</f>
        <v>Female</v>
      </c>
      <c r="E172" s="1" t="str">
        <f ca="1">IFERROR(__xludf.DUMMYFUNCTION("""COMPUTED_VALUE"""),"People who have changed the world for better")</f>
        <v>People who have changed the world for better</v>
      </c>
      <c r="F172" s="1" t="str">
        <f ca="1">IFERROR(__xludf.DUMMYFUNCTION("""COMPUTED_VALUE"""),"No I would not be pursuing Higher Education outside of India")</f>
        <v>No I would not be pursuing Higher Education outside of India</v>
      </c>
      <c r="G172" s="1" t="str">
        <f ca="1">IFERROR(__xludf.DUMMYFUNCTION("""COMPUTED_VALUE"""),"This will be hard to do, but if it is the right company I would try")</f>
        <v>This will be hard to do, but if it is the right company I would try</v>
      </c>
      <c r="H172" s="1" t="str">
        <f ca="1">IFERROR(__xludf.DUMMYFUNCTION("""COMPUTED_VALUE"""),"Yes")</f>
        <v>Yes</v>
      </c>
      <c r="I172" s="1" t="str">
        <f ca="1">IFERROR(__xludf.DUMMYFUNCTION("""COMPUTED_VALUE"""),"Will work for them")</f>
        <v>Will work for them</v>
      </c>
      <c r="J172" s="1">
        <f ca="1">IFERROR(__xludf.DUMMYFUNCTION("""COMPUTED_VALUE"""),7)</f>
        <v>7</v>
      </c>
      <c r="K172" s="1" t="str">
        <f ca="1">IFERROR(__xludf.DUMMYFUNCTION("""COMPUTED_VALUE"""),"Hybrid Working Environment with less than 15 days a month at office")</f>
        <v>Hybrid Working Environment with less than 15 days a month at office</v>
      </c>
      <c r="L172" s="1" t="str">
        <f ca="1">IFERROR(__xludf.DUMMYFUNCTION("""COMPUTED_VALUE"""),"Employer who pushes your limits by enabling an learning environment, and rewards you at the end")</f>
        <v>Employer who pushes your limits by enabling an learning environment, and rewards you at the end</v>
      </c>
      <c r="M1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172" s="4" t="s">
        <v>48</v>
      </c>
      <c r="O172" s="1" t="str">
        <f ca="1">IFERROR(__xludf.DUMMYFUNCTION("""COMPUTED_VALUE"""),"Manager who explains what is expected, sets a goal and helps achieve it")</f>
        <v>Manager who explains what is expected, sets a goal and helps achieve it</v>
      </c>
      <c r="P172" s="1" t="str">
        <f ca="1">IFERROR(__xludf.DUMMYFUNCTION("""COMPUTED_VALUE"""),"Work &lt;=6 People in the Team")</f>
        <v>Work &lt;=6 People in the Team</v>
      </c>
      <c r="Q172" s="1" t="s">
        <v>40</v>
      </c>
      <c r="R172" s="1"/>
    </row>
    <row r="173" spans="1:18" x14ac:dyDescent="0.25">
      <c r="A173" s="2">
        <f ca="1">IFERROR(__xludf.DUMMYFUNCTION("""COMPUTED_VALUE"""),44915.6751296064)</f>
        <v>44915.675129606403</v>
      </c>
      <c r="B173" s="1" t="str">
        <f ca="1">IFERROR(__xludf.DUMMYFUNCTION("""COMPUTED_VALUE"""),"India")</f>
        <v>India</v>
      </c>
      <c r="C173" s="1">
        <f ca="1">IFERROR(__xludf.DUMMYFUNCTION("""COMPUTED_VALUE"""),248002)</f>
        <v>248002</v>
      </c>
      <c r="D173" s="1" t="str">
        <f ca="1">IFERROR(__xludf.DUMMYFUNCTION("""COMPUTED_VALUE"""),"Female")</f>
        <v>Female</v>
      </c>
      <c r="E173" s="1" t="str">
        <f ca="1">IFERROR(__xludf.DUMMYFUNCTION("""COMPUTED_VALUE"""),"People who have changed the world for better")</f>
        <v>People who have changed the world for better</v>
      </c>
      <c r="F173" s="1" t="str">
        <f ca="1">IFERROR(__xludf.DUMMYFUNCTION("""COMPUTED_VALUE"""),"No, But if someone could bare the cost I will")</f>
        <v>No, But if someone could bare the cost I will</v>
      </c>
      <c r="G173" s="1" t="str">
        <f ca="1">IFERROR(__xludf.DUMMYFUNCTION("""COMPUTED_VALUE"""),"No way, 3 years with one employer is crazy")</f>
        <v>No way, 3 years with one employer is crazy</v>
      </c>
      <c r="H173" s="1" t="str">
        <f ca="1">IFERROR(__xludf.DUMMYFUNCTION("""COMPUTED_VALUE"""),"No")</f>
        <v>No</v>
      </c>
      <c r="I173" s="1" t="str">
        <f ca="1">IFERROR(__xludf.DUMMYFUNCTION("""COMPUTED_VALUE"""),"Will work for them")</f>
        <v>Will work for them</v>
      </c>
      <c r="J173" s="1">
        <f ca="1">IFERROR(__xludf.DUMMYFUNCTION("""COMPUTED_VALUE"""),4)</f>
        <v>4</v>
      </c>
      <c r="K173" s="1" t="str">
        <f ca="1">IFERROR(__xludf.DUMMYFUNCTION("""COMPUTED_VALUE"""),"Hybrid Working Environment with less than 3 days a month at office")</f>
        <v>Hybrid Working Environment with less than 3 days a month at office</v>
      </c>
      <c r="L173" s="1" t="str">
        <f ca="1">IFERROR(__xludf.DUMMYFUNCTION("""COMPUTED_VALUE"""),"Employer who rewards learning and enables that environment")</f>
        <v>Employer who rewards learning and enables that environment</v>
      </c>
      <c r="M173"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N173" s="4" t="s">
        <v>48</v>
      </c>
      <c r="O173" s="1" t="str">
        <f ca="1">IFERROR(__xludf.DUMMYFUNCTION("""COMPUTED_VALUE"""),"Manager who sets goal and helps me achieve it")</f>
        <v>Manager who sets goal and helps me achieve it</v>
      </c>
      <c r="P173" s="1" t="str">
        <f ca="1">IFERROR(__xludf.DUMMYFUNCTION("""COMPUTED_VALUE"""),"Work  &lt;67 people in team")</f>
        <v>Work  &lt;67 people in team</v>
      </c>
      <c r="Q173" s="1" t="s">
        <v>41</v>
      </c>
      <c r="R173" s="1"/>
    </row>
    <row r="174" spans="1:18" x14ac:dyDescent="0.25">
      <c r="A174" s="2">
        <f ca="1">IFERROR(__xludf.DUMMYFUNCTION("""COMPUTED_VALUE"""),44915.6854918518)</f>
        <v>44915.6854918518</v>
      </c>
      <c r="B174" s="1" t="str">
        <f ca="1">IFERROR(__xludf.DUMMYFUNCTION("""COMPUTED_VALUE"""),"India")</f>
        <v>India</v>
      </c>
      <c r="C174" s="1">
        <f ca="1">IFERROR(__xludf.DUMMYFUNCTION("""COMPUTED_VALUE"""),845438)</f>
        <v>845438</v>
      </c>
      <c r="D174" s="1" t="str">
        <f ca="1">IFERROR(__xludf.DUMMYFUNCTION("""COMPUTED_VALUE"""),"Female")</f>
        <v>Female</v>
      </c>
      <c r="E174" s="1" t="str">
        <f ca="1">IFERROR(__xludf.DUMMYFUNCTION("""COMPUTED_VALUE"""),"Influencers who had successful careers")</f>
        <v>Influencers who had successful careers</v>
      </c>
      <c r="F174" s="1" t="str">
        <f ca="1">IFERROR(__xludf.DUMMYFUNCTION("""COMPUTED_VALUE"""),"Yes, I will earn and do that")</f>
        <v>Yes, I will earn and do that</v>
      </c>
      <c r="G174" s="1" t="str">
        <f ca="1">IFERROR(__xludf.DUMMYFUNCTION("""COMPUTED_VALUE"""),"This will be hard to do, but if it is the right company I would try")</f>
        <v>This will be hard to do, but if it is the right company I would try</v>
      </c>
      <c r="H174" s="1" t="str">
        <f ca="1">IFERROR(__xludf.DUMMYFUNCTION("""COMPUTED_VALUE"""),"No")</f>
        <v>No</v>
      </c>
      <c r="I174" s="1" t="str">
        <f ca="1">IFERROR(__xludf.DUMMYFUNCTION("""COMPUTED_VALUE"""),"Will NOT work for them")</f>
        <v>Will NOT work for them</v>
      </c>
      <c r="J174" s="1">
        <f ca="1">IFERROR(__xludf.DUMMYFUNCTION("""COMPUTED_VALUE"""),5)</f>
        <v>5</v>
      </c>
      <c r="K174" s="1" t="str">
        <f ca="1">IFERROR(__xludf.DUMMYFUNCTION("""COMPUTED_VALUE"""),"Every Day Office Environment")</f>
        <v>Every Day Office Environment</v>
      </c>
      <c r="L174" s="1" t="str">
        <f ca="1">IFERROR(__xludf.DUMMYFUNCTION("""COMPUTED_VALUE"""),"Employers who appreciates learning but doesn't enables an learning environment")</f>
        <v>Employers who appreciates learning but doesn't enables an learning environment</v>
      </c>
      <c r="M17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174" s="4" t="s">
        <v>53</v>
      </c>
      <c r="O174" s="1" t="str">
        <f ca="1">IFERROR(__xludf.DUMMYFUNCTION("""COMPUTED_VALUE"""),"Manager who sets goal and helps me achieve it")</f>
        <v>Manager who sets goal and helps me achieve it</v>
      </c>
      <c r="P174" s="1" t="str">
        <f ca="1">IFERROR(__xludf.DUMMYFUNCTION("""COMPUTED_VALUE"""),"Work &lt;=6 People in the Team")</f>
        <v>Work &lt;=6 People in the Team</v>
      </c>
      <c r="Q174" s="1" t="s">
        <v>41</v>
      </c>
      <c r="R174" s="1"/>
    </row>
    <row r="175" spans="1:18" x14ac:dyDescent="0.25">
      <c r="A175" s="2">
        <f ca="1">IFERROR(__xludf.DUMMYFUNCTION("""COMPUTED_VALUE"""),44915.6934281018)</f>
        <v>44915.693428101797</v>
      </c>
      <c r="B175" s="1" t="str">
        <f ca="1">IFERROR(__xludf.DUMMYFUNCTION("""COMPUTED_VALUE"""),"India")</f>
        <v>India</v>
      </c>
      <c r="C175" s="1">
        <f ca="1">IFERROR(__xludf.DUMMYFUNCTION("""COMPUTED_VALUE"""),800006)</f>
        <v>800006</v>
      </c>
      <c r="D175" s="1" t="str">
        <f ca="1">IFERROR(__xludf.DUMMYFUNCTION("""COMPUTED_VALUE"""),"Male")</f>
        <v>Male</v>
      </c>
      <c r="E175" s="1" t="str">
        <f ca="1">IFERROR(__xludf.DUMMYFUNCTION("""COMPUTED_VALUE"""),"My Parents")</f>
        <v>My Parents</v>
      </c>
      <c r="F175" s="1" t="str">
        <f ca="1">IFERROR(__xludf.DUMMYFUNCTION("""COMPUTED_VALUE"""),"No I would not be pursuing Higher Education outside of India")</f>
        <v>No I would not be pursuing Higher Education outside of India</v>
      </c>
      <c r="G175" s="1" t="str">
        <f ca="1">IFERROR(__xludf.DUMMYFUNCTION("""COMPUTED_VALUE"""),"This will be hard to do, but if it is the right company I would try")</f>
        <v>This will be hard to do, but if it is the right company I would try</v>
      </c>
      <c r="H175" s="1" t="str">
        <f ca="1">IFERROR(__xludf.DUMMYFUNCTION("""COMPUTED_VALUE"""),"Yes")</f>
        <v>Yes</v>
      </c>
      <c r="I175" s="1" t="str">
        <f ca="1">IFERROR(__xludf.DUMMYFUNCTION("""COMPUTED_VALUE"""),"Will work for them")</f>
        <v>Will work for them</v>
      </c>
      <c r="J175" s="1">
        <f ca="1">IFERROR(__xludf.DUMMYFUNCTION("""COMPUTED_VALUE"""),6)</f>
        <v>6</v>
      </c>
      <c r="K175" s="1" t="str">
        <f ca="1">IFERROR(__xludf.DUMMYFUNCTION("""COMPUTED_VALUE"""),"Every Day Office Environment")</f>
        <v>Every Day Office Environment</v>
      </c>
      <c r="L175" s="1" t="str">
        <f ca="1">IFERROR(__xludf.DUMMYFUNCTION("""COMPUTED_VALUE"""),"Employer who pushes your limits by enabling an learning environment, and rewards you at the end")</f>
        <v>Employer who pushes your limits by enabling an learning environment, and rewards you at the end</v>
      </c>
      <c r="M17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N175" s="4" t="s">
        <v>49</v>
      </c>
      <c r="O175" s="1" t="str">
        <f ca="1">IFERROR(__xludf.DUMMYFUNCTION("""COMPUTED_VALUE"""),"Manager who explains what is expected, sets a goal and helps achieve it")</f>
        <v>Manager who explains what is expected, sets a goal and helps achieve it</v>
      </c>
      <c r="P175" s="1" t="str">
        <f ca="1">IFERROR(__xludf.DUMMYFUNCTION("""COMPUTED_VALUE"""),"Work &lt;=6 People in the Team")</f>
        <v>Work &lt;=6 People in the Team</v>
      </c>
      <c r="Q175" s="1" t="s">
        <v>41</v>
      </c>
      <c r="R175" s="1"/>
    </row>
    <row r="176" spans="1:18" x14ac:dyDescent="0.25">
      <c r="A176" s="2">
        <f ca="1">IFERROR(__xludf.DUMMYFUNCTION("""COMPUTED_VALUE"""),44915.6987148263)</f>
        <v>44915.6987148263</v>
      </c>
      <c r="B176" s="1" t="str">
        <f ca="1">IFERROR(__xludf.DUMMYFUNCTION("""COMPUTED_VALUE"""),"India")</f>
        <v>India</v>
      </c>
      <c r="C176" s="1">
        <f ca="1">IFERROR(__xludf.DUMMYFUNCTION("""COMPUTED_VALUE"""),800024)</f>
        <v>800024</v>
      </c>
      <c r="D176" s="1" t="str">
        <f ca="1">IFERROR(__xludf.DUMMYFUNCTION("""COMPUTED_VALUE"""),"Male")</f>
        <v>Male</v>
      </c>
      <c r="E176" s="1" t="str">
        <f ca="1">IFERROR(__xludf.DUMMYFUNCTION("""COMPUTED_VALUE"""),"My Parents")</f>
        <v>My Parents</v>
      </c>
      <c r="F176" s="1" t="str">
        <f ca="1">IFERROR(__xludf.DUMMYFUNCTION("""COMPUTED_VALUE"""),"No, But if someone could bare the cost I will")</f>
        <v>No, But if someone could bare the cost I will</v>
      </c>
      <c r="G176" s="1" t="str">
        <f ca="1">IFERROR(__xludf.DUMMYFUNCTION("""COMPUTED_VALUE"""),"This will be hard to do, but if it is the right company I would try")</f>
        <v>This will be hard to do, but if it is the right company I would try</v>
      </c>
      <c r="H176" s="1" t="str">
        <f ca="1">IFERROR(__xludf.DUMMYFUNCTION("""COMPUTED_VALUE"""),"No")</f>
        <v>No</v>
      </c>
      <c r="I176" s="1" t="str">
        <f ca="1">IFERROR(__xludf.DUMMYFUNCTION("""COMPUTED_VALUE"""),"Will NOT work for them")</f>
        <v>Will NOT work for them</v>
      </c>
      <c r="J176" s="1">
        <f ca="1">IFERROR(__xludf.DUMMYFUNCTION("""COMPUTED_VALUE"""),4)</f>
        <v>4</v>
      </c>
      <c r="K176" s="1" t="str">
        <f ca="1">IFERROR(__xludf.DUMMYFUNCTION("""COMPUTED_VALUE"""),"Hybrid Working Environment with less than 15 days a month at office")</f>
        <v>Hybrid Working Environment with less than 15 days a month at office</v>
      </c>
      <c r="L176" s="1" t="str">
        <f ca="1">IFERROR(__xludf.DUMMYFUNCTION("""COMPUTED_VALUE"""),"Employer who pushes your limits by enabling an learning environment, and rewards you at the end")</f>
        <v>Employer who pushes your limits by enabling an learning environment, and rewards you at the end</v>
      </c>
      <c r="M17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76" s="4" t="s">
        <v>48</v>
      </c>
      <c r="O176" s="1" t="str">
        <f ca="1">IFERROR(__xludf.DUMMYFUNCTION("""COMPUTED_VALUE"""),"Manager who explains what is expected, sets a goal and helps achieve it")</f>
        <v>Manager who explains what is expected, sets a goal and helps achieve it</v>
      </c>
      <c r="P176" s="1" t="str">
        <f ca="1">IFERROR(__xludf.DUMMYFUNCTION("""COMPUTED_VALUE"""),"Work &lt;=6 People in the Team")</f>
        <v>Work &lt;=6 People in the Team</v>
      </c>
      <c r="Q176" s="1" t="s">
        <v>42</v>
      </c>
      <c r="R176" s="1"/>
    </row>
    <row r="177" spans="1:18" x14ac:dyDescent="0.25">
      <c r="A177" s="2">
        <f ca="1">IFERROR(__xludf.DUMMYFUNCTION("""COMPUTED_VALUE"""),44915.6991829398)</f>
        <v>44915.699182939803</v>
      </c>
      <c r="B177" s="1" t="str">
        <f ca="1">IFERROR(__xludf.DUMMYFUNCTION("""COMPUTED_VALUE"""),"India")</f>
        <v>India</v>
      </c>
      <c r="C177" s="1">
        <f ca="1">IFERROR(__xludf.DUMMYFUNCTION("""COMPUTED_VALUE"""),248002)</f>
        <v>248002</v>
      </c>
      <c r="D177" s="1" t="str">
        <f ca="1">IFERROR(__xludf.DUMMYFUNCTION("""COMPUTED_VALUE"""),"Female")</f>
        <v>Female</v>
      </c>
      <c r="E177" s="1" t="str">
        <f ca="1">IFERROR(__xludf.DUMMYFUNCTION("""COMPUTED_VALUE"""),"My Parents")</f>
        <v>My Parents</v>
      </c>
      <c r="F177" s="1" t="str">
        <f ca="1">IFERROR(__xludf.DUMMYFUNCTION("""COMPUTED_VALUE"""),"Yes, I will earn and do that")</f>
        <v>Yes, I will earn and do that</v>
      </c>
      <c r="G177" s="1" t="str">
        <f ca="1">IFERROR(__xludf.DUMMYFUNCTION("""COMPUTED_VALUE"""),"Will work for 3 years or more")</f>
        <v>Will work for 3 years or more</v>
      </c>
      <c r="H177" s="1" t="str">
        <f ca="1">IFERROR(__xludf.DUMMYFUNCTION("""COMPUTED_VALUE"""),"No")</f>
        <v>No</v>
      </c>
      <c r="I177" s="1" t="str">
        <f ca="1">IFERROR(__xludf.DUMMYFUNCTION("""COMPUTED_VALUE"""),"Will NOT work for them")</f>
        <v>Will NOT work for them</v>
      </c>
      <c r="J177" s="1">
        <f ca="1">IFERROR(__xludf.DUMMYFUNCTION("""COMPUTED_VALUE"""),7)</f>
        <v>7</v>
      </c>
      <c r="K177" s="1" t="str">
        <f ca="1">IFERROR(__xludf.DUMMYFUNCTION("""COMPUTED_VALUE"""),"Every Day Office Environment")</f>
        <v>Every Day Office Environment</v>
      </c>
      <c r="L177" s="1" t="str">
        <f ca="1">IFERROR(__xludf.DUMMYFUNCTION("""COMPUTED_VALUE"""),"Employer who pushes your limits by enabling an learning environment, and rewards you at the end")</f>
        <v>Employer who pushes your limits by enabling an learning environment, and rewards you at the end</v>
      </c>
      <c r="M177"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N177" s="4" t="s">
        <v>49</v>
      </c>
      <c r="O177" s="1" t="str">
        <f ca="1">IFERROR(__xludf.DUMMYFUNCTION("""COMPUTED_VALUE"""),"Manager who explains what is expected, sets a goal and helps achieve it")</f>
        <v>Manager who explains what is expected, sets a goal and helps achieve it</v>
      </c>
      <c r="P177" s="1" t="str">
        <f ca="1">IFERROR(__xludf.DUMMYFUNCTION("""COMPUTED_VALUE"""),"Work &lt;=6 People in the Team")</f>
        <v>Work &lt;=6 People in the Team</v>
      </c>
      <c r="Q177" s="1" t="s">
        <v>40</v>
      </c>
      <c r="R177" s="1"/>
    </row>
    <row r="178" spans="1:18" x14ac:dyDescent="0.25">
      <c r="A178" s="2">
        <f ca="1">IFERROR(__xludf.DUMMYFUNCTION("""COMPUTED_VALUE"""),44915.7121176735)</f>
        <v>44915.712117673502</v>
      </c>
      <c r="B178" s="1" t="str">
        <f ca="1">IFERROR(__xludf.DUMMYFUNCTION("""COMPUTED_VALUE"""),"India")</f>
        <v>India</v>
      </c>
      <c r="C178" s="1">
        <f ca="1">IFERROR(__xludf.DUMMYFUNCTION("""COMPUTED_VALUE"""),502285)</f>
        <v>502285</v>
      </c>
      <c r="D178" s="1" t="str">
        <f ca="1">IFERROR(__xludf.DUMMYFUNCTION("""COMPUTED_VALUE"""),"Male")</f>
        <v>Male</v>
      </c>
      <c r="E178" s="1" t="str">
        <f ca="1">IFERROR(__xludf.DUMMYFUNCTION("""COMPUTED_VALUE"""),"My Parents")</f>
        <v>My Parents</v>
      </c>
      <c r="F178" s="1" t="str">
        <f ca="1">IFERROR(__xludf.DUMMYFUNCTION("""COMPUTED_VALUE"""),"No I would not be pursuing Higher Education outside of India")</f>
        <v>No I would not be pursuing Higher Education outside of India</v>
      </c>
      <c r="G178" s="1" t="str">
        <f ca="1">IFERROR(__xludf.DUMMYFUNCTION("""COMPUTED_VALUE"""),"This will be hard to do, but if it is the right company I would try")</f>
        <v>This will be hard to do, but if it is the right company I would try</v>
      </c>
      <c r="H178" s="1" t="str">
        <f ca="1">IFERROR(__xludf.DUMMYFUNCTION("""COMPUTED_VALUE"""),"Yes")</f>
        <v>Yes</v>
      </c>
      <c r="I178" s="1" t="str">
        <f ca="1">IFERROR(__xludf.DUMMYFUNCTION("""COMPUTED_VALUE"""),"Will work for them")</f>
        <v>Will work for them</v>
      </c>
      <c r="J178" s="1">
        <f ca="1">IFERROR(__xludf.DUMMYFUNCTION("""COMPUTED_VALUE"""),8)</f>
        <v>8</v>
      </c>
      <c r="K178" s="1" t="str">
        <f ca="1">IFERROR(__xludf.DUMMYFUNCTION("""COMPUTED_VALUE"""),"Every Day Office Environment")</f>
        <v>Every Day Office Environment</v>
      </c>
      <c r="L178" s="1" t="str">
        <f ca="1">IFERROR(__xludf.DUMMYFUNCTION("""COMPUTED_VALUE"""),"Employer who rewards learning and enables that environment")</f>
        <v>Employer who rewards learning and enables that environment</v>
      </c>
      <c r="M17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178" s="4" t="s">
        <v>48</v>
      </c>
      <c r="O178" s="1" t="str">
        <f ca="1">IFERROR(__xludf.DUMMYFUNCTION("""COMPUTED_VALUE"""),"Manager who sets goal and helps me achieve it")</f>
        <v>Manager who sets goal and helps me achieve it</v>
      </c>
      <c r="P178" s="1" t="str">
        <f ca="1">IFERROR(__xludf.DUMMYFUNCTION("""COMPUTED_VALUE"""),"Work &lt;=6 People in the Team")</f>
        <v>Work &lt;=6 People in the Team</v>
      </c>
      <c r="Q178" s="1" t="s">
        <v>41</v>
      </c>
      <c r="R178" s="1"/>
    </row>
    <row r="179" spans="1:18" x14ac:dyDescent="0.25">
      <c r="A179" s="2">
        <f ca="1">IFERROR(__xludf.DUMMYFUNCTION("""COMPUTED_VALUE"""),44915.7211283101)</f>
        <v>44915.721128310099</v>
      </c>
      <c r="B179" s="1" t="str">
        <f ca="1">IFERROR(__xludf.DUMMYFUNCTION("""COMPUTED_VALUE"""),"India")</f>
        <v>India</v>
      </c>
      <c r="C179" s="1">
        <f ca="1">IFERROR(__xludf.DUMMYFUNCTION("""COMPUTED_VALUE"""),123106)</f>
        <v>123106</v>
      </c>
      <c r="D179" s="1" t="str">
        <f ca="1">IFERROR(__xludf.DUMMYFUNCTION("""COMPUTED_VALUE"""),"Male")</f>
        <v>Male</v>
      </c>
      <c r="E179" s="1" t="str">
        <f ca="1">IFERROR(__xludf.DUMMYFUNCTION("""COMPUTED_VALUE"""),"Influencers who had successful careers")</f>
        <v>Influencers who had successful careers</v>
      </c>
      <c r="F179" s="1" t="str">
        <f ca="1">IFERROR(__xludf.DUMMYFUNCTION("""COMPUTED_VALUE"""),"No, But if someone could bare the cost I will")</f>
        <v>No, But if someone could bare the cost I will</v>
      </c>
      <c r="G179" s="1" t="str">
        <f ca="1">IFERROR(__xludf.DUMMYFUNCTION("""COMPUTED_VALUE"""),"Will work for 3 years or more")</f>
        <v>Will work for 3 years or more</v>
      </c>
      <c r="H179" s="1" t="str">
        <f ca="1">IFERROR(__xludf.DUMMYFUNCTION("""COMPUTED_VALUE"""),"No")</f>
        <v>No</v>
      </c>
      <c r="I179" s="1" t="str">
        <f ca="1">IFERROR(__xludf.DUMMYFUNCTION("""COMPUTED_VALUE"""),"Will NOT work for them")</f>
        <v>Will NOT work for them</v>
      </c>
      <c r="J179" s="1">
        <f ca="1">IFERROR(__xludf.DUMMYFUNCTION("""COMPUTED_VALUE"""),3)</f>
        <v>3</v>
      </c>
      <c r="K179" s="1" t="str">
        <f ca="1">IFERROR(__xludf.DUMMYFUNCTION("""COMPUTED_VALUE"""),"Hybrid Working Environment with less than 15 days a month at office")</f>
        <v>Hybrid Working Environment with less than 15 days a month at office</v>
      </c>
      <c r="L179" s="1" t="str">
        <f ca="1">IFERROR(__xludf.DUMMYFUNCTION("""COMPUTED_VALUE"""),"Employer who pushes your limits by enabling an learning environment, and rewards you at the end")</f>
        <v>Employer who pushes your limits by enabling an learning environment, and rewards you at the end</v>
      </c>
      <c r="M179"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N179" s="4" t="s">
        <v>48</v>
      </c>
      <c r="O179" s="1" t="str">
        <f ca="1">IFERROR(__xludf.DUMMYFUNCTION("""COMPUTED_VALUE"""),"Manager who explains what is expected, sets a goal and helps achieve it")</f>
        <v>Manager who explains what is expected, sets a goal and helps achieve it</v>
      </c>
      <c r="P179" s="1" t="str">
        <f ca="1">IFERROR(__xludf.DUMMYFUNCTION("""COMPUTED_VALUE"""),"Work &lt;=6 People in the Team")</f>
        <v>Work &lt;=6 People in the Team</v>
      </c>
      <c r="Q179" s="1" t="s">
        <v>41</v>
      </c>
      <c r="R179" s="1"/>
    </row>
    <row r="180" spans="1:18" x14ac:dyDescent="0.25">
      <c r="A180" s="2">
        <f ca="1">IFERROR(__xludf.DUMMYFUNCTION("""COMPUTED_VALUE"""),44915.7309124074)</f>
        <v>44915.730912407402</v>
      </c>
      <c r="B180" s="1" t="str">
        <f ca="1">IFERROR(__xludf.DUMMYFUNCTION("""COMPUTED_VALUE"""),"India")</f>
        <v>India</v>
      </c>
      <c r="C180" s="1">
        <f ca="1">IFERROR(__xludf.DUMMYFUNCTION("""COMPUTED_VALUE"""),365541)</f>
        <v>365541</v>
      </c>
      <c r="D180" s="1" t="str">
        <f ca="1">IFERROR(__xludf.DUMMYFUNCTION("""COMPUTED_VALUE"""),"Female")</f>
        <v>Female</v>
      </c>
      <c r="E180" s="1" t="str">
        <f ca="1">IFERROR(__xludf.DUMMYFUNCTION("""COMPUTED_VALUE"""),"Social Media like LinkedIn")</f>
        <v>Social Media like LinkedIn</v>
      </c>
      <c r="F180" s="1" t="str">
        <f ca="1">IFERROR(__xludf.DUMMYFUNCTION("""COMPUTED_VALUE"""),"Yes, I will earn and do that")</f>
        <v>Yes, I will earn and do that</v>
      </c>
      <c r="G180" s="1" t="str">
        <f ca="1">IFERROR(__xludf.DUMMYFUNCTION("""COMPUTED_VALUE"""),"Will work for 3 years or more")</f>
        <v>Will work for 3 years or more</v>
      </c>
      <c r="H180" s="1" t="str">
        <f ca="1">IFERROR(__xludf.DUMMYFUNCTION("""COMPUTED_VALUE"""),"No")</f>
        <v>No</v>
      </c>
      <c r="I180" s="1" t="str">
        <f ca="1">IFERROR(__xludf.DUMMYFUNCTION("""COMPUTED_VALUE"""),"Will NOT work for them")</f>
        <v>Will NOT work for them</v>
      </c>
      <c r="J180" s="1">
        <f ca="1">IFERROR(__xludf.DUMMYFUNCTION("""COMPUTED_VALUE"""),5)</f>
        <v>5</v>
      </c>
      <c r="K180" s="1" t="str">
        <f ca="1">IFERROR(__xludf.DUMMYFUNCTION("""COMPUTED_VALUE"""),"Fully Remote with Options to travel as and when needed")</f>
        <v>Fully Remote with Options to travel as and when needed</v>
      </c>
      <c r="L180" s="1" t="str">
        <f ca="1">IFERROR(__xludf.DUMMYFUNCTION("""COMPUTED_VALUE"""),"Employer who appreciates learning and enables that environment")</f>
        <v>Employer who appreciates learning and enables that environment</v>
      </c>
      <c r="M180"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N180" s="4" t="s">
        <v>49</v>
      </c>
      <c r="O180" s="1" t="str">
        <f ca="1">IFERROR(__xludf.DUMMYFUNCTION("""COMPUTED_VALUE"""),"Manager who clearly describes what she/he needs")</f>
        <v>Manager who clearly describes what she/he needs</v>
      </c>
      <c r="P180" s="1" t="str">
        <f ca="1">IFERROR(__xludf.DUMMYFUNCTION("""COMPUTED_VALUE"""),"Work alone")</f>
        <v>Work alone</v>
      </c>
      <c r="Q180" s="1" t="s">
        <v>41</v>
      </c>
      <c r="R180" s="1"/>
    </row>
    <row r="181" spans="1:18" x14ac:dyDescent="0.25">
      <c r="A181" s="2">
        <f ca="1">IFERROR(__xludf.DUMMYFUNCTION("""COMPUTED_VALUE"""),44915.7437567361)</f>
        <v>44915.743756736098</v>
      </c>
      <c r="B181" s="1" t="str">
        <f ca="1">IFERROR(__xludf.DUMMYFUNCTION("""COMPUTED_VALUE"""),"India")</f>
        <v>India</v>
      </c>
      <c r="C181" s="1">
        <f ca="1">IFERROR(__xludf.DUMMYFUNCTION("""COMPUTED_VALUE"""),425001)</f>
        <v>425001</v>
      </c>
      <c r="D181" s="1" t="str">
        <f ca="1">IFERROR(__xludf.DUMMYFUNCTION("""COMPUTED_VALUE"""),"Male")</f>
        <v>Male</v>
      </c>
      <c r="E181" s="1" t="str">
        <f ca="1">IFERROR(__xludf.DUMMYFUNCTION("""COMPUTED_VALUE"""),"People who have changed the world for better")</f>
        <v>People who have changed the world for better</v>
      </c>
      <c r="F181" s="1" t="str">
        <f ca="1">IFERROR(__xludf.DUMMYFUNCTION("""COMPUTED_VALUE"""),"Yes, I will earn and do that")</f>
        <v>Yes, I will earn and do that</v>
      </c>
      <c r="G181" s="1" t="str">
        <f ca="1">IFERROR(__xludf.DUMMYFUNCTION("""COMPUTED_VALUE"""),"This will be hard to do, but if it is the right company I would try")</f>
        <v>This will be hard to do, but if it is the right company I would try</v>
      </c>
      <c r="H181" s="1" t="str">
        <f ca="1">IFERROR(__xludf.DUMMYFUNCTION("""COMPUTED_VALUE"""),"No")</f>
        <v>No</v>
      </c>
      <c r="I181" s="1" t="str">
        <f ca="1">IFERROR(__xludf.DUMMYFUNCTION("""COMPUTED_VALUE"""),"Will NOT work for them")</f>
        <v>Will NOT work for them</v>
      </c>
      <c r="J181" s="1">
        <f ca="1">IFERROR(__xludf.DUMMYFUNCTION("""COMPUTED_VALUE"""),4)</f>
        <v>4</v>
      </c>
      <c r="K181" s="1" t="str">
        <f ca="1">IFERROR(__xludf.DUMMYFUNCTION("""COMPUTED_VALUE"""),"Hybrid Working Environment with less than 15 days a month at office")</f>
        <v>Hybrid Working Environment with less than 15 days a month at office</v>
      </c>
      <c r="L181" s="1" t="str">
        <f ca="1">IFERROR(__xludf.DUMMYFUNCTION("""COMPUTED_VALUE"""),"Employer who rewards learning and enables that environment")</f>
        <v>Employer who rewards learning and enables that environment</v>
      </c>
      <c r="M18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81" s="4" t="s">
        <v>48</v>
      </c>
      <c r="O181" s="1" t="str">
        <f ca="1">IFERROR(__xludf.DUMMYFUNCTION("""COMPUTED_VALUE"""),"Manager who sets targets and expects me to achieve it")</f>
        <v>Manager who sets targets and expects me to achieve it</v>
      </c>
      <c r="P181" s="1" t="str">
        <f ca="1">IFERROR(__xludf.DUMMYFUNCTION("""COMPUTED_VALUE"""),"Work &gt;=7 People in the Team")</f>
        <v>Work &gt;=7 People in the Team</v>
      </c>
      <c r="Q181" s="1" t="s">
        <v>40</v>
      </c>
      <c r="R181" s="1"/>
    </row>
    <row r="182" spans="1:18" x14ac:dyDescent="0.25">
      <c r="A182" s="2">
        <f ca="1">IFERROR(__xludf.DUMMYFUNCTION("""COMPUTED_VALUE"""),44915.7467836111)</f>
        <v>44915.746783611103</v>
      </c>
      <c r="B182" s="1" t="str">
        <f ca="1">IFERROR(__xludf.DUMMYFUNCTION("""COMPUTED_VALUE"""),"India")</f>
        <v>India</v>
      </c>
      <c r="C182" s="1">
        <f ca="1">IFERROR(__xludf.DUMMYFUNCTION("""COMPUTED_VALUE"""),425001)</f>
        <v>425001</v>
      </c>
      <c r="D182" s="1" t="str">
        <f ca="1">IFERROR(__xludf.DUMMYFUNCTION("""COMPUTED_VALUE"""),"Male")</f>
        <v>Male</v>
      </c>
      <c r="E182" s="1" t="str">
        <f ca="1">IFERROR(__xludf.DUMMYFUNCTION("""COMPUTED_VALUE"""),"My Parents")</f>
        <v>My Parents</v>
      </c>
      <c r="F182" s="1" t="str">
        <f ca="1">IFERROR(__xludf.DUMMYFUNCTION("""COMPUTED_VALUE"""),"Yes, I will earn and do that")</f>
        <v>Yes, I will earn and do that</v>
      </c>
      <c r="G182" s="1" t="str">
        <f ca="1">IFERROR(__xludf.DUMMYFUNCTION("""COMPUTED_VALUE"""),"This will be hard to do, but if it is the right company I would try")</f>
        <v>This will be hard to do, but if it is the right company I would try</v>
      </c>
      <c r="H182" s="1" t="str">
        <f ca="1">IFERROR(__xludf.DUMMYFUNCTION("""COMPUTED_VALUE"""),"No")</f>
        <v>No</v>
      </c>
      <c r="I182" s="1" t="str">
        <f ca="1">IFERROR(__xludf.DUMMYFUNCTION("""COMPUTED_VALUE"""),"Will NOT work for them")</f>
        <v>Will NOT work for them</v>
      </c>
      <c r="J182" s="1">
        <f ca="1">IFERROR(__xludf.DUMMYFUNCTION("""COMPUTED_VALUE"""),3)</f>
        <v>3</v>
      </c>
      <c r="K182" s="1" t="str">
        <f ca="1">IFERROR(__xludf.DUMMYFUNCTION("""COMPUTED_VALUE"""),"Fully Remote with Options to travel as and when needed")</f>
        <v>Fully Remote with Options to travel as and when needed</v>
      </c>
      <c r="L182" s="1" t="str">
        <f ca="1">IFERROR(__xludf.DUMMYFUNCTION("""COMPUTED_VALUE"""),"Employer who appreciates learning and enables that environment")</f>
        <v>Employer who appreciates learning and enables that environment</v>
      </c>
      <c r="M182"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N182" s="4" t="s">
        <v>49</v>
      </c>
      <c r="O182" s="1" t="str">
        <f ca="1">IFERROR(__xludf.DUMMYFUNCTION("""COMPUTED_VALUE"""),"Manager who sets goal and helps me achieve it")</f>
        <v>Manager who sets goal and helps me achieve it</v>
      </c>
      <c r="P182" s="1" t="str">
        <f ca="1">IFERROR(__xludf.DUMMYFUNCTION("""COMPUTED_VALUE"""),"Work alone")</f>
        <v>Work alone</v>
      </c>
      <c r="Q182" s="1" t="s">
        <v>41</v>
      </c>
      <c r="R182" s="1"/>
    </row>
    <row r="183" spans="1:18" x14ac:dyDescent="0.25">
      <c r="A183" s="2">
        <f ca="1">IFERROR(__xludf.DUMMYFUNCTION("""COMPUTED_VALUE"""),44915.7472612268)</f>
        <v>44915.747261226803</v>
      </c>
      <c r="B183" s="1" t="str">
        <f ca="1">IFERROR(__xludf.DUMMYFUNCTION("""COMPUTED_VALUE"""),"India")</f>
        <v>India</v>
      </c>
      <c r="C183" s="1">
        <f ca="1">IFERROR(__xludf.DUMMYFUNCTION("""COMPUTED_VALUE"""),424206)</f>
        <v>424206</v>
      </c>
      <c r="D183" s="1" t="str">
        <f ca="1">IFERROR(__xludf.DUMMYFUNCTION("""COMPUTED_VALUE"""),"Male")</f>
        <v>Male</v>
      </c>
      <c r="E183" s="1" t="str">
        <f ca="1">IFERROR(__xludf.DUMMYFUNCTION("""COMPUTED_VALUE"""),"My Parents")</f>
        <v>My Parents</v>
      </c>
      <c r="F183" s="1" t="str">
        <f ca="1">IFERROR(__xludf.DUMMYFUNCTION("""COMPUTED_VALUE"""),"No I would not be pursuing Higher Education outside of India")</f>
        <v>No I would not be pursuing Higher Education outside of India</v>
      </c>
      <c r="G183" s="1" t="str">
        <f ca="1">IFERROR(__xludf.DUMMYFUNCTION("""COMPUTED_VALUE"""),"Will work for 3 years or more")</f>
        <v>Will work for 3 years or more</v>
      </c>
      <c r="H183" s="1" t="str">
        <f ca="1">IFERROR(__xludf.DUMMYFUNCTION("""COMPUTED_VALUE"""),"No")</f>
        <v>No</v>
      </c>
      <c r="I183" s="1" t="str">
        <f ca="1">IFERROR(__xludf.DUMMYFUNCTION("""COMPUTED_VALUE"""),"Will NOT work for them")</f>
        <v>Will NOT work for them</v>
      </c>
      <c r="J183" s="1">
        <f ca="1">IFERROR(__xludf.DUMMYFUNCTION("""COMPUTED_VALUE"""),7)</f>
        <v>7</v>
      </c>
      <c r="K183" s="1" t="str">
        <f ca="1">IFERROR(__xludf.DUMMYFUNCTION("""COMPUTED_VALUE"""),"Fully Remote with Options to travel as and when needed")</f>
        <v>Fully Remote with Options to travel as and when needed</v>
      </c>
      <c r="L183" s="1" t="str">
        <f ca="1">IFERROR(__xludf.DUMMYFUNCTION("""COMPUTED_VALUE"""),"Employer who pushes your limits by enabling an learning environment, and rewards you at the end")</f>
        <v>Employer who pushes your limits by enabling an learning environment, and rewards you at the end</v>
      </c>
      <c r="M183" s="1" t="str">
        <f ca="1">IFERROR(__xludf.DUMMYFUNCTION("""COMPUTED_VALUE"""),"Manage and drive End-to-End Projects or Products, Build and develop a Team, Design and Develop amazing software")</f>
        <v>Manage and drive End-to-End Projects or Products, Build and develop a Team, Design and Develop amazing software</v>
      </c>
      <c r="N183" s="4" t="s">
        <v>49</v>
      </c>
      <c r="O183" s="1" t="str">
        <f ca="1">IFERROR(__xludf.DUMMYFUNCTION("""COMPUTED_VALUE"""),"Manager who explains what is expected, sets a goal and helps achieve it")</f>
        <v>Manager who explains what is expected, sets a goal and helps achieve it</v>
      </c>
      <c r="P183" s="1" t="str">
        <f ca="1">IFERROR(__xludf.DUMMYFUNCTION("""COMPUTED_VALUE"""),"Work &gt;10 people in Team")</f>
        <v>Work &gt;10 people in Team</v>
      </c>
      <c r="Q183" s="1" t="s">
        <v>41</v>
      </c>
      <c r="R183" s="1"/>
    </row>
    <row r="184" spans="1:18" x14ac:dyDescent="0.25">
      <c r="A184" s="2">
        <f ca="1">IFERROR(__xludf.DUMMYFUNCTION("""COMPUTED_VALUE"""),44915.7488130324)</f>
        <v>44915.748813032398</v>
      </c>
      <c r="B184" s="1" t="str">
        <f ca="1">IFERROR(__xludf.DUMMYFUNCTION("""COMPUTED_VALUE"""),"India")</f>
        <v>India</v>
      </c>
      <c r="C184" s="1">
        <f ca="1">IFERROR(__xludf.DUMMYFUNCTION("""COMPUTED_VALUE"""),122004)</f>
        <v>122004</v>
      </c>
      <c r="D184" s="1" t="str">
        <f ca="1">IFERROR(__xludf.DUMMYFUNCTION("""COMPUTED_VALUE"""),"Male")</f>
        <v>Male</v>
      </c>
      <c r="E184" s="1" t="str">
        <f ca="1">IFERROR(__xludf.DUMMYFUNCTION("""COMPUTED_VALUE"""),"Social Media like LinkedIn")</f>
        <v>Social Media like LinkedIn</v>
      </c>
      <c r="F184" s="1" t="str">
        <f ca="1">IFERROR(__xludf.DUMMYFUNCTION("""COMPUTED_VALUE"""),"No, But if someone could bare the cost I will")</f>
        <v>No, But if someone could bare the cost I will</v>
      </c>
      <c r="G184" s="1" t="str">
        <f ca="1">IFERROR(__xludf.DUMMYFUNCTION("""COMPUTED_VALUE"""),"This will be hard to do, but if it is the right company I would try")</f>
        <v>This will be hard to do, but if it is the right company I would try</v>
      </c>
      <c r="H184" s="1" t="str">
        <f ca="1">IFERROR(__xludf.DUMMYFUNCTION("""COMPUTED_VALUE"""),"Yes")</f>
        <v>Yes</v>
      </c>
      <c r="I184" s="1" t="str">
        <f ca="1">IFERROR(__xludf.DUMMYFUNCTION("""COMPUTED_VALUE"""),"Will NOT work for them")</f>
        <v>Will NOT work for them</v>
      </c>
      <c r="J184" s="1">
        <f ca="1">IFERROR(__xludf.DUMMYFUNCTION("""COMPUTED_VALUE"""),3)</f>
        <v>3</v>
      </c>
      <c r="K184" s="1" t="str">
        <f ca="1">IFERROR(__xludf.DUMMYFUNCTION("""COMPUTED_VALUE"""),"Hybrid Working Environment with less than 15 days a month at office")</f>
        <v>Hybrid Working Environment with less than 15 days a month at office</v>
      </c>
      <c r="L184" s="1" t="str">
        <f ca="1">IFERROR(__xludf.DUMMYFUNCTION("""COMPUTED_VALUE"""),"Employer who pushes your limits by enabling an learning environment, and rewards you at the end")</f>
        <v>Employer who pushes your limits by enabling an learning environment, and rewards you at the end</v>
      </c>
      <c r="M184"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N184" s="4" t="s">
        <v>49</v>
      </c>
      <c r="O184" s="1" t="str">
        <f ca="1">IFERROR(__xludf.DUMMYFUNCTION("""COMPUTED_VALUE"""),"Manager who explains what is expected, sets a goal and helps achieve it")</f>
        <v>Manager who explains what is expected, sets a goal and helps achieve it</v>
      </c>
      <c r="P184" s="1" t="str">
        <f ca="1">IFERROR(__xludf.DUMMYFUNCTION("""COMPUTED_VALUE"""),"Work Alone, &lt;=6 in team")</f>
        <v>Work Alone, &lt;=6 in team</v>
      </c>
      <c r="Q184" s="1" t="s">
        <v>40</v>
      </c>
      <c r="R184" s="1"/>
    </row>
    <row r="185" spans="1:18" x14ac:dyDescent="0.25">
      <c r="A185" s="2">
        <f ca="1">IFERROR(__xludf.DUMMYFUNCTION("""COMPUTED_VALUE"""),44915.7590478935)</f>
        <v>44915.759047893502</v>
      </c>
      <c r="B185" s="1" t="str">
        <f ca="1">IFERROR(__xludf.DUMMYFUNCTION("""COMPUTED_VALUE"""),"India")</f>
        <v>India</v>
      </c>
      <c r="C185" s="1">
        <f ca="1">IFERROR(__xludf.DUMMYFUNCTION("""COMPUTED_VALUE"""),246701)</f>
        <v>246701</v>
      </c>
      <c r="D185" s="1" t="str">
        <f ca="1">IFERROR(__xludf.DUMMYFUNCTION("""COMPUTED_VALUE"""),"Female")</f>
        <v>Female</v>
      </c>
      <c r="E185" s="1" t="str">
        <f ca="1">IFERROR(__xludf.DUMMYFUNCTION("""COMPUTED_VALUE"""),"My Parents")</f>
        <v>My Parents</v>
      </c>
      <c r="F185" s="1" t="str">
        <f ca="1">IFERROR(__xludf.DUMMYFUNCTION("""COMPUTED_VALUE"""),"Yes, I will earn and do that")</f>
        <v>Yes, I will earn and do that</v>
      </c>
      <c r="G185" s="1" t="str">
        <f ca="1">IFERROR(__xludf.DUMMYFUNCTION("""COMPUTED_VALUE"""),"This will be hard to do, but if it is the right company I would try")</f>
        <v>This will be hard to do, but if it is the right company I would try</v>
      </c>
      <c r="H185" s="1" t="str">
        <f ca="1">IFERROR(__xludf.DUMMYFUNCTION("""COMPUTED_VALUE"""),"No")</f>
        <v>No</v>
      </c>
      <c r="I185" s="1" t="str">
        <f ca="1">IFERROR(__xludf.DUMMYFUNCTION("""COMPUTED_VALUE"""),"Will NOT work for them")</f>
        <v>Will NOT work for them</v>
      </c>
      <c r="J185" s="1">
        <f ca="1">IFERROR(__xludf.DUMMYFUNCTION("""COMPUTED_VALUE"""),5)</f>
        <v>5</v>
      </c>
      <c r="K185" s="1" t="str">
        <f ca="1">IFERROR(__xludf.DUMMYFUNCTION("""COMPUTED_VALUE"""),"Hybrid Working Environment with less than 15 days a month at office")</f>
        <v>Hybrid Working Environment with less than 15 days a month at office</v>
      </c>
      <c r="L185" s="1" t="str">
        <f ca="1">IFERROR(__xludf.DUMMYFUNCTION("""COMPUTED_VALUE"""),"Employer who pushes your limits by enabling an learning environment, and rewards you at the end")</f>
        <v>Employer who pushes your limits by enabling an learning environment, and rewards you at the end</v>
      </c>
      <c r="M18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85" s="4" t="s">
        <v>48</v>
      </c>
      <c r="O185" s="1" t="str">
        <f ca="1">IFERROR(__xludf.DUMMYFUNCTION("""COMPUTED_VALUE"""),"Manager who explains what is expected, sets a goal and helps achieve it")</f>
        <v>Manager who explains what is expected, sets a goal and helps achieve it</v>
      </c>
      <c r="P185" s="1" t="str">
        <f ca="1">IFERROR(__xludf.DUMMYFUNCTION("""COMPUTED_VALUE"""),"Work &lt;=6 People in the Team")</f>
        <v>Work &lt;=6 People in the Team</v>
      </c>
      <c r="Q185" s="1" t="s">
        <v>41</v>
      </c>
      <c r="R185" s="1"/>
    </row>
    <row r="186" spans="1:18" x14ac:dyDescent="0.25">
      <c r="A186" s="2">
        <f ca="1">IFERROR(__xludf.DUMMYFUNCTION("""COMPUTED_VALUE"""),44915.77179603)</f>
        <v>44915.77179603</v>
      </c>
      <c r="B186" s="1" t="str">
        <f ca="1">IFERROR(__xludf.DUMMYFUNCTION("""COMPUTED_VALUE"""),"India")</f>
        <v>India</v>
      </c>
      <c r="C186" s="1">
        <f ca="1">IFERROR(__xludf.DUMMYFUNCTION("""COMPUTED_VALUE"""),412308)</f>
        <v>412308</v>
      </c>
      <c r="D186" s="1" t="str">
        <f ca="1">IFERROR(__xludf.DUMMYFUNCTION("""COMPUTED_VALUE"""),"Male")</f>
        <v>Male</v>
      </c>
      <c r="E186" s="1" t="str">
        <f ca="1">IFERROR(__xludf.DUMMYFUNCTION("""COMPUTED_VALUE"""),"People who have changed the world for better")</f>
        <v>People who have changed the world for better</v>
      </c>
      <c r="F186" s="1" t="str">
        <f ca="1">IFERROR(__xludf.DUMMYFUNCTION("""COMPUTED_VALUE"""),"No I would not be pursuing Higher Education outside of India")</f>
        <v>No I would not be pursuing Higher Education outside of India</v>
      </c>
      <c r="G186" s="1" t="str">
        <f ca="1">IFERROR(__xludf.DUMMYFUNCTION("""COMPUTED_VALUE"""),"Will work for 3 years or more")</f>
        <v>Will work for 3 years or more</v>
      </c>
      <c r="H186" s="1" t="str">
        <f ca="1">IFERROR(__xludf.DUMMYFUNCTION("""COMPUTED_VALUE"""),"No")</f>
        <v>No</v>
      </c>
      <c r="I186" s="1" t="str">
        <f ca="1">IFERROR(__xludf.DUMMYFUNCTION("""COMPUTED_VALUE"""),"Will NOT work for them")</f>
        <v>Will NOT work for them</v>
      </c>
      <c r="J186" s="1">
        <f ca="1">IFERROR(__xludf.DUMMYFUNCTION("""COMPUTED_VALUE"""),1)</f>
        <v>1</v>
      </c>
      <c r="K186" s="1" t="str">
        <f ca="1">IFERROR(__xludf.DUMMYFUNCTION("""COMPUTED_VALUE"""),"Every Day Office Environment")</f>
        <v>Every Day Office Environment</v>
      </c>
      <c r="L186" s="1" t="str">
        <f ca="1">IFERROR(__xludf.DUMMYFUNCTION("""COMPUTED_VALUE"""),"Employer who pushes your limits by enabling an learning environment, and rewards you at the end")</f>
        <v>Employer who pushes your limits by enabling an learning environment, and rewards you at the end</v>
      </c>
      <c r="M18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186" s="4" t="s">
        <v>48</v>
      </c>
      <c r="O186" s="1" t="str">
        <f ca="1">IFERROR(__xludf.DUMMYFUNCTION("""COMPUTED_VALUE"""),"Manager who sets goal and helps me achieve it")</f>
        <v>Manager who sets goal and helps me achieve it</v>
      </c>
      <c r="P186" s="1" t="str">
        <f ca="1">IFERROR(__xludf.DUMMYFUNCTION("""COMPUTED_VALUE"""),"Work &gt;10 people in Team")</f>
        <v>Work &gt;10 people in Team</v>
      </c>
      <c r="Q186" s="1" t="s">
        <v>41</v>
      </c>
      <c r="R186" s="1"/>
    </row>
    <row r="187" spans="1:18" x14ac:dyDescent="0.25">
      <c r="A187" s="2">
        <f ca="1">IFERROR(__xludf.DUMMYFUNCTION("""COMPUTED_VALUE"""),44915.7724526736)</f>
        <v>44915.772452673598</v>
      </c>
      <c r="B187" s="1" t="str">
        <f ca="1">IFERROR(__xludf.DUMMYFUNCTION("""COMPUTED_VALUE"""),"India")</f>
        <v>India</v>
      </c>
      <c r="C187" s="1">
        <f ca="1">IFERROR(__xludf.DUMMYFUNCTION("""COMPUTED_VALUE"""),248001)</f>
        <v>248001</v>
      </c>
      <c r="D187" s="1" t="str">
        <f ca="1">IFERROR(__xludf.DUMMYFUNCTION("""COMPUTED_VALUE"""),"Female")</f>
        <v>Female</v>
      </c>
      <c r="E187" s="1" t="str">
        <f ca="1">IFERROR(__xludf.DUMMYFUNCTION("""COMPUTED_VALUE"""),"Social Media like LinkedIn")</f>
        <v>Social Media like LinkedIn</v>
      </c>
      <c r="F187" s="1" t="str">
        <f ca="1">IFERROR(__xludf.DUMMYFUNCTION("""COMPUTED_VALUE"""),"No, But if someone could bare the cost I will")</f>
        <v>No, But if someone could bare the cost I will</v>
      </c>
      <c r="G187" s="1" t="str">
        <f ca="1">IFERROR(__xludf.DUMMYFUNCTION("""COMPUTED_VALUE"""),"Will work for 3 years or more")</f>
        <v>Will work for 3 years or more</v>
      </c>
      <c r="H187" s="1" t="str">
        <f ca="1">IFERROR(__xludf.DUMMYFUNCTION("""COMPUTED_VALUE"""),"No")</f>
        <v>No</v>
      </c>
      <c r="I187" s="1" t="str">
        <f ca="1">IFERROR(__xludf.DUMMYFUNCTION("""COMPUTED_VALUE"""),"Will work for them")</f>
        <v>Will work for them</v>
      </c>
      <c r="J187" s="1">
        <f ca="1">IFERROR(__xludf.DUMMYFUNCTION("""COMPUTED_VALUE"""),5)</f>
        <v>5</v>
      </c>
      <c r="K187" s="1" t="str">
        <f ca="1">IFERROR(__xludf.DUMMYFUNCTION("""COMPUTED_VALUE"""),"Hybrid Working Environment with less than 10 days a month at office")</f>
        <v>Hybrid Working Environment with less than 10 days a month at office</v>
      </c>
      <c r="L187" s="1" t="str">
        <f ca="1">IFERROR(__xludf.DUMMYFUNCTION("""COMPUTED_VALUE"""),"Employer who appreciates learning and enables that environment")</f>
        <v>Employer who appreciates learning and enables that environment</v>
      </c>
      <c r="M18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187" s="4" t="s">
        <v>48</v>
      </c>
      <c r="O187" s="1" t="str">
        <f ca="1">IFERROR(__xludf.DUMMYFUNCTION("""COMPUTED_VALUE"""),"Manager who clearly describes what she/he needs")</f>
        <v>Manager who clearly describes what she/he needs</v>
      </c>
      <c r="P187" s="1" t="str">
        <f ca="1">IFERROR(__xludf.DUMMYFUNCTION("""COMPUTED_VALUE"""),"Work &lt;=6 People in the Team")</f>
        <v>Work &lt;=6 People in the Team</v>
      </c>
      <c r="Q187" s="1" t="s">
        <v>40</v>
      </c>
      <c r="R187" s="1"/>
    </row>
    <row r="188" spans="1:18" x14ac:dyDescent="0.25">
      <c r="A188" s="2">
        <f ca="1">IFERROR(__xludf.DUMMYFUNCTION("""COMPUTED_VALUE"""),44915.8173163194)</f>
        <v>44915.817316319401</v>
      </c>
      <c r="B188" s="1" t="str">
        <f ca="1">IFERROR(__xludf.DUMMYFUNCTION("""COMPUTED_VALUE"""),"India")</f>
        <v>India</v>
      </c>
      <c r="C188" s="1">
        <f ca="1">IFERROR(__xludf.DUMMYFUNCTION("""COMPUTED_VALUE"""),500001)</f>
        <v>500001</v>
      </c>
      <c r="D188" s="1" t="str">
        <f ca="1">IFERROR(__xludf.DUMMYFUNCTION("""COMPUTED_VALUE"""),"Female")</f>
        <v>Female</v>
      </c>
      <c r="E188" s="1" t="str">
        <f ca="1">IFERROR(__xludf.DUMMYFUNCTION("""COMPUTED_VALUE"""),"People who have changed the world for better")</f>
        <v>People who have changed the world for better</v>
      </c>
      <c r="F188" s="1" t="str">
        <f ca="1">IFERROR(__xludf.DUMMYFUNCTION("""COMPUTED_VALUE"""),"No, But if someone could bare the cost I will")</f>
        <v>No, But if someone could bare the cost I will</v>
      </c>
      <c r="G188" s="1" t="str">
        <f ca="1">IFERROR(__xludf.DUMMYFUNCTION("""COMPUTED_VALUE"""),"This will be hard to do, but if it is the right company I would try")</f>
        <v>This will be hard to do, but if it is the right company I would try</v>
      </c>
      <c r="H188" s="1" t="str">
        <f ca="1">IFERROR(__xludf.DUMMYFUNCTION("""COMPUTED_VALUE"""),"No")</f>
        <v>No</v>
      </c>
      <c r="I188" s="1" t="str">
        <f ca="1">IFERROR(__xludf.DUMMYFUNCTION("""COMPUTED_VALUE"""),"Will NOT work for them")</f>
        <v>Will NOT work for them</v>
      </c>
      <c r="J188" s="1">
        <f ca="1">IFERROR(__xludf.DUMMYFUNCTION("""COMPUTED_VALUE"""),3)</f>
        <v>3</v>
      </c>
      <c r="K188" s="1" t="str">
        <f ca="1">IFERROR(__xludf.DUMMYFUNCTION("""COMPUTED_VALUE"""),"Fully Remote with Options to travel as and when needed")</f>
        <v>Fully Remote with Options to travel as and when needed</v>
      </c>
      <c r="L188" s="1" t="str">
        <f ca="1">IFERROR(__xludf.DUMMYFUNCTION("""COMPUTED_VALUE"""),"Employer who rewards learning and enables that environment")</f>
        <v>Employer who rewards learning and enables that environment</v>
      </c>
      <c r="M188"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N188" s="4" t="s">
        <v>48</v>
      </c>
      <c r="O188" s="1" t="str">
        <f ca="1">IFERROR(__xludf.DUMMYFUNCTION("""COMPUTED_VALUE"""),"Manager who clearly describes what she/he needs")</f>
        <v>Manager who clearly describes what she/he needs</v>
      </c>
      <c r="P188" s="1" t="str">
        <f ca="1">IFERROR(__xludf.DUMMYFUNCTION("""COMPUTED_VALUE"""),"Work &lt;=6 People in the Team")</f>
        <v>Work &lt;=6 People in the Team</v>
      </c>
      <c r="Q188" s="1" t="s">
        <v>41</v>
      </c>
      <c r="R188" s="1"/>
    </row>
    <row r="189" spans="1:18" x14ac:dyDescent="0.25">
      <c r="A189" s="2">
        <f ca="1">IFERROR(__xludf.DUMMYFUNCTION("""COMPUTED_VALUE"""),44915.8195280439)</f>
        <v>44915.819528043903</v>
      </c>
      <c r="B189" s="1" t="str">
        <f ca="1">IFERROR(__xludf.DUMMYFUNCTION("""COMPUTED_VALUE"""),"India")</f>
        <v>India</v>
      </c>
      <c r="C189" s="1">
        <f ca="1">IFERROR(__xludf.DUMMYFUNCTION("""COMPUTED_VALUE"""),670504)</f>
        <v>670504</v>
      </c>
      <c r="D189" s="1" t="str">
        <f ca="1">IFERROR(__xludf.DUMMYFUNCTION("""COMPUTED_VALUE"""),"Female")</f>
        <v>Female</v>
      </c>
      <c r="E189" s="1" t="str">
        <f ca="1">IFERROR(__xludf.DUMMYFUNCTION("""COMPUTED_VALUE"""),"People from my circle, but not family members")</f>
        <v>People from my circle, but not family members</v>
      </c>
      <c r="F189" s="1" t="str">
        <f ca="1">IFERROR(__xludf.DUMMYFUNCTION("""COMPUTED_VALUE"""),"Yes, I will earn and do that")</f>
        <v>Yes, I will earn and do that</v>
      </c>
      <c r="G189" s="1" t="str">
        <f ca="1">IFERROR(__xludf.DUMMYFUNCTION("""COMPUTED_VALUE"""),"Will work for 3 years or more")</f>
        <v>Will work for 3 years or more</v>
      </c>
      <c r="H189" s="1" t="str">
        <f ca="1">IFERROR(__xludf.DUMMYFUNCTION("""COMPUTED_VALUE"""),"No")</f>
        <v>No</v>
      </c>
      <c r="I189" s="1" t="str">
        <f ca="1">IFERROR(__xludf.DUMMYFUNCTION("""COMPUTED_VALUE"""),"Will NOT work for them")</f>
        <v>Will NOT work for them</v>
      </c>
      <c r="J189" s="1">
        <f ca="1">IFERROR(__xludf.DUMMYFUNCTION("""COMPUTED_VALUE"""),1)</f>
        <v>1</v>
      </c>
      <c r="K189" s="1" t="str">
        <f ca="1">IFERROR(__xludf.DUMMYFUNCTION("""COMPUTED_VALUE"""),"Hybrid Working Environment with less than 15 days a month at office")</f>
        <v>Hybrid Working Environment with less than 15 days a month at office</v>
      </c>
      <c r="L189" s="1" t="str">
        <f ca="1">IFERROR(__xludf.DUMMYFUNCTION("""COMPUTED_VALUE"""),"Employer who rewards learning and enables that environment")</f>
        <v>Employer who rewards learning and enables that environment</v>
      </c>
      <c r="M18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189" s="4" t="s">
        <v>53</v>
      </c>
      <c r="O189" s="1" t="str">
        <f ca="1">IFERROR(__xludf.DUMMYFUNCTION("""COMPUTED_VALUE"""),"Manager who clearly describes what she/he needs")</f>
        <v>Manager who clearly describes what she/he needs</v>
      </c>
      <c r="P189" s="1" t="str">
        <f ca="1">IFERROR(__xludf.DUMMYFUNCTION("""COMPUTED_VALUE"""),"Work &lt;=6 People in the Team")</f>
        <v>Work &lt;=6 People in the Team</v>
      </c>
      <c r="Q189" s="1" t="s">
        <v>40</v>
      </c>
      <c r="R189" s="1"/>
    </row>
    <row r="190" spans="1:18" x14ac:dyDescent="0.25">
      <c r="A190" s="2">
        <f ca="1">IFERROR(__xludf.DUMMYFUNCTION("""COMPUTED_VALUE"""),44915.8261888425)</f>
        <v>44915.826188842497</v>
      </c>
      <c r="B190" s="1" t="str">
        <f ca="1">IFERROR(__xludf.DUMMYFUNCTION("""COMPUTED_VALUE"""),"India")</f>
        <v>India</v>
      </c>
      <c r="C190" s="1">
        <f ca="1">IFERROR(__xludf.DUMMYFUNCTION("""COMPUTED_VALUE"""),301018)</f>
        <v>301018</v>
      </c>
      <c r="D190" s="1" t="str">
        <f ca="1">IFERROR(__xludf.DUMMYFUNCTION("""COMPUTED_VALUE"""),"Female")</f>
        <v>Female</v>
      </c>
      <c r="E190" s="1" t="str">
        <f ca="1">IFERROR(__xludf.DUMMYFUNCTION("""COMPUTED_VALUE"""),"My Parents")</f>
        <v>My Parents</v>
      </c>
      <c r="F190" s="1" t="str">
        <f ca="1">IFERROR(__xludf.DUMMYFUNCTION("""COMPUTED_VALUE"""),"No, But if someone could bare the cost I will")</f>
        <v>No, But if someone could bare the cost I will</v>
      </c>
      <c r="G190" s="1" t="str">
        <f ca="1">IFERROR(__xludf.DUMMYFUNCTION("""COMPUTED_VALUE"""),"This will be hard to do, but if it is the right company I would try")</f>
        <v>This will be hard to do, but if it is the right company I would try</v>
      </c>
      <c r="H190" s="1" t="str">
        <f ca="1">IFERROR(__xludf.DUMMYFUNCTION("""COMPUTED_VALUE"""),"Yes")</f>
        <v>Yes</v>
      </c>
      <c r="I190" s="1" t="str">
        <f ca="1">IFERROR(__xludf.DUMMYFUNCTION("""COMPUTED_VALUE"""),"Will NOT work for them")</f>
        <v>Will NOT work for them</v>
      </c>
      <c r="J190" s="1">
        <f ca="1">IFERROR(__xludf.DUMMYFUNCTION("""COMPUTED_VALUE"""),8)</f>
        <v>8</v>
      </c>
      <c r="K190" s="1" t="str">
        <f ca="1">IFERROR(__xludf.DUMMYFUNCTION("""COMPUTED_VALUE"""),"Fully Remote with Options to travel as and when needed")</f>
        <v>Fully Remote with Options to travel as and when needed</v>
      </c>
      <c r="L190" s="1" t="str">
        <f ca="1">IFERROR(__xludf.DUMMYFUNCTION("""COMPUTED_VALUE"""),"Employer who pushes your limits by enabling an learning environment, and rewards you at the end")</f>
        <v>Employer who pushes your limits by enabling an learning environment, and rewards you at the end</v>
      </c>
      <c r="M190"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N190" s="4" t="s">
        <v>48</v>
      </c>
      <c r="O190" s="1" t="str">
        <f ca="1">IFERROR(__xludf.DUMMYFUNCTION("""COMPUTED_VALUE"""),"Manager who clearly describes what she/he needs")</f>
        <v>Manager who clearly describes what she/he needs</v>
      </c>
      <c r="P190" s="1" t="str">
        <f ca="1">IFERROR(__xludf.DUMMYFUNCTION("""COMPUTED_VALUE"""),"Work &lt;=6 People in the Team")</f>
        <v>Work &lt;=6 People in the Team</v>
      </c>
      <c r="Q190" s="1" t="s">
        <v>40</v>
      </c>
      <c r="R190" s="1"/>
    </row>
    <row r="191" spans="1:18" x14ac:dyDescent="0.25">
      <c r="A191" s="2">
        <f ca="1">IFERROR(__xludf.DUMMYFUNCTION("""COMPUTED_VALUE"""),44915.8706067013)</f>
        <v>44915.870606701297</v>
      </c>
      <c r="B191" s="1" t="str">
        <f ca="1">IFERROR(__xludf.DUMMYFUNCTION("""COMPUTED_VALUE"""),"India")</f>
        <v>India</v>
      </c>
      <c r="C191" s="1">
        <f ca="1">IFERROR(__xludf.DUMMYFUNCTION("""COMPUTED_VALUE"""),680307)</f>
        <v>680307</v>
      </c>
      <c r="D191" s="1" t="str">
        <f ca="1">IFERROR(__xludf.DUMMYFUNCTION("""COMPUTED_VALUE"""),"Female")</f>
        <v>Female</v>
      </c>
      <c r="E191" s="1" t="str">
        <f ca="1">IFERROR(__xludf.DUMMYFUNCTION("""COMPUTED_VALUE"""),"People who have changed the world for better")</f>
        <v>People who have changed the world for better</v>
      </c>
      <c r="F191" s="1" t="str">
        <f ca="1">IFERROR(__xludf.DUMMYFUNCTION("""COMPUTED_VALUE"""),"Yes, I will earn and do that")</f>
        <v>Yes, I will earn and do that</v>
      </c>
      <c r="G191" s="1" t="str">
        <f ca="1">IFERROR(__xludf.DUMMYFUNCTION("""COMPUTED_VALUE"""),"Will work for 3 years or more")</f>
        <v>Will work for 3 years or more</v>
      </c>
      <c r="H191" s="1" t="str">
        <f ca="1">IFERROR(__xludf.DUMMYFUNCTION("""COMPUTED_VALUE"""),"No")</f>
        <v>No</v>
      </c>
      <c r="I191" s="1" t="str">
        <f ca="1">IFERROR(__xludf.DUMMYFUNCTION("""COMPUTED_VALUE"""),"Will NOT work for them")</f>
        <v>Will NOT work for them</v>
      </c>
      <c r="J191" s="1">
        <f ca="1">IFERROR(__xludf.DUMMYFUNCTION("""COMPUTED_VALUE"""),1)</f>
        <v>1</v>
      </c>
      <c r="K191" s="1" t="str">
        <f ca="1">IFERROR(__xludf.DUMMYFUNCTION("""COMPUTED_VALUE"""),"Fully Remote with Options to travel as and when needed")</f>
        <v>Fully Remote with Options to travel as and when needed</v>
      </c>
      <c r="L191" s="1" t="str">
        <f ca="1">IFERROR(__xludf.DUMMYFUNCTION("""COMPUTED_VALUE"""),"Employer who pushes your limits by enabling an learning environment, and rewards you at the end")</f>
        <v>Employer who pushes your limits by enabling an learning environment, and rewards you at the end</v>
      </c>
      <c r="M19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91" s="4" t="s">
        <v>48</v>
      </c>
      <c r="O191" s="1" t="str">
        <f ca="1">IFERROR(__xludf.DUMMYFUNCTION("""COMPUTED_VALUE"""),"Manager who clearly describes what she/he needs")</f>
        <v>Manager who clearly describes what she/he needs</v>
      </c>
      <c r="P191" s="1" t="str">
        <f ca="1">IFERROR(__xludf.DUMMYFUNCTION("""COMPUTED_VALUE"""),"Work &lt;=6 People in the Team")</f>
        <v>Work &lt;=6 People in the Team</v>
      </c>
      <c r="Q191" s="1" t="s">
        <v>40</v>
      </c>
      <c r="R191" s="1"/>
    </row>
    <row r="192" spans="1:18" x14ac:dyDescent="0.25">
      <c r="A192" s="2">
        <f ca="1">IFERROR(__xludf.DUMMYFUNCTION("""COMPUTED_VALUE"""),44915.8856304629)</f>
        <v>44915.885630462901</v>
      </c>
      <c r="B192" s="1" t="str">
        <f ca="1">IFERROR(__xludf.DUMMYFUNCTION("""COMPUTED_VALUE"""),"India")</f>
        <v>India</v>
      </c>
      <c r="C192" s="1">
        <f ca="1">IFERROR(__xludf.DUMMYFUNCTION("""COMPUTED_VALUE"""),607102)</f>
        <v>607102</v>
      </c>
      <c r="D192" s="1" t="str">
        <f ca="1">IFERROR(__xludf.DUMMYFUNCTION("""COMPUTED_VALUE"""),"Male")</f>
        <v>Male</v>
      </c>
      <c r="E192" s="1" t="str">
        <f ca="1">IFERROR(__xludf.DUMMYFUNCTION("""COMPUTED_VALUE"""),"My Parents")</f>
        <v>My Parents</v>
      </c>
      <c r="F192" s="1" t="str">
        <f ca="1">IFERROR(__xludf.DUMMYFUNCTION("""COMPUTED_VALUE"""),"Yes, I will earn and do that")</f>
        <v>Yes, I will earn and do that</v>
      </c>
      <c r="G192" s="1" t="str">
        <f ca="1">IFERROR(__xludf.DUMMYFUNCTION("""COMPUTED_VALUE"""),"Will work for 3 years or more")</f>
        <v>Will work for 3 years or more</v>
      </c>
      <c r="H192" s="1" t="str">
        <f ca="1">IFERROR(__xludf.DUMMYFUNCTION("""COMPUTED_VALUE"""),"Yes")</f>
        <v>Yes</v>
      </c>
      <c r="I192" s="1" t="str">
        <f ca="1">IFERROR(__xludf.DUMMYFUNCTION("""COMPUTED_VALUE"""),"Will work for them")</f>
        <v>Will work for them</v>
      </c>
      <c r="J192" s="1">
        <f ca="1">IFERROR(__xludf.DUMMYFUNCTION("""COMPUTED_VALUE"""),6)</f>
        <v>6</v>
      </c>
      <c r="K192" s="1" t="str">
        <f ca="1">IFERROR(__xludf.DUMMYFUNCTION("""COMPUTED_VALUE"""),"Every Day Office Environment")</f>
        <v>Every Day Office Environment</v>
      </c>
      <c r="L192" s="1" t="str">
        <f ca="1">IFERROR(__xludf.DUMMYFUNCTION("""COMPUTED_VALUE"""),"Employer who appreciates learning and enables that environment")</f>
        <v>Employer who appreciates learning and enables that environment</v>
      </c>
      <c r="M19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192" s="4" t="s">
        <v>55</v>
      </c>
      <c r="O192" s="1" t="str">
        <f ca="1">IFERROR(__xludf.DUMMYFUNCTION("""COMPUTED_VALUE"""),"Manager who sets unrealistic targets")</f>
        <v>Manager who sets unrealistic targets</v>
      </c>
      <c r="P192" s="1" t="str">
        <f ca="1">IFERROR(__xludf.DUMMYFUNCTION("""COMPUTED_VALUE"""),"Work &lt;=6 People in the Team")</f>
        <v>Work &lt;=6 People in the Team</v>
      </c>
      <c r="Q192" s="1" t="s">
        <v>41</v>
      </c>
      <c r="R192" s="1"/>
    </row>
    <row r="193" spans="1:18" x14ac:dyDescent="0.25">
      <c r="A193" s="2">
        <f ca="1">IFERROR(__xludf.DUMMYFUNCTION("""COMPUTED_VALUE"""),44915.8905890046)</f>
        <v>44915.890589004601</v>
      </c>
      <c r="B193" s="1" t="str">
        <f ca="1">IFERROR(__xludf.DUMMYFUNCTION("""COMPUTED_VALUE"""),"India")</f>
        <v>India</v>
      </c>
      <c r="C193" s="1">
        <f ca="1">IFERROR(__xludf.DUMMYFUNCTION("""COMPUTED_VALUE"""),605110)</f>
        <v>605110</v>
      </c>
      <c r="D193" s="1" t="str">
        <f ca="1">IFERROR(__xludf.DUMMYFUNCTION("""COMPUTED_VALUE"""),"Male")</f>
        <v>Male</v>
      </c>
      <c r="E193" s="1" t="str">
        <f ca="1">IFERROR(__xludf.DUMMYFUNCTION("""COMPUTED_VALUE"""),"Social Media like LinkedIn")</f>
        <v>Social Media like LinkedIn</v>
      </c>
      <c r="F193" s="1" t="str">
        <f ca="1">IFERROR(__xludf.DUMMYFUNCTION("""COMPUTED_VALUE"""),"Yes, I will earn and do that")</f>
        <v>Yes, I will earn and do that</v>
      </c>
      <c r="G193" s="1" t="str">
        <f ca="1">IFERROR(__xludf.DUMMYFUNCTION("""COMPUTED_VALUE"""),"No way, 3 years with one employer is crazy")</f>
        <v>No way, 3 years with one employer is crazy</v>
      </c>
      <c r="H193" s="1" t="str">
        <f ca="1">IFERROR(__xludf.DUMMYFUNCTION("""COMPUTED_VALUE"""),"Yes")</f>
        <v>Yes</v>
      </c>
      <c r="I193" s="1" t="str">
        <f ca="1">IFERROR(__xludf.DUMMYFUNCTION("""COMPUTED_VALUE"""),"Will work for them")</f>
        <v>Will work for them</v>
      </c>
      <c r="J193" s="1">
        <f ca="1">IFERROR(__xludf.DUMMYFUNCTION("""COMPUTED_VALUE"""),5)</f>
        <v>5</v>
      </c>
      <c r="K193" s="1" t="str">
        <f ca="1">IFERROR(__xludf.DUMMYFUNCTION("""COMPUTED_VALUE"""),"Hybrid Working Environment with less than 3 days a month at office")</f>
        <v>Hybrid Working Environment with less than 3 days a month at office</v>
      </c>
      <c r="L193" s="1" t="str">
        <f ca="1">IFERROR(__xludf.DUMMYFUNCTION("""COMPUTED_VALUE"""),"Employer who pushes your limits by enabling an learning environment, and rewards you at the end")</f>
        <v>Employer who pushes your limits by enabling an learning environment, and rewards you at the end</v>
      </c>
      <c r="M193"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N193" s="4" t="s">
        <v>48</v>
      </c>
      <c r="O193" s="1" t="str">
        <f ca="1">IFERROR(__xludf.DUMMYFUNCTION("""COMPUTED_VALUE"""),"Manager who explains what is expected, sets a goal and helps achieve it")</f>
        <v>Manager who explains what is expected, sets a goal and helps achieve it</v>
      </c>
      <c r="P193" s="1" t="str">
        <f ca="1">IFERROR(__xludf.DUMMYFUNCTION("""COMPUTED_VALUE"""),"Work alone")</f>
        <v>Work alone</v>
      </c>
      <c r="Q193" s="1" t="s">
        <v>40</v>
      </c>
      <c r="R193" s="1"/>
    </row>
    <row r="194" spans="1:18" x14ac:dyDescent="0.25">
      <c r="A194" s="2">
        <f ca="1">IFERROR(__xludf.DUMMYFUNCTION("""COMPUTED_VALUE"""),44915.8972149305)</f>
        <v>44915.897214930497</v>
      </c>
      <c r="B194" s="1" t="str">
        <f ca="1">IFERROR(__xludf.DUMMYFUNCTION("""COMPUTED_VALUE"""),"India")</f>
        <v>India</v>
      </c>
      <c r="C194" s="1">
        <f ca="1">IFERROR(__xludf.DUMMYFUNCTION("""COMPUTED_VALUE"""),680586)</f>
        <v>680586</v>
      </c>
      <c r="D194" s="1" t="str">
        <f ca="1">IFERROR(__xludf.DUMMYFUNCTION("""COMPUTED_VALUE"""),"Female")</f>
        <v>Female</v>
      </c>
      <c r="E194" s="1" t="str">
        <f ca="1">IFERROR(__xludf.DUMMYFUNCTION("""COMPUTED_VALUE"""),"Influencers who had successful careers")</f>
        <v>Influencers who had successful careers</v>
      </c>
      <c r="F194" s="1" t="str">
        <f ca="1">IFERROR(__xludf.DUMMYFUNCTION("""COMPUTED_VALUE"""),"Yes, I will earn and do that")</f>
        <v>Yes, I will earn and do that</v>
      </c>
      <c r="G194" s="1" t="str">
        <f ca="1">IFERROR(__xludf.DUMMYFUNCTION("""COMPUTED_VALUE"""),"Will work for 3 years or more")</f>
        <v>Will work for 3 years or more</v>
      </c>
      <c r="H194" s="1" t="str">
        <f ca="1">IFERROR(__xludf.DUMMYFUNCTION("""COMPUTED_VALUE"""),"No")</f>
        <v>No</v>
      </c>
      <c r="I194" s="1" t="str">
        <f ca="1">IFERROR(__xludf.DUMMYFUNCTION("""COMPUTED_VALUE"""),"Will NOT work for them")</f>
        <v>Will NOT work for them</v>
      </c>
      <c r="J194" s="1">
        <f ca="1">IFERROR(__xludf.DUMMYFUNCTION("""COMPUTED_VALUE"""),5)</f>
        <v>5</v>
      </c>
      <c r="K194" s="1" t="str">
        <f ca="1">IFERROR(__xludf.DUMMYFUNCTION("""COMPUTED_VALUE"""),"Fully Remote with Options to travel as and when needed")</f>
        <v>Fully Remote with Options to travel as and when needed</v>
      </c>
      <c r="L194" s="1" t="str">
        <f ca="1">IFERROR(__xludf.DUMMYFUNCTION("""COMPUTED_VALUE"""),"Employer who pushes your limits by enabling an learning environment, and rewards you at the end")</f>
        <v>Employer who pushes your limits by enabling an learning environment, and rewards you at the end</v>
      </c>
      <c r="M19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194" s="4" t="s">
        <v>51</v>
      </c>
      <c r="O194" s="1" t="str">
        <f ca="1">IFERROR(__xludf.DUMMYFUNCTION("""COMPUTED_VALUE"""),"Manager who explains what is expected, sets a goal and helps achieve it")</f>
        <v>Manager who explains what is expected, sets a goal and helps achieve it</v>
      </c>
      <c r="P194" s="1" t="str">
        <f ca="1">IFERROR(__xludf.DUMMYFUNCTION("""COMPUTED_VALUE"""),"Work &gt;10 people in Team")</f>
        <v>Work &gt;10 people in Team</v>
      </c>
      <c r="Q194" s="1" t="s">
        <v>40</v>
      </c>
      <c r="R194" s="1"/>
    </row>
    <row r="195" spans="1:18" x14ac:dyDescent="0.25">
      <c r="A195" s="2">
        <f ca="1">IFERROR(__xludf.DUMMYFUNCTION("""COMPUTED_VALUE"""),44915.9096861689)</f>
        <v>44915.909686168903</v>
      </c>
      <c r="B195" s="1" t="str">
        <f ca="1">IFERROR(__xludf.DUMMYFUNCTION("""COMPUTED_VALUE"""),"India")</f>
        <v>India</v>
      </c>
      <c r="C195" s="1">
        <f ca="1">IFERROR(__xludf.DUMMYFUNCTION("""COMPUTED_VALUE"""),431001)</f>
        <v>431001</v>
      </c>
      <c r="D195" s="1" t="str">
        <f ca="1">IFERROR(__xludf.DUMMYFUNCTION("""COMPUTED_VALUE"""),"Male")</f>
        <v>Male</v>
      </c>
      <c r="E195" s="1" t="str">
        <f ca="1">IFERROR(__xludf.DUMMYFUNCTION("""COMPUTED_VALUE"""),"Influencers who had successful careers")</f>
        <v>Influencers who had successful careers</v>
      </c>
      <c r="F195" s="1" t="str">
        <f ca="1">IFERROR(__xludf.DUMMYFUNCTION("""COMPUTED_VALUE"""),"Yes, I will earn and do that")</f>
        <v>Yes, I will earn and do that</v>
      </c>
      <c r="G195" s="1" t="str">
        <f ca="1">IFERROR(__xludf.DUMMYFUNCTION("""COMPUTED_VALUE"""),"This will be hard to do, but if it is the right company I would try")</f>
        <v>This will be hard to do, but if it is the right company I would try</v>
      </c>
      <c r="H195" s="1" t="str">
        <f ca="1">IFERROR(__xludf.DUMMYFUNCTION("""COMPUTED_VALUE"""),"No")</f>
        <v>No</v>
      </c>
      <c r="I195" s="1" t="str">
        <f ca="1">IFERROR(__xludf.DUMMYFUNCTION("""COMPUTED_VALUE"""),"Will NOT work for them")</f>
        <v>Will NOT work for them</v>
      </c>
      <c r="J195" s="1">
        <f ca="1">IFERROR(__xludf.DUMMYFUNCTION("""COMPUTED_VALUE"""),5)</f>
        <v>5</v>
      </c>
      <c r="K195" s="1" t="str">
        <f ca="1">IFERROR(__xludf.DUMMYFUNCTION("""COMPUTED_VALUE"""),"Hybrid Working Environment with less than 3 days a month at office")</f>
        <v>Hybrid Working Environment with less than 3 days a month at office</v>
      </c>
      <c r="L195" s="1" t="str">
        <f ca="1">IFERROR(__xludf.DUMMYFUNCTION("""COMPUTED_VALUE"""),"Employer who pushes your limits by enabling an learning environment, and rewards you at the end")</f>
        <v>Employer who pushes your limits by enabling an learning environment, and rewards you at the end</v>
      </c>
      <c r="M195"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195" s="4" t="s">
        <v>48</v>
      </c>
      <c r="O195" s="1" t="str">
        <f ca="1">IFERROR(__xludf.DUMMYFUNCTION("""COMPUTED_VALUE"""),"Manager who clearly describes what she/he needs")</f>
        <v>Manager who clearly describes what she/he needs</v>
      </c>
      <c r="P195" s="1" t="str">
        <f ca="1">IFERROR(__xludf.DUMMYFUNCTION("""COMPUTED_VALUE"""),"Work Alone, &lt;=6 in team")</f>
        <v>Work Alone, &lt;=6 in team</v>
      </c>
      <c r="Q195" s="1" t="s">
        <v>41</v>
      </c>
      <c r="R195" s="1"/>
    </row>
    <row r="196" spans="1:18" x14ac:dyDescent="0.25">
      <c r="A196" s="2">
        <f ca="1">IFERROR(__xludf.DUMMYFUNCTION("""COMPUTED_VALUE"""),44915.9221636574)</f>
        <v>44915.9221636574</v>
      </c>
      <c r="B196" s="1" t="str">
        <f ca="1">IFERROR(__xludf.DUMMYFUNCTION("""COMPUTED_VALUE"""),"India")</f>
        <v>India</v>
      </c>
      <c r="C196" s="1">
        <f ca="1">IFERROR(__xludf.DUMMYFUNCTION("""COMPUTED_VALUE"""),411046)</f>
        <v>411046</v>
      </c>
      <c r="D196" s="1" t="str">
        <f ca="1">IFERROR(__xludf.DUMMYFUNCTION("""COMPUTED_VALUE"""),"Male")</f>
        <v>Male</v>
      </c>
      <c r="E196" s="1" t="str">
        <f ca="1">IFERROR(__xludf.DUMMYFUNCTION("""COMPUTED_VALUE"""),"People who have changed the world for better")</f>
        <v>People who have changed the world for better</v>
      </c>
      <c r="F196" s="1" t="str">
        <f ca="1">IFERROR(__xludf.DUMMYFUNCTION("""COMPUTED_VALUE"""),"Yes, I will earn and do that")</f>
        <v>Yes, I will earn and do that</v>
      </c>
      <c r="G196" s="1" t="str">
        <f ca="1">IFERROR(__xludf.DUMMYFUNCTION("""COMPUTED_VALUE"""),"This will be hard to do, but if it is the right company I would try")</f>
        <v>This will be hard to do, but if it is the right company I would try</v>
      </c>
      <c r="H196" s="1" t="str">
        <f ca="1">IFERROR(__xludf.DUMMYFUNCTION("""COMPUTED_VALUE"""),"No")</f>
        <v>No</v>
      </c>
      <c r="I196" s="1" t="str">
        <f ca="1">IFERROR(__xludf.DUMMYFUNCTION("""COMPUTED_VALUE"""),"Will NOT work for them")</f>
        <v>Will NOT work for them</v>
      </c>
      <c r="J196" s="1">
        <f ca="1">IFERROR(__xludf.DUMMYFUNCTION("""COMPUTED_VALUE"""),1)</f>
        <v>1</v>
      </c>
      <c r="K196" s="1" t="str">
        <f ca="1">IFERROR(__xludf.DUMMYFUNCTION("""COMPUTED_VALUE"""),"Hybrid Working Environment with less than 15 days a month at office")</f>
        <v>Hybrid Working Environment with less than 15 days a month at office</v>
      </c>
      <c r="L196" s="1" t="str">
        <f ca="1">IFERROR(__xludf.DUMMYFUNCTION("""COMPUTED_VALUE"""),"Employer who pushes your limits by enabling an learning environment, and rewards you at the end")</f>
        <v>Employer who pushes your limits by enabling an learning environment, and rewards you at the end</v>
      </c>
      <c r="M196" s="1" t="str">
        <f ca="1">IFERROR(__xludf.DUMMYFUNCTION("""COMPUTED_VALUE"""),"Teaching in any of the institutes/online or Offline, Design and Develop amazing software, Work in a BPO setup for some well known client")</f>
        <v>Teaching in any of the institutes/online or Offline, Design and Develop amazing software, Work in a BPO setup for some well known client</v>
      </c>
      <c r="N196" s="4" t="s">
        <v>51</v>
      </c>
      <c r="O196" s="1" t="str">
        <f ca="1">IFERROR(__xludf.DUMMYFUNCTION("""COMPUTED_VALUE"""),"Manager who sets targets and expects me to achieve it")</f>
        <v>Manager who sets targets and expects me to achieve it</v>
      </c>
      <c r="P196" s="1" t="str">
        <f ca="1">IFERROR(__xludf.DUMMYFUNCTION("""COMPUTED_VALUE"""),"Work Alone, &lt;67 people in team")</f>
        <v>Work Alone, &lt;67 people in team</v>
      </c>
      <c r="Q196" s="1" t="s">
        <v>41</v>
      </c>
      <c r="R196" s="1"/>
    </row>
    <row r="197" spans="1:18" x14ac:dyDescent="0.25">
      <c r="A197" s="2">
        <f ca="1">IFERROR(__xludf.DUMMYFUNCTION("""COMPUTED_VALUE"""),44915.9319016435)</f>
        <v>44915.931901643497</v>
      </c>
      <c r="B197" s="1" t="str">
        <f ca="1">IFERROR(__xludf.DUMMYFUNCTION("""COMPUTED_VALUE"""),"India")</f>
        <v>India</v>
      </c>
      <c r="C197" s="1">
        <f ca="1">IFERROR(__xludf.DUMMYFUNCTION("""COMPUTED_VALUE"""),431105)</f>
        <v>431105</v>
      </c>
      <c r="D197" s="1" t="str">
        <f ca="1">IFERROR(__xludf.DUMMYFUNCTION("""COMPUTED_VALUE"""),"Male")</f>
        <v>Male</v>
      </c>
      <c r="E197" s="1" t="str">
        <f ca="1">IFERROR(__xludf.DUMMYFUNCTION("""COMPUTED_VALUE"""),"Influencers who had successful careers")</f>
        <v>Influencers who had successful careers</v>
      </c>
      <c r="F197" s="1" t="str">
        <f ca="1">IFERROR(__xludf.DUMMYFUNCTION("""COMPUTED_VALUE"""),"Yes, I will earn and do that")</f>
        <v>Yes, I will earn and do that</v>
      </c>
      <c r="G197" s="1" t="str">
        <f ca="1">IFERROR(__xludf.DUMMYFUNCTION("""COMPUTED_VALUE"""),"This will be hard to do, but if it is the right company I would try")</f>
        <v>This will be hard to do, but if it is the right company I would try</v>
      </c>
      <c r="H197" s="1" t="str">
        <f ca="1">IFERROR(__xludf.DUMMYFUNCTION("""COMPUTED_VALUE"""),"No")</f>
        <v>No</v>
      </c>
      <c r="I197" s="1" t="str">
        <f ca="1">IFERROR(__xludf.DUMMYFUNCTION("""COMPUTED_VALUE"""),"Will NOT work for them")</f>
        <v>Will NOT work for them</v>
      </c>
      <c r="J197" s="1">
        <f ca="1">IFERROR(__xludf.DUMMYFUNCTION("""COMPUTED_VALUE"""),7)</f>
        <v>7</v>
      </c>
      <c r="K197" s="1" t="str">
        <f ca="1">IFERROR(__xludf.DUMMYFUNCTION("""COMPUTED_VALUE"""),"Every Day Office Environment")</f>
        <v>Every Day Office Environment</v>
      </c>
      <c r="L197" s="1" t="str">
        <f ca="1">IFERROR(__xludf.DUMMYFUNCTION("""COMPUTED_VALUE"""),"Employer who pushes your limits by enabling an learning environment, and rewards you at the end")</f>
        <v>Employer who pushes your limits by enabling an learning environment, and rewards you at the end</v>
      </c>
      <c r="M197"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197" s="4" t="s">
        <v>52</v>
      </c>
      <c r="O197" s="1" t="str">
        <f ca="1">IFERROR(__xludf.DUMMYFUNCTION("""COMPUTED_VALUE"""),"Manager who explains what is expected, sets a goal and helps achieve it")</f>
        <v>Manager who explains what is expected, sets a goal and helps achieve it</v>
      </c>
      <c r="P197" s="1" t="str">
        <f ca="1">IFERROR(__xludf.DUMMYFUNCTION("""COMPUTED_VALUE"""),"Work &lt;=6 People in the Team")</f>
        <v>Work &lt;=6 People in the Team</v>
      </c>
      <c r="Q197" s="1" t="s">
        <v>41</v>
      </c>
      <c r="R197" s="1"/>
    </row>
    <row r="198" spans="1:18" x14ac:dyDescent="0.25">
      <c r="A198" s="2">
        <f ca="1">IFERROR(__xludf.DUMMYFUNCTION("""COMPUTED_VALUE"""),44915.9438703935)</f>
        <v>44915.943870393501</v>
      </c>
      <c r="B198" s="1" t="str">
        <f ca="1">IFERROR(__xludf.DUMMYFUNCTION("""COMPUTED_VALUE"""),"India")</f>
        <v>India</v>
      </c>
      <c r="C198" s="1">
        <f ca="1">IFERROR(__xludf.DUMMYFUNCTION("""COMPUTED_VALUE"""),110024)</f>
        <v>110024</v>
      </c>
      <c r="D198" s="1" t="str">
        <f ca="1">IFERROR(__xludf.DUMMYFUNCTION("""COMPUTED_VALUE"""),"Female")</f>
        <v>Female</v>
      </c>
      <c r="E198" s="1" t="str">
        <f ca="1">IFERROR(__xludf.DUMMYFUNCTION("""COMPUTED_VALUE"""),"People who have changed the world for better")</f>
        <v>People who have changed the world for better</v>
      </c>
      <c r="F198" s="1" t="str">
        <f ca="1">IFERROR(__xludf.DUMMYFUNCTION("""COMPUTED_VALUE"""),"Yes, I will earn and do that")</f>
        <v>Yes, I will earn and do that</v>
      </c>
      <c r="G198" s="1" t="str">
        <f ca="1">IFERROR(__xludf.DUMMYFUNCTION("""COMPUTED_VALUE"""),"This will be hard to do, but if it is the right company I would try")</f>
        <v>This will be hard to do, but if it is the right company I would try</v>
      </c>
      <c r="H198" s="1" t="str">
        <f ca="1">IFERROR(__xludf.DUMMYFUNCTION("""COMPUTED_VALUE"""),"No")</f>
        <v>No</v>
      </c>
      <c r="I198" s="1" t="str">
        <f ca="1">IFERROR(__xludf.DUMMYFUNCTION("""COMPUTED_VALUE"""),"Will NOT work for them")</f>
        <v>Will NOT work for them</v>
      </c>
      <c r="J198" s="1">
        <f ca="1">IFERROR(__xludf.DUMMYFUNCTION("""COMPUTED_VALUE"""),8)</f>
        <v>8</v>
      </c>
      <c r="K198" s="1" t="str">
        <f ca="1">IFERROR(__xludf.DUMMYFUNCTION("""COMPUTED_VALUE"""),"Hybrid Working Environment with less than 15 days a month at office")</f>
        <v>Hybrid Working Environment with less than 15 days a month at office</v>
      </c>
      <c r="L198" s="1" t="str">
        <f ca="1">IFERROR(__xludf.DUMMYFUNCTION("""COMPUTED_VALUE"""),"Employer who pushes your limits by enabling an learning environment, and rewards you at the end")</f>
        <v>Employer who pushes your limits by enabling an learning environment, and rewards you at the end</v>
      </c>
      <c r="M1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198" s="4" t="s">
        <v>51</v>
      </c>
      <c r="O198" s="1" t="str">
        <f ca="1">IFERROR(__xludf.DUMMYFUNCTION("""COMPUTED_VALUE"""),"Manager who explains what is expected, sets a goal and helps achieve it")</f>
        <v>Manager who explains what is expected, sets a goal and helps achieve it</v>
      </c>
      <c r="P198" s="1" t="str">
        <f ca="1">IFERROR(__xludf.DUMMYFUNCTION("""COMPUTED_VALUE"""),"Work Alone, &lt;=6 in team")</f>
        <v>Work Alone, &lt;=6 in team</v>
      </c>
      <c r="Q198" s="1" t="s">
        <v>42</v>
      </c>
      <c r="R198" s="1"/>
    </row>
    <row r="199" spans="1:18" x14ac:dyDescent="0.25">
      <c r="A199" s="2">
        <f ca="1">IFERROR(__xludf.DUMMYFUNCTION("""COMPUTED_VALUE"""),44915.9517313657)</f>
        <v>44915.951731365698</v>
      </c>
      <c r="B199" s="1" t="str">
        <f ca="1">IFERROR(__xludf.DUMMYFUNCTION("""COMPUTED_VALUE"""),"India")</f>
        <v>India</v>
      </c>
      <c r="C199" s="1">
        <f ca="1">IFERROR(__xludf.DUMMYFUNCTION("""COMPUTED_VALUE"""),431001)</f>
        <v>431001</v>
      </c>
      <c r="D199" s="1" t="str">
        <f ca="1">IFERROR(__xludf.DUMMYFUNCTION("""COMPUTED_VALUE"""),"Female")</f>
        <v>Female</v>
      </c>
      <c r="E199" s="1" t="str">
        <f ca="1">IFERROR(__xludf.DUMMYFUNCTION("""COMPUTED_VALUE"""),"Influencers who had successful careers")</f>
        <v>Influencers who had successful careers</v>
      </c>
      <c r="F199" s="1" t="str">
        <f ca="1">IFERROR(__xludf.DUMMYFUNCTION("""COMPUTED_VALUE"""),"No, But if someone could bare the cost I will")</f>
        <v>No, But if someone could bare the cost I will</v>
      </c>
      <c r="G199" s="1" t="str">
        <f ca="1">IFERROR(__xludf.DUMMYFUNCTION("""COMPUTED_VALUE"""),"Will work for 3 years or more")</f>
        <v>Will work for 3 years or more</v>
      </c>
      <c r="H199" s="1" t="str">
        <f ca="1">IFERROR(__xludf.DUMMYFUNCTION("""COMPUTED_VALUE"""),"Yes")</f>
        <v>Yes</v>
      </c>
      <c r="I199" s="1" t="str">
        <f ca="1">IFERROR(__xludf.DUMMYFUNCTION("""COMPUTED_VALUE"""),"Will work for them")</f>
        <v>Will work for them</v>
      </c>
      <c r="J199" s="1">
        <f ca="1">IFERROR(__xludf.DUMMYFUNCTION("""COMPUTED_VALUE"""),6)</f>
        <v>6</v>
      </c>
      <c r="K199" s="1" t="str">
        <f ca="1">IFERROR(__xludf.DUMMYFUNCTION("""COMPUTED_VALUE"""),"Hybrid Working Environment with less than 3 days a month at office")</f>
        <v>Hybrid Working Environment with less than 3 days a month at office</v>
      </c>
      <c r="L199" s="1" t="str">
        <f ca="1">IFERROR(__xludf.DUMMYFUNCTION("""COMPUTED_VALUE"""),"Employer who rewards learning and enables that environment")</f>
        <v>Employer who rewards learning and enables that environment</v>
      </c>
      <c r="M199" s="1" t="str">
        <f ca="1">IFERROR(__xludf.DUMMYFUNCTION("""COMPUTED_VALUE"""),"Manage and drive End-to-End Projects or Products, Look deeply into Data and generate insights, Work in a BPO setup for some well known client")</f>
        <v>Manage and drive End-to-End Projects or Products, Look deeply into Data and generate insights, Work in a BPO setup for some well known client</v>
      </c>
      <c r="N199" s="4" t="s">
        <v>52</v>
      </c>
      <c r="O199" s="1" t="str">
        <f ca="1">IFERROR(__xludf.DUMMYFUNCTION("""COMPUTED_VALUE"""),"Manager who explains what is expected, sets a goal and helps achieve it")</f>
        <v>Manager who explains what is expected, sets a goal and helps achieve it</v>
      </c>
      <c r="P199" s="1" t="str">
        <f ca="1">IFERROR(__xludf.DUMMYFUNCTION("""COMPUTED_VALUE"""),"Work &lt;=6 People in the Team")</f>
        <v>Work &lt;=6 People in the Team</v>
      </c>
      <c r="Q199" s="1" t="s">
        <v>41</v>
      </c>
      <c r="R199" s="1"/>
    </row>
    <row r="200" spans="1:18" x14ac:dyDescent="0.25">
      <c r="A200" s="2">
        <f ca="1">IFERROR(__xludf.DUMMYFUNCTION("""COMPUTED_VALUE"""),44915.981112824)</f>
        <v>44915.981112824004</v>
      </c>
      <c r="B200" s="1" t="str">
        <f ca="1">IFERROR(__xludf.DUMMYFUNCTION("""COMPUTED_VALUE"""),"India")</f>
        <v>India</v>
      </c>
      <c r="C200" s="1">
        <f ca="1">IFERROR(__xludf.DUMMYFUNCTION("""COMPUTED_VALUE"""),425001)</f>
        <v>425001</v>
      </c>
      <c r="D200" s="1" t="str">
        <f ca="1">IFERROR(__xludf.DUMMYFUNCTION("""COMPUTED_VALUE"""),"Male")</f>
        <v>Male</v>
      </c>
      <c r="E200" s="1" t="str">
        <f ca="1">IFERROR(__xludf.DUMMYFUNCTION("""COMPUTED_VALUE"""),"Influencers who had successful careers")</f>
        <v>Influencers who had successful careers</v>
      </c>
      <c r="F200" s="1" t="str">
        <f ca="1">IFERROR(__xludf.DUMMYFUNCTION("""COMPUTED_VALUE"""),"Yes, I will earn and do that")</f>
        <v>Yes, I will earn and do that</v>
      </c>
      <c r="G200" s="1" t="str">
        <f ca="1">IFERROR(__xludf.DUMMYFUNCTION("""COMPUTED_VALUE"""),"This will be hard to do, but if it is the right company I would try")</f>
        <v>This will be hard to do, but if it is the right company I would try</v>
      </c>
      <c r="H200" s="1" t="str">
        <f ca="1">IFERROR(__xludf.DUMMYFUNCTION("""COMPUTED_VALUE"""),"Yes")</f>
        <v>Yes</v>
      </c>
      <c r="I200" s="1" t="str">
        <f ca="1">IFERROR(__xludf.DUMMYFUNCTION("""COMPUTED_VALUE"""),"Will NOT work for them")</f>
        <v>Will NOT work for them</v>
      </c>
      <c r="J200" s="1">
        <f ca="1">IFERROR(__xludf.DUMMYFUNCTION("""COMPUTED_VALUE"""),9)</f>
        <v>9</v>
      </c>
      <c r="K200" s="1" t="str">
        <f ca="1">IFERROR(__xludf.DUMMYFUNCTION("""COMPUTED_VALUE"""),"Hybrid Working Environment with less than 10 days a month at office")</f>
        <v>Hybrid Working Environment with less than 10 days a month at office</v>
      </c>
      <c r="L200" s="1" t="str">
        <f ca="1">IFERROR(__xludf.DUMMYFUNCTION("""COMPUTED_VALUE"""),"Employer who pushes your limits by enabling an learning environment, and rewards you at the end")</f>
        <v>Employer who pushes your limits by enabling an learning environment, and rewards you at the end</v>
      </c>
      <c r="M200" s="1" t="str">
        <f ca="1">IFERROR(__xludf.DUMMYFUNCTION("""COMPUTED_VALUE"""),"Manage and drive End-to-End Projects or Products, Build and develop a Team, Design and Develop amazing software")</f>
        <v>Manage and drive End-to-End Projects or Products, Build and develop a Team, Design and Develop amazing software</v>
      </c>
      <c r="N200" s="4" t="s">
        <v>51</v>
      </c>
      <c r="O200" s="1" t="str">
        <f ca="1">IFERROR(__xludf.DUMMYFUNCTION("""COMPUTED_VALUE"""),"Manager who explains what is expected, sets a goal and helps achieve it")</f>
        <v>Manager who explains what is expected, sets a goal and helps achieve it</v>
      </c>
      <c r="P200" s="1" t="str">
        <f ca="1">IFERROR(__xludf.DUMMYFUNCTION("""COMPUTED_VALUE"""),"Work Alone, &lt;67 people in team")</f>
        <v>Work Alone, &lt;67 people in team</v>
      </c>
      <c r="Q200" s="1" t="s">
        <v>40</v>
      </c>
      <c r="R200" s="1"/>
    </row>
    <row r="201" spans="1:18" x14ac:dyDescent="0.25">
      <c r="A201" s="2">
        <f ca="1">IFERROR(__xludf.DUMMYFUNCTION("""COMPUTED_VALUE"""),44916.2726616666)</f>
        <v>44916.272661666597</v>
      </c>
      <c r="B201" s="1" t="str">
        <f ca="1">IFERROR(__xludf.DUMMYFUNCTION("""COMPUTED_VALUE"""),"India")</f>
        <v>India</v>
      </c>
      <c r="C201" s="1">
        <f ca="1">IFERROR(__xludf.DUMMYFUNCTION("""COMPUTED_VALUE"""),500028)</f>
        <v>500028</v>
      </c>
      <c r="D201" s="1" t="str">
        <f ca="1">IFERROR(__xludf.DUMMYFUNCTION("""COMPUTED_VALUE"""),"Male")</f>
        <v>Male</v>
      </c>
      <c r="E201" s="1" t="str">
        <f ca="1">IFERROR(__xludf.DUMMYFUNCTION("""COMPUTED_VALUE"""),"People from my circle, but not family members")</f>
        <v>People from my circle, but not family members</v>
      </c>
      <c r="F201" s="1" t="str">
        <f ca="1">IFERROR(__xludf.DUMMYFUNCTION("""COMPUTED_VALUE"""),"Yes, I will earn and do that")</f>
        <v>Yes, I will earn and do that</v>
      </c>
      <c r="G201" s="1" t="str">
        <f ca="1">IFERROR(__xludf.DUMMYFUNCTION("""COMPUTED_VALUE"""),"No way, 3 years with one employer is crazy")</f>
        <v>No way, 3 years with one employer is crazy</v>
      </c>
      <c r="H201" s="1" t="str">
        <f ca="1">IFERROR(__xludf.DUMMYFUNCTION("""COMPUTED_VALUE"""),"Yes")</f>
        <v>Yes</v>
      </c>
      <c r="I201" s="1" t="str">
        <f ca="1">IFERROR(__xludf.DUMMYFUNCTION("""COMPUTED_VALUE"""),"Will work for them")</f>
        <v>Will work for them</v>
      </c>
      <c r="J201" s="1">
        <f ca="1">IFERROR(__xludf.DUMMYFUNCTION("""COMPUTED_VALUE"""),8)</f>
        <v>8</v>
      </c>
      <c r="K201" s="1" t="str">
        <f ca="1">IFERROR(__xludf.DUMMYFUNCTION("""COMPUTED_VALUE"""),"Fully Remote with Options to travel as and when needed")</f>
        <v>Fully Remote with Options to travel as and when needed</v>
      </c>
      <c r="L201" s="1" t="str">
        <f ca="1">IFERROR(__xludf.DUMMYFUNCTION("""COMPUTED_VALUE"""),"Employer who rewards learning and enables that environment")</f>
        <v>Employer who rewards learning and enables that environment</v>
      </c>
      <c r="M201"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N201" s="4" t="s">
        <v>52</v>
      </c>
      <c r="O201" s="1" t="str">
        <f ca="1">IFERROR(__xludf.DUMMYFUNCTION("""COMPUTED_VALUE"""),"Manager who sets targets and expects me to achieve it")</f>
        <v>Manager who sets targets and expects me to achieve it</v>
      </c>
      <c r="P201" s="1" t="str">
        <f ca="1">IFERROR(__xludf.DUMMYFUNCTION("""COMPUTED_VALUE"""),"Work &lt;=6 People in the Team")</f>
        <v>Work &lt;=6 People in the Team</v>
      </c>
      <c r="Q201" s="1" t="s">
        <v>40</v>
      </c>
      <c r="R201" s="1"/>
    </row>
    <row r="202" spans="1:18" x14ac:dyDescent="0.25">
      <c r="A202" s="2">
        <f ca="1">IFERROR(__xludf.DUMMYFUNCTION("""COMPUTED_VALUE"""),44916.3063703935)</f>
        <v>44916.306370393497</v>
      </c>
      <c r="B202" s="1" t="str">
        <f ca="1">IFERROR(__xludf.DUMMYFUNCTION("""COMPUTED_VALUE"""),"India")</f>
        <v>India</v>
      </c>
      <c r="C202" s="1">
        <f ca="1">IFERROR(__xludf.DUMMYFUNCTION("""COMPUTED_VALUE"""),413525)</f>
        <v>413525</v>
      </c>
      <c r="D202" s="1" t="str">
        <f ca="1">IFERROR(__xludf.DUMMYFUNCTION("""COMPUTED_VALUE"""),"Male")</f>
        <v>Male</v>
      </c>
      <c r="E202" s="1" t="str">
        <f ca="1">IFERROR(__xludf.DUMMYFUNCTION("""COMPUTED_VALUE"""),"My Parents")</f>
        <v>My Parents</v>
      </c>
      <c r="F202" s="1" t="str">
        <f ca="1">IFERROR(__xludf.DUMMYFUNCTION("""COMPUTED_VALUE"""),"Yes, I will earn and do that")</f>
        <v>Yes, I will earn and do that</v>
      </c>
      <c r="G202" s="1" t="str">
        <f ca="1">IFERROR(__xludf.DUMMYFUNCTION("""COMPUTED_VALUE"""),"Will work for 3 years or more")</f>
        <v>Will work for 3 years or more</v>
      </c>
      <c r="H202" s="1" t="str">
        <f ca="1">IFERROR(__xludf.DUMMYFUNCTION("""COMPUTED_VALUE"""),"Yes")</f>
        <v>Yes</v>
      </c>
      <c r="I202" s="1" t="str">
        <f ca="1">IFERROR(__xludf.DUMMYFUNCTION("""COMPUTED_VALUE"""),"Will work for them")</f>
        <v>Will work for them</v>
      </c>
      <c r="J202" s="1">
        <f ca="1">IFERROR(__xludf.DUMMYFUNCTION("""COMPUTED_VALUE"""),7)</f>
        <v>7</v>
      </c>
      <c r="K202" s="1" t="str">
        <f ca="1">IFERROR(__xludf.DUMMYFUNCTION("""COMPUTED_VALUE"""),"Hybrid Working Environment with less than 3 days a month at office")</f>
        <v>Hybrid Working Environment with less than 3 days a month at office</v>
      </c>
      <c r="L202" s="1" t="str">
        <f ca="1">IFERROR(__xludf.DUMMYFUNCTION("""COMPUTED_VALUE"""),"Employer who appreciates learning and enables that environment")</f>
        <v>Employer who appreciates learning and enables that environment</v>
      </c>
      <c r="M202" s="1" t="str">
        <f ca="1">IFERROR(__xludf.DUMMYFUNCTION("""COMPUTED_VALUE"""),"Business Operations in any organization, Build and develop a Team, Become a content Creator in some platform")</f>
        <v>Business Operations in any organization, Build and develop a Team, Become a content Creator in some platform</v>
      </c>
      <c r="N202" s="4" t="s">
        <v>48</v>
      </c>
      <c r="O202" s="1" t="str">
        <f ca="1">IFERROR(__xludf.DUMMYFUNCTION("""COMPUTED_VALUE"""),"Manager who sets targets and expects me to achieve it")</f>
        <v>Manager who sets targets and expects me to achieve it</v>
      </c>
      <c r="P202" s="1" t="str">
        <f ca="1">IFERROR(__xludf.DUMMYFUNCTION("""COMPUTED_VALUE"""),"Work alone")</f>
        <v>Work alone</v>
      </c>
      <c r="Q202" s="1" t="s">
        <v>41</v>
      </c>
      <c r="R202" s="1"/>
    </row>
    <row r="203" spans="1:18" x14ac:dyDescent="0.25">
      <c r="A203" s="2">
        <f ca="1">IFERROR(__xludf.DUMMYFUNCTION("""COMPUTED_VALUE"""),44916.4995969675)</f>
        <v>44916.4995969675</v>
      </c>
      <c r="B203" s="1" t="str">
        <f ca="1">IFERROR(__xludf.DUMMYFUNCTION("""COMPUTED_VALUE"""),"India")</f>
        <v>India</v>
      </c>
      <c r="C203" s="1">
        <f ca="1">IFERROR(__xludf.DUMMYFUNCTION("""COMPUTED_VALUE"""),691505)</f>
        <v>691505</v>
      </c>
      <c r="D203" s="1" t="str">
        <f ca="1">IFERROR(__xludf.DUMMYFUNCTION("""COMPUTED_VALUE"""),"Male")</f>
        <v>Male</v>
      </c>
      <c r="E203" s="1" t="str">
        <f ca="1">IFERROR(__xludf.DUMMYFUNCTION("""COMPUTED_VALUE"""),"People from my circle, but not family members")</f>
        <v>People from my circle, but not family members</v>
      </c>
      <c r="F203" s="1" t="str">
        <f ca="1">IFERROR(__xludf.DUMMYFUNCTION("""COMPUTED_VALUE"""),"No, But if someone could bare the cost I will")</f>
        <v>No, But if someone could bare the cost I will</v>
      </c>
      <c r="G203" s="1" t="str">
        <f ca="1">IFERROR(__xludf.DUMMYFUNCTION("""COMPUTED_VALUE"""),"This will be hard to do, but if it is the right company I would try")</f>
        <v>This will be hard to do, but if it is the right company I would try</v>
      </c>
      <c r="H203" s="1" t="str">
        <f ca="1">IFERROR(__xludf.DUMMYFUNCTION("""COMPUTED_VALUE"""),"Yes")</f>
        <v>Yes</v>
      </c>
      <c r="I203" s="1" t="str">
        <f ca="1">IFERROR(__xludf.DUMMYFUNCTION("""COMPUTED_VALUE"""),"Will work for them")</f>
        <v>Will work for them</v>
      </c>
      <c r="J203" s="1">
        <f ca="1">IFERROR(__xludf.DUMMYFUNCTION("""COMPUTED_VALUE"""),8)</f>
        <v>8</v>
      </c>
      <c r="K203" s="1" t="str">
        <f ca="1">IFERROR(__xludf.DUMMYFUNCTION("""COMPUTED_VALUE"""),"Hybrid Working Environment with less than 15 days a month at office")</f>
        <v>Hybrid Working Environment with less than 15 days a month at office</v>
      </c>
      <c r="L203" s="1" t="str">
        <f ca="1">IFERROR(__xludf.DUMMYFUNCTION("""COMPUTED_VALUE"""),"Employer who rewards learning and enables that environment")</f>
        <v>Employer who rewards learning and enables that environment</v>
      </c>
      <c r="M203" s="1" t="str">
        <f ca="1">IFERROR(__xludf.DUMMYFUNCTION("""COMPUTED_VALUE"""),"Teaching in any of the institutes/online or Offline, Work in a BPO setup for some well known client, Work as a freelancer and do my thing my way")</f>
        <v>Teaching in any of the institutes/online or Offline, Work in a BPO setup for some well known client, Work as a freelancer and do my thing my way</v>
      </c>
      <c r="N203" s="4" t="s">
        <v>48</v>
      </c>
      <c r="O203" s="1" t="str">
        <f ca="1">IFERROR(__xludf.DUMMYFUNCTION("""COMPUTED_VALUE"""),"Manager who explains what is expected, sets a goal and helps achieve it")</f>
        <v>Manager who explains what is expected, sets a goal and helps achieve it</v>
      </c>
      <c r="P203" s="1" t="str">
        <f ca="1">IFERROR(__xludf.DUMMYFUNCTION("""COMPUTED_VALUE"""),"Work &lt;=6 People in the Team")</f>
        <v>Work &lt;=6 People in the Team</v>
      </c>
      <c r="Q203" s="1" t="s">
        <v>41</v>
      </c>
      <c r="R203" s="1"/>
    </row>
    <row r="204" spans="1:18" x14ac:dyDescent="0.25">
      <c r="A204" s="2">
        <f ca="1">IFERROR(__xludf.DUMMYFUNCTION("""COMPUTED_VALUE"""),44916.5014487615)</f>
        <v>44916.501448761497</v>
      </c>
      <c r="B204" s="1" t="str">
        <f ca="1">IFERROR(__xludf.DUMMYFUNCTION("""COMPUTED_VALUE"""),"India")</f>
        <v>India</v>
      </c>
      <c r="C204" s="1">
        <f ca="1">IFERROR(__xludf.DUMMYFUNCTION("""COMPUTED_VALUE"""),605110)</f>
        <v>605110</v>
      </c>
      <c r="D204" s="1" t="str">
        <f ca="1">IFERROR(__xludf.DUMMYFUNCTION("""COMPUTED_VALUE"""),"Male")</f>
        <v>Male</v>
      </c>
      <c r="E204" s="1" t="str">
        <f ca="1">IFERROR(__xludf.DUMMYFUNCTION("""COMPUTED_VALUE"""),"My Parents")</f>
        <v>My Parents</v>
      </c>
      <c r="F204" s="1" t="str">
        <f ca="1">IFERROR(__xludf.DUMMYFUNCTION("""COMPUTED_VALUE"""),"No I would not be pursuing Higher Education outside of India")</f>
        <v>No I would not be pursuing Higher Education outside of India</v>
      </c>
      <c r="G204" s="1" t="str">
        <f ca="1">IFERROR(__xludf.DUMMYFUNCTION("""COMPUTED_VALUE"""),"This will be hard to do, but if it is the right company I would try")</f>
        <v>This will be hard to do, but if it is the right company I would try</v>
      </c>
      <c r="H204" s="1" t="str">
        <f ca="1">IFERROR(__xludf.DUMMYFUNCTION("""COMPUTED_VALUE"""),"No")</f>
        <v>No</v>
      </c>
      <c r="I204" s="1" t="str">
        <f ca="1">IFERROR(__xludf.DUMMYFUNCTION("""COMPUTED_VALUE"""),"Will NOT work for them")</f>
        <v>Will NOT work for them</v>
      </c>
      <c r="J204" s="1">
        <f ca="1">IFERROR(__xludf.DUMMYFUNCTION("""COMPUTED_VALUE"""),5)</f>
        <v>5</v>
      </c>
      <c r="K204" s="1" t="str">
        <f ca="1">IFERROR(__xludf.DUMMYFUNCTION("""COMPUTED_VALUE"""),"Hybrid Working Environment with less than 15 days a month at office")</f>
        <v>Hybrid Working Environment with less than 15 days a month at office</v>
      </c>
      <c r="L204" s="1" t="str">
        <f ca="1">IFERROR(__xludf.DUMMYFUNCTION("""COMPUTED_VALUE"""),"Employer who appreciates learning and enables that environment")</f>
        <v>Employer who appreciates learning and enables that environment</v>
      </c>
      <c r="M204"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N204" s="4" t="s">
        <v>51</v>
      </c>
      <c r="O204" s="1" t="str">
        <f ca="1">IFERROR(__xludf.DUMMYFUNCTION("""COMPUTED_VALUE"""),"Manager who sets goal and helps me achieve it")</f>
        <v>Manager who sets goal and helps me achieve it</v>
      </c>
      <c r="P204" s="1" t="str">
        <f ca="1">IFERROR(__xludf.DUMMYFUNCTION("""COMPUTED_VALUE"""),"Work &lt;=6 People in the Team")</f>
        <v>Work &lt;=6 People in the Team</v>
      </c>
      <c r="Q204" s="1" t="s">
        <v>41</v>
      </c>
      <c r="R204" s="1"/>
    </row>
    <row r="205" spans="1:18" x14ac:dyDescent="0.25">
      <c r="A205" s="2">
        <f ca="1">IFERROR(__xludf.DUMMYFUNCTION("""COMPUTED_VALUE"""),44916.5382517129)</f>
        <v>44916.538251712896</v>
      </c>
      <c r="B205" s="1" t="str">
        <f ca="1">IFERROR(__xludf.DUMMYFUNCTION("""COMPUTED_VALUE"""),"India")</f>
        <v>India</v>
      </c>
      <c r="C205" s="1">
        <f ca="1">IFERROR(__xludf.DUMMYFUNCTION("""COMPUTED_VALUE"""),673507)</f>
        <v>673507</v>
      </c>
      <c r="D205" s="1" t="str">
        <f ca="1">IFERROR(__xludf.DUMMYFUNCTION("""COMPUTED_VALUE"""),"Female")</f>
        <v>Female</v>
      </c>
      <c r="E205" s="1" t="str">
        <f ca="1">IFERROR(__xludf.DUMMYFUNCTION("""COMPUTED_VALUE"""),"People from my circle, but not family members")</f>
        <v>People from my circle, but not family members</v>
      </c>
      <c r="F205" s="1" t="str">
        <f ca="1">IFERROR(__xludf.DUMMYFUNCTION("""COMPUTED_VALUE"""),"No I would not be pursuing Higher Education outside of India")</f>
        <v>No I would not be pursuing Higher Education outside of India</v>
      </c>
      <c r="G205" s="1" t="str">
        <f ca="1">IFERROR(__xludf.DUMMYFUNCTION("""COMPUTED_VALUE"""),"No way, 3 years with one employer is crazy")</f>
        <v>No way, 3 years with one employer is crazy</v>
      </c>
      <c r="H205" s="1" t="str">
        <f ca="1">IFERROR(__xludf.DUMMYFUNCTION("""COMPUTED_VALUE"""),"No")</f>
        <v>No</v>
      </c>
      <c r="I205" s="1" t="str">
        <f ca="1">IFERROR(__xludf.DUMMYFUNCTION("""COMPUTED_VALUE"""),"Will NOT work for them")</f>
        <v>Will NOT work for them</v>
      </c>
      <c r="J205" s="1">
        <f ca="1">IFERROR(__xludf.DUMMYFUNCTION("""COMPUTED_VALUE"""),1)</f>
        <v>1</v>
      </c>
      <c r="K205" s="1" t="str">
        <f ca="1">IFERROR(__xludf.DUMMYFUNCTION("""COMPUTED_VALUE"""),"Hybrid Working Environment with less than 10 days a month at office")</f>
        <v>Hybrid Working Environment with less than 10 days a month at office</v>
      </c>
      <c r="L205" s="1" t="str">
        <f ca="1">IFERROR(__xludf.DUMMYFUNCTION("""COMPUTED_VALUE"""),"Employer who rewards learning and enables that environment")</f>
        <v>Employer who rewards learning and enables that environment</v>
      </c>
      <c r="M2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N205" s="4" t="s">
        <v>48</v>
      </c>
      <c r="O205" s="1" t="str">
        <f ca="1">IFERROR(__xludf.DUMMYFUNCTION("""COMPUTED_VALUE"""),"Manager who clearly describes what she/he needs")</f>
        <v>Manager who clearly describes what she/he needs</v>
      </c>
      <c r="P205" s="1" t="str">
        <f ca="1">IFERROR(__xludf.DUMMYFUNCTION("""COMPUTED_VALUE"""),"Work &gt;=7 People in the Team")</f>
        <v>Work &gt;=7 People in the Team</v>
      </c>
      <c r="Q205" s="1" t="s">
        <v>42</v>
      </c>
      <c r="R205" s="1"/>
    </row>
    <row r="206" spans="1:18" x14ac:dyDescent="0.25">
      <c r="A206" s="2">
        <f ca="1">IFERROR(__xludf.DUMMYFUNCTION("""COMPUTED_VALUE"""),44916.5708442361)</f>
        <v>44916.570844236099</v>
      </c>
      <c r="B206" s="1" t="str">
        <f ca="1">IFERROR(__xludf.DUMMYFUNCTION("""COMPUTED_VALUE"""),"India")</f>
        <v>India</v>
      </c>
      <c r="C206" s="1">
        <f ca="1">IFERROR(__xludf.DUMMYFUNCTION("""COMPUTED_VALUE"""),796701)</f>
        <v>796701</v>
      </c>
      <c r="D206" s="1" t="str">
        <f ca="1">IFERROR(__xludf.DUMMYFUNCTION("""COMPUTED_VALUE"""),"Female")</f>
        <v>Female</v>
      </c>
      <c r="E206" s="1" t="str">
        <f ca="1">IFERROR(__xludf.DUMMYFUNCTION("""COMPUTED_VALUE"""),"People who have changed the world for better")</f>
        <v>People who have changed the world for better</v>
      </c>
      <c r="F206" s="1" t="str">
        <f ca="1">IFERROR(__xludf.DUMMYFUNCTION("""COMPUTED_VALUE"""),"No, But if someone could bare the cost I will")</f>
        <v>No, But if someone could bare the cost I will</v>
      </c>
      <c r="G206" s="1" t="str">
        <f ca="1">IFERROR(__xludf.DUMMYFUNCTION("""COMPUTED_VALUE"""),"This will be hard to do, but if it is the right company I would try")</f>
        <v>This will be hard to do, but if it is the right company I would try</v>
      </c>
      <c r="H206" s="1" t="str">
        <f ca="1">IFERROR(__xludf.DUMMYFUNCTION("""COMPUTED_VALUE"""),"No")</f>
        <v>No</v>
      </c>
      <c r="I206" s="1" t="str">
        <f ca="1">IFERROR(__xludf.DUMMYFUNCTION("""COMPUTED_VALUE"""),"Will NOT work for them")</f>
        <v>Will NOT work for them</v>
      </c>
      <c r="J206" s="1">
        <f ca="1">IFERROR(__xludf.DUMMYFUNCTION("""COMPUTED_VALUE"""),3)</f>
        <v>3</v>
      </c>
      <c r="K206" s="1" t="str">
        <f ca="1">IFERROR(__xludf.DUMMYFUNCTION("""COMPUTED_VALUE"""),"Hybrid Working Environment with less than 15 days a month at office")</f>
        <v>Hybrid Working Environment with less than 15 days a month at office</v>
      </c>
      <c r="L206" s="1" t="str">
        <f ca="1">IFERROR(__xludf.DUMMYFUNCTION("""COMPUTED_VALUE"""),"Employer who rewards learning and enables that environment")</f>
        <v>Employer who rewards learning and enables that environment</v>
      </c>
      <c r="M206"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N206" s="4" t="s">
        <v>48</v>
      </c>
      <c r="O206" s="1" t="str">
        <f ca="1">IFERROR(__xludf.DUMMYFUNCTION("""COMPUTED_VALUE"""),"Manager who explains what is expected, sets a goal and helps achieve it")</f>
        <v>Manager who explains what is expected, sets a goal and helps achieve it</v>
      </c>
      <c r="P206" s="1" t="str">
        <f ca="1">IFERROR(__xludf.DUMMYFUNCTION("""COMPUTED_VALUE"""),"Work &lt;=6 People in the Team")</f>
        <v>Work &lt;=6 People in the Team</v>
      </c>
      <c r="Q206" s="1" t="s">
        <v>40</v>
      </c>
      <c r="R206" s="1"/>
    </row>
    <row r="207" spans="1:18" x14ac:dyDescent="0.25">
      <c r="A207" s="2">
        <f ca="1">IFERROR(__xludf.DUMMYFUNCTION("""COMPUTED_VALUE"""),44916.6018646412)</f>
        <v>44916.601864641198</v>
      </c>
      <c r="B207" s="1" t="str">
        <f ca="1">IFERROR(__xludf.DUMMYFUNCTION("""COMPUTED_VALUE"""),"India")</f>
        <v>India</v>
      </c>
      <c r="C207" s="1">
        <f ca="1">IFERROR(__xludf.DUMMYFUNCTION("""COMPUTED_VALUE"""),1234)</f>
        <v>1234</v>
      </c>
      <c r="D207" s="1" t="str">
        <f ca="1">IFERROR(__xludf.DUMMYFUNCTION("""COMPUTED_VALUE"""),"Male")</f>
        <v>Male</v>
      </c>
      <c r="E207" s="1" t="str">
        <f ca="1">IFERROR(__xludf.DUMMYFUNCTION("""COMPUTED_VALUE"""),"My Parents")</f>
        <v>My Parents</v>
      </c>
      <c r="F207" s="1" t="str">
        <f ca="1">IFERROR(__xludf.DUMMYFUNCTION("""COMPUTED_VALUE"""),"Yes, I will earn and do that")</f>
        <v>Yes, I will earn and do that</v>
      </c>
      <c r="G207" s="1" t="str">
        <f ca="1">IFERROR(__xludf.DUMMYFUNCTION("""COMPUTED_VALUE"""),"Will work for 3 years or more")</f>
        <v>Will work for 3 years or more</v>
      </c>
      <c r="H207" s="1" t="str">
        <f ca="1">IFERROR(__xludf.DUMMYFUNCTION("""COMPUTED_VALUE"""),"Yes")</f>
        <v>Yes</v>
      </c>
      <c r="I207" s="1" t="str">
        <f ca="1">IFERROR(__xludf.DUMMYFUNCTION("""COMPUTED_VALUE"""),"Will work for them")</f>
        <v>Will work for them</v>
      </c>
      <c r="J207" s="1">
        <f ca="1">IFERROR(__xludf.DUMMYFUNCTION("""COMPUTED_VALUE"""),1)</f>
        <v>1</v>
      </c>
      <c r="K207" s="1" t="str">
        <f ca="1">IFERROR(__xludf.DUMMYFUNCTION("""COMPUTED_VALUE"""),"Every Day Office Environment")</f>
        <v>Every Day Office Environment</v>
      </c>
      <c r="L207" s="1" t="str">
        <f ca="1">IFERROR(__xludf.DUMMYFUNCTION("""COMPUTED_VALUE"""),"Employer who appreciates learning and enables that environment")</f>
        <v>Employer who appreciates learning and enables that environment</v>
      </c>
      <c r="M207"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207" s="4" t="s">
        <v>50</v>
      </c>
      <c r="O207" s="1" t="str">
        <f ca="1">IFERROR(__xludf.DUMMYFUNCTION("""COMPUTED_VALUE"""),"Manager who clearly describes what she/he needs")</f>
        <v>Manager who clearly describes what she/he needs</v>
      </c>
      <c r="P207" s="1" t="str">
        <f ca="1">IFERROR(__xludf.DUMMYFUNCTION("""COMPUTED_VALUE"""),"Work &lt;=6 People in the Team")</f>
        <v>Work &lt;=6 People in the Team</v>
      </c>
      <c r="Q207" s="1" t="s">
        <v>41</v>
      </c>
      <c r="R207" s="1"/>
    </row>
    <row r="208" spans="1:18" x14ac:dyDescent="0.25">
      <c r="A208" s="2">
        <f ca="1">IFERROR(__xludf.DUMMYFUNCTION("""COMPUTED_VALUE"""),44916.6042445949)</f>
        <v>44916.604244594899</v>
      </c>
      <c r="B208" s="1" t="str">
        <f ca="1">IFERROR(__xludf.DUMMYFUNCTION("""COMPUTED_VALUE"""),"India")</f>
        <v>India</v>
      </c>
      <c r="C208" s="1">
        <f ca="1">IFERROR(__xludf.DUMMYFUNCTION("""COMPUTED_VALUE"""),605110)</f>
        <v>605110</v>
      </c>
      <c r="D208" s="1" t="str">
        <f ca="1">IFERROR(__xludf.DUMMYFUNCTION("""COMPUTED_VALUE"""),"Male")</f>
        <v>Male</v>
      </c>
      <c r="E208" s="1" t="str">
        <f ca="1">IFERROR(__xludf.DUMMYFUNCTION("""COMPUTED_VALUE"""),"People who have changed the world for better")</f>
        <v>People who have changed the world for better</v>
      </c>
      <c r="F208" s="1" t="str">
        <f ca="1">IFERROR(__xludf.DUMMYFUNCTION("""COMPUTED_VALUE"""),"Yes, I will earn and do that")</f>
        <v>Yes, I will earn and do that</v>
      </c>
      <c r="G208" s="1" t="str">
        <f ca="1">IFERROR(__xludf.DUMMYFUNCTION("""COMPUTED_VALUE"""),"This will be hard to do, but if it is the right company I would try")</f>
        <v>This will be hard to do, but if it is the right company I would try</v>
      </c>
      <c r="H208" s="1" t="str">
        <f ca="1">IFERROR(__xludf.DUMMYFUNCTION("""COMPUTED_VALUE"""),"Yes")</f>
        <v>Yes</v>
      </c>
      <c r="I208" s="1" t="str">
        <f ca="1">IFERROR(__xludf.DUMMYFUNCTION("""COMPUTED_VALUE"""),"Will NOT work for them")</f>
        <v>Will NOT work for them</v>
      </c>
      <c r="J208" s="1">
        <f ca="1">IFERROR(__xludf.DUMMYFUNCTION("""COMPUTED_VALUE"""),3)</f>
        <v>3</v>
      </c>
      <c r="K208" s="1" t="str">
        <f ca="1">IFERROR(__xludf.DUMMYFUNCTION("""COMPUTED_VALUE"""),"Hybrid Working Environment with less than 15 days a month at office")</f>
        <v>Hybrid Working Environment with less than 15 days a month at office</v>
      </c>
      <c r="L208" s="1" t="str">
        <f ca="1">IFERROR(__xludf.DUMMYFUNCTION("""COMPUTED_VALUE"""),"Employer who appreciates learning and enables that environment")</f>
        <v>Employer who appreciates learning and enables that environment</v>
      </c>
      <c r="M208" s="1" t="str">
        <f ca="1">IFERROR(__xludf.DUMMYFUNCTION("""COMPUTED_VALUE"""),"Teaching in any of the institutes/online or Offline, Business Operations in any organization, Work in a BPO setup for some well known client")</f>
        <v>Teaching in any of the institutes/online or Offline, Business Operations in any organization, Work in a BPO setup for some well known client</v>
      </c>
      <c r="N208" s="4" t="s">
        <v>51</v>
      </c>
      <c r="O208" s="1" t="str">
        <f ca="1">IFERROR(__xludf.DUMMYFUNCTION("""COMPUTED_VALUE"""),"Manager who sets goal and helps me achieve it")</f>
        <v>Manager who sets goal and helps me achieve it</v>
      </c>
      <c r="P208" s="1" t="str">
        <f ca="1">IFERROR(__xludf.DUMMYFUNCTION("""COMPUTED_VALUE"""),"Work &gt;10 people in Team")</f>
        <v>Work &gt;10 people in Team</v>
      </c>
      <c r="Q208" s="1" t="s">
        <v>40</v>
      </c>
      <c r="R208" s="1"/>
    </row>
    <row r="209" spans="1:18" x14ac:dyDescent="0.25">
      <c r="A209" s="2">
        <f ca="1">IFERROR(__xludf.DUMMYFUNCTION("""COMPUTED_VALUE"""),44916.606353831)</f>
        <v>44916.606353830997</v>
      </c>
      <c r="B209" s="1" t="str">
        <f ca="1">IFERROR(__xludf.DUMMYFUNCTION("""COMPUTED_VALUE"""),"India")</f>
        <v>India</v>
      </c>
      <c r="C209" s="1">
        <f ca="1">IFERROR(__xludf.DUMMYFUNCTION("""COMPUTED_VALUE"""),605501)</f>
        <v>605501</v>
      </c>
      <c r="D209" s="1" t="str">
        <f ca="1">IFERROR(__xludf.DUMMYFUNCTION("""COMPUTED_VALUE"""),"Male")</f>
        <v>Male</v>
      </c>
      <c r="E209" s="1" t="str">
        <f ca="1">IFERROR(__xludf.DUMMYFUNCTION("""COMPUTED_VALUE"""),"Social Media like LinkedIn")</f>
        <v>Social Media like LinkedIn</v>
      </c>
      <c r="F209" s="1" t="str">
        <f ca="1">IFERROR(__xludf.DUMMYFUNCTION("""COMPUTED_VALUE"""),"No I would not be pursuing Higher Education outside of India")</f>
        <v>No I would not be pursuing Higher Education outside of India</v>
      </c>
      <c r="G209" s="1" t="str">
        <f ca="1">IFERROR(__xludf.DUMMYFUNCTION("""COMPUTED_VALUE"""),"Will work for 3 years or more")</f>
        <v>Will work for 3 years or more</v>
      </c>
      <c r="H209" s="1" t="str">
        <f ca="1">IFERROR(__xludf.DUMMYFUNCTION("""COMPUTED_VALUE"""),"Yes")</f>
        <v>Yes</v>
      </c>
      <c r="I209" s="1" t="str">
        <f ca="1">IFERROR(__xludf.DUMMYFUNCTION("""COMPUTED_VALUE"""),"Will work for them")</f>
        <v>Will work for them</v>
      </c>
      <c r="J209" s="1">
        <f ca="1">IFERROR(__xludf.DUMMYFUNCTION("""COMPUTED_VALUE"""),8)</f>
        <v>8</v>
      </c>
      <c r="K209" s="1" t="str">
        <f ca="1">IFERROR(__xludf.DUMMYFUNCTION("""COMPUTED_VALUE"""),"Every Day Office Environment")</f>
        <v>Every Day Office Environment</v>
      </c>
      <c r="L209" s="1" t="str">
        <f ca="1">IFERROR(__xludf.DUMMYFUNCTION("""COMPUTED_VALUE"""),"Employer who appreciates learning and enables that environment")</f>
        <v>Employer who appreciates learning and enables that environment</v>
      </c>
      <c r="M209"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N209" s="4" t="s">
        <v>48</v>
      </c>
      <c r="O209" s="1" t="str">
        <f ca="1">IFERROR(__xludf.DUMMYFUNCTION("""COMPUTED_VALUE"""),"Manager who sets targets and expects me to achieve it")</f>
        <v>Manager who sets targets and expects me to achieve it</v>
      </c>
      <c r="P209" s="1" t="str">
        <f ca="1">IFERROR(__xludf.DUMMYFUNCTION("""COMPUTED_VALUE"""),"Work &gt;10 people in Team")</f>
        <v>Work &gt;10 people in Team</v>
      </c>
      <c r="Q209" s="1" t="s">
        <v>42</v>
      </c>
      <c r="R209" s="1"/>
    </row>
    <row r="210" spans="1:18" x14ac:dyDescent="0.25">
      <c r="A210" s="2">
        <f ca="1">IFERROR(__xludf.DUMMYFUNCTION("""COMPUTED_VALUE"""),44916.6064925925)</f>
        <v>44916.606492592502</v>
      </c>
      <c r="B210" s="1" t="str">
        <f ca="1">IFERROR(__xludf.DUMMYFUNCTION("""COMPUTED_VALUE"""),"India")</f>
        <v>India</v>
      </c>
      <c r="C210" s="1">
        <f ca="1">IFERROR(__xludf.DUMMYFUNCTION("""COMPUTED_VALUE"""),604102)</f>
        <v>604102</v>
      </c>
      <c r="D210" s="1" t="str">
        <f ca="1">IFERROR(__xludf.DUMMYFUNCTION("""COMPUTED_VALUE"""),"Female")</f>
        <v>Female</v>
      </c>
      <c r="E210" s="1" t="str">
        <f ca="1">IFERROR(__xludf.DUMMYFUNCTION("""COMPUTED_VALUE"""),"Social Media like LinkedIn")</f>
        <v>Social Media like LinkedIn</v>
      </c>
      <c r="F210" s="1" t="str">
        <f ca="1">IFERROR(__xludf.DUMMYFUNCTION("""COMPUTED_VALUE"""),"No, But if someone could bare the cost I will")</f>
        <v>No, But if someone could bare the cost I will</v>
      </c>
      <c r="G210" s="1" t="str">
        <f ca="1">IFERROR(__xludf.DUMMYFUNCTION("""COMPUTED_VALUE"""),"This will be hard to do, but if it is the right company I would try")</f>
        <v>This will be hard to do, but if it is the right company I would try</v>
      </c>
      <c r="H210" s="1" t="str">
        <f ca="1">IFERROR(__xludf.DUMMYFUNCTION("""COMPUTED_VALUE"""),"No")</f>
        <v>No</v>
      </c>
      <c r="I210" s="1" t="str">
        <f ca="1">IFERROR(__xludf.DUMMYFUNCTION("""COMPUTED_VALUE"""),"Will NOT work for them")</f>
        <v>Will NOT work for them</v>
      </c>
      <c r="J210" s="1">
        <f ca="1">IFERROR(__xludf.DUMMYFUNCTION("""COMPUTED_VALUE"""),7)</f>
        <v>7</v>
      </c>
      <c r="K210" s="1" t="str">
        <f ca="1">IFERROR(__xludf.DUMMYFUNCTION("""COMPUTED_VALUE"""),"Every Day Office Environment")</f>
        <v>Every Day Office Environment</v>
      </c>
      <c r="L210" s="1" t="str">
        <f ca="1">IFERROR(__xludf.DUMMYFUNCTION("""COMPUTED_VALUE"""),"Employer who rewards learning and enables that environment")</f>
        <v>Employer who rewards learning and enables that environment</v>
      </c>
      <c r="M21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N210" s="4" t="s">
        <v>51</v>
      </c>
      <c r="O210" s="1" t="str">
        <f ca="1">IFERROR(__xludf.DUMMYFUNCTION("""COMPUTED_VALUE"""),"Manager who explains what is expected, sets a goal and helps achieve it")</f>
        <v>Manager who explains what is expected, sets a goal and helps achieve it</v>
      </c>
      <c r="P210" s="1" t="str">
        <f ca="1">IFERROR(__xludf.DUMMYFUNCTION("""COMPUTED_VALUE"""),"Work &lt;=6 People in the Team")</f>
        <v>Work &lt;=6 People in the Team</v>
      </c>
      <c r="Q210" s="1" t="s">
        <v>41</v>
      </c>
      <c r="R210" s="1"/>
    </row>
    <row r="211" spans="1:18" x14ac:dyDescent="0.25">
      <c r="A211" s="2">
        <f ca="1">IFERROR(__xludf.DUMMYFUNCTION("""COMPUTED_VALUE"""),44916.606977118)</f>
        <v>44916.606977117997</v>
      </c>
      <c r="B211" s="1" t="str">
        <f ca="1">IFERROR(__xludf.DUMMYFUNCTION("""COMPUTED_VALUE"""),"India")</f>
        <v>India</v>
      </c>
      <c r="C211" s="1">
        <f ca="1">IFERROR(__xludf.DUMMYFUNCTION("""COMPUTED_VALUE"""),605102)</f>
        <v>605102</v>
      </c>
      <c r="D211" s="1" t="str">
        <f ca="1">IFERROR(__xludf.DUMMYFUNCTION("""COMPUTED_VALUE"""),"Male")</f>
        <v>Male</v>
      </c>
      <c r="E211" s="1" t="str">
        <f ca="1">IFERROR(__xludf.DUMMYFUNCTION("""COMPUTED_VALUE"""),"My Parents")</f>
        <v>My Parents</v>
      </c>
      <c r="F211" s="1" t="str">
        <f ca="1">IFERROR(__xludf.DUMMYFUNCTION("""COMPUTED_VALUE"""),"Yes, I will earn and do that")</f>
        <v>Yes, I will earn and do that</v>
      </c>
      <c r="G211" s="1" t="str">
        <f ca="1">IFERROR(__xludf.DUMMYFUNCTION("""COMPUTED_VALUE"""),"This will be hard to do, but if it is the right company I would try")</f>
        <v>This will be hard to do, but if it is the right company I would try</v>
      </c>
      <c r="H211" s="1" t="str">
        <f ca="1">IFERROR(__xludf.DUMMYFUNCTION("""COMPUTED_VALUE"""),"Yes")</f>
        <v>Yes</v>
      </c>
      <c r="I211" s="1" t="str">
        <f ca="1">IFERROR(__xludf.DUMMYFUNCTION("""COMPUTED_VALUE"""),"Will NOT work for them")</f>
        <v>Will NOT work for them</v>
      </c>
      <c r="J211" s="1">
        <f ca="1">IFERROR(__xludf.DUMMYFUNCTION("""COMPUTED_VALUE"""),2)</f>
        <v>2</v>
      </c>
      <c r="K211" s="1" t="str">
        <f ca="1">IFERROR(__xludf.DUMMYFUNCTION("""COMPUTED_VALUE"""),"Every Day Office Environment")</f>
        <v>Every Day Office Environment</v>
      </c>
      <c r="L211" s="1" t="str">
        <f ca="1">IFERROR(__xludf.DUMMYFUNCTION("""COMPUTED_VALUE"""),"Employer who appreciates learning and enables that environment")</f>
        <v>Employer who appreciates learning and enables that environment</v>
      </c>
      <c r="M21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11" s="4" t="s">
        <v>48</v>
      </c>
      <c r="O211" s="1" t="str">
        <f ca="1">IFERROR(__xludf.DUMMYFUNCTION("""COMPUTED_VALUE"""),"Manager who sets targets and expects me to achieve it")</f>
        <v>Manager who sets targets and expects me to achieve it</v>
      </c>
      <c r="P211" s="1" t="str">
        <f ca="1">IFERROR(__xludf.DUMMYFUNCTION("""COMPUTED_VALUE"""),"Work &lt;=6 People in the Team")</f>
        <v>Work &lt;=6 People in the Team</v>
      </c>
      <c r="Q211" s="1" t="s">
        <v>41</v>
      </c>
      <c r="R211" s="1"/>
    </row>
    <row r="212" spans="1:18" x14ac:dyDescent="0.25">
      <c r="A212" s="2">
        <f ca="1">IFERROR(__xludf.DUMMYFUNCTION("""COMPUTED_VALUE"""),44916.6070429282)</f>
        <v>44916.607042928197</v>
      </c>
      <c r="B212" s="1" t="str">
        <f ca="1">IFERROR(__xludf.DUMMYFUNCTION("""COMPUTED_VALUE"""),"India")</f>
        <v>India</v>
      </c>
      <c r="C212" s="1">
        <f ca="1">IFERROR(__xludf.DUMMYFUNCTION("""COMPUTED_VALUE"""),607402)</f>
        <v>607402</v>
      </c>
      <c r="D212" s="1" t="str">
        <f ca="1">IFERROR(__xludf.DUMMYFUNCTION("""COMPUTED_VALUE"""),"Male")</f>
        <v>Male</v>
      </c>
      <c r="E212" s="1" t="str">
        <f ca="1">IFERROR(__xludf.DUMMYFUNCTION("""COMPUTED_VALUE"""),"People who have changed the world for better")</f>
        <v>People who have changed the world for better</v>
      </c>
      <c r="F212" s="1" t="str">
        <f ca="1">IFERROR(__xludf.DUMMYFUNCTION("""COMPUTED_VALUE"""),"No I would not be pursuing Higher Education outside of India")</f>
        <v>No I would not be pursuing Higher Education outside of India</v>
      </c>
      <c r="G212" s="1" t="str">
        <f ca="1">IFERROR(__xludf.DUMMYFUNCTION("""COMPUTED_VALUE"""),"This will be hard to do, but if it is the right company I would try")</f>
        <v>This will be hard to do, but if it is the right company I would try</v>
      </c>
      <c r="H212" s="1" t="str">
        <f ca="1">IFERROR(__xludf.DUMMYFUNCTION("""COMPUTED_VALUE"""),"No")</f>
        <v>No</v>
      </c>
      <c r="I212" s="1" t="str">
        <f ca="1">IFERROR(__xludf.DUMMYFUNCTION("""COMPUTED_VALUE"""),"Will NOT work for them")</f>
        <v>Will NOT work for them</v>
      </c>
      <c r="J212" s="1">
        <f ca="1">IFERROR(__xludf.DUMMYFUNCTION("""COMPUTED_VALUE"""),4)</f>
        <v>4</v>
      </c>
      <c r="K212" s="1" t="str">
        <f ca="1">IFERROR(__xludf.DUMMYFUNCTION("""COMPUTED_VALUE"""),"Fully Remote with Options to travel as and when needed")</f>
        <v>Fully Remote with Options to travel as and when needed</v>
      </c>
      <c r="L212" s="1" t="str">
        <f ca="1">IFERROR(__xludf.DUMMYFUNCTION("""COMPUTED_VALUE"""),"Employer who appreciates learning and enables that environment")</f>
        <v>Employer who appreciates learning and enables that environment</v>
      </c>
      <c r="M212"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N212" s="4" t="s">
        <v>51</v>
      </c>
      <c r="O212" s="1" t="str">
        <f ca="1">IFERROR(__xludf.DUMMYFUNCTION("""COMPUTED_VALUE"""),"Manager who explains what is expected, sets a goal and helps achieve it")</f>
        <v>Manager who explains what is expected, sets a goal and helps achieve it</v>
      </c>
      <c r="P212" s="1" t="str">
        <f ca="1">IFERROR(__xludf.DUMMYFUNCTION("""COMPUTED_VALUE"""),"Work &gt;10 people in Team")</f>
        <v>Work &gt;10 people in Team</v>
      </c>
      <c r="Q212" s="1" t="s">
        <v>40</v>
      </c>
      <c r="R212" s="1"/>
    </row>
    <row r="213" spans="1:18" x14ac:dyDescent="0.25">
      <c r="A213" s="2">
        <f ca="1">IFERROR(__xludf.DUMMYFUNCTION("""COMPUTED_VALUE"""),44916.6079326736)</f>
        <v>44916.6079326736</v>
      </c>
      <c r="B213" s="1" t="str">
        <f ca="1">IFERROR(__xludf.DUMMYFUNCTION("""COMPUTED_VALUE"""),"India")</f>
        <v>India</v>
      </c>
      <c r="C213" s="1">
        <f ca="1">IFERROR(__xludf.DUMMYFUNCTION("""COMPUTED_VALUE"""),605003)</f>
        <v>605003</v>
      </c>
      <c r="D213" s="1" t="str">
        <f ca="1">IFERROR(__xludf.DUMMYFUNCTION("""COMPUTED_VALUE"""),"Male")</f>
        <v>Male</v>
      </c>
      <c r="E213" s="1" t="str">
        <f ca="1">IFERROR(__xludf.DUMMYFUNCTION("""COMPUTED_VALUE"""),"My Parents")</f>
        <v>My Parents</v>
      </c>
      <c r="F213" s="1" t="str">
        <f ca="1">IFERROR(__xludf.DUMMYFUNCTION("""COMPUTED_VALUE"""),"Yes, I will earn and do that")</f>
        <v>Yes, I will earn and do that</v>
      </c>
      <c r="G213" s="1" t="str">
        <f ca="1">IFERROR(__xludf.DUMMYFUNCTION("""COMPUTED_VALUE"""),"No way, 3 years with one employer is crazy")</f>
        <v>No way, 3 years with one employer is crazy</v>
      </c>
      <c r="H213" s="1" t="str">
        <f ca="1">IFERROR(__xludf.DUMMYFUNCTION("""COMPUTED_VALUE"""),"Yes")</f>
        <v>Yes</v>
      </c>
      <c r="I213" s="1" t="str">
        <f ca="1">IFERROR(__xludf.DUMMYFUNCTION("""COMPUTED_VALUE"""),"Will work for them")</f>
        <v>Will work for them</v>
      </c>
      <c r="J213" s="1">
        <f ca="1">IFERROR(__xludf.DUMMYFUNCTION("""COMPUTED_VALUE"""),2)</f>
        <v>2</v>
      </c>
      <c r="K213" s="1" t="str">
        <f ca="1">IFERROR(__xludf.DUMMYFUNCTION("""COMPUTED_VALUE"""),"Every Day Office Environment")</f>
        <v>Every Day Office Environment</v>
      </c>
      <c r="L213" s="1" t="str">
        <f ca="1">IFERROR(__xludf.DUMMYFUNCTION("""COMPUTED_VALUE"""),"Employer who appreciates learning and enables that environment")</f>
        <v>Employer who appreciates learning and enables that environment</v>
      </c>
      <c r="M213" s="1" t="str">
        <f ca="1">IFERROR(__xludf.DUMMYFUNCTION("""COMPUTED_VALUE"""),"Design and Creative strategy in any company, Manage and drive End-to-End Projects or Products, Work in a BPO setup for some well known client")</f>
        <v>Design and Creative strategy in any company, Manage and drive End-to-End Projects or Products, Work in a BPO setup for some well known client</v>
      </c>
      <c r="N213" s="4" t="s">
        <v>50</v>
      </c>
      <c r="O213" s="1" t="str">
        <f ca="1">IFERROR(__xludf.DUMMYFUNCTION("""COMPUTED_VALUE"""),"Manager who sets targets and expects me to achieve it")</f>
        <v>Manager who sets targets and expects me to achieve it</v>
      </c>
      <c r="P213" s="1" t="str">
        <f ca="1">IFERROR(__xludf.DUMMYFUNCTION("""COMPUTED_VALUE"""),"Work &gt;=7 People in the Team")</f>
        <v>Work &gt;=7 People in the Team</v>
      </c>
      <c r="Q213" s="1" t="s">
        <v>40</v>
      </c>
      <c r="R213" s="1"/>
    </row>
    <row r="214" spans="1:18" x14ac:dyDescent="0.25">
      <c r="A214" s="2">
        <f ca="1">IFERROR(__xludf.DUMMYFUNCTION("""COMPUTED_VALUE"""),44916.6081362268)</f>
        <v>44916.608136226801</v>
      </c>
      <c r="B214" s="1" t="str">
        <f ca="1">IFERROR(__xludf.DUMMYFUNCTION("""COMPUTED_VALUE"""),"India")</f>
        <v>India</v>
      </c>
      <c r="C214" s="1">
        <f ca="1">IFERROR(__xludf.DUMMYFUNCTION("""COMPUTED_VALUE"""),607003)</f>
        <v>607003</v>
      </c>
      <c r="D214" s="1" t="str">
        <f ca="1">IFERROR(__xludf.DUMMYFUNCTION("""COMPUTED_VALUE"""),"Male")</f>
        <v>Male</v>
      </c>
      <c r="E214" s="1" t="str">
        <f ca="1">IFERROR(__xludf.DUMMYFUNCTION("""COMPUTED_VALUE"""),"People who have changed the world for better")</f>
        <v>People who have changed the world for better</v>
      </c>
      <c r="F214" s="1" t="str">
        <f ca="1">IFERROR(__xludf.DUMMYFUNCTION("""COMPUTED_VALUE"""),"Yes, I will earn and do that")</f>
        <v>Yes, I will earn and do that</v>
      </c>
      <c r="G214" s="1" t="str">
        <f ca="1">IFERROR(__xludf.DUMMYFUNCTION("""COMPUTED_VALUE"""),"This will be hard to do, but if it is the right company I would try")</f>
        <v>This will be hard to do, but if it is the right company I would try</v>
      </c>
      <c r="H214" s="1" t="str">
        <f ca="1">IFERROR(__xludf.DUMMYFUNCTION("""COMPUTED_VALUE"""),"Yes")</f>
        <v>Yes</v>
      </c>
      <c r="I214" s="1" t="str">
        <f ca="1">IFERROR(__xludf.DUMMYFUNCTION("""COMPUTED_VALUE"""),"Will work for them")</f>
        <v>Will work for them</v>
      </c>
      <c r="J214" s="1">
        <f ca="1">IFERROR(__xludf.DUMMYFUNCTION("""COMPUTED_VALUE"""),5)</f>
        <v>5</v>
      </c>
      <c r="K214" s="1" t="str">
        <f ca="1">IFERROR(__xludf.DUMMYFUNCTION("""COMPUTED_VALUE"""),"Fully Remote with Options to travel as and when needed")</f>
        <v>Fully Remote with Options to travel as and when needed</v>
      </c>
      <c r="L214" s="1" t="str">
        <f ca="1">IFERROR(__xludf.DUMMYFUNCTION("""COMPUTED_VALUE"""),"Employer who pushes your limits by enabling an learning environment, and rewards you at the end")</f>
        <v>Employer who pushes your limits by enabling an learning environment, and rewards you at the end</v>
      </c>
      <c r="M21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214" s="4" t="s">
        <v>51</v>
      </c>
      <c r="O214" s="1" t="str">
        <f ca="1">IFERROR(__xludf.DUMMYFUNCTION("""COMPUTED_VALUE"""),"Manager who explains what is expected, sets a goal and helps achieve it")</f>
        <v>Manager who explains what is expected, sets a goal and helps achieve it</v>
      </c>
      <c r="P214" s="1" t="str">
        <f ca="1">IFERROR(__xludf.DUMMYFUNCTION("""COMPUTED_VALUE"""),"Work &lt;=6 People in the Team")</f>
        <v>Work &lt;=6 People in the Team</v>
      </c>
      <c r="Q214" s="1" t="s">
        <v>41</v>
      </c>
      <c r="R214" s="1"/>
    </row>
    <row r="215" spans="1:18" x14ac:dyDescent="0.25">
      <c r="A215" s="2">
        <f ca="1">IFERROR(__xludf.DUMMYFUNCTION("""COMPUTED_VALUE"""),44916.6095500463)</f>
        <v>44916.609550046298</v>
      </c>
      <c r="B215" s="1" t="str">
        <f ca="1">IFERROR(__xludf.DUMMYFUNCTION("""COMPUTED_VALUE"""),"India")</f>
        <v>India</v>
      </c>
      <c r="C215" s="1">
        <f ca="1">IFERROR(__xludf.DUMMYFUNCTION("""COMPUTED_VALUE"""),605110)</f>
        <v>605110</v>
      </c>
      <c r="D215" s="1" t="str">
        <f ca="1">IFERROR(__xludf.DUMMYFUNCTION("""COMPUTED_VALUE"""),"Female")</f>
        <v>Female</v>
      </c>
      <c r="E215" s="1" t="str">
        <f ca="1">IFERROR(__xludf.DUMMYFUNCTION("""COMPUTED_VALUE"""),"My Parents")</f>
        <v>My Parents</v>
      </c>
      <c r="F215" s="1" t="str">
        <f ca="1">IFERROR(__xludf.DUMMYFUNCTION("""COMPUTED_VALUE"""),"No I would not be pursuing Higher Education outside of India")</f>
        <v>No I would not be pursuing Higher Education outside of India</v>
      </c>
      <c r="G215" s="1" t="str">
        <f ca="1">IFERROR(__xludf.DUMMYFUNCTION("""COMPUTED_VALUE"""),"Will work for 3 years or more")</f>
        <v>Will work for 3 years or more</v>
      </c>
      <c r="H215" s="1" t="str">
        <f ca="1">IFERROR(__xludf.DUMMYFUNCTION("""COMPUTED_VALUE"""),"Yes")</f>
        <v>Yes</v>
      </c>
      <c r="I215" s="1" t="str">
        <f ca="1">IFERROR(__xludf.DUMMYFUNCTION("""COMPUTED_VALUE"""),"Will work for them")</f>
        <v>Will work for them</v>
      </c>
      <c r="J215" s="1">
        <f ca="1">IFERROR(__xludf.DUMMYFUNCTION("""COMPUTED_VALUE"""),10)</f>
        <v>10</v>
      </c>
      <c r="K215" s="1" t="str">
        <f ca="1">IFERROR(__xludf.DUMMYFUNCTION("""COMPUTED_VALUE"""),"Every Day Office Environment")</f>
        <v>Every Day Office Environment</v>
      </c>
      <c r="L215" s="1" t="str">
        <f ca="1">IFERROR(__xludf.DUMMYFUNCTION("""COMPUTED_VALUE"""),"Employer who appreciates learning and enables that environment")</f>
        <v>Employer who appreciates learning and enables that environment</v>
      </c>
      <c r="M215"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N215" s="4" t="s">
        <v>48</v>
      </c>
      <c r="O215" s="1" t="str">
        <f ca="1">IFERROR(__xludf.DUMMYFUNCTION("""COMPUTED_VALUE"""),"Manager who sets goal and helps me achieve it")</f>
        <v>Manager who sets goal and helps me achieve it</v>
      </c>
      <c r="P215" s="1" t="str">
        <f ca="1">IFERROR(__xludf.DUMMYFUNCTION("""COMPUTED_VALUE"""),"Work &gt;10 people in Team")</f>
        <v>Work &gt;10 people in Team</v>
      </c>
      <c r="Q215" s="1" t="s">
        <v>40</v>
      </c>
      <c r="R215" s="1"/>
    </row>
    <row r="216" spans="1:18" x14ac:dyDescent="0.25">
      <c r="A216" s="2">
        <f ca="1">IFERROR(__xludf.DUMMYFUNCTION("""COMPUTED_VALUE"""),44916.6109997569)</f>
        <v>44916.6109997569</v>
      </c>
      <c r="B216" s="1" t="str">
        <f ca="1">IFERROR(__xludf.DUMMYFUNCTION("""COMPUTED_VALUE"""),"India")</f>
        <v>India</v>
      </c>
      <c r="C216" s="1">
        <f ca="1">IFERROR(__xludf.DUMMYFUNCTION("""COMPUTED_VALUE"""),605008)</f>
        <v>605008</v>
      </c>
      <c r="D216" s="1" t="str">
        <f ca="1">IFERROR(__xludf.DUMMYFUNCTION("""COMPUTED_VALUE"""),"Male")</f>
        <v>Male</v>
      </c>
      <c r="E216" s="1" t="str">
        <f ca="1">IFERROR(__xludf.DUMMYFUNCTION("""COMPUTED_VALUE"""),"My Parents")</f>
        <v>My Parents</v>
      </c>
      <c r="F216" s="1" t="str">
        <f ca="1">IFERROR(__xludf.DUMMYFUNCTION("""COMPUTED_VALUE"""),"Yes, I will earn and do that")</f>
        <v>Yes, I will earn and do that</v>
      </c>
      <c r="G216" s="1" t="str">
        <f ca="1">IFERROR(__xludf.DUMMYFUNCTION("""COMPUTED_VALUE"""),"This will be hard to do, but if it is the right company I would try")</f>
        <v>This will be hard to do, but if it is the right company I would try</v>
      </c>
      <c r="H216" s="1" t="str">
        <f ca="1">IFERROR(__xludf.DUMMYFUNCTION("""COMPUTED_VALUE"""),"Yes")</f>
        <v>Yes</v>
      </c>
      <c r="I216" s="1" t="str">
        <f ca="1">IFERROR(__xludf.DUMMYFUNCTION("""COMPUTED_VALUE"""),"Will work for them")</f>
        <v>Will work for them</v>
      </c>
      <c r="J216" s="1">
        <f ca="1">IFERROR(__xludf.DUMMYFUNCTION("""COMPUTED_VALUE"""),10)</f>
        <v>10</v>
      </c>
      <c r="K216" s="1" t="str">
        <f ca="1">IFERROR(__xludf.DUMMYFUNCTION("""COMPUTED_VALUE"""),"Every Day Office Environment")</f>
        <v>Every Day Office Environment</v>
      </c>
      <c r="L216" s="1" t="str">
        <f ca="1">IFERROR(__xludf.DUMMYFUNCTION("""COMPUTED_VALUE"""),"Employer who rewards learning and enables that environment")</f>
        <v>Employer who rewards learning and enables that environment</v>
      </c>
      <c r="M216"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N216" s="4" t="s">
        <v>51</v>
      </c>
      <c r="O216" s="1" t="str">
        <f ca="1">IFERROR(__xludf.DUMMYFUNCTION("""COMPUTED_VALUE"""),"Manager who clearly describes what she/he needs")</f>
        <v>Manager who clearly describes what she/he needs</v>
      </c>
      <c r="P216" s="1" t="str">
        <f ca="1">IFERROR(__xludf.DUMMYFUNCTION("""COMPUTED_VALUE"""),"Work &gt;=7 People in the Team")</f>
        <v>Work &gt;=7 People in the Team</v>
      </c>
      <c r="Q216" s="1" t="s">
        <v>41</v>
      </c>
      <c r="R216" s="1"/>
    </row>
    <row r="217" spans="1:18" x14ac:dyDescent="0.25">
      <c r="A217" s="2">
        <f ca="1">IFERROR(__xludf.DUMMYFUNCTION("""COMPUTED_VALUE"""),44916.6117974074)</f>
        <v>44916.6117974074</v>
      </c>
      <c r="B217" s="1" t="str">
        <f ca="1">IFERROR(__xludf.DUMMYFUNCTION("""COMPUTED_VALUE"""),"India")</f>
        <v>India</v>
      </c>
      <c r="C217" s="1">
        <f ca="1">IFERROR(__xludf.DUMMYFUNCTION("""COMPUTED_VALUE"""),605110)</f>
        <v>605110</v>
      </c>
      <c r="D217" s="1" t="str">
        <f ca="1">IFERROR(__xludf.DUMMYFUNCTION("""COMPUTED_VALUE"""),"Female")</f>
        <v>Female</v>
      </c>
      <c r="E217" s="1" t="str">
        <f ca="1">IFERROR(__xludf.DUMMYFUNCTION("""COMPUTED_VALUE"""),"My Parents")</f>
        <v>My Parents</v>
      </c>
      <c r="F217" s="1" t="str">
        <f ca="1">IFERROR(__xludf.DUMMYFUNCTION("""COMPUTED_VALUE"""),"No I would not be pursuing Higher Education outside of India")</f>
        <v>No I would not be pursuing Higher Education outside of India</v>
      </c>
      <c r="G217" s="1" t="str">
        <f ca="1">IFERROR(__xludf.DUMMYFUNCTION("""COMPUTED_VALUE"""),"This will be hard to do, but if it is the right company I would try")</f>
        <v>This will be hard to do, but if it is the right company I would try</v>
      </c>
      <c r="H217" s="1" t="str">
        <f ca="1">IFERROR(__xludf.DUMMYFUNCTION("""COMPUTED_VALUE"""),"No")</f>
        <v>No</v>
      </c>
      <c r="I217" s="1" t="str">
        <f ca="1">IFERROR(__xludf.DUMMYFUNCTION("""COMPUTED_VALUE"""),"Will work for them")</f>
        <v>Will work for them</v>
      </c>
      <c r="J217" s="1">
        <f ca="1">IFERROR(__xludf.DUMMYFUNCTION("""COMPUTED_VALUE"""),5)</f>
        <v>5</v>
      </c>
      <c r="K217" s="1" t="str">
        <f ca="1">IFERROR(__xludf.DUMMYFUNCTION("""COMPUTED_VALUE"""),"Fully Remote with Options to travel as and when needed")</f>
        <v>Fully Remote with Options to travel as and when needed</v>
      </c>
      <c r="L217" s="1" t="str">
        <f ca="1">IFERROR(__xludf.DUMMYFUNCTION("""COMPUTED_VALUE"""),"Employer who appreciates learning and enables that environment")</f>
        <v>Employer who appreciates learning and enables that environment</v>
      </c>
      <c r="M217"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N217" s="4" t="s">
        <v>50</v>
      </c>
      <c r="O217" s="1" t="str">
        <f ca="1">IFERROR(__xludf.DUMMYFUNCTION("""COMPUTED_VALUE"""),"Manager who explains what is expected, sets a goal and helps achieve it")</f>
        <v>Manager who explains what is expected, sets a goal and helps achieve it</v>
      </c>
      <c r="P217" s="1" t="str">
        <f ca="1">IFERROR(__xludf.DUMMYFUNCTION("""COMPUTED_VALUE"""),"Work &lt;=6 People in the Team")</f>
        <v>Work &lt;=6 People in the Team</v>
      </c>
      <c r="Q217" s="1" t="s">
        <v>40</v>
      </c>
      <c r="R217" s="1"/>
    </row>
    <row r="218" spans="1:18" x14ac:dyDescent="0.25">
      <c r="A218" s="2">
        <f ca="1">IFERROR(__xludf.DUMMYFUNCTION("""COMPUTED_VALUE"""),44916.6152149421)</f>
        <v>44916.615214942103</v>
      </c>
      <c r="B218" s="1" t="str">
        <f ca="1">IFERROR(__xludf.DUMMYFUNCTION("""COMPUTED_VALUE"""),"India")</f>
        <v>India</v>
      </c>
      <c r="C218" s="1">
        <f ca="1">IFERROR(__xludf.DUMMYFUNCTION("""COMPUTED_VALUE"""),605110)</f>
        <v>605110</v>
      </c>
      <c r="D218" s="1" t="str">
        <f ca="1">IFERROR(__xludf.DUMMYFUNCTION("""COMPUTED_VALUE"""),"Male")</f>
        <v>Male</v>
      </c>
      <c r="E218" s="1" t="str">
        <f ca="1">IFERROR(__xludf.DUMMYFUNCTION("""COMPUTED_VALUE"""),"Influencers who had successful careers")</f>
        <v>Influencers who had successful careers</v>
      </c>
      <c r="F218" s="1" t="str">
        <f ca="1">IFERROR(__xludf.DUMMYFUNCTION("""COMPUTED_VALUE"""),"Yes, I will earn and do that")</f>
        <v>Yes, I will earn and do that</v>
      </c>
      <c r="G218" s="1" t="str">
        <f ca="1">IFERROR(__xludf.DUMMYFUNCTION("""COMPUTED_VALUE"""),"This will be hard to do, but if it is the right company I would try")</f>
        <v>This will be hard to do, but if it is the right company I would try</v>
      </c>
      <c r="H218" s="1" t="str">
        <f ca="1">IFERROR(__xludf.DUMMYFUNCTION("""COMPUTED_VALUE"""),"Yes")</f>
        <v>Yes</v>
      </c>
      <c r="I218" s="1" t="str">
        <f ca="1">IFERROR(__xludf.DUMMYFUNCTION("""COMPUTED_VALUE"""),"Will work for them")</f>
        <v>Will work for them</v>
      </c>
      <c r="J218" s="1">
        <f ca="1">IFERROR(__xludf.DUMMYFUNCTION("""COMPUTED_VALUE"""),3)</f>
        <v>3</v>
      </c>
      <c r="K218" s="1" t="str">
        <f ca="1">IFERROR(__xludf.DUMMYFUNCTION("""COMPUTED_VALUE"""),"Fully Remote with Options to travel as and when needed")</f>
        <v>Fully Remote with Options to travel as and when needed</v>
      </c>
      <c r="L218" s="1" t="str">
        <f ca="1">IFERROR(__xludf.DUMMYFUNCTION("""COMPUTED_VALUE"""),"Employer who rewards learning and enables that environment")</f>
        <v>Employer who rewards learning and enables that environment</v>
      </c>
      <c r="M218"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218" s="4" t="s">
        <v>51</v>
      </c>
      <c r="O218" s="1" t="str">
        <f ca="1">IFERROR(__xludf.DUMMYFUNCTION("""COMPUTED_VALUE"""),"Manager who clearly describes what she/he needs")</f>
        <v>Manager who clearly describes what she/he needs</v>
      </c>
      <c r="P218" s="1" t="str">
        <f ca="1">IFERROR(__xludf.DUMMYFUNCTION("""COMPUTED_VALUE"""),"Work &lt;=6 People in the Team")</f>
        <v>Work &lt;=6 People in the Team</v>
      </c>
      <c r="Q218" s="1" t="s">
        <v>41</v>
      </c>
      <c r="R218" s="1"/>
    </row>
    <row r="219" spans="1:18" x14ac:dyDescent="0.25">
      <c r="A219" s="2">
        <f ca="1">IFERROR(__xludf.DUMMYFUNCTION("""COMPUTED_VALUE"""),44916.6156052083)</f>
        <v>44916.615605208302</v>
      </c>
      <c r="B219" s="1" t="str">
        <f ca="1">IFERROR(__xludf.DUMMYFUNCTION("""COMPUTED_VALUE"""),"India")</f>
        <v>India</v>
      </c>
      <c r="C219" s="1">
        <f ca="1">IFERROR(__xludf.DUMMYFUNCTION("""COMPUTED_VALUE"""),605102)</f>
        <v>605102</v>
      </c>
      <c r="D219" s="1" t="str">
        <f ca="1">IFERROR(__xludf.DUMMYFUNCTION("""COMPUTED_VALUE"""),"Male")</f>
        <v>Male</v>
      </c>
      <c r="E219" s="1" t="str">
        <f ca="1">IFERROR(__xludf.DUMMYFUNCTION("""COMPUTED_VALUE"""),"My Parents")</f>
        <v>My Parents</v>
      </c>
      <c r="F219" s="1" t="str">
        <f ca="1">IFERROR(__xludf.DUMMYFUNCTION("""COMPUTED_VALUE"""),"Yes, I will earn and do that")</f>
        <v>Yes, I will earn and do that</v>
      </c>
      <c r="G219" s="1" t="str">
        <f ca="1">IFERROR(__xludf.DUMMYFUNCTION("""COMPUTED_VALUE"""),"Will work for 3 years or more")</f>
        <v>Will work for 3 years or more</v>
      </c>
      <c r="H219" s="1" t="str">
        <f ca="1">IFERROR(__xludf.DUMMYFUNCTION("""COMPUTED_VALUE"""),"Yes")</f>
        <v>Yes</v>
      </c>
      <c r="I219" s="1" t="str">
        <f ca="1">IFERROR(__xludf.DUMMYFUNCTION("""COMPUTED_VALUE"""),"Will work for them")</f>
        <v>Will work for them</v>
      </c>
      <c r="J219" s="1">
        <f ca="1">IFERROR(__xludf.DUMMYFUNCTION("""COMPUTED_VALUE"""),10)</f>
        <v>10</v>
      </c>
      <c r="K219" s="1" t="str">
        <f ca="1">IFERROR(__xludf.DUMMYFUNCTION("""COMPUTED_VALUE"""),"Every Day Office Environment")</f>
        <v>Every Day Office Environment</v>
      </c>
      <c r="L219" s="1" t="str">
        <f ca="1">IFERROR(__xludf.DUMMYFUNCTION("""COMPUTED_VALUE"""),"Employer who appreciates learning and enables that environment")</f>
        <v>Employer who appreciates learning and enables that environment</v>
      </c>
      <c r="M219" s="1" t="str">
        <f ca="1">IFERROR(__xludf.DUMMYFUNCTION("""COMPUTED_VALUE"""),"Build and develop a Team, Design and Develop amazing software, Become a content Creator in some platform")</f>
        <v>Build and develop a Team, Design and Develop amazing software, Become a content Creator in some platform</v>
      </c>
      <c r="N219" s="4" t="s">
        <v>48</v>
      </c>
      <c r="O219" s="1" t="str">
        <f ca="1">IFERROR(__xludf.DUMMYFUNCTION("""COMPUTED_VALUE"""),"Manager who sets targets and expects me to achieve it")</f>
        <v>Manager who sets targets and expects me to achieve it</v>
      </c>
      <c r="P219" s="1" t="str">
        <f ca="1">IFERROR(__xludf.DUMMYFUNCTION("""COMPUTED_VALUE"""),"Work &lt;=6 People in the Team")</f>
        <v>Work &lt;=6 People in the Team</v>
      </c>
      <c r="Q219" s="1" t="s">
        <v>41</v>
      </c>
      <c r="R219" s="1"/>
    </row>
    <row r="220" spans="1:18" x14ac:dyDescent="0.25">
      <c r="A220" s="2">
        <f ca="1">IFERROR(__xludf.DUMMYFUNCTION("""COMPUTED_VALUE"""),44916.6160510532)</f>
        <v>44916.616051053199</v>
      </c>
      <c r="B220" s="1" t="str">
        <f ca="1">IFERROR(__xludf.DUMMYFUNCTION("""COMPUTED_VALUE"""),"India")</f>
        <v>India</v>
      </c>
      <c r="C220" s="1">
        <f ca="1">IFERROR(__xludf.DUMMYFUNCTION("""COMPUTED_VALUE"""),2004)</f>
        <v>2004</v>
      </c>
      <c r="D220" s="1" t="str">
        <f ca="1">IFERROR(__xludf.DUMMYFUNCTION("""COMPUTED_VALUE"""),"Male")</f>
        <v>Male</v>
      </c>
      <c r="E220" s="1" t="str">
        <f ca="1">IFERROR(__xludf.DUMMYFUNCTION("""COMPUTED_VALUE"""),"My Parents")</f>
        <v>My Parents</v>
      </c>
      <c r="F220" s="1" t="str">
        <f ca="1">IFERROR(__xludf.DUMMYFUNCTION("""COMPUTED_VALUE"""),"No, But if someone could bare the cost I will")</f>
        <v>No, But if someone could bare the cost I will</v>
      </c>
      <c r="G220" s="1" t="str">
        <f ca="1">IFERROR(__xludf.DUMMYFUNCTION("""COMPUTED_VALUE"""),"No way, 3 years with one employer is crazy")</f>
        <v>No way, 3 years with one employer is crazy</v>
      </c>
      <c r="H220" s="1" t="str">
        <f ca="1">IFERROR(__xludf.DUMMYFUNCTION("""COMPUTED_VALUE"""),"Yes")</f>
        <v>Yes</v>
      </c>
      <c r="I220" s="1" t="str">
        <f ca="1">IFERROR(__xludf.DUMMYFUNCTION("""COMPUTED_VALUE"""),"Will work for them")</f>
        <v>Will work for them</v>
      </c>
      <c r="J220" s="1">
        <f ca="1">IFERROR(__xludf.DUMMYFUNCTION("""COMPUTED_VALUE"""),5)</f>
        <v>5</v>
      </c>
      <c r="K220" s="1" t="str">
        <f ca="1">IFERROR(__xludf.DUMMYFUNCTION("""COMPUTED_VALUE"""),"Hybrid Working Environment with less than 15 days a month at office")</f>
        <v>Hybrid Working Environment with less than 15 days a month at office</v>
      </c>
      <c r="L220" s="1" t="str">
        <f ca="1">IFERROR(__xludf.DUMMYFUNCTION("""COMPUTED_VALUE"""),"Employer who pushes your limits and doesn't enables learning environment and never rewards you")</f>
        <v>Employer who pushes your limits and doesn't enables learning environment and never rewards you</v>
      </c>
      <c r="M220"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N220" s="4" t="s">
        <v>55</v>
      </c>
      <c r="O220" s="1" t="str">
        <f ca="1">IFERROR(__xludf.DUMMYFUNCTION("""COMPUTED_VALUE"""),"Manager who sets goal and helps me achieve it")</f>
        <v>Manager who sets goal and helps me achieve it</v>
      </c>
      <c r="P220" s="1" t="str">
        <f ca="1">IFERROR(__xludf.DUMMYFUNCTION("""COMPUTED_VALUE"""),"Work &gt;10 people in Team")</f>
        <v>Work &gt;10 people in Team</v>
      </c>
      <c r="Q220" s="1" t="s">
        <v>41</v>
      </c>
      <c r="R220" s="1"/>
    </row>
    <row r="221" spans="1:18" x14ac:dyDescent="0.25">
      <c r="A221" s="2">
        <f ca="1">IFERROR(__xludf.DUMMYFUNCTION("""COMPUTED_VALUE"""),44916.6205406481)</f>
        <v>44916.620540648102</v>
      </c>
      <c r="B221" s="1" t="str">
        <f ca="1">IFERROR(__xludf.DUMMYFUNCTION("""COMPUTED_VALUE"""),"India")</f>
        <v>India</v>
      </c>
      <c r="C221" s="1">
        <f ca="1">IFERROR(__xludf.DUMMYFUNCTION("""COMPUTED_VALUE"""),605005)</f>
        <v>605005</v>
      </c>
      <c r="D221" s="1" t="str">
        <f ca="1">IFERROR(__xludf.DUMMYFUNCTION("""COMPUTED_VALUE"""),"Female")</f>
        <v>Female</v>
      </c>
      <c r="E221" s="1" t="str">
        <f ca="1">IFERROR(__xludf.DUMMYFUNCTION("""COMPUTED_VALUE"""),"People who have changed the world for better")</f>
        <v>People who have changed the world for better</v>
      </c>
      <c r="F221" s="1" t="str">
        <f ca="1">IFERROR(__xludf.DUMMYFUNCTION("""COMPUTED_VALUE"""),"No I would not be pursuing Higher Education outside of India")</f>
        <v>No I would not be pursuing Higher Education outside of India</v>
      </c>
      <c r="G221" s="1" t="str">
        <f ca="1">IFERROR(__xludf.DUMMYFUNCTION("""COMPUTED_VALUE"""),"This will be hard to do, but if it is the right company I would try")</f>
        <v>This will be hard to do, but if it is the right company I would try</v>
      </c>
      <c r="H221" s="1" t="str">
        <f ca="1">IFERROR(__xludf.DUMMYFUNCTION("""COMPUTED_VALUE"""),"Yes")</f>
        <v>Yes</v>
      </c>
      <c r="I221" s="1" t="str">
        <f ca="1">IFERROR(__xludf.DUMMYFUNCTION("""COMPUTED_VALUE"""),"Will NOT work for them")</f>
        <v>Will NOT work for them</v>
      </c>
      <c r="J221" s="1">
        <f ca="1">IFERROR(__xludf.DUMMYFUNCTION("""COMPUTED_VALUE"""),5)</f>
        <v>5</v>
      </c>
      <c r="K221" s="1" t="str">
        <f ca="1">IFERROR(__xludf.DUMMYFUNCTION("""COMPUTED_VALUE"""),"Fully Remote with Options to travel as and when needed")</f>
        <v>Fully Remote with Options to travel as and when needed</v>
      </c>
      <c r="L221" s="1" t="str">
        <f ca="1">IFERROR(__xludf.DUMMYFUNCTION("""COMPUTED_VALUE"""),"Employer who appreciates learning and enables that environment")</f>
        <v>Employer who appreciates learning and enables that environment</v>
      </c>
      <c r="M221"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N221" s="4" t="s">
        <v>50</v>
      </c>
      <c r="O221" s="1" t="str">
        <f ca="1">IFERROR(__xludf.DUMMYFUNCTION("""COMPUTED_VALUE"""),"Manager who explains what is expected, sets a goal and helps achieve it")</f>
        <v>Manager who explains what is expected, sets a goal and helps achieve it</v>
      </c>
      <c r="P221" s="1" t="str">
        <f ca="1">IFERROR(__xludf.DUMMYFUNCTION("""COMPUTED_VALUE"""),"Work &lt;=6 People in the Team")</f>
        <v>Work &lt;=6 People in the Team</v>
      </c>
      <c r="Q221" s="1" t="s">
        <v>41</v>
      </c>
      <c r="R221" s="1"/>
    </row>
    <row r="222" spans="1:18" x14ac:dyDescent="0.25">
      <c r="A222" s="2">
        <f ca="1">IFERROR(__xludf.DUMMYFUNCTION("""COMPUTED_VALUE"""),44916.621400949)</f>
        <v>44916.621400949</v>
      </c>
      <c r="B222" s="1" t="str">
        <f ca="1">IFERROR(__xludf.DUMMYFUNCTION("""COMPUTED_VALUE"""),"India")</f>
        <v>India</v>
      </c>
      <c r="C222" s="1">
        <f ca="1">IFERROR(__xludf.DUMMYFUNCTION("""COMPUTED_VALUE"""),605007)</f>
        <v>605007</v>
      </c>
      <c r="D222" s="1" t="str">
        <f ca="1">IFERROR(__xludf.DUMMYFUNCTION("""COMPUTED_VALUE"""),"Male")</f>
        <v>Male</v>
      </c>
      <c r="E222" s="1" t="str">
        <f ca="1">IFERROR(__xludf.DUMMYFUNCTION("""COMPUTED_VALUE"""),"My Parents")</f>
        <v>My Parents</v>
      </c>
      <c r="F222" s="1" t="str">
        <f ca="1">IFERROR(__xludf.DUMMYFUNCTION("""COMPUTED_VALUE"""),"Yes, I will earn and do that")</f>
        <v>Yes, I will earn and do that</v>
      </c>
      <c r="G222" s="1" t="str">
        <f ca="1">IFERROR(__xludf.DUMMYFUNCTION("""COMPUTED_VALUE"""),"No way, 3 years with one employer is crazy")</f>
        <v>No way, 3 years with one employer is crazy</v>
      </c>
      <c r="H222" s="1" t="str">
        <f ca="1">IFERROR(__xludf.DUMMYFUNCTION("""COMPUTED_VALUE"""),"Yes")</f>
        <v>Yes</v>
      </c>
      <c r="I222" s="1" t="str">
        <f ca="1">IFERROR(__xludf.DUMMYFUNCTION("""COMPUTED_VALUE"""),"Will work for them")</f>
        <v>Will work for them</v>
      </c>
      <c r="J222" s="1">
        <f ca="1">IFERROR(__xludf.DUMMYFUNCTION("""COMPUTED_VALUE"""),4)</f>
        <v>4</v>
      </c>
      <c r="K222" s="1" t="str">
        <f ca="1">IFERROR(__xludf.DUMMYFUNCTION("""COMPUTED_VALUE"""),"Every Day Office Environment")</f>
        <v>Every Day Office Environment</v>
      </c>
      <c r="L222" s="1" t="str">
        <f ca="1">IFERROR(__xludf.DUMMYFUNCTION("""COMPUTED_VALUE"""),"Employer who rewards learning and enables that environment")</f>
        <v>Employer who rewards learning and enables that environment</v>
      </c>
      <c r="M22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222" s="4" t="s">
        <v>55</v>
      </c>
      <c r="O222" s="1" t="str">
        <f ca="1">IFERROR(__xludf.DUMMYFUNCTION("""COMPUTED_VALUE"""),"Manager who sets targets and expects me to achieve it")</f>
        <v>Manager who sets targets and expects me to achieve it</v>
      </c>
      <c r="P222" s="1" t="str">
        <f ca="1">IFERROR(__xludf.DUMMYFUNCTION("""COMPUTED_VALUE"""),"Work &lt;=6 People in the Team")</f>
        <v>Work &lt;=6 People in the Team</v>
      </c>
      <c r="Q222" s="1" t="s">
        <v>40</v>
      </c>
      <c r="R222" s="1"/>
    </row>
    <row r="223" spans="1:18" x14ac:dyDescent="0.25">
      <c r="A223" s="2">
        <f ca="1">IFERROR(__xludf.DUMMYFUNCTION("""COMPUTED_VALUE"""),44916.6256756828)</f>
        <v>44916.625675682801</v>
      </c>
      <c r="B223" s="1" t="str">
        <f ca="1">IFERROR(__xludf.DUMMYFUNCTION("""COMPUTED_VALUE"""),"India")</f>
        <v>India</v>
      </c>
      <c r="C223" s="1">
        <f ca="1">IFERROR(__xludf.DUMMYFUNCTION("""COMPUTED_VALUE"""),605009)</f>
        <v>605009</v>
      </c>
      <c r="D223" s="1" t="str">
        <f ca="1">IFERROR(__xludf.DUMMYFUNCTION("""COMPUTED_VALUE"""),"Female")</f>
        <v>Female</v>
      </c>
      <c r="E223" s="1" t="str">
        <f ca="1">IFERROR(__xludf.DUMMYFUNCTION("""COMPUTED_VALUE"""),"Social Media like LinkedIn")</f>
        <v>Social Media like LinkedIn</v>
      </c>
      <c r="F223" s="1" t="str">
        <f ca="1">IFERROR(__xludf.DUMMYFUNCTION("""COMPUTED_VALUE"""),"No I would not be pursuing Higher Education outside of India")</f>
        <v>No I would not be pursuing Higher Education outside of India</v>
      </c>
      <c r="G223" s="1" t="str">
        <f ca="1">IFERROR(__xludf.DUMMYFUNCTION("""COMPUTED_VALUE"""),"This will be hard to do, but if it is the right company I would try")</f>
        <v>This will be hard to do, but if it is the right company I would try</v>
      </c>
      <c r="H223" s="1" t="str">
        <f ca="1">IFERROR(__xludf.DUMMYFUNCTION("""COMPUTED_VALUE"""),"No")</f>
        <v>No</v>
      </c>
      <c r="I223" s="1" t="str">
        <f ca="1">IFERROR(__xludf.DUMMYFUNCTION("""COMPUTED_VALUE"""),"Will work for them")</f>
        <v>Will work for them</v>
      </c>
      <c r="J223" s="1">
        <f ca="1">IFERROR(__xludf.DUMMYFUNCTION("""COMPUTED_VALUE"""),10)</f>
        <v>10</v>
      </c>
      <c r="K223" s="1" t="str">
        <f ca="1">IFERROR(__xludf.DUMMYFUNCTION("""COMPUTED_VALUE"""),"Every Day Office Environment")</f>
        <v>Every Day Office Environment</v>
      </c>
      <c r="L223" s="1" t="str">
        <f ca="1">IFERROR(__xludf.DUMMYFUNCTION("""COMPUTED_VALUE"""),"Employer who appreciates learning and enables that environment")</f>
        <v>Employer who appreciates learning and enables that environment</v>
      </c>
      <c r="M223" s="1" t="str">
        <f ca="1">IFERROR(__xludf.DUMMYFUNCTION("""COMPUTED_VALUE"""),"Design and Creative strategy in any company, Build and develop a Team, Design and Develop amazing software")</f>
        <v>Design and Creative strategy in any company, Build and develop a Team, Design and Develop amazing software</v>
      </c>
      <c r="N223" s="4" t="s">
        <v>50</v>
      </c>
      <c r="O223" s="1" t="str">
        <f ca="1">IFERROR(__xludf.DUMMYFUNCTION("""COMPUTED_VALUE"""),"Manager who clearly describes what she/he needs")</f>
        <v>Manager who clearly describes what she/he needs</v>
      </c>
      <c r="P223" s="1" t="str">
        <f ca="1">IFERROR(__xludf.DUMMYFUNCTION("""COMPUTED_VALUE"""),"Work alone")</f>
        <v>Work alone</v>
      </c>
      <c r="Q223" s="1" t="s">
        <v>41</v>
      </c>
      <c r="R223" s="1"/>
    </row>
    <row r="224" spans="1:18" x14ac:dyDescent="0.25">
      <c r="A224" s="2">
        <f ca="1">IFERROR(__xludf.DUMMYFUNCTION("""COMPUTED_VALUE"""),44916.6275264236)</f>
        <v>44916.627526423603</v>
      </c>
      <c r="B224" s="1" t="str">
        <f ca="1">IFERROR(__xludf.DUMMYFUNCTION("""COMPUTED_VALUE"""),"India")</f>
        <v>India</v>
      </c>
      <c r="C224" s="1">
        <f ca="1">IFERROR(__xludf.DUMMYFUNCTION("""COMPUTED_VALUE"""),605007)</f>
        <v>605007</v>
      </c>
      <c r="D224" s="1" t="str">
        <f ca="1">IFERROR(__xludf.DUMMYFUNCTION("""COMPUTED_VALUE"""),"Male")</f>
        <v>Male</v>
      </c>
      <c r="E224" s="1" t="str">
        <f ca="1">IFERROR(__xludf.DUMMYFUNCTION("""COMPUTED_VALUE"""),"People who have changed the world for better")</f>
        <v>People who have changed the world for better</v>
      </c>
      <c r="F224" s="1" t="str">
        <f ca="1">IFERROR(__xludf.DUMMYFUNCTION("""COMPUTED_VALUE"""),"No I would not be pursuing Higher Education outside of India")</f>
        <v>No I would not be pursuing Higher Education outside of India</v>
      </c>
      <c r="G224" s="1" t="str">
        <f ca="1">IFERROR(__xludf.DUMMYFUNCTION("""COMPUTED_VALUE"""),"This will be hard to do, but if it is the right company I would try")</f>
        <v>This will be hard to do, but if it is the right company I would try</v>
      </c>
      <c r="H224" s="1" t="str">
        <f ca="1">IFERROR(__xludf.DUMMYFUNCTION("""COMPUTED_VALUE"""),"No")</f>
        <v>No</v>
      </c>
      <c r="I224" s="1" t="str">
        <f ca="1">IFERROR(__xludf.DUMMYFUNCTION("""COMPUTED_VALUE"""),"Will NOT work for them")</f>
        <v>Will NOT work for them</v>
      </c>
      <c r="J224" s="1">
        <f ca="1">IFERROR(__xludf.DUMMYFUNCTION("""COMPUTED_VALUE"""),8)</f>
        <v>8</v>
      </c>
      <c r="K224" s="1" t="str">
        <f ca="1">IFERROR(__xludf.DUMMYFUNCTION("""COMPUTED_VALUE"""),"Every Day Office Environment")</f>
        <v>Every Day Office Environment</v>
      </c>
      <c r="L224" s="1" t="str">
        <f ca="1">IFERROR(__xludf.DUMMYFUNCTION("""COMPUTED_VALUE"""),"Employer who appreciates learning and enables that environment")</f>
        <v>Employer who appreciates learning and enables that environment</v>
      </c>
      <c r="M22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224" s="4" t="s">
        <v>51</v>
      </c>
      <c r="O224" s="1" t="str">
        <f ca="1">IFERROR(__xludf.DUMMYFUNCTION("""COMPUTED_VALUE"""),"Manager who clearly describes what she/he needs")</f>
        <v>Manager who clearly describes what she/he needs</v>
      </c>
      <c r="P224" s="1" t="str">
        <f ca="1">IFERROR(__xludf.DUMMYFUNCTION("""COMPUTED_VALUE"""),"Work alone")</f>
        <v>Work alone</v>
      </c>
      <c r="Q224" s="1" t="s">
        <v>41</v>
      </c>
      <c r="R224" s="1"/>
    </row>
    <row r="225" spans="1:18" x14ac:dyDescent="0.25">
      <c r="A225" s="2">
        <f ca="1">IFERROR(__xludf.DUMMYFUNCTION("""COMPUTED_VALUE"""),44916.631342581)</f>
        <v>44916.631342581</v>
      </c>
      <c r="B225" s="1" t="str">
        <f ca="1">IFERROR(__xludf.DUMMYFUNCTION("""COMPUTED_VALUE"""),"India")</f>
        <v>India</v>
      </c>
      <c r="C225" s="1">
        <f ca="1">IFERROR(__xludf.DUMMYFUNCTION("""COMPUTED_VALUE"""),605014)</f>
        <v>605014</v>
      </c>
      <c r="D225" s="1" t="str">
        <f ca="1">IFERROR(__xludf.DUMMYFUNCTION("""COMPUTED_VALUE"""),"Male")</f>
        <v>Male</v>
      </c>
      <c r="E225" s="1" t="str">
        <f ca="1">IFERROR(__xludf.DUMMYFUNCTION("""COMPUTED_VALUE"""),"My Parents")</f>
        <v>My Parents</v>
      </c>
      <c r="F225" s="1" t="str">
        <f ca="1">IFERROR(__xludf.DUMMYFUNCTION("""COMPUTED_VALUE"""),"Yes, I will earn and do that")</f>
        <v>Yes, I will earn and do that</v>
      </c>
      <c r="G225" s="1" t="str">
        <f ca="1">IFERROR(__xludf.DUMMYFUNCTION("""COMPUTED_VALUE"""),"This will be hard to do, but if it is the right company I would try")</f>
        <v>This will be hard to do, but if it is the right company I would try</v>
      </c>
      <c r="H225" s="1" t="str">
        <f ca="1">IFERROR(__xludf.DUMMYFUNCTION("""COMPUTED_VALUE"""),"Yes")</f>
        <v>Yes</v>
      </c>
      <c r="I225" s="1" t="str">
        <f ca="1">IFERROR(__xludf.DUMMYFUNCTION("""COMPUTED_VALUE"""),"Will NOT work for them")</f>
        <v>Will NOT work for them</v>
      </c>
      <c r="J225" s="1">
        <f ca="1">IFERROR(__xludf.DUMMYFUNCTION("""COMPUTED_VALUE"""),8)</f>
        <v>8</v>
      </c>
      <c r="K225" s="1" t="str">
        <f ca="1">IFERROR(__xludf.DUMMYFUNCTION("""COMPUTED_VALUE"""),"Fully Remote with Options to travel as and when needed")</f>
        <v>Fully Remote with Options to travel as and when needed</v>
      </c>
      <c r="L225" s="1" t="str">
        <f ca="1">IFERROR(__xludf.DUMMYFUNCTION("""COMPUTED_VALUE"""),"Employer who appreciates learning and enables that environment")</f>
        <v>Employer who appreciates learning and enables that environment</v>
      </c>
      <c r="M225"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N225" s="4" t="s">
        <v>50</v>
      </c>
      <c r="O225" s="1" t="str">
        <f ca="1">IFERROR(__xludf.DUMMYFUNCTION("""COMPUTED_VALUE"""),"Manager who sets unrealistic targets")</f>
        <v>Manager who sets unrealistic targets</v>
      </c>
      <c r="P225" s="1" t="str">
        <f ca="1">IFERROR(__xludf.DUMMYFUNCTION("""COMPUTED_VALUE"""),"Work &gt;10 people in Team")</f>
        <v>Work &gt;10 people in Team</v>
      </c>
      <c r="Q225" s="1" t="s">
        <v>41</v>
      </c>
      <c r="R225" s="1"/>
    </row>
    <row r="226" spans="1:18" x14ac:dyDescent="0.25">
      <c r="A226" s="2">
        <f ca="1">IFERROR(__xludf.DUMMYFUNCTION("""COMPUTED_VALUE"""),44916.6395372338)</f>
        <v>44916.639537233801</v>
      </c>
      <c r="B226" s="1" t="str">
        <f ca="1">IFERROR(__xludf.DUMMYFUNCTION("""COMPUTED_VALUE"""),"India")</f>
        <v>India</v>
      </c>
      <c r="C226" s="1">
        <f ca="1">IFERROR(__xludf.DUMMYFUNCTION("""COMPUTED_VALUE"""),605107)</f>
        <v>605107</v>
      </c>
      <c r="D226" s="1" t="str">
        <f ca="1">IFERROR(__xludf.DUMMYFUNCTION("""COMPUTED_VALUE"""),"Male")</f>
        <v>Male</v>
      </c>
      <c r="E226" s="1" t="str">
        <f ca="1">IFERROR(__xludf.DUMMYFUNCTION("""COMPUTED_VALUE"""),"People who have changed the world for better")</f>
        <v>People who have changed the world for better</v>
      </c>
      <c r="F226" s="1" t="str">
        <f ca="1">IFERROR(__xludf.DUMMYFUNCTION("""COMPUTED_VALUE"""),"No I would not be pursuing Higher Education outside of India")</f>
        <v>No I would not be pursuing Higher Education outside of India</v>
      </c>
      <c r="G226" s="1" t="str">
        <f ca="1">IFERROR(__xludf.DUMMYFUNCTION("""COMPUTED_VALUE"""),"This will be hard to do, but if it is the right company I would try")</f>
        <v>This will be hard to do, but if it is the right company I would try</v>
      </c>
      <c r="H226" s="1" t="str">
        <f ca="1">IFERROR(__xludf.DUMMYFUNCTION("""COMPUTED_VALUE"""),"No")</f>
        <v>No</v>
      </c>
      <c r="I226" s="1" t="str">
        <f ca="1">IFERROR(__xludf.DUMMYFUNCTION("""COMPUTED_VALUE"""),"Will NOT work for them")</f>
        <v>Will NOT work for them</v>
      </c>
      <c r="J226" s="1">
        <f ca="1">IFERROR(__xludf.DUMMYFUNCTION("""COMPUTED_VALUE"""),3)</f>
        <v>3</v>
      </c>
      <c r="K226" s="1" t="str">
        <f ca="1">IFERROR(__xludf.DUMMYFUNCTION("""COMPUTED_VALUE"""),"Every Day Office Environment")</f>
        <v>Every Day Office Environment</v>
      </c>
      <c r="L226" s="1" t="str">
        <f ca="1">IFERROR(__xludf.DUMMYFUNCTION("""COMPUTED_VALUE"""),"Employer who appreciates learning and enables that environment")</f>
        <v>Employer who appreciates learning and enables that environment</v>
      </c>
      <c r="M22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N226" s="4" t="s">
        <v>48</v>
      </c>
      <c r="O226" s="1" t="str">
        <f ca="1">IFERROR(__xludf.DUMMYFUNCTION("""COMPUTED_VALUE"""),"Manager who clearly describes what she/he needs")</f>
        <v>Manager who clearly describes what she/he needs</v>
      </c>
      <c r="P226" s="1" t="str">
        <f ca="1">IFERROR(__xludf.DUMMYFUNCTION("""COMPUTED_VALUE"""),"Work alone")</f>
        <v>Work alone</v>
      </c>
      <c r="Q226" s="1" t="s">
        <v>40</v>
      </c>
      <c r="R226" s="1"/>
    </row>
    <row r="227" spans="1:18" x14ac:dyDescent="0.25">
      <c r="A227" s="2">
        <f ca="1">IFERROR(__xludf.DUMMYFUNCTION("""COMPUTED_VALUE"""),44916.6484313541)</f>
        <v>44916.6484313541</v>
      </c>
      <c r="B227" s="1" t="str">
        <f ca="1">IFERROR(__xludf.DUMMYFUNCTION("""COMPUTED_VALUE"""),"India")</f>
        <v>India</v>
      </c>
      <c r="C227" s="1">
        <f ca="1">IFERROR(__xludf.DUMMYFUNCTION("""COMPUTED_VALUE"""),605009)</f>
        <v>605009</v>
      </c>
      <c r="D227" s="1" t="str">
        <f ca="1">IFERROR(__xludf.DUMMYFUNCTION("""COMPUTED_VALUE"""),"Female")</f>
        <v>Female</v>
      </c>
      <c r="E227" s="1" t="str">
        <f ca="1">IFERROR(__xludf.DUMMYFUNCTION("""COMPUTED_VALUE"""),"People who have changed the world for better")</f>
        <v>People who have changed the world for better</v>
      </c>
      <c r="F227" s="1" t="str">
        <f ca="1">IFERROR(__xludf.DUMMYFUNCTION("""COMPUTED_VALUE"""),"No I would not be pursuing Higher Education outside of India")</f>
        <v>No I would not be pursuing Higher Education outside of India</v>
      </c>
      <c r="G227" s="1" t="str">
        <f ca="1">IFERROR(__xludf.DUMMYFUNCTION("""COMPUTED_VALUE"""),"This will be hard to do, but if it is the right company I would try")</f>
        <v>This will be hard to do, but if it is the right company I would try</v>
      </c>
      <c r="H227" s="1" t="str">
        <f ca="1">IFERROR(__xludf.DUMMYFUNCTION("""COMPUTED_VALUE"""),"No")</f>
        <v>No</v>
      </c>
      <c r="I227" s="1" t="str">
        <f ca="1">IFERROR(__xludf.DUMMYFUNCTION("""COMPUTED_VALUE"""),"Will NOT work for them")</f>
        <v>Will NOT work for them</v>
      </c>
      <c r="J227" s="1">
        <f ca="1">IFERROR(__xludf.DUMMYFUNCTION("""COMPUTED_VALUE"""),2)</f>
        <v>2</v>
      </c>
      <c r="K227" s="1" t="str">
        <f ca="1">IFERROR(__xludf.DUMMYFUNCTION("""COMPUTED_VALUE"""),"Hybrid Working Environment with less than 10 days a month at office")</f>
        <v>Hybrid Working Environment with less than 10 days a month at office</v>
      </c>
      <c r="L227" s="1" t="str">
        <f ca="1">IFERROR(__xludf.DUMMYFUNCTION("""COMPUTED_VALUE"""),"Employer who appreciates learning and enables that environment")</f>
        <v>Employer who appreciates learning and enables that environment</v>
      </c>
      <c r="M22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227" s="4" t="s">
        <v>48</v>
      </c>
      <c r="O227" s="1" t="str">
        <f ca="1">IFERROR(__xludf.DUMMYFUNCTION("""COMPUTED_VALUE"""),"Manager who explains what is expected, sets a goal and helps achieve it")</f>
        <v>Manager who explains what is expected, sets a goal and helps achieve it</v>
      </c>
      <c r="P227" s="1" t="str">
        <f ca="1">IFERROR(__xludf.DUMMYFUNCTION("""COMPUTED_VALUE"""),"Work &gt;=7 People in the Team")</f>
        <v>Work &gt;=7 People in the Team</v>
      </c>
      <c r="Q227" s="1" t="s">
        <v>40</v>
      </c>
      <c r="R227" s="1"/>
    </row>
    <row r="228" spans="1:18" x14ac:dyDescent="0.25">
      <c r="A228" s="2">
        <f ca="1">IFERROR(__xludf.DUMMYFUNCTION("""COMPUTED_VALUE"""),44916.6488255787)</f>
        <v>44916.648825578697</v>
      </c>
      <c r="B228" s="1" t="str">
        <f ca="1">IFERROR(__xludf.DUMMYFUNCTION("""COMPUTED_VALUE"""),"India")</f>
        <v>India</v>
      </c>
      <c r="C228" s="1">
        <f ca="1">IFERROR(__xludf.DUMMYFUNCTION("""COMPUTED_VALUE"""),605001)</f>
        <v>605001</v>
      </c>
      <c r="D228" s="1" t="str">
        <f ca="1">IFERROR(__xludf.DUMMYFUNCTION("""COMPUTED_VALUE"""),"Female")</f>
        <v>Female</v>
      </c>
      <c r="E228" s="1" t="str">
        <f ca="1">IFERROR(__xludf.DUMMYFUNCTION("""COMPUTED_VALUE"""),"Social Media like LinkedIn")</f>
        <v>Social Media like LinkedIn</v>
      </c>
      <c r="F228" s="1" t="str">
        <f ca="1">IFERROR(__xludf.DUMMYFUNCTION("""COMPUTED_VALUE"""),"Yes, I will earn and do that")</f>
        <v>Yes, I will earn and do that</v>
      </c>
      <c r="G228" s="1" t="str">
        <f ca="1">IFERROR(__xludf.DUMMYFUNCTION("""COMPUTED_VALUE"""),"No way, 3 years with one employer is crazy")</f>
        <v>No way, 3 years with one employer is crazy</v>
      </c>
      <c r="H228" s="1" t="str">
        <f ca="1">IFERROR(__xludf.DUMMYFUNCTION("""COMPUTED_VALUE"""),"Yes")</f>
        <v>Yes</v>
      </c>
      <c r="I228" s="1" t="str">
        <f ca="1">IFERROR(__xludf.DUMMYFUNCTION("""COMPUTED_VALUE"""),"Will work for them")</f>
        <v>Will work for them</v>
      </c>
      <c r="J228" s="1">
        <f ca="1">IFERROR(__xludf.DUMMYFUNCTION("""COMPUTED_VALUE"""),8)</f>
        <v>8</v>
      </c>
      <c r="K228" s="1" t="str">
        <f ca="1">IFERROR(__xludf.DUMMYFUNCTION("""COMPUTED_VALUE"""),"Hybrid Working Environment with less than 15 days a month at office")</f>
        <v>Hybrid Working Environment with less than 15 days a month at office</v>
      </c>
      <c r="L228" s="1" t="str">
        <f ca="1">IFERROR(__xludf.DUMMYFUNCTION("""COMPUTED_VALUE"""),"Employers who appreciates learning but doesn't enables an learning environment")</f>
        <v>Employers who appreciates learning but doesn't enables an learning environment</v>
      </c>
      <c r="M228"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N228" s="4" t="s">
        <v>48</v>
      </c>
      <c r="O228" s="1" t="str">
        <f ca="1">IFERROR(__xludf.DUMMYFUNCTION("""COMPUTED_VALUE"""),"Manager who clearly describes what she/he needs")</f>
        <v>Manager who clearly describes what she/he needs</v>
      </c>
      <c r="P228" s="1" t="str">
        <f ca="1">IFERROR(__xludf.DUMMYFUNCTION("""COMPUTED_VALUE"""),"Work alone")</f>
        <v>Work alone</v>
      </c>
      <c r="Q228" s="1" t="s">
        <v>42</v>
      </c>
      <c r="R228" s="1"/>
    </row>
    <row r="229" spans="1:18" x14ac:dyDescent="0.25">
      <c r="A229" s="2">
        <f ca="1">IFERROR(__xludf.DUMMYFUNCTION("""COMPUTED_VALUE"""),44916.656138912)</f>
        <v>44916.656138912003</v>
      </c>
      <c r="B229" s="1" t="str">
        <f ca="1">IFERROR(__xludf.DUMMYFUNCTION("""COMPUTED_VALUE"""),"India")</f>
        <v>India</v>
      </c>
      <c r="C229" s="1">
        <f ca="1">IFERROR(__xludf.DUMMYFUNCTION("""COMPUTED_VALUE"""),605110)</f>
        <v>605110</v>
      </c>
      <c r="D229" s="1" t="str">
        <f ca="1">IFERROR(__xludf.DUMMYFUNCTION("""COMPUTED_VALUE"""),"Female")</f>
        <v>Female</v>
      </c>
      <c r="E229" s="1" t="str">
        <f ca="1">IFERROR(__xludf.DUMMYFUNCTION("""COMPUTED_VALUE"""),"My Parents")</f>
        <v>My Parents</v>
      </c>
      <c r="F229" s="1" t="str">
        <f ca="1">IFERROR(__xludf.DUMMYFUNCTION("""COMPUTED_VALUE"""),"No, But if someone could bare the cost I will")</f>
        <v>No, But if someone could bare the cost I will</v>
      </c>
      <c r="G229" s="1" t="str">
        <f ca="1">IFERROR(__xludf.DUMMYFUNCTION("""COMPUTED_VALUE"""),"This will be hard to do, but if it is the right company I would try")</f>
        <v>This will be hard to do, but if it is the right company I would try</v>
      </c>
      <c r="H229" s="1" t="str">
        <f ca="1">IFERROR(__xludf.DUMMYFUNCTION("""COMPUTED_VALUE"""),"Yes")</f>
        <v>Yes</v>
      </c>
      <c r="I229" s="1" t="str">
        <f ca="1">IFERROR(__xludf.DUMMYFUNCTION("""COMPUTED_VALUE"""),"Will work for them")</f>
        <v>Will work for them</v>
      </c>
      <c r="J229" s="1">
        <f ca="1">IFERROR(__xludf.DUMMYFUNCTION("""COMPUTED_VALUE"""),3)</f>
        <v>3</v>
      </c>
      <c r="K229" s="1" t="str">
        <f ca="1">IFERROR(__xludf.DUMMYFUNCTION("""COMPUTED_VALUE"""),"Every Day Office Environment")</f>
        <v>Every Day Office Environment</v>
      </c>
      <c r="L229" s="1" t="str">
        <f ca="1">IFERROR(__xludf.DUMMYFUNCTION("""COMPUTED_VALUE"""),"Employer who appreciates learning and enables that environment")</f>
        <v>Employer who appreciates learning and enables that environment</v>
      </c>
      <c r="M229"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N229" s="4" t="s">
        <v>50</v>
      </c>
      <c r="O229" s="1" t="str">
        <f ca="1">IFERROR(__xludf.DUMMYFUNCTION("""COMPUTED_VALUE"""),"Manager who sets targets and expects me to achieve it")</f>
        <v>Manager who sets targets and expects me to achieve it</v>
      </c>
      <c r="P229" s="1" t="str">
        <f ca="1">IFERROR(__xludf.DUMMYFUNCTION("""COMPUTED_VALUE"""),"Work alone")</f>
        <v>Work alone</v>
      </c>
      <c r="Q229" s="1" t="s">
        <v>41</v>
      </c>
      <c r="R229" s="1"/>
    </row>
    <row r="230" spans="1:18" x14ac:dyDescent="0.25">
      <c r="A230" s="2">
        <f ca="1">IFERROR(__xludf.DUMMYFUNCTION("""COMPUTED_VALUE"""),44916.675402662)</f>
        <v>44916.675402661996</v>
      </c>
      <c r="B230" s="1" t="str">
        <f ca="1">IFERROR(__xludf.DUMMYFUNCTION("""COMPUTED_VALUE"""),"India")</f>
        <v>India</v>
      </c>
      <c r="C230" s="1">
        <f ca="1">IFERROR(__xludf.DUMMYFUNCTION("""COMPUTED_VALUE"""),442406)</f>
        <v>442406</v>
      </c>
      <c r="D230" s="1" t="str">
        <f ca="1">IFERROR(__xludf.DUMMYFUNCTION("""COMPUTED_VALUE"""),"Male")</f>
        <v>Male</v>
      </c>
      <c r="E230" s="1" t="str">
        <f ca="1">IFERROR(__xludf.DUMMYFUNCTION("""COMPUTED_VALUE"""),"My Parents")</f>
        <v>My Parents</v>
      </c>
      <c r="F230" s="1" t="str">
        <f ca="1">IFERROR(__xludf.DUMMYFUNCTION("""COMPUTED_VALUE"""),"No, But if someone could bare the cost I will")</f>
        <v>No, But if someone could bare the cost I will</v>
      </c>
      <c r="G230" s="1" t="str">
        <f ca="1">IFERROR(__xludf.DUMMYFUNCTION("""COMPUTED_VALUE"""),"This will be hard to do, but if it is the right company I would try")</f>
        <v>This will be hard to do, but if it is the right company I would try</v>
      </c>
      <c r="H230" s="1" t="str">
        <f ca="1">IFERROR(__xludf.DUMMYFUNCTION("""COMPUTED_VALUE"""),"No")</f>
        <v>No</v>
      </c>
      <c r="I230" s="1" t="str">
        <f ca="1">IFERROR(__xludf.DUMMYFUNCTION("""COMPUTED_VALUE"""),"Will NOT work for them")</f>
        <v>Will NOT work for them</v>
      </c>
      <c r="J230" s="1">
        <f ca="1">IFERROR(__xludf.DUMMYFUNCTION("""COMPUTED_VALUE"""),7)</f>
        <v>7</v>
      </c>
      <c r="K230" s="1" t="str">
        <f ca="1">IFERROR(__xludf.DUMMYFUNCTION("""COMPUTED_VALUE"""),"Fully Remote with No option to visit offices")</f>
        <v>Fully Remote with No option to visit offices</v>
      </c>
      <c r="L230" s="1" t="str">
        <f ca="1">IFERROR(__xludf.DUMMYFUNCTION("""COMPUTED_VALUE"""),"Employer who pushes your limits by enabling an learning environment, and rewards you at the end")</f>
        <v>Employer who pushes your limits by enabling an learning environment, and rewards you at the end</v>
      </c>
      <c r="M230" s="1" t="str">
        <f ca="1">IFERROR(__xludf.DUMMYFUNCTION("""COMPUTED_VALUE"""),"Build and develop a Team, Design and Develop amazing software, Look deeply into Data and generate insights")</f>
        <v>Build and develop a Team, Design and Develop amazing software, Look deeply into Data and generate insights</v>
      </c>
      <c r="N230" s="4" t="s">
        <v>51</v>
      </c>
      <c r="O230" s="1" t="str">
        <f ca="1">IFERROR(__xludf.DUMMYFUNCTION("""COMPUTED_VALUE"""),"Manager who explains what is expected, sets a goal and helps achieve it")</f>
        <v>Manager who explains what is expected, sets a goal and helps achieve it</v>
      </c>
      <c r="P230" s="1" t="str">
        <f ca="1">IFERROR(__xludf.DUMMYFUNCTION("""COMPUTED_VALUE"""),"Work &lt;=6 People in the Team")</f>
        <v>Work &lt;=6 People in the Team</v>
      </c>
      <c r="Q230" s="1" t="s">
        <v>41</v>
      </c>
      <c r="R230" s="1"/>
    </row>
    <row r="231" spans="1:18" x14ac:dyDescent="0.25">
      <c r="A231" s="2">
        <f ca="1">IFERROR(__xludf.DUMMYFUNCTION("""COMPUTED_VALUE"""),44916.7024984606)</f>
        <v>44916.702498460603</v>
      </c>
      <c r="B231" s="1" t="str">
        <f ca="1">IFERROR(__xludf.DUMMYFUNCTION("""COMPUTED_VALUE"""),"India")</f>
        <v>India</v>
      </c>
      <c r="C231" s="1">
        <f ca="1">IFERROR(__xludf.DUMMYFUNCTION("""COMPUTED_VALUE"""),605101)</f>
        <v>605101</v>
      </c>
      <c r="D231" s="1" t="str">
        <f ca="1">IFERROR(__xludf.DUMMYFUNCTION("""COMPUTED_VALUE"""),"Male")</f>
        <v>Male</v>
      </c>
      <c r="E231" s="1" t="str">
        <f ca="1">IFERROR(__xludf.DUMMYFUNCTION("""COMPUTED_VALUE"""),"My Parents")</f>
        <v>My Parents</v>
      </c>
      <c r="F231" s="1" t="str">
        <f ca="1">IFERROR(__xludf.DUMMYFUNCTION("""COMPUTED_VALUE"""),"Yes, I will earn and do that")</f>
        <v>Yes, I will earn and do that</v>
      </c>
      <c r="G231" s="1" t="str">
        <f ca="1">IFERROR(__xludf.DUMMYFUNCTION("""COMPUTED_VALUE"""),"This will be hard to do, but if it is the right company I would try")</f>
        <v>This will be hard to do, but if it is the right company I would try</v>
      </c>
      <c r="H231" s="1" t="str">
        <f ca="1">IFERROR(__xludf.DUMMYFUNCTION("""COMPUTED_VALUE"""),"Yes")</f>
        <v>Yes</v>
      </c>
      <c r="I231" s="1" t="str">
        <f ca="1">IFERROR(__xludf.DUMMYFUNCTION("""COMPUTED_VALUE"""),"Will work for them")</f>
        <v>Will work for them</v>
      </c>
      <c r="J231" s="1">
        <f ca="1">IFERROR(__xludf.DUMMYFUNCTION("""COMPUTED_VALUE"""),10)</f>
        <v>10</v>
      </c>
      <c r="K231" s="1" t="str">
        <f ca="1">IFERROR(__xludf.DUMMYFUNCTION("""COMPUTED_VALUE"""),"Fully Remote with Options to travel as and when needed")</f>
        <v>Fully Remote with Options to travel as and when needed</v>
      </c>
      <c r="L231" s="1" t="str">
        <f ca="1">IFERROR(__xludf.DUMMYFUNCTION("""COMPUTED_VALUE"""),"Employer who appreciates learning and enables that environment")</f>
        <v>Employer who appreciates learning and enables that environment</v>
      </c>
      <c r="M231"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N231" s="4" t="s">
        <v>48</v>
      </c>
      <c r="O231" s="1" t="str">
        <f ca="1">IFERROR(__xludf.DUMMYFUNCTION("""COMPUTED_VALUE"""),"Manager who sets targets and expects me to achieve it")</f>
        <v>Manager who sets targets and expects me to achieve it</v>
      </c>
      <c r="P231" s="1" t="str">
        <f ca="1">IFERROR(__xludf.DUMMYFUNCTION("""COMPUTED_VALUE"""),"Work &lt;=6 People in the Team")</f>
        <v>Work &lt;=6 People in the Team</v>
      </c>
      <c r="Q231" s="1" t="s">
        <v>41</v>
      </c>
      <c r="R231" s="1"/>
    </row>
    <row r="232" spans="1:18" x14ac:dyDescent="0.25">
      <c r="A232" s="2">
        <f ca="1">IFERROR(__xludf.DUMMYFUNCTION("""COMPUTED_VALUE"""),44916.7154884837)</f>
        <v>44916.7154884837</v>
      </c>
      <c r="B232" s="1" t="str">
        <f ca="1">IFERROR(__xludf.DUMMYFUNCTION("""COMPUTED_VALUE"""),"India")</f>
        <v>India</v>
      </c>
      <c r="C232" s="1">
        <f ca="1">IFERROR(__xludf.DUMMYFUNCTION("""COMPUTED_VALUE"""),605008)</f>
        <v>605008</v>
      </c>
      <c r="D232" s="1" t="str">
        <f ca="1">IFERROR(__xludf.DUMMYFUNCTION("""COMPUTED_VALUE"""),"Male")</f>
        <v>Male</v>
      </c>
      <c r="E232" s="1" t="str">
        <f ca="1">IFERROR(__xludf.DUMMYFUNCTION("""COMPUTED_VALUE"""),"People from my circle, but not family members")</f>
        <v>People from my circle, but not family members</v>
      </c>
      <c r="F232" s="1" t="str">
        <f ca="1">IFERROR(__xludf.DUMMYFUNCTION("""COMPUTED_VALUE"""),"Yes, I will earn and do that")</f>
        <v>Yes, I will earn and do that</v>
      </c>
      <c r="G232" s="1" t="str">
        <f ca="1">IFERROR(__xludf.DUMMYFUNCTION("""COMPUTED_VALUE"""),"Will work for 3 years or more")</f>
        <v>Will work for 3 years or more</v>
      </c>
      <c r="H232" s="1" t="str">
        <f ca="1">IFERROR(__xludf.DUMMYFUNCTION("""COMPUTED_VALUE"""),"No")</f>
        <v>No</v>
      </c>
      <c r="I232" s="1" t="str">
        <f ca="1">IFERROR(__xludf.DUMMYFUNCTION("""COMPUTED_VALUE"""),"Will NOT work for them")</f>
        <v>Will NOT work for them</v>
      </c>
      <c r="J232" s="1">
        <f ca="1">IFERROR(__xludf.DUMMYFUNCTION("""COMPUTED_VALUE"""),7)</f>
        <v>7</v>
      </c>
      <c r="K232" s="1" t="str">
        <f ca="1">IFERROR(__xludf.DUMMYFUNCTION("""COMPUTED_VALUE"""),"Fully Remote with Options to travel as and when needed")</f>
        <v>Fully Remote with Options to travel as and when needed</v>
      </c>
      <c r="L232" s="1" t="str">
        <f ca="1">IFERROR(__xludf.DUMMYFUNCTION("""COMPUTED_VALUE"""),"Employer who pushes your limits by enabling an learning environment, and rewards you at the end")</f>
        <v>Employer who pushes your limits by enabling an learning environment, and rewards you at the end</v>
      </c>
      <c r="M232"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232" s="4" t="s">
        <v>51</v>
      </c>
      <c r="O232" s="1" t="str">
        <f ca="1">IFERROR(__xludf.DUMMYFUNCTION("""COMPUTED_VALUE"""),"Manager who sets goal and helps me achieve it")</f>
        <v>Manager who sets goal and helps me achieve it</v>
      </c>
      <c r="P232" s="1" t="str">
        <f ca="1">IFERROR(__xludf.DUMMYFUNCTION("""COMPUTED_VALUE"""),"Work &gt;10 people in Team")</f>
        <v>Work &gt;10 people in Team</v>
      </c>
      <c r="Q232" s="1" t="s">
        <v>41</v>
      </c>
      <c r="R232" s="1"/>
    </row>
    <row r="233" spans="1:18" x14ac:dyDescent="0.25">
      <c r="A233" s="2">
        <f ca="1">IFERROR(__xludf.DUMMYFUNCTION("""COMPUTED_VALUE"""),44916.7264457638)</f>
        <v>44916.726445763801</v>
      </c>
      <c r="B233" s="1" t="str">
        <f ca="1">IFERROR(__xludf.DUMMYFUNCTION("""COMPUTED_VALUE"""),"India")</f>
        <v>India</v>
      </c>
      <c r="C233" s="1">
        <f ca="1">IFERROR(__xludf.DUMMYFUNCTION("""COMPUTED_VALUE"""),722207)</f>
        <v>722207</v>
      </c>
      <c r="D233" s="1" t="str">
        <f ca="1">IFERROR(__xludf.DUMMYFUNCTION("""COMPUTED_VALUE"""),"Male")</f>
        <v>Male</v>
      </c>
      <c r="E233" s="1" t="str">
        <f ca="1">IFERROR(__xludf.DUMMYFUNCTION("""COMPUTED_VALUE"""),"People from my circle, but not family members")</f>
        <v>People from my circle, but not family members</v>
      </c>
      <c r="F233" s="1" t="str">
        <f ca="1">IFERROR(__xludf.DUMMYFUNCTION("""COMPUTED_VALUE"""),"No I would not be pursuing Higher Education outside of India")</f>
        <v>No I would not be pursuing Higher Education outside of India</v>
      </c>
      <c r="G233" s="1" t="str">
        <f ca="1">IFERROR(__xludf.DUMMYFUNCTION("""COMPUTED_VALUE"""),"This will be hard to do, but if it is the right company I would try")</f>
        <v>This will be hard to do, but if it is the right company I would try</v>
      </c>
      <c r="H233" s="1" t="str">
        <f ca="1">IFERROR(__xludf.DUMMYFUNCTION("""COMPUTED_VALUE"""),"Yes")</f>
        <v>Yes</v>
      </c>
      <c r="I233" s="1" t="str">
        <f ca="1">IFERROR(__xludf.DUMMYFUNCTION("""COMPUTED_VALUE"""),"Will work for them")</f>
        <v>Will work for them</v>
      </c>
      <c r="J233" s="1">
        <f ca="1">IFERROR(__xludf.DUMMYFUNCTION("""COMPUTED_VALUE"""),5)</f>
        <v>5</v>
      </c>
      <c r="K233" s="1" t="str">
        <f ca="1">IFERROR(__xludf.DUMMYFUNCTION("""COMPUTED_VALUE"""),"Hybrid Working Environment with less than 3 days a month at office")</f>
        <v>Hybrid Working Environment with less than 3 days a month at office</v>
      </c>
      <c r="L233" s="1" t="str">
        <f ca="1">IFERROR(__xludf.DUMMYFUNCTION("""COMPUTED_VALUE"""),"Employer who rewards learning and enables that environment")</f>
        <v>Employer who rewards learning and enables that environment</v>
      </c>
      <c r="M233"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233" s="4" t="s">
        <v>48</v>
      </c>
      <c r="O233" s="1" t="str">
        <f ca="1">IFERROR(__xludf.DUMMYFUNCTION("""COMPUTED_VALUE"""),"Manager who explains what is expected, sets a goal and helps achieve it")</f>
        <v>Manager who explains what is expected, sets a goal and helps achieve it</v>
      </c>
      <c r="P233" s="1" t="str">
        <f ca="1">IFERROR(__xludf.DUMMYFUNCTION("""COMPUTED_VALUE"""),"Work &lt;=6 People in the Team")</f>
        <v>Work &lt;=6 People in the Team</v>
      </c>
      <c r="Q233" s="1" t="s">
        <v>42</v>
      </c>
      <c r="R233" s="1"/>
    </row>
    <row r="234" spans="1:18" x14ac:dyDescent="0.25">
      <c r="A234" s="2">
        <f ca="1">IFERROR(__xludf.DUMMYFUNCTION("""COMPUTED_VALUE"""),44916.7386769907)</f>
        <v>44916.738676990703</v>
      </c>
      <c r="B234" s="1" t="str">
        <f ca="1">IFERROR(__xludf.DUMMYFUNCTION("""COMPUTED_VALUE"""),"India")</f>
        <v>India</v>
      </c>
      <c r="C234" s="1">
        <f ca="1">IFERROR(__xludf.DUMMYFUNCTION("""COMPUTED_VALUE"""),604102)</f>
        <v>604102</v>
      </c>
      <c r="D234" s="1" t="str">
        <f ca="1">IFERROR(__xludf.DUMMYFUNCTION("""COMPUTED_VALUE"""),"Female")</f>
        <v>Female</v>
      </c>
      <c r="E234" s="1" t="str">
        <f ca="1">IFERROR(__xludf.DUMMYFUNCTION("""COMPUTED_VALUE"""),"People who have changed the world for better")</f>
        <v>People who have changed the world for better</v>
      </c>
      <c r="F234" s="1" t="str">
        <f ca="1">IFERROR(__xludf.DUMMYFUNCTION("""COMPUTED_VALUE"""),"Yes, I will earn and do that")</f>
        <v>Yes, I will earn and do that</v>
      </c>
      <c r="G234" s="1" t="str">
        <f ca="1">IFERROR(__xludf.DUMMYFUNCTION("""COMPUTED_VALUE"""),"Will work for 3 years or more")</f>
        <v>Will work for 3 years or more</v>
      </c>
      <c r="H234" s="1" t="str">
        <f ca="1">IFERROR(__xludf.DUMMYFUNCTION("""COMPUTED_VALUE"""),"Yes")</f>
        <v>Yes</v>
      </c>
      <c r="I234" s="1" t="str">
        <f ca="1">IFERROR(__xludf.DUMMYFUNCTION("""COMPUTED_VALUE"""),"Will work for them")</f>
        <v>Will work for them</v>
      </c>
      <c r="J234" s="1">
        <f ca="1">IFERROR(__xludf.DUMMYFUNCTION("""COMPUTED_VALUE"""),4)</f>
        <v>4</v>
      </c>
      <c r="K234" s="1" t="str">
        <f ca="1">IFERROR(__xludf.DUMMYFUNCTION("""COMPUTED_VALUE"""),"Hybrid Working Environment with less than 10 days a month at office")</f>
        <v>Hybrid Working Environment with less than 10 days a month at office</v>
      </c>
      <c r="L234" s="1" t="str">
        <f ca="1">IFERROR(__xludf.DUMMYFUNCTION("""COMPUTED_VALUE"""),"Employer who appreciates learning and enables that environment")</f>
        <v>Employer who appreciates learning and enables that environment</v>
      </c>
      <c r="M23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234" s="4" t="s">
        <v>51</v>
      </c>
      <c r="O234" s="1" t="str">
        <f ca="1">IFERROR(__xludf.DUMMYFUNCTION("""COMPUTED_VALUE"""),"Manager who sets goal and helps me achieve it")</f>
        <v>Manager who sets goal and helps me achieve it</v>
      </c>
      <c r="P234" s="1" t="str">
        <f ca="1">IFERROR(__xludf.DUMMYFUNCTION("""COMPUTED_VALUE"""),"Work &gt;10 people in Team")</f>
        <v>Work &gt;10 people in Team</v>
      </c>
      <c r="Q234" s="1" t="s">
        <v>41</v>
      </c>
      <c r="R234" s="1"/>
    </row>
    <row r="235" spans="1:18" x14ac:dyDescent="0.25">
      <c r="A235" s="2">
        <f ca="1">IFERROR(__xludf.DUMMYFUNCTION("""COMPUTED_VALUE"""),44916.7554082291)</f>
        <v>44916.755408229103</v>
      </c>
      <c r="B235" s="1" t="str">
        <f ca="1">IFERROR(__xludf.DUMMYFUNCTION("""COMPUTED_VALUE"""),"India")</f>
        <v>India</v>
      </c>
      <c r="C235" s="1">
        <f ca="1">IFERROR(__xludf.DUMMYFUNCTION("""COMPUTED_VALUE"""),122002)</f>
        <v>122002</v>
      </c>
      <c r="D235" s="1" t="str">
        <f ca="1">IFERROR(__xludf.DUMMYFUNCTION("""COMPUTED_VALUE"""),"Male")</f>
        <v>Male</v>
      </c>
      <c r="E235" s="1" t="str">
        <f ca="1">IFERROR(__xludf.DUMMYFUNCTION("""COMPUTED_VALUE"""),"People who have changed the world for better")</f>
        <v>People who have changed the world for better</v>
      </c>
      <c r="F235" s="1" t="str">
        <f ca="1">IFERROR(__xludf.DUMMYFUNCTION("""COMPUTED_VALUE"""),"Yes, I will earn and do that")</f>
        <v>Yes, I will earn and do that</v>
      </c>
      <c r="G235" s="1" t="str">
        <f ca="1">IFERROR(__xludf.DUMMYFUNCTION("""COMPUTED_VALUE"""),"No way, 3 years with one employer is crazy")</f>
        <v>No way, 3 years with one employer is crazy</v>
      </c>
      <c r="H235" s="1" t="str">
        <f ca="1">IFERROR(__xludf.DUMMYFUNCTION("""COMPUTED_VALUE"""),"No")</f>
        <v>No</v>
      </c>
      <c r="I235" s="1" t="str">
        <f ca="1">IFERROR(__xludf.DUMMYFUNCTION("""COMPUTED_VALUE"""),"Will NOT work for them")</f>
        <v>Will NOT work for them</v>
      </c>
      <c r="J235" s="1">
        <f ca="1">IFERROR(__xludf.DUMMYFUNCTION("""COMPUTED_VALUE"""),7)</f>
        <v>7</v>
      </c>
      <c r="K235" s="1" t="str">
        <f ca="1">IFERROR(__xludf.DUMMYFUNCTION("""COMPUTED_VALUE"""),"Hybrid Working Environment with less than 15 days a month at office")</f>
        <v>Hybrid Working Environment with less than 15 days a month at office</v>
      </c>
      <c r="L235" s="1" t="str">
        <f ca="1">IFERROR(__xludf.DUMMYFUNCTION("""COMPUTED_VALUE"""),"Employer who rewards learning and enables that environment")</f>
        <v>Employer who rewards learning and enables that environment</v>
      </c>
      <c r="M235" s="1" t="str">
        <f ca="1">IFERROR(__xludf.DUMMYFUNCTION("""COMPUTED_VALUE"""),"Teaching in any of the institutes/online or Offline, Manage and drive End-to-End Projects or Products, Design and Develop amazing software")</f>
        <v>Teaching in any of the institutes/online or Offline, Manage and drive End-to-End Projects or Products, Design and Develop amazing software</v>
      </c>
      <c r="N235" s="4" t="s">
        <v>48</v>
      </c>
      <c r="O235" s="1" t="str">
        <f ca="1">IFERROR(__xludf.DUMMYFUNCTION("""COMPUTED_VALUE"""),"Manager who explains what is expected, sets a goal and helps achieve it")</f>
        <v>Manager who explains what is expected, sets a goal and helps achieve it</v>
      </c>
      <c r="P235" s="1" t="str">
        <f ca="1">IFERROR(__xludf.DUMMYFUNCTION("""COMPUTED_VALUE"""),"Work &lt;=6 People in the Team")</f>
        <v>Work &lt;=6 People in the Team</v>
      </c>
      <c r="Q235" s="1" t="s">
        <v>41</v>
      </c>
      <c r="R235" s="1"/>
    </row>
    <row r="236" spans="1:18" x14ac:dyDescent="0.25">
      <c r="A236" s="2">
        <f ca="1">IFERROR(__xludf.DUMMYFUNCTION("""COMPUTED_VALUE"""),44916.758823912)</f>
        <v>44916.758823912001</v>
      </c>
      <c r="B236" s="1" t="str">
        <f ca="1">IFERROR(__xludf.DUMMYFUNCTION("""COMPUTED_VALUE"""),"India")</f>
        <v>India</v>
      </c>
      <c r="C236" s="1">
        <f ca="1">IFERROR(__xludf.DUMMYFUNCTION("""COMPUTED_VALUE"""),605102)</f>
        <v>605102</v>
      </c>
      <c r="D236" s="1" t="str">
        <f ca="1">IFERROR(__xludf.DUMMYFUNCTION("""COMPUTED_VALUE"""),"Female")</f>
        <v>Female</v>
      </c>
      <c r="E236" s="1" t="str">
        <f ca="1">IFERROR(__xludf.DUMMYFUNCTION("""COMPUTED_VALUE"""),"My Parents")</f>
        <v>My Parents</v>
      </c>
      <c r="F236" s="1" t="str">
        <f ca="1">IFERROR(__xludf.DUMMYFUNCTION("""COMPUTED_VALUE"""),"Yes, I will earn and do that")</f>
        <v>Yes, I will earn and do that</v>
      </c>
      <c r="G236" s="1" t="str">
        <f ca="1">IFERROR(__xludf.DUMMYFUNCTION("""COMPUTED_VALUE"""),"This will be hard to do, but if it is the right company I would try")</f>
        <v>This will be hard to do, but if it is the right company I would try</v>
      </c>
      <c r="H236" s="1" t="str">
        <f ca="1">IFERROR(__xludf.DUMMYFUNCTION("""COMPUTED_VALUE"""),"Yes")</f>
        <v>Yes</v>
      </c>
      <c r="I236" s="1" t="str">
        <f ca="1">IFERROR(__xludf.DUMMYFUNCTION("""COMPUTED_VALUE"""),"Will work for them")</f>
        <v>Will work for them</v>
      </c>
      <c r="J236" s="1">
        <f ca="1">IFERROR(__xludf.DUMMYFUNCTION("""COMPUTED_VALUE"""),5)</f>
        <v>5</v>
      </c>
      <c r="K236" s="1" t="str">
        <f ca="1">IFERROR(__xludf.DUMMYFUNCTION("""COMPUTED_VALUE"""),"Every Day Office Environment")</f>
        <v>Every Day Office Environment</v>
      </c>
      <c r="L236" s="1" t="str">
        <f ca="1">IFERROR(__xludf.DUMMYFUNCTION("""COMPUTED_VALUE"""),"Employer who appreciates learning and enables that environment")</f>
        <v>Employer who appreciates learning and enables that environment</v>
      </c>
      <c r="M236"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N236" s="4" t="s">
        <v>51</v>
      </c>
      <c r="O236" s="1" t="str">
        <f ca="1">IFERROR(__xludf.DUMMYFUNCTION("""COMPUTED_VALUE"""),"Manager who sets targets and expects me to achieve it")</f>
        <v>Manager who sets targets and expects me to achieve it</v>
      </c>
      <c r="P236" s="1" t="str">
        <f ca="1">IFERROR(__xludf.DUMMYFUNCTION("""COMPUTED_VALUE"""),"Work &gt;=7 People in the Team")</f>
        <v>Work &gt;=7 People in the Team</v>
      </c>
      <c r="Q236" s="1" t="s">
        <v>41</v>
      </c>
      <c r="R236" s="1"/>
    </row>
    <row r="237" spans="1:18" x14ac:dyDescent="0.25">
      <c r="A237" s="2">
        <f ca="1">IFERROR(__xludf.DUMMYFUNCTION("""COMPUTED_VALUE"""),44916.8914125925)</f>
        <v>44916.8914125925</v>
      </c>
      <c r="B237" s="1" t="str">
        <f ca="1">IFERROR(__xludf.DUMMYFUNCTION("""COMPUTED_VALUE"""),"India")</f>
        <v>India</v>
      </c>
      <c r="C237" s="1">
        <f ca="1">IFERROR(__xludf.DUMMYFUNCTION("""COMPUTED_VALUE"""),607001)</f>
        <v>607001</v>
      </c>
      <c r="D237" s="1" t="str">
        <f ca="1">IFERROR(__xludf.DUMMYFUNCTION("""COMPUTED_VALUE"""),"Male")</f>
        <v>Male</v>
      </c>
      <c r="E237" s="1" t="str">
        <f ca="1">IFERROR(__xludf.DUMMYFUNCTION("""COMPUTED_VALUE"""),"Social Media like LinkedIn")</f>
        <v>Social Media like LinkedIn</v>
      </c>
      <c r="F237" s="1" t="str">
        <f ca="1">IFERROR(__xludf.DUMMYFUNCTION("""COMPUTED_VALUE"""),"No, But if someone could bare the cost I will")</f>
        <v>No, But if someone could bare the cost I will</v>
      </c>
      <c r="G237" s="1" t="str">
        <f ca="1">IFERROR(__xludf.DUMMYFUNCTION("""COMPUTED_VALUE"""),"This will be hard to do, but if it is the right company I would try")</f>
        <v>This will be hard to do, but if it is the right company I would try</v>
      </c>
      <c r="H237" s="1" t="str">
        <f ca="1">IFERROR(__xludf.DUMMYFUNCTION("""COMPUTED_VALUE"""),"Yes")</f>
        <v>Yes</v>
      </c>
      <c r="I237" s="1" t="str">
        <f ca="1">IFERROR(__xludf.DUMMYFUNCTION("""COMPUTED_VALUE"""),"Will work for them")</f>
        <v>Will work for them</v>
      </c>
      <c r="J237" s="1">
        <f ca="1">IFERROR(__xludf.DUMMYFUNCTION("""COMPUTED_VALUE"""),5)</f>
        <v>5</v>
      </c>
      <c r="K237" s="1" t="str">
        <f ca="1">IFERROR(__xludf.DUMMYFUNCTION("""COMPUTED_VALUE"""),"Hybrid Working Environment with less than 15 days a month at office")</f>
        <v>Hybrid Working Environment with less than 15 days a month at office</v>
      </c>
      <c r="L237" s="1" t="str">
        <f ca="1">IFERROR(__xludf.DUMMYFUNCTION("""COMPUTED_VALUE"""),"Employer who pushes your limits by enabling an learning environment, and rewards you at the end")</f>
        <v>Employer who pushes your limits by enabling an learning environment, and rewards you at the end</v>
      </c>
      <c r="M23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37" s="4" t="s">
        <v>50</v>
      </c>
      <c r="O237" s="1" t="str">
        <f ca="1">IFERROR(__xludf.DUMMYFUNCTION("""COMPUTED_VALUE"""),"Manager who explains what is expected, sets a goal and helps achieve it")</f>
        <v>Manager who explains what is expected, sets a goal and helps achieve it</v>
      </c>
      <c r="P237" s="1" t="str">
        <f ca="1">IFERROR(__xludf.DUMMYFUNCTION("""COMPUTED_VALUE"""),"Work &lt;=6 People in the Team")</f>
        <v>Work &lt;=6 People in the Team</v>
      </c>
      <c r="Q237" s="1" t="s">
        <v>41</v>
      </c>
      <c r="R237" s="1"/>
    </row>
    <row r="238" spans="1:18" x14ac:dyDescent="0.25">
      <c r="A238" s="2">
        <f ca="1">IFERROR(__xludf.DUMMYFUNCTION("""COMPUTED_VALUE"""),44916.9028311226)</f>
        <v>44916.902831122599</v>
      </c>
      <c r="B238" s="1" t="str">
        <f ca="1">IFERROR(__xludf.DUMMYFUNCTION("""COMPUTED_VALUE"""),"India")</f>
        <v>India</v>
      </c>
      <c r="C238" s="1">
        <f ca="1">IFERROR(__xludf.DUMMYFUNCTION("""COMPUTED_VALUE"""),605102)</f>
        <v>605102</v>
      </c>
      <c r="D238" s="1" t="str">
        <f ca="1">IFERROR(__xludf.DUMMYFUNCTION("""COMPUTED_VALUE"""),"Female")</f>
        <v>Female</v>
      </c>
      <c r="E238" s="1" t="str">
        <f ca="1">IFERROR(__xludf.DUMMYFUNCTION("""COMPUTED_VALUE"""),"My Parents")</f>
        <v>My Parents</v>
      </c>
      <c r="F238" s="1" t="str">
        <f ca="1">IFERROR(__xludf.DUMMYFUNCTION("""COMPUTED_VALUE"""),"Yes, I will earn and do that")</f>
        <v>Yes, I will earn and do that</v>
      </c>
      <c r="G238" s="1" t="str">
        <f ca="1">IFERROR(__xludf.DUMMYFUNCTION("""COMPUTED_VALUE"""),"Will work for 3 years or more")</f>
        <v>Will work for 3 years or more</v>
      </c>
      <c r="H238" s="1" t="str">
        <f ca="1">IFERROR(__xludf.DUMMYFUNCTION("""COMPUTED_VALUE"""),"Yes")</f>
        <v>Yes</v>
      </c>
      <c r="I238" s="1" t="str">
        <f ca="1">IFERROR(__xludf.DUMMYFUNCTION("""COMPUTED_VALUE"""),"Will work for them")</f>
        <v>Will work for them</v>
      </c>
      <c r="J238" s="1">
        <f ca="1">IFERROR(__xludf.DUMMYFUNCTION("""COMPUTED_VALUE"""),1)</f>
        <v>1</v>
      </c>
      <c r="K238" s="1" t="str">
        <f ca="1">IFERROR(__xludf.DUMMYFUNCTION("""COMPUTED_VALUE"""),"Every Day Office Environment")</f>
        <v>Every Day Office Environment</v>
      </c>
      <c r="L238" s="1" t="str">
        <f ca="1">IFERROR(__xludf.DUMMYFUNCTION("""COMPUTED_VALUE"""),"Employer who appreciates learning and enables that environment")</f>
        <v>Employer who appreciates learning and enables that environment</v>
      </c>
      <c r="M238" s="1" t="str">
        <f ca="1">IFERROR(__xludf.DUMMYFUNCTION("""COMPUTED_VALUE"""),"Design and Creative strategy in any company, Work in a BPO setup for some well known client, Become a content Creator in some platform")</f>
        <v>Design and Creative strategy in any company, Work in a BPO setup for some well known client, Become a content Creator in some platform</v>
      </c>
      <c r="N238" s="4" t="s">
        <v>51</v>
      </c>
      <c r="O238" s="1" t="str">
        <f ca="1">IFERROR(__xludf.DUMMYFUNCTION("""COMPUTED_VALUE"""),"Manager who sets goal and helps me achieve it")</f>
        <v>Manager who sets goal and helps me achieve it</v>
      </c>
      <c r="P238" s="1" t="str">
        <f ca="1">IFERROR(__xludf.DUMMYFUNCTION("""COMPUTED_VALUE"""),"Work &gt;=7 People in the Team")</f>
        <v>Work &gt;=7 People in the Team</v>
      </c>
      <c r="Q238" s="1" t="s">
        <v>41</v>
      </c>
      <c r="R238" s="1"/>
    </row>
    <row r="239" spans="1:18" x14ac:dyDescent="0.25">
      <c r="A239" s="2">
        <f ca="1">IFERROR(__xludf.DUMMYFUNCTION("""COMPUTED_VALUE"""),44917.3138558912)</f>
        <v>44917.313855891203</v>
      </c>
      <c r="B239" s="1" t="str">
        <f ca="1">IFERROR(__xludf.DUMMYFUNCTION("""COMPUTED_VALUE"""),"India")</f>
        <v>India</v>
      </c>
      <c r="C239" s="1">
        <f ca="1">IFERROR(__xludf.DUMMYFUNCTION("""COMPUTED_VALUE"""),500026)</f>
        <v>500026</v>
      </c>
      <c r="D239" s="1" t="str">
        <f ca="1">IFERROR(__xludf.DUMMYFUNCTION("""COMPUTED_VALUE"""),"Female")</f>
        <v>Female</v>
      </c>
      <c r="E239" s="1" t="str">
        <f ca="1">IFERROR(__xludf.DUMMYFUNCTION("""COMPUTED_VALUE"""),"People who have changed the world for better")</f>
        <v>People who have changed the world for better</v>
      </c>
      <c r="F239" s="1" t="str">
        <f ca="1">IFERROR(__xludf.DUMMYFUNCTION("""COMPUTED_VALUE"""),"No I would not be pursuing Higher Education outside of India")</f>
        <v>No I would not be pursuing Higher Education outside of India</v>
      </c>
      <c r="G239" s="1" t="str">
        <f ca="1">IFERROR(__xludf.DUMMYFUNCTION("""COMPUTED_VALUE"""),"This will be hard to do, but if it is the right company I would try")</f>
        <v>This will be hard to do, but if it is the right company I would try</v>
      </c>
      <c r="H239" s="1" t="str">
        <f ca="1">IFERROR(__xludf.DUMMYFUNCTION("""COMPUTED_VALUE"""),"No")</f>
        <v>No</v>
      </c>
      <c r="I239" s="1" t="str">
        <f ca="1">IFERROR(__xludf.DUMMYFUNCTION("""COMPUTED_VALUE"""),"Will NOT work for them")</f>
        <v>Will NOT work for them</v>
      </c>
      <c r="J239" s="1">
        <f ca="1">IFERROR(__xludf.DUMMYFUNCTION("""COMPUTED_VALUE"""),7)</f>
        <v>7</v>
      </c>
      <c r="K239" s="1" t="str">
        <f ca="1">IFERROR(__xludf.DUMMYFUNCTION("""COMPUTED_VALUE"""),"Hybrid Working Environment with less than 10 days a month at office")</f>
        <v>Hybrid Working Environment with less than 10 days a month at office</v>
      </c>
      <c r="L239" s="1" t="str">
        <f ca="1">IFERROR(__xludf.DUMMYFUNCTION("""COMPUTED_VALUE"""),"Employer who pushes your limits by enabling an learning environment, and rewards you at the end")</f>
        <v>Employer who pushes your limits by enabling an learning environment, and rewards you at the end</v>
      </c>
      <c r="M239"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N239" s="4" t="s">
        <v>48</v>
      </c>
      <c r="O239" s="1" t="str">
        <f ca="1">IFERROR(__xludf.DUMMYFUNCTION("""COMPUTED_VALUE"""),"Manager who explains what is expected, sets a goal and helps achieve it")</f>
        <v>Manager who explains what is expected, sets a goal and helps achieve it</v>
      </c>
      <c r="P239" s="1" t="str">
        <f ca="1">IFERROR(__xludf.DUMMYFUNCTION("""COMPUTED_VALUE"""),"Work &lt;=6 People in the Team")</f>
        <v>Work &lt;=6 People in the Team</v>
      </c>
      <c r="Q239" s="1" t="s">
        <v>41</v>
      </c>
      <c r="R239" s="1"/>
    </row>
    <row r="240" spans="1:18" x14ac:dyDescent="0.25">
      <c r="A240" s="2">
        <f ca="1">IFERROR(__xludf.DUMMYFUNCTION("""COMPUTED_VALUE"""),44917.3672387963)</f>
        <v>44917.367238796302</v>
      </c>
      <c r="B240" s="1" t="str">
        <f ca="1">IFERROR(__xludf.DUMMYFUNCTION("""COMPUTED_VALUE"""),"India")</f>
        <v>India</v>
      </c>
      <c r="C240" s="1">
        <f ca="1">IFERROR(__xludf.DUMMYFUNCTION("""COMPUTED_VALUE"""),500030)</f>
        <v>500030</v>
      </c>
      <c r="D240" s="1" t="str">
        <f ca="1">IFERROR(__xludf.DUMMYFUNCTION("""COMPUTED_VALUE"""),"Female")</f>
        <v>Female</v>
      </c>
      <c r="E240" s="1" t="str">
        <f ca="1">IFERROR(__xludf.DUMMYFUNCTION("""COMPUTED_VALUE"""),"Social Media like LinkedIn")</f>
        <v>Social Media like LinkedIn</v>
      </c>
      <c r="F240" s="1" t="str">
        <f ca="1">IFERROR(__xludf.DUMMYFUNCTION("""COMPUTED_VALUE"""),"Yes, I will earn and do that")</f>
        <v>Yes, I will earn and do that</v>
      </c>
      <c r="G240" s="1" t="str">
        <f ca="1">IFERROR(__xludf.DUMMYFUNCTION("""COMPUTED_VALUE"""),"This will be hard to do, but if it is the right company I would try")</f>
        <v>This will be hard to do, but if it is the right company I would try</v>
      </c>
      <c r="H240" s="1" t="str">
        <f ca="1">IFERROR(__xludf.DUMMYFUNCTION("""COMPUTED_VALUE"""),"No")</f>
        <v>No</v>
      </c>
      <c r="I240" s="1" t="str">
        <f ca="1">IFERROR(__xludf.DUMMYFUNCTION("""COMPUTED_VALUE"""),"Will NOT work for them")</f>
        <v>Will NOT work for them</v>
      </c>
      <c r="J240" s="1">
        <f ca="1">IFERROR(__xludf.DUMMYFUNCTION("""COMPUTED_VALUE"""),5)</f>
        <v>5</v>
      </c>
      <c r="K240" s="1" t="str">
        <f ca="1">IFERROR(__xludf.DUMMYFUNCTION("""COMPUTED_VALUE"""),"Every Day Office Environment")</f>
        <v>Every Day Office Environment</v>
      </c>
      <c r="L240" s="1" t="str">
        <f ca="1">IFERROR(__xludf.DUMMYFUNCTION("""COMPUTED_VALUE"""),"Employer who appreciates learning and enables that environment")</f>
        <v>Employer who appreciates learning and enables that environment</v>
      </c>
      <c r="M240"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N240" s="4" t="s">
        <v>48</v>
      </c>
      <c r="O240" s="1" t="str">
        <f ca="1">IFERROR(__xludf.DUMMYFUNCTION("""COMPUTED_VALUE"""),"Manager who explains what is expected, sets a goal and helps achieve it")</f>
        <v>Manager who explains what is expected, sets a goal and helps achieve it</v>
      </c>
      <c r="P240" s="1" t="str">
        <f ca="1">IFERROR(__xludf.DUMMYFUNCTION("""COMPUTED_VALUE"""),"Work &gt;=7 People in the Team")</f>
        <v>Work &gt;=7 People in the Team</v>
      </c>
      <c r="Q240" s="1" t="s">
        <v>40</v>
      </c>
      <c r="R240" s="1"/>
    </row>
    <row r="241" spans="1:18" x14ac:dyDescent="0.25">
      <c r="A241" s="2">
        <f ca="1">IFERROR(__xludf.DUMMYFUNCTION("""COMPUTED_VALUE"""),44917.4499190277)</f>
        <v>44917.449919027698</v>
      </c>
      <c r="B241" s="1" t="str">
        <f ca="1">IFERROR(__xludf.DUMMYFUNCTION("""COMPUTED_VALUE"""),"India")</f>
        <v>India</v>
      </c>
      <c r="C241" s="1">
        <f ca="1">IFERROR(__xludf.DUMMYFUNCTION("""COMPUTED_VALUE"""),462043)</f>
        <v>462043</v>
      </c>
      <c r="D241" s="1" t="str">
        <f ca="1">IFERROR(__xludf.DUMMYFUNCTION("""COMPUTED_VALUE"""),"Female")</f>
        <v>Female</v>
      </c>
      <c r="E241" s="1" t="str">
        <f ca="1">IFERROR(__xludf.DUMMYFUNCTION("""COMPUTED_VALUE"""),"People who have changed the world for better")</f>
        <v>People who have changed the world for better</v>
      </c>
      <c r="F241" s="1" t="str">
        <f ca="1">IFERROR(__xludf.DUMMYFUNCTION("""COMPUTED_VALUE"""),"Yes, I will earn and do that")</f>
        <v>Yes, I will earn and do that</v>
      </c>
      <c r="G241" s="1" t="str">
        <f ca="1">IFERROR(__xludf.DUMMYFUNCTION("""COMPUTED_VALUE"""),"This will be hard to do, but if it is the right company I would try")</f>
        <v>This will be hard to do, but if it is the right company I would try</v>
      </c>
      <c r="H241" s="1" t="str">
        <f ca="1">IFERROR(__xludf.DUMMYFUNCTION("""COMPUTED_VALUE"""),"No")</f>
        <v>No</v>
      </c>
      <c r="I241" s="1" t="str">
        <f ca="1">IFERROR(__xludf.DUMMYFUNCTION("""COMPUTED_VALUE"""),"Will NOT work for them")</f>
        <v>Will NOT work for them</v>
      </c>
      <c r="J241" s="1">
        <f ca="1">IFERROR(__xludf.DUMMYFUNCTION("""COMPUTED_VALUE"""),8)</f>
        <v>8</v>
      </c>
      <c r="K241" s="1" t="str">
        <f ca="1">IFERROR(__xludf.DUMMYFUNCTION("""COMPUTED_VALUE"""),"Every Day Office Environment")</f>
        <v>Every Day Office Environment</v>
      </c>
      <c r="L241" s="1" t="str">
        <f ca="1">IFERROR(__xludf.DUMMYFUNCTION("""COMPUTED_VALUE"""),"Employer who pushes your limits by enabling an learning environment, and rewards you at the end")</f>
        <v>Employer who pushes your limits by enabling an learning environment, and rewards you at the end</v>
      </c>
      <c r="M241"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241" s="4" t="s">
        <v>50</v>
      </c>
      <c r="O241" s="1" t="str">
        <f ca="1">IFERROR(__xludf.DUMMYFUNCTION("""COMPUTED_VALUE"""),"Manager who sets goal and helps me achieve it")</f>
        <v>Manager who sets goal and helps me achieve it</v>
      </c>
      <c r="P241" s="1" t="str">
        <f ca="1">IFERROR(__xludf.DUMMYFUNCTION("""COMPUTED_VALUE"""),"Work Alone, &lt;=6 in team")</f>
        <v>Work Alone, &lt;=6 in team</v>
      </c>
      <c r="Q241" s="1" t="s">
        <v>40</v>
      </c>
      <c r="R241" s="1"/>
    </row>
    <row r="242" spans="1:18" x14ac:dyDescent="0.25">
      <c r="A242" s="2">
        <f ca="1">IFERROR(__xludf.DUMMYFUNCTION("""COMPUTED_VALUE"""),44917.4868687037)</f>
        <v>44917.486868703701</v>
      </c>
      <c r="B242" s="1" t="str">
        <f ca="1">IFERROR(__xludf.DUMMYFUNCTION("""COMPUTED_VALUE"""),"India")</f>
        <v>India</v>
      </c>
      <c r="C242" s="1">
        <f ca="1">IFERROR(__xludf.DUMMYFUNCTION("""COMPUTED_VALUE"""),786001)</f>
        <v>786001</v>
      </c>
      <c r="D242" s="1" t="str">
        <f ca="1">IFERROR(__xludf.DUMMYFUNCTION("""COMPUTED_VALUE"""),"Male")</f>
        <v>Male</v>
      </c>
      <c r="E242" s="1" t="str">
        <f ca="1">IFERROR(__xludf.DUMMYFUNCTION("""COMPUTED_VALUE"""),"People from my circle, but not family members")</f>
        <v>People from my circle, but not family members</v>
      </c>
      <c r="F242" s="1" t="str">
        <f ca="1">IFERROR(__xludf.DUMMYFUNCTION("""COMPUTED_VALUE"""),"No, But if someone could bare the cost I will")</f>
        <v>No, But if someone could bare the cost I will</v>
      </c>
      <c r="G242" s="1" t="str">
        <f ca="1">IFERROR(__xludf.DUMMYFUNCTION("""COMPUTED_VALUE"""),"This will be hard to do, but if it is the right company I would try")</f>
        <v>This will be hard to do, but if it is the right company I would try</v>
      </c>
      <c r="H242" s="1" t="str">
        <f ca="1">IFERROR(__xludf.DUMMYFUNCTION("""COMPUTED_VALUE"""),"No")</f>
        <v>No</v>
      </c>
      <c r="I242" s="1" t="str">
        <f ca="1">IFERROR(__xludf.DUMMYFUNCTION("""COMPUTED_VALUE"""),"Will work for them")</f>
        <v>Will work for them</v>
      </c>
      <c r="J242" s="1">
        <f ca="1">IFERROR(__xludf.DUMMYFUNCTION("""COMPUTED_VALUE"""),9)</f>
        <v>9</v>
      </c>
      <c r="K242" s="1" t="str">
        <f ca="1">IFERROR(__xludf.DUMMYFUNCTION("""COMPUTED_VALUE"""),"Hybrid Working Environment with less than 15 days a month at office")</f>
        <v>Hybrid Working Environment with less than 15 days a month at office</v>
      </c>
      <c r="L242" s="1" t="str">
        <f ca="1">IFERROR(__xludf.DUMMYFUNCTION("""COMPUTED_VALUE"""),"Employer who pushes your limits by enabling an learning environment, and rewards you at the end")</f>
        <v>Employer who pushes your limits by enabling an learning environment, and rewards you at the end</v>
      </c>
      <c r="M242"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N242" s="4" t="s">
        <v>51</v>
      </c>
      <c r="O242" s="1" t="str">
        <f ca="1">IFERROR(__xludf.DUMMYFUNCTION("""COMPUTED_VALUE"""),"Manager who explains what is expected, sets a goal and helps achieve it")</f>
        <v>Manager who explains what is expected, sets a goal and helps achieve it</v>
      </c>
      <c r="P242" s="1" t="str">
        <f ca="1">IFERROR(__xludf.DUMMYFUNCTION("""COMPUTED_VALUE"""),"Work &gt;=7 People in the Team")</f>
        <v>Work &gt;=7 People in the Team</v>
      </c>
      <c r="Q242" s="1" t="s">
        <v>40</v>
      </c>
      <c r="R242" s="1"/>
    </row>
    <row r="243" spans="1:18" x14ac:dyDescent="0.25">
      <c r="A243" s="2">
        <f ca="1">IFERROR(__xludf.DUMMYFUNCTION("""COMPUTED_VALUE"""),44917.5189604166)</f>
        <v>44917.518960416601</v>
      </c>
      <c r="B243" s="1" t="str">
        <f ca="1">IFERROR(__xludf.DUMMYFUNCTION("""COMPUTED_VALUE"""),"India")</f>
        <v>India</v>
      </c>
      <c r="C243" s="1">
        <f ca="1">IFERROR(__xludf.DUMMYFUNCTION("""COMPUTED_VALUE"""),605004)</f>
        <v>605004</v>
      </c>
      <c r="D243" s="1" t="str">
        <f ca="1">IFERROR(__xludf.DUMMYFUNCTION("""COMPUTED_VALUE"""),"Male")</f>
        <v>Male</v>
      </c>
      <c r="E243" s="1" t="str">
        <f ca="1">IFERROR(__xludf.DUMMYFUNCTION("""COMPUTED_VALUE"""),"Influencers who had successful careers")</f>
        <v>Influencers who had successful careers</v>
      </c>
      <c r="F243" s="1" t="str">
        <f ca="1">IFERROR(__xludf.DUMMYFUNCTION("""COMPUTED_VALUE"""),"Yes, I will earn and do that")</f>
        <v>Yes, I will earn and do that</v>
      </c>
      <c r="G243" s="1" t="str">
        <f ca="1">IFERROR(__xludf.DUMMYFUNCTION("""COMPUTED_VALUE"""),"This will be hard to do, but if it is the right company I would try")</f>
        <v>This will be hard to do, but if it is the right company I would try</v>
      </c>
      <c r="H243" s="1" t="str">
        <f ca="1">IFERROR(__xludf.DUMMYFUNCTION("""COMPUTED_VALUE"""),"No")</f>
        <v>No</v>
      </c>
      <c r="I243" s="1" t="str">
        <f ca="1">IFERROR(__xludf.DUMMYFUNCTION("""COMPUTED_VALUE"""),"Will NOT work for them")</f>
        <v>Will NOT work for them</v>
      </c>
      <c r="J243" s="1">
        <f ca="1">IFERROR(__xludf.DUMMYFUNCTION("""COMPUTED_VALUE"""),3)</f>
        <v>3</v>
      </c>
      <c r="K243" s="1" t="str">
        <f ca="1">IFERROR(__xludf.DUMMYFUNCTION("""COMPUTED_VALUE"""),"Hybrid Working Environment with less than 15 days a month at office")</f>
        <v>Hybrid Working Environment with less than 15 days a month at office</v>
      </c>
      <c r="L243" s="1" t="str">
        <f ca="1">IFERROR(__xludf.DUMMYFUNCTION("""COMPUTED_VALUE"""),"Employer who pushes your limits by enabling an learning environment, and rewards you at the end")</f>
        <v>Employer who pushes your limits by enabling an learning environment, and rewards you at the end</v>
      </c>
      <c r="M24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43" s="4" t="s">
        <v>50</v>
      </c>
      <c r="O243" s="1" t="str">
        <f ca="1">IFERROR(__xludf.DUMMYFUNCTION("""COMPUTED_VALUE"""),"Manager who explains what is expected, sets a goal and helps achieve it")</f>
        <v>Manager who explains what is expected, sets a goal and helps achieve it</v>
      </c>
      <c r="P243" s="1" t="str">
        <f ca="1">IFERROR(__xludf.DUMMYFUNCTION("""COMPUTED_VALUE"""),"Work Alone, &lt;=6 in team")</f>
        <v>Work Alone, &lt;=6 in team</v>
      </c>
      <c r="Q243" s="1" t="s">
        <v>40</v>
      </c>
      <c r="R243" s="1"/>
    </row>
    <row r="244" spans="1:18" x14ac:dyDescent="0.25">
      <c r="A244" s="2">
        <f ca="1">IFERROR(__xludf.DUMMYFUNCTION("""COMPUTED_VALUE"""),44917.5281405555)</f>
        <v>44917.5281405555</v>
      </c>
      <c r="B244" s="1" t="str">
        <f ca="1">IFERROR(__xludf.DUMMYFUNCTION("""COMPUTED_VALUE"""),"India")</f>
        <v>India</v>
      </c>
      <c r="C244" s="1">
        <f ca="1">IFERROR(__xludf.DUMMYFUNCTION("""COMPUTED_VALUE"""),700041)</f>
        <v>700041</v>
      </c>
      <c r="D244" s="1" t="str">
        <f ca="1">IFERROR(__xludf.DUMMYFUNCTION("""COMPUTED_VALUE"""),"Male")</f>
        <v>Male</v>
      </c>
      <c r="E244" s="1" t="str">
        <f ca="1">IFERROR(__xludf.DUMMYFUNCTION("""COMPUTED_VALUE"""),"People who have changed the world for better")</f>
        <v>People who have changed the world for better</v>
      </c>
      <c r="F244" s="1" t="str">
        <f ca="1">IFERROR(__xludf.DUMMYFUNCTION("""COMPUTED_VALUE"""),"No I would not be pursuing Higher Education outside of India")</f>
        <v>No I would not be pursuing Higher Education outside of India</v>
      </c>
      <c r="G244" s="1" t="str">
        <f ca="1">IFERROR(__xludf.DUMMYFUNCTION("""COMPUTED_VALUE"""),"This will be hard to do, but if it is the right company I would try")</f>
        <v>This will be hard to do, but if it is the right company I would try</v>
      </c>
      <c r="H244" s="1" t="str">
        <f ca="1">IFERROR(__xludf.DUMMYFUNCTION("""COMPUTED_VALUE"""),"No")</f>
        <v>No</v>
      </c>
      <c r="I244" s="1" t="str">
        <f ca="1">IFERROR(__xludf.DUMMYFUNCTION("""COMPUTED_VALUE"""),"Will NOT work for them")</f>
        <v>Will NOT work for them</v>
      </c>
      <c r="J244" s="1">
        <f ca="1">IFERROR(__xludf.DUMMYFUNCTION("""COMPUTED_VALUE"""),3)</f>
        <v>3</v>
      </c>
      <c r="K244" s="1" t="str">
        <f ca="1">IFERROR(__xludf.DUMMYFUNCTION("""COMPUTED_VALUE"""),"Fully Remote with Options to travel as and when needed")</f>
        <v>Fully Remote with Options to travel as and when needed</v>
      </c>
      <c r="L244" s="1" t="str">
        <f ca="1">IFERROR(__xludf.DUMMYFUNCTION("""COMPUTED_VALUE"""),"Employer who pushes your limits by enabling an learning environment, and rewards you at the end")</f>
        <v>Employer who pushes your limits by enabling an learning environment, and rewards you at the end</v>
      </c>
      <c r="M24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244" s="4" t="s">
        <v>51</v>
      </c>
      <c r="O244" s="1" t="str">
        <f ca="1">IFERROR(__xludf.DUMMYFUNCTION("""COMPUTED_VALUE"""),"Manager who explains what is expected, sets a goal and helps achieve it")</f>
        <v>Manager who explains what is expected, sets a goal and helps achieve it</v>
      </c>
      <c r="P244" s="1" t="str">
        <f ca="1">IFERROR(__xludf.DUMMYFUNCTION("""COMPUTED_VALUE"""),"Work &lt;=6 People in the Team")</f>
        <v>Work &lt;=6 People in the Team</v>
      </c>
      <c r="Q244" s="1" t="s">
        <v>40</v>
      </c>
      <c r="R244" s="1"/>
    </row>
    <row r="245" spans="1:18" x14ac:dyDescent="0.25">
      <c r="A245" s="2">
        <f ca="1">IFERROR(__xludf.DUMMYFUNCTION("""COMPUTED_VALUE"""),44917.5326362962)</f>
        <v>44917.532636296201</v>
      </c>
      <c r="B245" s="1" t="str">
        <f ca="1">IFERROR(__xludf.DUMMYFUNCTION("""COMPUTED_VALUE"""),"India")</f>
        <v>India</v>
      </c>
      <c r="C245" s="1">
        <f ca="1">IFERROR(__xludf.DUMMYFUNCTION("""COMPUTED_VALUE"""),700041)</f>
        <v>700041</v>
      </c>
      <c r="D245" s="1" t="str">
        <f ca="1">IFERROR(__xludf.DUMMYFUNCTION("""COMPUTED_VALUE"""),"Female")</f>
        <v>Female</v>
      </c>
      <c r="E245" s="1" t="str">
        <f ca="1">IFERROR(__xludf.DUMMYFUNCTION("""COMPUTED_VALUE"""),"My Parents")</f>
        <v>My Parents</v>
      </c>
      <c r="F245" s="1" t="str">
        <f ca="1">IFERROR(__xludf.DUMMYFUNCTION("""COMPUTED_VALUE"""),"No I would not be pursuing Higher Education outside of India")</f>
        <v>No I would not be pursuing Higher Education outside of India</v>
      </c>
      <c r="G245" s="1" t="str">
        <f ca="1">IFERROR(__xludf.DUMMYFUNCTION("""COMPUTED_VALUE"""),"This will be hard to do, but if it is the right company I would try")</f>
        <v>This will be hard to do, but if it is the right company I would try</v>
      </c>
      <c r="H245" s="1" t="str">
        <f ca="1">IFERROR(__xludf.DUMMYFUNCTION("""COMPUTED_VALUE"""),"No")</f>
        <v>No</v>
      </c>
      <c r="I245" s="1" t="str">
        <f ca="1">IFERROR(__xludf.DUMMYFUNCTION("""COMPUTED_VALUE"""),"Will NOT work for them")</f>
        <v>Will NOT work for them</v>
      </c>
      <c r="J245" s="1">
        <f ca="1">IFERROR(__xludf.DUMMYFUNCTION("""COMPUTED_VALUE"""),9)</f>
        <v>9</v>
      </c>
      <c r="K245" s="1" t="str">
        <f ca="1">IFERROR(__xludf.DUMMYFUNCTION("""COMPUTED_VALUE"""),"Fully Remote with Options to travel as and when needed")</f>
        <v>Fully Remote with Options to travel as and when needed</v>
      </c>
      <c r="L245" s="1" t="str">
        <f ca="1">IFERROR(__xludf.DUMMYFUNCTION("""COMPUTED_VALUE"""),"Employer who appreciates learning and enables that environment")</f>
        <v>Employer who appreciates learning and enables that environment</v>
      </c>
      <c r="M245"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245" s="4" t="s">
        <v>51</v>
      </c>
      <c r="O245" s="1" t="str">
        <f ca="1">IFERROR(__xludf.DUMMYFUNCTION("""COMPUTED_VALUE"""),"Manager who sets goal and helps me achieve it")</f>
        <v>Manager who sets goal and helps me achieve it</v>
      </c>
      <c r="P245" s="1" t="str">
        <f ca="1">IFERROR(__xludf.DUMMYFUNCTION("""COMPUTED_VALUE"""),"Work Alone, &lt;=6 in team")</f>
        <v>Work Alone, &lt;=6 in team</v>
      </c>
      <c r="Q245" s="1" t="s">
        <v>40</v>
      </c>
      <c r="R245" s="1"/>
    </row>
    <row r="246" spans="1:18" x14ac:dyDescent="0.25">
      <c r="A246" s="2">
        <f ca="1">IFERROR(__xludf.DUMMYFUNCTION("""COMPUTED_VALUE"""),44917.6240018749)</f>
        <v>44917.624001874901</v>
      </c>
      <c r="B246" s="1" t="str">
        <f ca="1">IFERROR(__xludf.DUMMYFUNCTION("""COMPUTED_VALUE"""),"India")</f>
        <v>India</v>
      </c>
      <c r="C246" s="1">
        <f ca="1">IFERROR(__xludf.DUMMYFUNCTION("""COMPUTED_VALUE"""),828114)</f>
        <v>828114</v>
      </c>
      <c r="D246" s="1" t="str">
        <f ca="1">IFERROR(__xludf.DUMMYFUNCTION("""COMPUTED_VALUE"""),"Male")</f>
        <v>Male</v>
      </c>
      <c r="E246" s="1" t="str">
        <f ca="1">IFERROR(__xludf.DUMMYFUNCTION("""COMPUTED_VALUE"""),"Influencers who had successful careers")</f>
        <v>Influencers who had successful careers</v>
      </c>
      <c r="F246" s="1" t="str">
        <f ca="1">IFERROR(__xludf.DUMMYFUNCTION("""COMPUTED_VALUE"""),"Yes, I will earn and do that")</f>
        <v>Yes, I will earn and do that</v>
      </c>
      <c r="G246" s="1" t="str">
        <f ca="1">IFERROR(__xludf.DUMMYFUNCTION("""COMPUTED_VALUE"""),"This will be hard to do, but if it is the right company I would try")</f>
        <v>This will be hard to do, but if it is the right company I would try</v>
      </c>
      <c r="H246" s="1" t="str">
        <f ca="1">IFERROR(__xludf.DUMMYFUNCTION("""COMPUTED_VALUE"""),"No")</f>
        <v>No</v>
      </c>
      <c r="I246" s="1" t="str">
        <f ca="1">IFERROR(__xludf.DUMMYFUNCTION("""COMPUTED_VALUE"""),"Will NOT work for them")</f>
        <v>Will NOT work for them</v>
      </c>
      <c r="J246" s="1">
        <f ca="1">IFERROR(__xludf.DUMMYFUNCTION("""COMPUTED_VALUE"""),7)</f>
        <v>7</v>
      </c>
      <c r="K246" s="1" t="str">
        <f ca="1">IFERROR(__xludf.DUMMYFUNCTION("""COMPUTED_VALUE"""),"Hybrid Working Environment with less than 15 days a month at office")</f>
        <v>Hybrid Working Environment with less than 15 days a month at office</v>
      </c>
      <c r="L246" s="1" t="str">
        <f ca="1">IFERROR(__xludf.DUMMYFUNCTION("""COMPUTED_VALUE"""),"Employer who pushes your limits by enabling an learning environment, and rewards you at the end")</f>
        <v>Employer who pushes your limits by enabling an learning environment, and rewards you at the end</v>
      </c>
      <c r="M246"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N246" s="4" t="s">
        <v>51</v>
      </c>
      <c r="O246" s="1" t="str">
        <f ca="1">IFERROR(__xludf.DUMMYFUNCTION("""COMPUTED_VALUE"""),"Manager who sets goal and helps me achieve it")</f>
        <v>Manager who sets goal and helps me achieve it</v>
      </c>
      <c r="P246" s="1" t="str">
        <f ca="1">IFERROR(__xludf.DUMMYFUNCTION("""COMPUTED_VALUE"""),"Work &lt;=6 People in the Team")</f>
        <v>Work &lt;=6 People in the Team</v>
      </c>
      <c r="Q246" s="1" t="s">
        <v>41</v>
      </c>
      <c r="R246" s="1"/>
    </row>
    <row r="247" spans="1:18" x14ac:dyDescent="0.25">
      <c r="A247" s="2">
        <f ca="1">IFERROR(__xludf.DUMMYFUNCTION("""COMPUTED_VALUE"""),44917.6491581713)</f>
        <v>44917.649158171298</v>
      </c>
      <c r="B247" s="1" t="str">
        <f ca="1">IFERROR(__xludf.DUMMYFUNCTION("""COMPUTED_VALUE"""),"Germany")</f>
        <v>Germany</v>
      </c>
      <c r="C247" s="1">
        <f ca="1">IFERROR(__xludf.DUMMYFUNCTION("""COMPUTED_VALUE"""),85368)</f>
        <v>85368</v>
      </c>
      <c r="D247" s="1" t="str">
        <f ca="1">IFERROR(__xludf.DUMMYFUNCTION("""COMPUTED_VALUE"""),"Female")</f>
        <v>Female</v>
      </c>
      <c r="E247" s="1" t="str">
        <f ca="1">IFERROR(__xludf.DUMMYFUNCTION("""COMPUTED_VALUE"""),"People who have changed the world for better")</f>
        <v>People who have changed the world for better</v>
      </c>
      <c r="F247" s="1" t="str">
        <f ca="1">IFERROR(__xludf.DUMMYFUNCTION("""COMPUTED_VALUE"""),"Yes, I will earn and do that")</f>
        <v>Yes, I will earn and do that</v>
      </c>
      <c r="G247" s="1" t="str">
        <f ca="1">IFERROR(__xludf.DUMMYFUNCTION("""COMPUTED_VALUE"""),"This will be hard to do, but if it is the right company I would try")</f>
        <v>This will be hard to do, but if it is the right company I would try</v>
      </c>
      <c r="H247" s="1" t="str">
        <f ca="1">IFERROR(__xludf.DUMMYFUNCTION("""COMPUTED_VALUE"""),"No")</f>
        <v>No</v>
      </c>
      <c r="I247" s="1" t="str">
        <f ca="1">IFERROR(__xludf.DUMMYFUNCTION("""COMPUTED_VALUE"""),"Will NOT work for them")</f>
        <v>Will NOT work for them</v>
      </c>
      <c r="J247" s="1">
        <f ca="1">IFERROR(__xludf.DUMMYFUNCTION("""COMPUTED_VALUE"""),5)</f>
        <v>5</v>
      </c>
      <c r="K247" s="1" t="str">
        <f ca="1">IFERROR(__xludf.DUMMYFUNCTION("""COMPUTED_VALUE"""),"Fully Remote with Options to travel as and when needed")</f>
        <v>Fully Remote with Options to travel as and when needed</v>
      </c>
      <c r="L247" s="1" t="str">
        <f ca="1">IFERROR(__xludf.DUMMYFUNCTION("""COMPUTED_VALUE"""),"Employer who appreciates learning and enables that environment")</f>
        <v>Employer who appreciates learning and enables that environment</v>
      </c>
      <c r="M247"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N247" s="4" t="s">
        <v>48</v>
      </c>
      <c r="O247" s="1" t="str">
        <f ca="1">IFERROR(__xludf.DUMMYFUNCTION("""COMPUTED_VALUE"""),"Manager who clearly describes what she/he needs")</f>
        <v>Manager who clearly describes what she/he needs</v>
      </c>
      <c r="P247" s="1" t="str">
        <f ca="1">IFERROR(__xludf.DUMMYFUNCTION("""COMPUTED_VALUE"""),"Work &lt;=6 People in the Team")</f>
        <v>Work &lt;=6 People in the Team</v>
      </c>
      <c r="Q247" s="1" t="s">
        <v>41</v>
      </c>
      <c r="R247" s="1"/>
    </row>
    <row r="248" spans="1:18" x14ac:dyDescent="0.25">
      <c r="A248" s="2">
        <f ca="1">IFERROR(__xludf.DUMMYFUNCTION("""COMPUTED_VALUE"""),44917.6510586111)</f>
        <v>44917.651058611104</v>
      </c>
      <c r="B248" s="1" t="str">
        <f ca="1">IFERROR(__xludf.DUMMYFUNCTION("""COMPUTED_VALUE"""),"Germany")</f>
        <v>Germany</v>
      </c>
      <c r="C248" s="1">
        <f ca="1">IFERROR(__xludf.DUMMYFUNCTION("""COMPUTED_VALUE"""),81369)</f>
        <v>81369</v>
      </c>
      <c r="D248" s="1" t="str">
        <f ca="1">IFERROR(__xludf.DUMMYFUNCTION("""COMPUTED_VALUE"""),"Female")</f>
        <v>Female</v>
      </c>
      <c r="E248" s="1" t="str">
        <f ca="1">IFERROR(__xludf.DUMMYFUNCTION("""COMPUTED_VALUE"""),"My Parents")</f>
        <v>My Parents</v>
      </c>
      <c r="F248" s="1" t="str">
        <f ca="1">IFERROR(__xludf.DUMMYFUNCTION("""COMPUTED_VALUE"""),"Yes, I will earn and do that")</f>
        <v>Yes, I will earn and do that</v>
      </c>
      <c r="G248" s="1" t="str">
        <f ca="1">IFERROR(__xludf.DUMMYFUNCTION("""COMPUTED_VALUE"""),"This will be hard to do, but if it is the right company I would try")</f>
        <v>This will be hard to do, but if it is the right company I would try</v>
      </c>
      <c r="H248" s="1" t="str">
        <f ca="1">IFERROR(__xludf.DUMMYFUNCTION("""COMPUTED_VALUE"""),"Yes")</f>
        <v>Yes</v>
      </c>
      <c r="I248" s="1" t="str">
        <f ca="1">IFERROR(__xludf.DUMMYFUNCTION("""COMPUTED_VALUE"""),"Will work for them")</f>
        <v>Will work for them</v>
      </c>
      <c r="J248" s="1">
        <f ca="1">IFERROR(__xludf.DUMMYFUNCTION("""COMPUTED_VALUE"""),10)</f>
        <v>10</v>
      </c>
      <c r="K248" s="1" t="str">
        <f ca="1">IFERROR(__xludf.DUMMYFUNCTION("""COMPUTED_VALUE"""),"Hybrid Working Environment with less than 10 days a month at office")</f>
        <v>Hybrid Working Environment with less than 10 days a month at office</v>
      </c>
      <c r="L248" s="1" t="str">
        <f ca="1">IFERROR(__xludf.DUMMYFUNCTION("""COMPUTED_VALUE"""),"Employer who rewards learning and enables that environment")</f>
        <v>Employer who rewards learning and enables that environment</v>
      </c>
      <c r="M248"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N248" s="4" t="s">
        <v>51</v>
      </c>
      <c r="O248" s="1" t="str">
        <f ca="1">IFERROR(__xludf.DUMMYFUNCTION("""COMPUTED_VALUE"""),"Manager who explains what is expected, sets a goal and helps achieve it")</f>
        <v>Manager who explains what is expected, sets a goal and helps achieve it</v>
      </c>
      <c r="P248" s="1" t="str">
        <f ca="1">IFERROR(__xludf.DUMMYFUNCTION("""COMPUTED_VALUE"""),"Work &lt;=6 People in the Team")</f>
        <v>Work &lt;=6 People in the Team</v>
      </c>
      <c r="Q248" s="1" t="s">
        <v>41</v>
      </c>
      <c r="R248" s="1"/>
    </row>
    <row r="249" spans="1:18" x14ac:dyDescent="0.25">
      <c r="A249" s="2">
        <f ca="1">IFERROR(__xludf.DUMMYFUNCTION("""COMPUTED_VALUE"""),44917.7131009027)</f>
        <v>44917.7131009027</v>
      </c>
      <c r="B249" s="1" t="str">
        <f ca="1">IFERROR(__xludf.DUMMYFUNCTION("""COMPUTED_VALUE"""),"India")</f>
        <v>India</v>
      </c>
      <c r="C249" s="1">
        <f ca="1">IFERROR(__xludf.DUMMYFUNCTION("""COMPUTED_VALUE"""),81241)</f>
        <v>81241</v>
      </c>
      <c r="D249" s="1" t="str">
        <f ca="1">IFERROR(__xludf.DUMMYFUNCTION("""COMPUTED_VALUE"""),"Male")</f>
        <v>Male</v>
      </c>
      <c r="E249" s="1" t="str">
        <f ca="1">IFERROR(__xludf.DUMMYFUNCTION("""COMPUTED_VALUE"""),"People who have changed the world for better")</f>
        <v>People who have changed the world for better</v>
      </c>
      <c r="F249" s="1" t="str">
        <f ca="1">IFERROR(__xludf.DUMMYFUNCTION("""COMPUTED_VALUE"""),"Yes, I will earn and do that")</f>
        <v>Yes, I will earn and do that</v>
      </c>
      <c r="G249" s="1" t="str">
        <f ca="1">IFERROR(__xludf.DUMMYFUNCTION("""COMPUTED_VALUE"""),"This will be hard to do, but if it is the right company I would try")</f>
        <v>This will be hard to do, but if it is the right company I would try</v>
      </c>
      <c r="H249" s="1" t="str">
        <f ca="1">IFERROR(__xludf.DUMMYFUNCTION("""COMPUTED_VALUE"""),"No")</f>
        <v>No</v>
      </c>
      <c r="I249" s="1" t="str">
        <f ca="1">IFERROR(__xludf.DUMMYFUNCTION("""COMPUTED_VALUE"""),"Will NOT work for them")</f>
        <v>Will NOT work for them</v>
      </c>
      <c r="J249" s="1">
        <f ca="1">IFERROR(__xludf.DUMMYFUNCTION("""COMPUTED_VALUE"""),5)</f>
        <v>5</v>
      </c>
      <c r="K249" s="1" t="str">
        <f ca="1">IFERROR(__xludf.DUMMYFUNCTION("""COMPUTED_VALUE"""),"Hybrid Working Environment with less than 15 days a month at office")</f>
        <v>Hybrid Working Environment with less than 15 days a month at office</v>
      </c>
      <c r="L249" s="1" t="str">
        <f ca="1">IFERROR(__xludf.DUMMYFUNCTION("""COMPUTED_VALUE"""),"Employer who pushes your limits by enabling an learning environment, and rewards you at the end")</f>
        <v>Employer who pushes your limits by enabling an learning environment, and rewards you at the end</v>
      </c>
      <c r="M24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N249" s="4" t="s">
        <v>51</v>
      </c>
      <c r="O249" s="1" t="str">
        <f ca="1">IFERROR(__xludf.DUMMYFUNCTION("""COMPUTED_VALUE"""),"Manager who explains what is expected, sets a goal and helps achieve it")</f>
        <v>Manager who explains what is expected, sets a goal and helps achieve it</v>
      </c>
      <c r="P249" s="1" t="str">
        <f ca="1">IFERROR(__xludf.DUMMYFUNCTION("""COMPUTED_VALUE"""),"Work &lt;=6 People in the Team")</f>
        <v>Work &lt;=6 People in the Team</v>
      </c>
      <c r="Q249" s="1" t="s">
        <v>40</v>
      </c>
      <c r="R249" s="1"/>
    </row>
    <row r="250" spans="1:18" x14ac:dyDescent="0.25">
      <c r="A250" s="2">
        <f ca="1">IFERROR(__xludf.DUMMYFUNCTION("""COMPUTED_VALUE"""),44917.7221082523)</f>
        <v>44917.722108252303</v>
      </c>
      <c r="B250" s="1" t="str">
        <f ca="1">IFERROR(__xludf.DUMMYFUNCTION("""COMPUTED_VALUE"""),"India")</f>
        <v>India</v>
      </c>
      <c r="C250" s="1">
        <f ca="1">IFERROR(__xludf.DUMMYFUNCTION("""COMPUTED_VALUE"""),176022)</f>
        <v>176022</v>
      </c>
      <c r="D250" s="1" t="str">
        <f ca="1">IFERROR(__xludf.DUMMYFUNCTION("""COMPUTED_VALUE"""),"Male")</f>
        <v>Male</v>
      </c>
      <c r="E250" s="1" t="str">
        <f ca="1">IFERROR(__xludf.DUMMYFUNCTION("""COMPUTED_VALUE"""),"Social Media like LinkedIn")</f>
        <v>Social Media like LinkedIn</v>
      </c>
      <c r="F250" s="1" t="str">
        <f ca="1">IFERROR(__xludf.DUMMYFUNCTION("""COMPUTED_VALUE"""),"Yes, I will earn and do that")</f>
        <v>Yes, I will earn and do that</v>
      </c>
      <c r="G250" s="1" t="str">
        <f ca="1">IFERROR(__xludf.DUMMYFUNCTION("""COMPUTED_VALUE"""),"Will work for 3 years or more")</f>
        <v>Will work for 3 years or more</v>
      </c>
      <c r="H250" s="1" t="str">
        <f ca="1">IFERROR(__xludf.DUMMYFUNCTION("""COMPUTED_VALUE"""),"No")</f>
        <v>No</v>
      </c>
      <c r="I250" s="1" t="str">
        <f ca="1">IFERROR(__xludf.DUMMYFUNCTION("""COMPUTED_VALUE"""),"Will work for them")</f>
        <v>Will work for them</v>
      </c>
      <c r="J250" s="1">
        <f ca="1">IFERROR(__xludf.DUMMYFUNCTION("""COMPUTED_VALUE"""),7)</f>
        <v>7</v>
      </c>
      <c r="K250" s="1" t="str">
        <f ca="1">IFERROR(__xludf.DUMMYFUNCTION("""COMPUTED_VALUE"""),"Hybrid Working Environment with less than 10 days a month at office")</f>
        <v>Hybrid Working Environment with less than 10 days a month at office</v>
      </c>
      <c r="L250" s="1" t="str">
        <f ca="1">IFERROR(__xludf.DUMMYFUNCTION("""COMPUTED_VALUE"""),"Employer who rewards learning and enables that environment")</f>
        <v>Employer who rewards learning and enables that environment</v>
      </c>
      <c r="M250"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N250" s="4" t="s">
        <v>55</v>
      </c>
      <c r="O250" s="1" t="str">
        <f ca="1">IFERROR(__xludf.DUMMYFUNCTION("""COMPUTED_VALUE"""),"Manager who sets targets and expects me to achieve it")</f>
        <v>Manager who sets targets and expects me to achieve it</v>
      </c>
      <c r="P250" s="1" t="str">
        <f ca="1">IFERROR(__xludf.DUMMYFUNCTION("""COMPUTED_VALUE"""),"Work &lt;=6 People in the Team")</f>
        <v>Work &lt;=6 People in the Team</v>
      </c>
      <c r="Q250" s="1" t="s">
        <v>41</v>
      </c>
      <c r="R250" s="1"/>
    </row>
    <row r="251" spans="1:18" x14ac:dyDescent="0.25">
      <c r="A251" s="2">
        <f ca="1">IFERROR(__xludf.DUMMYFUNCTION("""COMPUTED_VALUE"""),44917.8960301736)</f>
        <v>44917.896030173601</v>
      </c>
      <c r="B251" s="1" t="str">
        <f ca="1">IFERROR(__xludf.DUMMYFUNCTION("""COMPUTED_VALUE"""),"Canada")</f>
        <v>Canada</v>
      </c>
      <c r="C251" s="1" t="str">
        <f ca="1">IFERROR(__xludf.DUMMYFUNCTION("""COMPUTED_VALUE"""),"N2H6M6")</f>
        <v>N2H6M6</v>
      </c>
      <c r="D251" s="1" t="str">
        <f ca="1">IFERROR(__xludf.DUMMYFUNCTION("""COMPUTED_VALUE"""),"Male")</f>
        <v>Male</v>
      </c>
      <c r="E251" s="1" t="str">
        <f ca="1">IFERROR(__xludf.DUMMYFUNCTION("""COMPUTED_VALUE"""),"People who have changed the world for better")</f>
        <v>People who have changed the world for better</v>
      </c>
      <c r="F251" s="1" t="str">
        <f ca="1">IFERROR(__xludf.DUMMYFUNCTION("""COMPUTED_VALUE"""),"Yes, I will earn and do that")</f>
        <v>Yes, I will earn and do that</v>
      </c>
      <c r="G251" s="1" t="str">
        <f ca="1">IFERROR(__xludf.DUMMYFUNCTION("""COMPUTED_VALUE"""),"This will be hard to do, but if it is the right company I would try")</f>
        <v>This will be hard to do, but if it is the right company I would try</v>
      </c>
      <c r="H251" s="1" t="str">
        <f ca="1">IFERROR(__xludf.DUMMYFUNCTION("""COMPUTED_VALUE"""),"No")</f>
        <v>No</v>
      </c>
      <c r="I251" s="1" t="str">
        <f ca="1">IFERROR(__xludf.DUMMYFUNCTION("""COMPUTED_VALUE"""),"Will NOT work for them")</f>
        <v>Will NOT work for them</v>
      </c>
      <c r="J251" s="1">
        <f ca="1">IFERROR(__xludf.DUMMYFUNCTION("""COMPUTED_VALUE"""),5)</f>
        <v>5</v>
      </c>
      <c r="K251" s="1" t="str">
        <f ca="1">IFERROR(__xludf.DUMMYFUNCTION("""COMPUTED_VALUE"""),"Hybrid Working Environment with less than 15 days a month at office")</f>
        <v>Hybrid Working Environment with less than 15 days a month at office</v>
      </c>
      <c r="L251" s="1" t="str">
        <f ca="1">IFERROR(__xludf.DUMMYFUNCTION("""COMPUTED_VALUE"""),"Employer who pushes your limits by enabling an learning environment, and rewards you at the end")</f>
        <v>Employer who pushes your limits by enabling an learning environment, and rewards you at the end</v>
      </c>
      <c r="M25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51" s="4" t="s">
        <v>51</v>
      </c>
      <c r="O251" s="1" t="str">
        <f ca="1">IFERROR(__xludf.DUMMYFUNCTION("""COMPUTED_VALUE"""),"Manager who explains what is expected, sets a goal and helps achieve it")</f>
        <v>Manager who explains what is expected, sets a goal and helps achieve it</v>
      </c>
      <c r="P251" s="1" t="str">
        <f ca="1">IFERROR(__xludf.DUMMYFUNCTION("""COMPUTED_VALUE"""),"Work &gt;10 people in Team")</f>
        <v>Work &gt;10 people in Team</v>
      </c>
      <c r="Q251" s="1" t="s">
        <v>40</v>
      </c>
      <c r="R251" s="1"/>
    </row>
    <row r="252" spans="1:18" x14ac:dyDescent="0.25">
      <c r="A252" s="2">
        <f ca="1">IFERROR(__xludf.DUMMYFUNCTION("""COMPUTED_VALUE"""),44917.9577746875)</f>
        <v>44917.9577746875</v>
      </c>
      <c r="B252" s="1" t="str">
        <f ca="1">IFERROR(__xludf.DUMMYFUNCTION("""COMPUTED_VALUE"""),"India")</f>
        <v>India</v>
      </c>
      <c r="C252" s="1">
        <f ca="1">IFERROR(__xludf.DUMMYFUNCTION("""COMPUTED_VALUE"""),500078)</f>
        <v>500078</v>
      </c>
      <c r="D252" s="1" t="str">
        <f ca="1">IFERROR(__xludf.DUMMYFUNCTION("""COMPUTED_VALUE"""),"Male")</f>
        <v>Male</v>
      </c>
      <c r="E252" s="1" t="str">
        <f ca="1">IFERROR(__xludf.DUMMYFUNCTION("""COMPUTED_VALUE"""),"My Parents")</f>
        <v>My Parents</v>
      </c>
      <c r="F252" s="1" t="str">
        <f ca="1">IFERROR(__xludf.DUMMYFUNCTION("""COMPUTED_VALUE"""),"No, But if someone could bare the cost I will")</f>
        <v>No, But if someone could bare the cost I will</v>
      </c>
      <c r="G252" s="1" t="str">
        <f ca="1">IFERROR(__xludf.DUMMYFUNCTION("""COMPUTED_VALUE"""),"This will be hard to do, but if it is the right company I would try")</f>
        <v>This will be hard to do, but if it is the right company I would try</v>
      </c>
      <c r="H252" s="1" t="str">
        <f ca="1">IFERROR(__xludf.DUMMYFUNCTION("""COMPUTED_VALUE"""),"Yes")</f>
        <v>Yes</v>
      </c>
      <c r="I252" s="1" t="str">
        <f ca="1">IFERROR(__xludf.DUMMYFUNCTION("""COMPUTED_VALUE"""),"Will work for them")</f>
        <v>Will work for them</v>
      </c>
      <c r="J252" s="1">
        <f ca="1">IFERROR(__xludf.DUMMYFUNCTION("""COMPUTED_VALUE"""),8)</f>
        <v>8</v>
      </c>
      <c r="K252" s="1" t="str">
        <f ca="1">IFERROR(__xludf.DUMMYFUNCTION("""COMPUTED_VALUE"""),"Hybrid Working Environment with less than 15 days a month at office")</f>
        <v>Hybrid Working Environment with less than 15 days a month at office</v>
      </c>
      <c r="L252" s="1" t="str">
        <f ca="1">IFERROR(__xludf.DUMMYFUNCTION("""COMPUTED_VALUE"""),"Employer who rewards learning and enables that environment")</f>
        <v>Employer who rewards learning and enables that environment</v>
      </c>
      <c r="M252" s="1" t="str">
        <f ca="1">IFERROR(__xludf.DUMMYFUNCTION("""COMPUTED_VALUE"""),"Manage and drive End-to-End Projects or Products, Design and Develop amazing software, Work as a freelancer and do my thing my way")</f>
        <v>Manage and drive End-to-End Projects or Products, Design and Develop amazing software, Work as a freelancer and do my thing my way</v>
      </c>
      <c r="N252" s="4" t="s">
        <v>48</v>
      </c>
      <c r="O252" s="1" t="str">
        <f ca="1">IFERROR(__xludf.DUMMYFUNCTION("""COMPUTED_VALUE"""),"Manager who explains what is expected, sets a goal and helps achieve it")</f>
        <v>Manager who explains what is expected, sets a goal and helps achieve it</v>
      </c>
      <c r="P252" s="1" t="str">
        <f ca="1">IFERROR(__xludf.DUMMYFUNCTION("""COMPUTED_VALUE"""),"Work &lt;=6 People in the Team")</f>
        <v>Work &lt;=6 People in the Team</v>
      </c>
      <c r="Q252" s="1" t="s">
        <v>41</v>
      </c>
      <c r="R252" s="1"/>
    </row>
    <row r="253" spans="1:18" x14ac:dyDescent="0.25">
      <c r="A253" s="2">
        <f ca="1">IFERROR(__xludf.DUMMYFUNCTION("""COMPUTED_VALUE"""),44918.0644536458)</f>
        <v>44918.064453645798</v>
      </c>
      <c r="B253" s="1" t="str">
        <f ca="1">IFERROR(__xludf.DUMMYFUNCTION("""COMPUTED_VALUE"""),"Germany")</f>
        <v>Germany</v>
      </c>
      <c r="C253" s="1">
        <f ca="1">IFERROR(__xludf.DUMMYFUNCTION("""COMPUTED_VALUE"""),81241)</f>
        <v>81241</v>
      </c>
      <c r="D253" s="1" t="str">
        <f ca="1">IFERROR(__xludf.DUMMYFUNCTION("""COMPUTED_VALUE"""),"Male")</f>
        <v>Male</v>
      </c>
      <c r="E253" s="1" t="str">
        <f ca="1">IFERROR(__xludf.DUMMYFUNCTION("""COMPUTED_VALUE"""),"My Parents")</f>
        <v>My Parents</v>
      </c>
      <c r="F253" s="1" t="str">
        <f ca="1">IFERROR(__xludf.DUMMYFUNCTION("""COMPUTED_VALUE"""),"Yes, I will earn and do that")</f>
        <v>Yes, I will earn and do that</v>
      </c>
      <c r="G253" s="1" t="str">
        <f ca="1">IFERROR(__xludf.DUMMYFUNCTION("""COMPUTED_VALUE"""),"This will be hard to do, but if it is the right company I would try")</f>
        <v>This will be hard to do, but if it is the right company I would try</v>
      </c>
      <c r="H253" s="1" t="str">
        <f ca="1">IFERROR(__xludf.DUMMYFUNCTION("""COMPUTED_VALUE"""),"No")</f>
        <v>No</v>
      </c>
      <c r="I253" s="1" t="str">
        <f ca="1">IFERROR(__xludf.DUMMYFUNCTION("""COMPUTED_VALUE"""),"Will NOT work for them")</f>
        <v>Will NOT work for them</v>
      </c>
      <c r="J253" s="1">
        <f ca="1">IFERROR(__xludf.DUMMYFUNCTION("""COMPUTED_VALUE"""),3)</f>
        <v>3</v>
      </c>
      <c r="K253" s="1" t="str">
        <f ca="1">IFERROR(__xludf.DUMMYFUNCTION("""COMPUTED_VALUE"""),"Hybrid Working Environment with less than 15 days a month at office")</f>
        <v>Hybrid Working Environment with less than 15 days a month at office</v>
      </c>
      <c r="L253" s="1" t="str">
        <f ca="1">IFERROR(__xludf.DUMMYFUNCTION("""COMPUTED_VALUE"""),"Employer who rewards learning and enables that environment")</f>
        <v>Employer who rewards learning and enables that environment</v>
      </c>
      <c r="M25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53" s="4" t="s">
        <v>51</v>
      </c>
      <c r="O253" s="1" t="str">
        <f ca="1">IFERROR(__xludf.DUMMYFUNCTION("""COMPUTED_VALUE"""),"Manager who sets goal and helps me achieve it")</f>
        <v>Manager who sets goal and helps me achieve it</v>
      </c>
      <c r="P253" s="1" t="str">
        <f ca="1">IFERROR(__xludf.DUMMYFUNCTION("""COMPUTED_VALUE"""),"Work &lt;=6 People in the Team")</f>
        <v>Work &lt;=6 People in the Team</v>
      </c>
      <c r="Q253" s="1" t="s">
        <v>41</v>
      </c>
      <c r="R253" s="1"/>
    </row>
    <row r="254" spans="1:18" x14ac:dyDescent="0.25">
      <c r="A254" s="2">
        <f ca="1">IFERROR(__xludf.DUMMYFUNCTION("""COMPUTED_VALUE"""),44918.7190850925)</f>
        <v>44918.719085092504</v>
      </c>
      <c r="B254" s="1" t="str">
        <f ca="1">IFERROR(__xludf.DUMMYFUNCTION("""COMPUTED_VALUE"""),"India")</f>
        <v>India</v>
      </c>
      <c r="C254" s="1">
        <f ca="1">IFERROR(__xludf.DUMMYFUNCTION("""COMPUTED_VALUE"""),305901)</f>
        <v>305901</v>
      </c>
      <c r="D254" s="1" t="str">
        <f ca="1">IFERROR(__xludf.DUMMYFUNCTION("""COMPUTED_VALUE"""),"Male")</f>
        <v>Male</v>
      </c>
      <c r="E254" s="1" t="str">
        <f ca="1">IFERROR(__xludf.DUMMYFUNCTION("""COMPUTED_VALUE"""),"People from my circle, but not family members")</f>
        <v>People from my circle, but not family members</v>
      </c>
      <c r="F254" s="1" t="str">
        <f ca="1">IFERROR(__xludf.DUMMYFUNCTION("""COMPUTED_VALUE"""),"Yes, I will earn and do that")</f>
        <v>Yes, I will earn and do that</v>
      </c>
      <c r="G254" s="1" t="str">
        <f ca="1">IFERROR(__xludf.DUMMYFUNCTION("""COMPUTED_VALUE"""),"This will be hard to do, but if it is the right company I would try")</f>
        <v>This will be hard to do, but if it is the right company I would try</v>
      </c>
      <c r="H254" s="1" t="str">
        <f ca="1">IFERROR(__xludf.DUMMYFUNCTION("""COMPUTED_VALUE"""),"No")</f>
        <v>No</v>
      </c>
      <c r="I254" s="1" t="str">
        <f ca="1">IFERROR(__xludf.DUMMYFUNCTION("""COMPUTED_VALUE"""),"Will NOT work for them")</f>
        <v>Will NOT work for them</v>
      </c>
      <c r="J254" s="1">
        <f ca="1">IFERROR(__xludf.DUMMYFUNCTION("""COMPUTED_VALUE"""),6)</f>
        <v>6</v>
      </c>
      <c r="K254" s="1" t="str">
        <f ca="1">IFERROR(__xludf.DUMMYFUNCTION("""COMPUTED_VALUE"""),"Hybrid Working Environment with less than 15 days a month at office")</f>
        <v>Hybrid Working Environment with less than 15 days a month at office</v>
      </c>
      <c r="L254" s="1" t="str">
        <f ca="1">IFERROR(__xludf.DUMMYFUNCTION("""COMPUTED_VALUE"""),"Employer who pushes your limits by enabling an learning environment, and rewards you at the end")</f>
        <v>Employer who pushes your limits by enabling an learning environment, and rewards you at the end</v>
      </c>
      <c r="M254"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N254" s="4" t="s">
        <v>55</v>
      </c>
      <c r="O254" s="1" t="str">
        <f ca="1">IFERROR(__xludf.DUMMYFUNCTION("""COMPUTED_VALUE"""),"Manager who explains what is expected, sets a goal and helps achieve it")</f>
        <v>Manager who explains what is expected, sets a goal and helps achieve it</v>
      </c>
      <c r="P254" s="1" t="str">
        <f ca="1">IFERROR(__xludf.DUMMYFUNCTION("""COMPUTED_VALUE"""),"Work &lt;=6 People in the Team")</f>
        <v>Work &lt;=6 People in the Team</v>
      </c>
      <c r="Q254" s="1" t="s">
        <v>40</v>
      </c>
      <c r="R254" s="1"/>
    </row>
    <row r="255" spans="1:18" x14ac:dyDescent="0.25">
      <c r="A255" s="2">
        <f ca="1">IFERROR(__xludf.DUMMYFUNCTION("""COMPUTED_VALUE"""),44918.760680243)</f>
        <v>44918.760680243002</v>
      </c>
      <c r="B255" s="1" t="str">
        <f ca="1">IFERROR(__xludf.DUMMYFUNCTION("""COMPUTED_VALUE"""),"India")</f>
        <v>India</v>
      </c>
      <c r="C255" s="1">
        <f ca="1">IFERROR(__xludf.DUMMYFUNCTION("""COMPUTED_VALUE"""),385001)</f>
        <v>385001</v>
      </c>
      <c r="D255" s="1" t="str">
        <f ca="1">IFERROR(__xludf.DUMMYFUNCTION("""COMPUTED_VALUE"""),"Female")</f>
        <v>Female</v>
      </c>
      <c r="E255" s="1" t="str">
        <f ca="1">IFERROR(__xludf.DUMMYFUNCTION("""COMPUTED_VALUE"""),"My Parents")</f>
        <v>My Parents</v>
      </c>
      <c r="F255" s="1" t="str">
        <f ca="1">IFERROR(__xludf.DUMMYFUNCTION("""COMPUTED_VALUE"""),"No I would not be pursuing Higher Education outside of India")</f>
        <v>No I would not be pursuing Higher Education outside of India</v>
      </c>
      <c r="G255" s="1" t="str">
        <f ca="1">IFERROR(__xludf.DUMMYFUNCTION("""COMPUTED_VALUE"""),"This will be hard to do, but if it is the right company I would try")</f>
        <v>This will be hard to do, but if it is the right company I would try</v>
      </c>
      <c r="H255" s="1" t="str">
        <f ca="1">IFERROR(__xludf.DUMMYFUNCTION("""COMPUTED_VALUE"""),"Yes")</f>
        <v>Yes</v>
      </c>
      <c r="I255" s="1" t="str">
        <f ca="1">IFERROR(__xludf.DUMMYFUNCTION("""COMPUTED_VALUE"""),"Will work for them")</f>
        <v>Will work for them</v>
      </c>
      <c r="J255" s="1">
        <f ca="1">IFERROR(__xludf.DUMMYFUNCTION("""COMPUTED_VALUE"""),10)</f>
        <v>10</v>
      </c>
      <c r="K255" s="1" t="str">
        <f ca="1">IFERROR(__xludf.DUMMYFUNCTION("""COMPUTED_VALUE"""),"Fully Remote with Options to travel as and when needed")</f>
        <v>Fully Remote with Options to travel as and when needed</v>
      </c>
      <c r="L255" s="1" t="str">
        <f ca="1">IFERROR(__xludf.DUMMYFUNCTION("""COMPUTED_VALUE"""),"Employer who appreciates learning and enables that environment")</f>
        <v>Employer who appreciates learning and enables that environment</v>
      </c>
      <c r="M255" s="1" t="str">
        <f ca="1">IFERROR(__xludf.DUMMYFUNCTION("""COMPUTED_VALUE"""),"Design and Creative strategy in any company, Build and develop a Team, Work in a BPO setup for some well known client")</f>
        <v>Design and Creative strategy in any company, Build and develop a Team, Work in a BPO setup for some well known client</v>
      </c>
      <c r="N255" s="4" t="s">
        <v>51</v>
      </c>
      <c r="O255" s="1" t="str">
        <f ca="1">IFERROR(__xludf.DUMMYFUNCTION("""COMPUTED_VALUE"""),"Manager who clearly describes what she/he needs")</f>
        <v>Manager who clearly describes what she/he needs</v>
      </c>
      <c r="P255" s="1" t="str">
        <f ca="1">IFERROR(__xludf.DUMMYFUNCTION("""COMPUTED_VALUE"""),"Work alone")</f>
        <v>Work alone</v>
      </c>
      <c r="Q255" s="1" t="s">
        <v>42</v>
      </c>
      <c r="R255" s="1"/>
    </row>
    <row r="256" spans="1:18" x14ac:dyDescent="0.25">
      <c r="A256" s="2">
        <f ca="1">IFERROR(__xludf.DUMMYFUNCTION("""COMPUTED_VALUE"""),44918.7615345601)</f>
        <v>44918.761534560101</v>
      </c>
      <c r="B256" s="1" t="str">
        <f ca="1">IFERROR(__xludf.DUMMYFUNCTION("""COMPUTED_VALUE"""),"India")</f>
        <v>India</v>
      </c>
      <c r="C256" s="1">
        <f ca="1">IFERROR(__xludf.DUMMYFUNCTION("""COMPUTED_VALUE"""),385001)</f>
        <v>385001</v>
      </c>
      <c r="D256" s="1" t="str">
        <f ca="1">IFERROR(__xludf.DUMMYFUNCTION("""COMPUTED_VALUE"""),"Female")</f>
        <v>Female</v>
      </c>
      <c r="E256" s="1" t="str">
        <f ca="1">IFERROR(__xludf.DUMMYFUNCTION("""COMPUTED_VALUE"""),"My Parents")</f>
        <v>My Parents</v>
      </c>
      <c r="F256" s="1" t="str">
        <f ca="1">IFERROR(__xludf.DUMMYFUNCTION("""COMPUTED_VALUE"""),"No I would not be pursuing Higher Education outside of India")</f>
        <v>No I would not be pursuing Higher Education outside of India</v>
      </c>
      <c r="G256" s="1" t="str">
        <f ca="1">IFERROR(__xludf.DUMMYFUNCTION("""COMPUTED_VALUE"""),"This will be hard to do, but if it is the right company I would try")</f>
        <v>This will be hard to do, but if it is the right company I would try</v>
      </c>
      <c r="H256" s="1" t="str">
        <f ca="1">IFERROR(__xludf.DUMMYFUNCTION("""COMPUTED_VALUE"""),"Yes")</f>
        <v>Yes</v>
      </c>
      <c r="I256" s="1" t="str">
        <f ca="1">IFERROR(__xludf.DUMMYFUNCTION("""COMPUTED_VALUE"""),"Will work for them")</f>
        <v>Will work for them</v>
      </c>
      <c r="J256" s="1">
        <f ca="1">IFERROR(__xludf.DUMMYFUNCTION("""COMPUTED_VALUE"""),4)</f>
        <v>4</v>
      </c>
      <c r="K256" s="1" t="str">
        <f ca="1">IFERROR(__xludf.DUMMYFUNCTION("""COMPUTED_VALUE"""),"Every Day Office Environment")</f>
        <v>Every Day Office Environment</v>
      </c>
      <c r="L256" s="1" t="str">
        <f ca="1">IFERROR(__xludf.DUMMYFUNCTION("""COMPUTED_VALUE"""),"Employer who appreciates learning and enables that environment")</f>
        <v>Employer who appreciates learning and enables that environment</v>
      </c>
      <c r="M25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N256" s="4" t="s">
        <v>57</v>
      </c>
      <c r="O256" s="1" t="str">
        <f ca="1">IFERROR(__xludf.DUMMYFUNCTION("""COMPUTED_VALUE"""),"Manager who explains what is expected, sets a goal and helps achieve it")</f>
        <v>Manager who explains what is expected, sets a goal and helps achieve it</v>
      </c>
      <c r="P256" s="1" t="str">
        <f ca="1">IFERROR(__xludf.DUMMYFUNCTION("""COMPUTED_VALUE"""),"Work &lt;=6 People in the Team")</f>
        <v>Work &lt;=6 People in the Team</v>
      </c>
      <c r="Q256" s="1" t="s">
        <v>41</v>
      </c>
      <c r="R256" s="1"/>
    </row>
    <row r="257" spans="1:18" x14ac:dyDescent="0.25">
      <c r="A257" s="2">
        <f ca="1">IFERROR(__xludf.DUMMYFUNCTION("""COMPUTED_VALUE"""),44918.761956574)</f>
        <v>44918.761956574002</v>
      </c>
      <c r="B257" s="1" t="str">
        <f ca="1">IFERROR(__xludf.DUMMYFUNCTION("""COMPUTED_VALUE"""),"India")</f>
        <v>India</v>
      </c>
      <c r="C257" s="1">
        <f ca="1">IFERROR(__xludf.DUMMYFUNCTION("""COMPUTED_VALUE"""),380052)</f>
        <v>380052</v>
      </c>
      <c r="D257" s="1" t="str">
        <f ca="1">IFERROR(__xludf.DUMMYFUNCTION("""COMPUTED_VALUE"""),"Female")</f>
        <v>Female</v>
      </c>
      <c r="E257" s="1" t="str">
        <f ca="1">IFERROR(__xludf.DUMMYFUNCTION("""COMPUTED_VALUE"""),"My Parents")</f>
        <v>My Parents</v>
      </c>
      <c r="F257" s="1" t="str">
        <f ca="1">IFERROR(__xludf.DUMMYFUNCTION("""COMPUTED_VALUE"""),"Yes, I will earn and do that")</f>
        <v>Yes, I will earn and do that</v>
      </c>
      <c r="G257" s="1" t="str">
        <f ca="1">IFERROR(__xludf.DUMMYFUNCTION("""COMPUTED_VALUE"""),"Will work for 3 years or more")</f>
        <v>Will work for 3 years or more</v>
      </c>
      <c r="H257" s="1" t="str">
        <f ca="1">IFERROR(__xludf.DUMMYFUNCTION("""COMPUTED_VALUE"""),"Yes")</f>
        <v>Yes</v>
      </c>
      <c r="I257" s="1" t="str">
        <f ca="1">IFERROR(__xludf.DUMMYFUNCTION("""COMPUTED_VALUE"""),"Will NOT work for them")</f>
        <v>Will NOT work for them</v>
      </c>
      <c r="J257" s="1">
        <f ca="1">IFERROR(__xludf.DUMMYFUNCTION("""COMPUTED_VALUE"""),10)</f>
        <v>10</v>
      </c>
      <c r="K257" s="1" t="str">
        <f ca="1">IFERROR(__xludf.DUMMYFUNCTION("""COMPUTED_VALUE"""),"Hybrid Working Environment with less than 3 days a month at office")</f>
        <v>Hybrid Working Environment with less than 3 days a month at office</v>
      </c>
      <c r="L257" s="1" t="str">
        <f ca="1">IFERROR(__xludf.DUMMYFUNCTION("""COMPUTED_VALUE"""),"Employer who pushes your limits by enabling an learning environment, and rewards you at the end")</f>
        <v>Employer who pushes your limits by enabling an learning environment, and rewards you at the end</v>
      </c>
      <c r="M257"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257" s="4" t="s">
        <v>51</v>
      </c>
      <c r="O257" s="1" t="str">
        <f ca="1">IFERROR(__xludf.DUMMYFUNCTION("""COMPUTED_VALUE"""),"Manager who explains what is expected, sets a goal and helps achieve it")</f>
        <v>Manager who explains what is expected, sets a goal and helps achieve it</v>
      </c>
      <c r="P257" s="1" t="str">
        <f ca="1">IFERROR(__xludf.DUMMYFUNCTION("""COMPUTED_VALUE"""),"Work &lt;=6 People in the Team")</f>
        <v>Work &lt;=6 People in the Team</v>
      </c>
      <c r="Q257" s="1" t="s">
        <v>40</v>
      </c>
      <c r="R257" s="1"/>
    </row>
    <row r="258" spans="1:18" x14ac:dyDescent="0.25">
      <c r="A258" s="2">
        <f ca="1">IFERROR(__xludf.DUMMYFUNCTION("""COMPUTED_VALUE"""),44918.7841929629)</f>
        <v>44918.784192962899</v>
      </c>
      <c r="B258" s="1" t="str">
        <f ca="1">IFERROR(__xludf.DUMMYFUNCTION("""COMPUTED_VALUE"""),"India")</f>
        <v>India</v>
      </c>
      <c r="C258" s="1">
        <f ca="1">IFERROR(__xludf.DUMMYFUNCTION("""COMPUTED_VALUE"""),576213)</f>
        <v>576213</v>
      </c>
      <c r="D258" s="1" t="str">
        <f ca="1">IFERROR(__xludf.DUMMYFUNCTION("""COMPUTED_VALUE"""),"Male")</f>
        <v>Male</v>
      </c>
      <c r="E258" s="1" t="str">
        <f ca="1">IFERROR(__xludf.DUMMYFUNCTION("""COMPUTED_VALUE"""),"People who have changed the world for better")</f>
        <v>People who have changed the world for better</v>
      </c>
      <c r="F258" s="1" t="str">
        <f ca="1">IFERROR(__xludf.DUMMYFUNCTION("""COMPUTED_VALUE"""),"No, But if someone could bare the cost I will")</f>
        <v>No, But if someone could bare the cost I will</v>
      </c>
      <c r="G258" s="1" t="str">
        <f ca="1">IFERROR(__xludf.DUMMYFUNCTION("""COMPUTED_VALUE"""),"Will work for 3 years or more")</f>
        <v>Will work for 3 years or more</v>
      </c>
      <c r="H258" s="1" t="str">
        <f ca="1">IFERROR(__xludf.DUMMYFUNCTION("""COMPUTED_VALUE"""),"No")</f>
        <v>No</v>
      </c>
      <c r="I258" s="1" t="str">
        <f ca="1">IFERROR(__xludf.DUMMYFUNCTION("""COMPUTED_VALUE"""),"Will work for them")</f>
        <v>Will work for them</v>
      </c>
      <c r="J258" s="1">
        <f ca="1">IFERROR(__xludf.DUMMYFUNCTION("""COMPUTED_VALUE"""),3)</f>
        <v>3</v>
      </c>
      <c r="K258" s="1" t="str">
        <f ca="1">IFERROR(__xludf.DUMMYFUNCTION("""COMPUTED_VALUE"""),"Hybrid Working Environment with less than 10 days a month at office")</f>
        <v>Hybrid Working Environment with less than 10 days a month at office</v>
      </c>
      <c r="L258" s="1" t="str">
        <f ca="1">IFERROR(__xludf.DUMMYFUNCTION("""COMPUTED_VALUE"""),"Employer who appreciates learning and enables that environment")</f>
        <v>Employer who appreciates learning and enables that environment</v>
      </c>
      <c r="M25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N258" s="4" t="s">
        <v>51</v>
      </c>
      <c r="O258" s="1" t="str">
        <f ca="1">IFERROR(__xludf.DUMMYFUNCTION("""COMPUTED_VALUE"""),"Manager who explains what is expected, sets a goal and helps achieve it")</f>
        <v>Manager who explains what is expected, sets a goal and helps achieve it</v>
      </c>
      <c r="P258" s="1" t="str">
        <f ca="1">IFERROR(__xludf.DUMMYFUNCTION("""COMPUTED_VALUE"""),"Work &lt;=6 People in the Team")</f>
        <v>Work &lt;=6 People in the Team</v>
      </c>
      <c r="Q258" s="1" t="s">
        <v>41</v>
      </c>
      <c r="R258" s="1"/>
    </row>
    <row r="259" spans="1:18" x14ac:dyDescent="0.25">
      <c r="A259" s="2">
        <f ca="1">IFERROR(__xludf.DUMMYFUNCTION("""COMPUTED_VALUE"""),44918.7863765393)</f>
        <v>44918.786376539298</v>
      </c>
      <c r="B259" s="1" t="str">
        <f ca="1">IFERROR(__xludf.DUMMYFUNCTION("""COMPUTED_VALUE"""),"India")</f>
        <v>India</v>
      </c>
      <c r="C259" s="1">
        <f ca="1">IFERROR(__xludf.DUMMYFUNCTION("""COMPUTED_VALUE"""),576213)</f>
        <v>576213</v>
      </c>
      <c r="D259" s="1" t="str">
        <f ca="1">IFERROR(__xludf.DUMMYFUNCTION("""COMPUTED_VALUE"""),"Female")</f>
        <v>Female</v>
      </c>
      <c r="E259" s="1" t="str">
        <f ca="1">IFERROR(__xludf.DUMMYFUNCTION("""COMPUTED_VALUE"""),"Influencers who had successful careers")</f>
        <v>Influencers who had successful careers</v>
      </c>
      <c r="F259" s="1" t="str">
        <f ca="1">IFERROR(__xludf.DUMMYFUNCTION("""COMPUTED_VALUE"""),"No, But if someone could bare the cost I will")</f>
        <v>No, But if someone could bare the cost I will</v>
      </c>
      <c r="G259" s="1" t="str">
        <f ca="1">IFERROR(__xludf.DUMMYFUNCTION("""COMPUTED_VALUE"""),"This will be hard to do, but if it is the right company I would try")</f>
        <v>This will be hard to do, but if it is the right company I would try</v>
      </c>
      <c r="H259" s="1" t="str">
        <f ca="1">IFERROR(__xludf.DUMMYFUNCTION("""COMPUTED_VALUE"""),"Yes")</f>
        <v>Yes</v>
      </c>
      <c r="I259" s="1" t="str">
        <f ca="1">IFERROR(__xludf.DUMMYFUNCTION("""COMPUTED_VALUE"""),"Will NOT work for them")</f>
        <v>Will NOT work for them</v>
      </c>
      <c r="J259" s="1">
        <f ca="1">IFERROR(__xludf.DUMMYFUNCTION("""COMPUTED_VALUE"""),5)</f>
        <v>5</v>
      </c>
      <c r="K259" s="1" t="str">
        <f ca="1">IFERROR(__xludf.DUMMYFUNCTION("""COMPUTED_VALUE"""),"Hybrid Working Environment with less than 15 days a month at office")</f>
        <v>Hybrid Working Environment with less than 15 days a month at office</v>
      </c>
      <c r="L259" s="1" t="str">
        <f ca="1">IFERROR(__xludf.DUMMYFUNCTION("""COMPUTED_VALUE"""),"Employer who pushes your limits by enabling an learning environment, and rewards you at the end")</f>
        <v>Employer who pushes your limits by enabling an learning environment, and rewards you at the end</v>
      </c>
      <c r="M25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259" s="4" t="s">
        <v>49</v>
      </c>
      <c r="O259" s="1" t="str">
        <f ca="1">IFERROR(__xludf.DUMMYFUNCTION("""COMPUTED_VALUE"""),"Manager who clearly describes what she/he needs")</f>
        <v>Manager who clearly describes what she/he needs</v>
      </c>
      <c r="P259" s="1" t="str">
        <f ca="1">IFERROR(__xludf.DUMMYFUNCTION("""COMPUTED_VALUE"""),"Work &gt;=7 People in the Team")</f>
        <v>Work &gt;=7 People in the Team</v>
      </c>
      <c r="Q259" s="1" t="s">
        <v>40</v>
      </c>
      <c r="R259" s="1"/>
    </row>
    <row r="260" spans="1:18" x14ac:dyDescent="0.25">
      <c r="A260" s="2">
        <f ca="1">IFERROR(__xludf.DUMMYFUNCTION("""COMPUTED_VALUE"""),44918.7905257986)</f>
        <v>44918.790525798599</v>
      </c>
      <c r="B260" s="1" t="str">
        <f ca="1">IFERROR(__xludf.DUMMYFUNCTION("""COMPUTED_VALUE"""),"India")</f>
        <v>India</v>
      </c>
      <c r="C260" s="1">
        <f ca="1">IFERROR(__xludf.DUMMYFUNCTION("""COMPUTED_VALUE"""),385210)</f>
        <v>385210</v>
      </c>
      <c r="D260" s="1" t="str">
        <f ca="1">IFERROR(__xludf.DUMMYFUNCTION("""COMPUTED_VALUE"""),"Male")</f>
        <v>Male</v>
      </c>
      <c r="E260" s="1" t="str">
        <f ca="1">IFERROR(__xludf.DUMMYFUNCTION("""COMPUTED_VALUE"""),"Influencers who had successful careers")</f>
        <v>Influencers who had successful careers</v>
      </c>
      <c r="F260" s="1" t="str">
        <f ca="1">IFERROR(__xludf.DUMMYFUNCTION("""COMPUTED_VALUE"""),"No I would not be pursuing Higher Education outside of India")</f>
        <v>No I would not be pursuing Higher Education outside of India</v>
      </c>
      <c r="G260" s="1" t="str">
        <f ca="1">IFERROR(__xludf.DUMMYFUNCTION("""COMPUTED_VALUE"""),"Will work for 3 years or more")</f>
        <v>Will work for 3 years or more</v>
      </c>
      <c r="H260" s="1" t="str">
        <f ca="1">IFERROR(__xludf.DUMMYFUNCTION("""COMPUTED_VALUE"""),"Yes")</f>
        <v>Yes</v>
      </c>
      <c r="I260" s="1" t="str">
        <f ca="1">IFERROR(__xludf.DUMMYFUNCTION("""COMPUTED_VALUE"""),"Will work for them")</f>
        <v>Will work for them</v>
      </c>
      <c r="J260" s="1">
        <f ca="1">IFERROR(__xludf.DUMMYFUNCTION("""COMPUTED_VALUE"""),10)</f>
        <v>10</v>
      </c>
      <c r="K260" s="1" t="str">
        <f ca="1">IFERROR(__xludf.DUMMYFUNCTION("""COMPUTED_VALUE"""),"Fully Remote with Options to travel as and when needed")</f>
        <v>Fully Remote with Options to travel as and when needed</v>
      </c>
      <c r="L260" s="1" t="str">
        <f ca="1">IFERROR(__xludf.DUMMYFUNCTION("""COMPUTED_VALUE"""),"Employer who pushes your limits by enabling an learning environment, and rewards you at the end")</f>
        <v>Employer who pushes your limits by enabling an learning environment, and rewards you at the end</v>
      </c>
      <c r="M26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N260" s="4" t="s">
        <v>49</v>
      </c>
      <c r="O260" s="1" t="str">
        <f ca="1">IFERROR(__xludf.DUMMYFUNCTION("""COMPUTED_VALUE"""),"Manager who sets targets and expects me to achieve it")</f>
        <v>Manager who sets targets and expects me to achieve it</v>
      </c>
      <c r="P260" s="1" t="str">
        <f ca="1">IFERROR(__xludf.DUMMYFUNCTION("""COMPUTED_VALUE"""),"Work &lt;=6 People in the Team")</f>
        <v>Work &lt;=6 People in the Team</v>
      </c>
      <c r="Q260" s="1" t="s">
        <v>41</v>
      </c>
      <c r="R260" s="1"/>
    </row>
    <row r="261" spans="1:18" x14ac:dyDescent="0.25">
      <c r="A261" s="2">
        <f ca="1">IFERROR(__xludf.DUMMYFUNCTION("""COMPUTED_VALUE"""),44918.7920242245)</f>
        <v>44918.792024224502</v>
      </c>
      <c r="B261" s="1" t="str">
        <f ca="1">IFERROR(__xludf.DUMMYFUNCTION("""COMPUTED_VALUE"""),"India")</f>
        <v>India</v>
      </c>
      <c r="C261" s="1">
        <f ca="1">IFERROR(__xludf.DUMMYFUNCTION("""COMPUTED_VALUE"""),575007)</f>
        <v>575007</v>
      </c>
      <c r="D261" s="1" t="str">
        <f ca="1">IFERROR(__xludf.DUMMYFUNCTION("""COMPUTED_VALUE"""),"Female")</f>
        <v>Female</v>
      </c>
      <c r="E261" s="1" t="str">
        <f ca="1">IFERROR(__xludf.DUMMYFUNCTION("""COMPUTED_VALUE"""),"My Parents")</f>
        <v>My Parents</v>
      </c>
      <c r="F261" s="1" t="str">
        <f ca="1">IFERROR(__xludf.DUMMYFUNCTION("""COMPUTED_VALUE"""),"No I would not be pursuing Higher Education outside of India")</f>
        <v>No I would not be pursuing Higher Education outside of India</v>
      </c>
      <c r="G261" s="1" t="str">
        <f ca="1">IFERROR(__xludf.DUMMYFUNCTION("""COMPUTED_VALUE"""),"This will be hard to do, but if it is the right company I would try")</f>
        <v>This will be hard to do, but if it is the right company I would try</v>
      </c>
      <c r="H261" s="1" t="str">
        <f ca="1">IFERROR(__xludf.DUMMYFUNCTION("""COMPUTED_VALUE"""),"No")</f>
        <v>No</v>
      </c>
      <c r="I261" s="1" t="str">
        <f ca="1">IFERROR(__xludf.DUMMYFUNCTION("""COMPUTED_VALUE"""),"Will NOT work for them")</f>
        <v>Will NOT work for them</v>
      </c>
      <c r="J261" s="1">
        <f ca="1">IFERROR(__xludf.DUMMYFUNCTION("""COMPUTED_VALUE"""),5)</f>
        <v>5</v>
      </c>
      <c r="K261" s="1" t="str">
        <f ca="1">IFERROR(__xludf.DUMMYFUNCTION("""COMPUTED_VALUE"""),"Hybrid Working Environment with less than 15 days a month at office")</f>
        <v>Hybrid Working Environment with less than 15 days a month at office</v>
      </c>
      <c r="L261" s="1" t="str">
        <f ca="1">IFERROR(__xludf.DUMMYFUNCTION("""COMPUTED_VALUE"""),"Employer who pushes your limits by enabling an learning environment, and rewards you at the end")</f>
        <v>Employer who pushes your limits by enabling an learning environment, and rewards you at the end</v>
      </c>
      <c r="M261" s="1" t="str">
        <f ca="1">IFERROR(__xludf.DUMMYFUNCTION("""COMPUTED_VALUE"""),"Business Operations in any organization, Work in a BPO setup for some well known client, Work as a freelancer and do my thing my way")</f>
        <v>Business Operations in any organization, Work in a BPO setup for some well known client, Work as a freelancer and do my thing my way</v>
      </c>
      <c r="N261" s="4" t="s">
        <v>48</v>
      </c>
      <c r="O261" s="1" t="str">
        <f ca="1">IFERROR(__xludf.DUMMYFUNCTION("""COMPUTED_VALUE"""),"Manager who explains what is expected, sets a goal and helps achieve it")</f>
        <v>Manager who explains what is expected, sets a goal and helps achieve it</v>
      </c>
      <c r="P261" s="1" t="str">
        <f ca="1">IFERROR(__xludf.DUMMYFUNCTION("""COMPUTED_VALUE"""),"Work &lt;=6 People in the Team")</f>
        <v>Work &lt;=6 People in the Team</v>
      </c>
      <c r="Q261" s="1" t="s">
        <v>40</v>
      </c>
      <c r="R261" s="1"/>
    </row>
    <row r="262" spans="1:18" x14ac:dyDescent="0.25">
      <c r="A262" s="2">
        <f ca="1">IFERROR(__xludf.DUMMYFUNCTION("""COMPUTED_VALUE"""),44918.7955985995)</f>
        <v>44918.795598599499</v>
      </c>
      <c r="B262" s="1" t="str">
        <f ca="1">IFERROR(__xludf.DUMMYFUNCTION("""COMPUTED_VALUE"""),"India")</f>
        <v>India</v>
      </c>
      <c r="C262" s="1">
        <f ca="1">IFERROR(__xludf.DUMMYFUNCTION("""COMPUTED_VALUE"""),385001)</f>
        <v>385001</v>
      </c>
      <c r="D262" s="1" t="str">
        <f ca="1">IFERROR(__xludf.DUMMYFUNCTION("""COMPUTED_VALUE"""),"Female")</f>
        <v>Female</v>
      </c>
      <c r="E262" s="1" t="str">
        <f ca="1">IFERROR(__xludf.DUMMYFUNCTION("""COMPUTED_VALUE"""),"My Parents")</f>
        <v>My Parents</v>
      </c>
      <c r="F262" s="1" t="str">
        <f ca="1">IFERROR(__xludf.DUMMYFUNCTION("""COMPUTED_VALUE"""),"Yes, I will earn and do that")</f>
        <v>Yes, I will earn and do that</v>
      </c>
      <c r="G262" s="1" t="str">
        <f ca="1">IFERROR(__xludf.DUMMYFUNCTION("""COMPUTED_VALUE"""),"Will work for 3 years or more")</f>
        <v>Will work for 3 years or more</v>
      </c>
      <c r="H262" s="1" t="str">
        <f ca="1">IFERROR(__xludf.DUMMYFUNCTION("""COMPUTED_VALUE"""),"Yes")</f>
        <v>Yes</v>
      </c>
      <c r="I262" s="1" t="str">
        <f ca="1">IFERROR(__xludf.DUMMYFUNCTION("""COMPUTED_VALUE"""),"Will work for them")</f>
        <v>Will work for them</v>
      </c>
      <c r="J262" s="1">
        <f ca="1">IFERROR(__xludf.DUMMYFUNCTION("""COMPUTED_VALUE"""),1)</f>
        <v>1</v>
      </c>
      <c r="K262" s="1" t="str">
        <f ca="1">IFERROR(__xludf.DUMMYFUNCTION("""COMPUTED_VALUE"""),"Every Day Office Environment")</f>
        <v>Every Day Office Environment</v>
      </c>
      <c r="L262" s="1" t="str">
        <f ca="1">IFERROR(__xludf.DUMMYFUNCTION("""COMPUTED_VALUE"""),"Employer who appreciates learning and enables that environment")</f>
        <v>Employer who appreciates learning and enables that environment</v>
      </c>
      <c r="M26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262" s="4" t="s">
        <v>49</v>
      </c>
      <c r="O262" s="1" t="str">
        <f ca="1">IFERROR(__xludf.DUMMYFUNCTION("""COMPUTED_VALUE"""),"Manager who clearly describes what she/he needs")</f>
        <v>Manager who clearly describes what she/he needs</v>
      </c>
      <c r="P262" s="1" t="str">
        <f ca="1">IFERROR(__xludf.DUMMYFUNCTION("""COMPUTED_VALUE"""),"Work &gt;10 people in Team")</f>
        <v>Work &gt;10 people in Team</v>
      </c>
      <c r="Q262" s="1" t="s">
        <v>41</v>
      </c>
      <c r="R262" s="1"/>
    </row>
    <row r="263" spans="1:18" x14ac:dyDescent="0.25">
      <c r="A263" s="2">
        <f ca="1">IFERROR(__xludf.DUMMYFUNCTION("""COMPUTED_VALUE"""),44918.7956388773)</f>
        <v>44918.795638877302</v>
      </c>
      <c r="B263" s="1" t="str">
        <f ca="1">IFERROR(__xludf.DUMMYFUNCTION("""COMPUTED_VALUE"""),"India")</f>
        <v>India</v>
      </c>
      <c r="C263" s="1">
        <f ca="1">IFERROR(__xludf.DUMMYFUNCTION("""COMPUTED_VALUE"""),574141)</f>
        <v>574141</v>
      </c>
      <c r="D263" s="1" t="str">
        <f ca="1">IFERROR(__xludf.DUMMYFUNCTION("""COMPUTED_VALUE"""),"Female")</f>
        <v>Female</v>
      </c>
      <c r="E263" s="1" t="str">
        <f ca="1">IFERROR(__xludf.DUMMYFUNCTION("""COMPUTED_VALUE"""),"My Parents")</f>
        <v>My Parents</v>
      </c>
      <c r="F263" s="1" t="str">
        <f ca="1">IFERROR(__xludf.DUMMYFUNCTION("""COMPUTED_VALUE"""),"No I would not be pursuing Higher Education outside of India")</f>
        <v>No I would not be pursuing Higher Education outside of India</v>
      </c>
      <c r="G263" s="1" t="str">
        <f ca="1">IFERROR(__xludf.DUMMYFUNCTION("""COMPUTED_VALUE"""),"Will work for 3 years or more")</f>
        <v>Will work for 3 years or more</v>
      </c>
      <c r="H263" s="1" t="str">
        <f ca="1">IFERROR(__xludf.DUMMYFUNCTION("""COMPUTED_VALUE"""),"No")</f>
        <v>No</v>
      </c>
      <c r="I263" s="1" t="str">
        <f ca="1">IFERROR(__xludf.DUMMYFUNCTION("""COMPUTED_VALUE"""),"Will NOT work for them")</f>
        <v>Will NOT work for them</v>
      </c>
      <c r="J263" s="1">
        <f ca="1">IFERROR(__xludf.DUMMYFUNCTION("""COMPUTED_VALUE"""),5)</f>
        <v>5</v>
      </c>
      <c r="K263" s="1" t="str">
        <f ca="1">IFERROR(__xludf.DUMMYFUNCTION("""COMPUTED_VALUE"""),"Every Day Office Environment")</f>
        <v>Every Day Office Environment</v>
      </c>
      <c r="L263" s="1" t="str">
        <f ca="1">IFERROR(__xludf.DUMMYFUNCTION("""COMPUTED_VALUE"""),"Employer who pushes your limits by enabling an learning environment, and rewards you at the end")</f>
        <v>Employer who pushes your limits by enabling an learning environment, and rewards you at the end</v>
      </c>
      <c r="M263"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263" s="4" t="s">
        <v>49</v>
      </c>
      <c r="O263" s="1" t="str">
        <f ca="1">IFERROR(__xludf.DUMMYFUNCTION("""COMPUTED_VALUE"""),"Manager who explains what is expected, sets a goal and helps achieve it")</f>
        <v>Manager who explains what is expected, sets a goal and helps achieve it</v>
      </c>
      <c r="P263" s="1" t="str">
        <f ca="1">IFERROR(__xludf.DUMMYFUNCTION("""COMPUTED_VALUE"""),"Work &lt;=6 People in the Team")</f>
        <v>Work &lt;=6 People in the Team</v>
      </c>
      <c r="Q263" s="1" t="s">
        <v>40</v>
      </c>
      <c r="R263" s="1"/>
    </row>
    <row r="264" spans="1:18" x14ac:dyDescent="0.25">
      <c r="A264" s="2">
        <f ca="1">IFERROR(__xludf.DUMMYFUNCTION("""COMPUTED_VALUE"""),44918.7964545949)</f>
        <v>44918.7964545949</v>
      </c>
      <c r="B264" s="1" t="str">
        <f ca="1">IFERROR(__xludf.DUMMYFUNCTION("""COMPUTED_VALUE"""),"India")</f>
        <v>India</v>
      </c>
      <c r="C264" s="1">
        <f ca="1">IFERROR(__xludf.DUMMYFUNCTION("""COMPUTED_VALUE"""),385001)</f>
        <v>385001</v>
      </c>
      <c r="D264" s="1" t="str">
        <f ca="1">IFERROR(__xludf.DUMMYFUNCTION("""COMPUTED_VALUE"""),"Male")</f>
        <v>Male</v>
      </c>
      <c r="E264" s="1" t="str">
        <f ca="1">IFERROR(__xludf.DUMMYFUNCTION("""COMPUTED_VALUE"""),"My Parents")</f>
        <v>My Parents</v>
      </c>
      <c r="F264" s="1" t="str">
        <f ca="1">IFERROR(__xludf.DUMMYFUNCTION("""COMPUTED_VALUE"""),"Yes, I will earn and do that")</f>
        <v>Yes, I will earn and do that</v>
      </c>
      <c r="G264" s="1" t="str">
        <f ca="1">IFERROR(__xludf.DUMMYFUNCTION("""COMPUTED_VALUE"""),"Will work for 3 years or more")</f>
        <v>Will work for 3 years or more</v>
      </c>
      <c r="H264" s="1" t="str">
        <f ca="1">IFERROR(__xludf.DUMMYFUNCTION("""COMPUTED_VALUE"""),"Yes")</f>
        <v>Yes</v>
      </c>
      <c r="I264" s="1" t="str">
        <f ca="1">IFERROR(__xludf.DUMMYFUNCTION("""COMPUTED_VALUE"""),"Will work for them")</f>
        <v>Will work for them</v>
      </c>
      <c r="J264" s="1">
        <f ca="1">IFERROR(__xludf.DUMMYFUNCTION("""COMPUTED_VALUE"""),4)</f>
        <v>4</v>
      </c>
      <c r="K264" s="1" t="str">
        <f ca="1">IFERROR(__xludf.DUMMYFUNCTION("""COMPUTED_VALUE"""),"Every Day Office Environment")</f>
        <v>Every Day Office Environment</v>
      </c>
      <c r="L264" s="1" t="str">
        <f ca="1">IFERROR(__xludf.DUMMYFUNCTION("""COMPUTED_VALUE"""),"Employer who pushes your limits by enabling an learning environment, and rewards you at the end")</f>
        <v>Employer who pushes your limits by enabling an learning environment, and rewards you at the end</v>
      </c>
      <c r="M264"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N264" s="4" t="s">
        <v>48</v>
      </c>
      <c r="O264" s="1" t="str">
        <f ca="1">IFERROR(__xludf.DUMMYFUNCTION("""COMPUTED_VALUE"""),"Manager who sets goal and helps me achieve it")</f>
        <v>Manager who sets goal and helps me achieve it</v>
      </c>
      <c r="P264" s="1" t="str">
        <f ca="1">IFERROR(__xludf.DUMMYFUNCTION("""COMPUTED_VALUE"""),"Work Alone, &lt;67 people in team")</f>
        <v>Work Alone, &lt;67 people in team</v>
      </c>
      <c r="Q264" s="1" t="s">
        <v>42</v>
      </c>
      <c r="R264" s="1"/>
    </row>
    <row r="265" spans="1:18" x14ac:dyDescent="0.25">
      <c r="A265" s="2">
        <f ca="1">IFERROR(__xludf.DUMMYFUNCTION("""COMPUTED_VALUE"""),44918.7971707986)</f>
        <v>44918.7971707986</v>
      </c>
      <c r="B265" s="1" t="str">
        <f ca="1">IFERROR(__xludf.DUMMYFUNCTION("""COMPUTED_VALUE"""),"India")</f>
        <v>India</v>
      </c>
      <c r="C265" s="1">
        <f ca="1">IFERROR(__xludf.DUMMYFUNCTION("""COMPUTED_VALUE"""),576221)</f>
        <v>576221</v>
      </c>
      <c r="D265" s="1" t="str">
        <f ca="1">IFERROR(__xludf.DUMMYFUNCTION("""COMPUTED_VALUE"""),"Female")</f>
        <v>Female</v>
      </c>
      <c r="E265" s="1" t="str">
        <f ca="1">IFERROR(__xludf.DUMMYFUNCTION("""COMPUTED_VALUE"""),"People who have changed the world for better")</f>
        <v>People who have changed the world for better</v>
      </c>
      <c r="F265" s="1" t="str">
        <f ca="1">IFERROR(__xludf.DUMMYFUNCTION("""COMPUTED_VALUE"""),"No I would not be pursuing Higher Education outside of India")</f>
        <v>No I would not be pursuing Higher Education outside of India</v>
      </c>
      <c r="G265" s="1" t="str">
        <f ca="1">IFERROR(__xludf.DUMMYFUNCTION("""COMPUTED_VALUE"""),"This will be hard to do, but if it is the right company I would try")</f>
        <v>This will be hard to do, but if it is the right company I would try</v>
      </c>
      <c r="H265" s="1" t="str">
        <f ca="1">IFERROR(__xludf.DUMMYFUNCTION("""COMPUTED_VALUE"""),"No")</f>
        <v>No</v>
      </c>
      <c r="I265" s="1" t="str">
        <f ca="1">IFERROR(__xludf.DUMMYFUNCTION("""COMPUTED_VALUE"""),"Will NOT work for them")</f>
        <v>Will NOT work for them</v>
      </c>
      <c r="J265" s="1">
        <f ca="1">IFERROR(__xludf.DUMMYFUNCTION("""COMPUTED_VALUE"""),3)</f>
        <v>3</v>
      </c>
      <c r="K265" s="1" t="str">
        <f ca="1">IFERROR(__xludf.DUMMYFUNCTION("""COMPUTED_VALUE"""),"Every Day Office Environment")</f>
        <v>Every Day Office Environment</v>
      </c>
      <c r="L265" s="1" t="str">
        <f ca="1">IFERROR(__xludf.DUMMYFUNCTION("""COMPUTED_VALUE"""),"Employer who appreciates learning and enables that environment")</f>
        <v>Employer who appreciates learning and enables that environment</v>
      </c>
      <c r="M265"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265" s="4" t="s">
        <v>48</v>
      </c>
      <c r="O265" s="1" t="str">
        <f ca="1">IFERROR(__xludf.DUMMYFUNCTION("""COMPUTED_VALUE"""),"Manager who explains what is expected, sets a goal and helps achieve it")</f>
        <v>Manager who explains what is expected, sets a goal and helps achieve it</v>
      </c>
      <c r="P265" s="1" t="str">
        <f ca="1">IFERROR(__xludf.DUMMYFUNCTION("""COMPUTED_VALUE"""),"Work &gt;=7 People in the Team")</f>
        <v>Work &gt;=7 People in the Team</v>
      </c>
      <c r="Q265" s="1" t="s">
        <v>40</v>
      </c>
      <c r="R265" s="1"/>
    </row>
    <row r="266" spans="1:18" x14ac:dyDescent="0.25">
      <c r="A266" s="2">
        <f ca="1">IFERROR(__xludf.DUMMYFUNCTION("""COMPUTED_VALUE"""),44918.7983800115)</f>
        <v>44918.798380011503</v>
      </c>
      <c r="B266" s="1" t="str">
        <f ca="1">IFERROR(__xludf.DUMMYFUNCTION("""COMPUTED_VALUE"""),"India")</f>
        <v>India</v>
      </c>
      <c r="C266" s="1">
        <f ca="1">IFERROR(__xludf.DUMMYFUNCTION("""COMPUTED_VALUE"""),385001)</f>
        <v>385001</v>
      </c>
      <c r="D266" s="1" t="str">
        <f ca="1">IFERROR(__xludf.DUMMYFUNCTION("""COMPUTED_VALUE"""),"Male")</f>
        <v>Male</v>
      </c>
      <c r="E266" s="1" t="str">
        <f ca="1">IFERROR(__xludf.DUMMYFUNCTION("""COMPUTED_VALUE"""),"People who have changed the world for better")</f>
        <v>People who have changed the world for better</v>
      </c>
      <c r="F266" s="1" t="str">
        <f ca="1">IFERROR(__xludf.DUMMYFUNCTION("""COMPUTED_VALUE"""),"Yes, I will earn and do that")</f>
        <v>Yes, I will earn and do that</v>
      </c>
      <c r="G266" s="1" t="str">
        <f ca="1">IFERROR(__xludf.DUMMYFUNCTION("""COMPUTED_VALUE"""),"This will be hard to do, but if it is the right company I would try")</f>
        <v>This will be hard to do, but if it is the right company I would try</v>
      </c>
      <c r="H266" s="1" t="str">
        <f ca="1">IFERROR(__xludf.DUMMYFUNCTION("""COMPUTED_VALUE"""),"No")</f>
        <v>No</v>
      </c>
      <c r="I266" s="1" t="str">
        <f ca="1">IFERROR(__xludf.DUMMYFUNCTION("""COMPUTED_VALUE"""),"Will NOT work for them")</f>
        <v>Will NOT work for them</v>
      </c>
      <c r="J266" s="1">
        <f ca="1">IFERROR(__xludf.DUMMYFUNCTION("""COMPUTED_VALUE"""),10)</f>
        <v>10</v>
      </c>
      <c r="K266" s="1" t="str">
        <f ca="1">IFERROR(__xludf.DUMMYFUNCTION("""COMPUTED_VALUE"""),"Every Day Office Environment")</f>
        <v>Every Day Office Environment</v>
      </c>
      <c r="L266" s="1" t="str">
        <f ca="1">IFERROR(__xludf.DUMMYFUNCTION("""COMPUTED_VALUE"""),"Employer who pushes your limits by enabling an learning environment, and rewards you at the end")</f>
        <v>Employer who pushes your limits by enabling an learning environment, and rewards you at the end</v>
      </c>
      <c r="M266"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N266" s="4" t="s">
        <v>48</v>
      </c>
      <c r="O266" s="1" t="str">
        <f ca="1">IFERROR(__xludf.DUMMYFUNCTION("""COMPUTED_VALUE"""),"Manager who explains what is expected, sets a goal and helps achieve it")</f>
        <v>Manager who explains what is expected, sets a goal and helps achieve it</v>
      </c>
      <c r="P266" s="1" t="str">
        <f ca="1">IFERROR(__xludf.DUMMYFUNCTION("""COMPUTED_VALUE"""),"Work &lt;=6 People in the Team")</f>
        <v>Work &lt;=6 People in the Team</v>
      </c>
      <c r="Q266" s="1" t="s">
        <v>40</v>
      </c>
      <c r="R266" s="1"/>
    </row>
    <row r="267" spans="1:18" x14ac:dyDescent="0.25">
      <c r="A267" s="2">
        <f ca="1">IFERROR(__xludf.DUMMYFUNCTION("""COMPUTED_VALUE"""),44918.7990545833)</f>
        <v>44918.799054583302</v>
      </c>
      <c r="B267" s="1" t="str">
        <f ca="1">IFERROR(__xludf.DUMMYFUNCTION("""COMPUTED_VALUE"""),"India")</f>
        <v>India</v>
      </c>
      <c r="C267" s="1">
        <f ca="1">IFERROR(__xludf.DUMMYFUNCTION("""COMPUTED_VALUE"""),574227)</f>
        <v>574227</v>
      </c>
      <c r="D267" s="1" t="str">
        <f ca="1">IFERROR(__xludf.DUMMYFUNCTION("""COMPUTED_VALUE"""),"Male")</f>
        <v>Male</v>
      </c>
      <c r="E267" s="1" t="str">
        <f ca="1">IFERROR(__xludf.DUMMYFUNCTION("""COMPUTED_VALUE"""),"My Parents")</f>
        <v>My Parents</v>
      </c>
      <c r="F267" s="1" t="str">
        <f ca="1">IFERROR(__xludf.DUMMYFUNCTION("""COMPUTED_VALUE"""),"No, But if someone could bare the cost I will")</f>
        <v>No, But if someone could bare the cost I will</v>
      </c>
      <c r="G267" s="1" t="str">
        <f ca="1">IFERROR(__xludf.DUMMYFUNCTION("""COMPUTED_VALUE"""),"This will be hard to do, but if it is the right company I would try")</f>
        <v>This will be hard to do, but if it is the right company I would try</v>
      </c>
      <c r="H267" s="1" t="str">
        <f ca="1">IFERROR(__xludf.DUMMYFUNCTION("""COMPUTED_VALUE"""),"Yes")</f>
        <v>Yes</v>
      </c>
      <c r="I267" s="1" t="str">
        <f ca="1">IFERROR(__xludf.DUMMYFUNCTION("""COMPUTED_VALUE"""),"Will NOT work for them")</f>
        <v>Will NOT work for them</v>
      </c>
      <c r="J267" s="1">
        <f ca="1">IFERROR(__xludf.DUMMYFUNCTION("""COMPUTED_VALUE"""),2)</f>
        <v>2</v>
      </c>
      <c r="K267" s="1" t="str">
        <f ca="1">IFERROR(__xludf.DUMMYFUNCTION("""COMPUTED_VALUE"""),"Fully Remote with Options to travel as and when needed")</f>
        <v>Fully Remote with Options to travel as and when needed</v>
      </c>
      <c r="L267" s="1" t="str">
        <f ca="1">IFERROR(__xludf.DUMMYFUNCTION("""COMPUTED_VALUE"""),"Employer who pushes your limits by enabling an learning environment, and rewards you at the end")</f>
        <v>Employer who pushes your limits by enabling an learning environment, and rewards you at the end</v>
      </c>
      <c r="M2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267" s="4" t="s">
        <v>48</v>
      </c>
      <c r="O267" s="1" t="str">
        <f ca="1">IFERROR(__xludf.DUMMYFUNCTION("""COMPUTED_VALUE"""),"Manager who sets goal and helps me achieve it")</f>
        <v>Manager who sets goal and helps me achieve it</v>
      </c>
      <c r="P267" s="1" t="str">
        <f ca="1">IFERROR(__xludf.DUMMYFUNCTION("""COMPUTED_VALUE"""),"Work &lt;67 People in the Team")</f>
        <v>Work &lt;67 People in the Team</v>
      </c>
      <c r="Q267" s="1" t="s">
        <v>40</v>
      </c>
      <c r="R267" s="1"/>
    </row>
    <row r="268" spans="1:18" x14ac:dyDescent="0.25">
      <c r="A268" s="2">
        <f ca="1">IFERROR(__xludf.DUMMYFUNCTION("""COMPUTED_VALUE"""),44918.801559537)</f>
        <v>44918.801559537002</v>
      </c>
      <c r="B268" s="1" t="str">
        <f ca="1">IFERROR(__xludf.DUMMYFUNCTION("""COMPUTED_VALUE"""),"India")</f>
        <v>India</v>
      </c>
      <c r="C268" s="1">
        <f ca="1">IFERROR(__xludf.DUMMYFUNCTION("""COMPUTED_VALUE"""),385001)</f>
        <v>385001</v>
      </c>
      <c r="D268" s="1" t="str">
        <f ca="1">IFERROR(__xludf.DUMMYFUNCTION("""COMPUTED_VALUE"""),"Female")</f>
        <v>Female</v>
      </c>
      <c r="E268" s="1" t="str">
        <f ca="1">IFERROR(__xludf.DUMMYFUNCTION("""COMPUTED_VALUE"""),"My Parents")</f>
        <v>My Parents</v>
      </c>
      <c r="F268" s="1" t="str">
        <f ca="1">IFERROR(__xludf.DUMMYFUNCTION("""COMPUTED_VALUE"""),"Yes, I will earn and do that")</f>
        <v>Yes, I will earn and do that</v>
      </c>
      <c r="G268" s="1" t="str">
        <f ca="1">IFERROR(__xludf.DUMMYFUNCTION("""COMPUTED_VALUE"""),"This will be hard to do, but if it is the right company I would try")</f>
        <v>This will be hard to do, but if it is the right company I would try</v>
      </c>
      <c r="H268" s="1" t="str">
        <f ca="1">IFERROR(__xludf.DUMMYFUNCTION("""COMPUTED_VALUE"""),"No")</f>
        <v>No</v>
      </c>
      <c r="I268" s="1" t="str">
        <f ca="1">IFERROR(__xludf.DUMMYFUNCTION("""COMPUTED_VALUE"""),"Will NOT work for them")</f>
        <v>Will NOT work for them</v>
      </c>
      <c r="J268" s="1">
        <f ca="1">IFERROR(__xludf.DUMMYFUNCTION("""COMPUTED_VALUE"""),5)</f>
        <v>5</v>
      </c>
      <c r="K268" s="1" t="str">
        <f ca="1">IFERROR(__xludf.DUMMYFUNCTION("""COMPUTED_VALUE"""),"Fully Remote with Options to travel as and when needed")</f>
        <v>Fully Remote with Options to travel as and when needed</v>
      </c>
      <c r="L268" s="1" t="str">
        <f ca="1">IFERROR(__xludf.DUMMYFUNCTION("""COMPUTED_VALUE"""),"Employer who pushes your limits by enabling an learning environment, and rewards you at the end")</f>
        <v>Employer who pushes your limits by enabling an learning environment, and rewards you at the end</v>
      </c>
      <c r="M268"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N268" s="4" t="s">
        <v>48</v>
      </c>
      <c r="O268" s="1" t="str">
        <f ca="1">IFERROR(__xludf.DUMMYFUNCTION("""COMPUTED_VALUE"""),"Manager who explains what is expected, sets a goal and helps achieve it")</f>
        <v>Manager who explains what is expected, sets a goal and helps achieve it</v>
      </c>
      <c r="P268" s="1" t="str">
        <f ca="1">IFERROR(__xludf.DUMMYFUNCTION("""COMPUTED_VALUE"""),"Work &lt;=6 People in the Team")</f>
        <v>Work &lt;=6 People in the Team</v>
      </c>
      <c r="Q268" s="1" t="s">
        <v>42</v>
      </c>
      <c r="R268" s="1"/>
    </row>
    <row r="269" spans="1:18" x14ac:dyDescent="0.25">
      <c r="A269" s="2">
        <f ca="1">IFERROR(__xludf.DUMMYFUNCTION("""COMPUTED_VALUE"""),44918.8042593981)</f>
        <v>44918.804259398101</v>
      </c>
      <c r="B269" s="1" t="str">
        <f ca="1">IFERROR(__xludf.DUMMYFUNCTION("""COMPUTED_VALUE"""),"India")</f>
        <v>India</v>
      </c>
      <c r="C269" s="1">
        <f ca="1">IFERROR(__xludf.DUMMYFUNCTION("""COMPUTED_VALUE"""),576106)</f>
        <v>576106</v>
      </c>
      <c r="D269" s="1" t="str">
        <f ca="1">IFERROR(__xludf.DUMMYFUNCTION("""COMPUTED_VALUE"""),"Male")</f>
        <v>Male</v>
      </c>
      <c r="E269" s="1" t="str">
        <f ca="1">IFERROR(__xludf.DUMMYFUNCTION("""COMPUTED_VALUE"""),"My Parents")</f>
        <v>My Parents</v>
      </c>
      <c r="F269" s="1" t="str">
        <f ca="1">IFERROR(__xludf.DUMMYFUNCTION("""COMPUTED_VALUE"""),"No I would not be pursuing Higher Education outside of India")</f>
        <v>No I would not be pursuing Higher Education outside of India</v>
      </c>
      <c r="G269" s="1" t="str">
        <f ca="1">IFERROR(__xludf.DUMMYFUNCTION("""COMPUTED_VALUE"""),"Will work for 3 years or more")</f>
        <v>Will work for 3 years or more</v>
      </c>
      <c r="H269" s="1" t="str">
        <f ca="1">IFERROR(__xludf.DUMMYFUNCTION("""COMPUTED_VALUE"""),"No")</f>
        <v>No</v>
      </c>
      <c r="I269" s="1" t="str">
        <f ca="1">IFERROR(__xludf.DUMMYFUNCTION("""COMPUTED_VALUE"""),"Will NOT work for them")</f>
        <v>Will NOT work for them</v>
      </c>
      <c r="J269" s="1">
        <f ca="1">IFERROR(__xludf.DUMMYFUNCTION("""COMPUTED_VALUE"""),1)</f>
        <v>1</v>
      </c>
      <c r="K269" s="1" t="str">
        <f ca="1">IFERROR(__xludf.DUMMYFUNCTION("""COMPUTED_VALUE"""),"Fully Remote with Options to travel as and when needed")</f>
        <v>Fully Remote with Options to travel as and when needed</v>
      </c>
      <c r="L269" s="1" t="str">
        <f ca="1">IFERROR(__xludf.DUMMYFUNCTION("""COMPUTED_VALUE"""),"Employer who appreciates learning and enables that environment")</f>
        <v>Employer who appreciates learning and enables that environment</v>
      </c>
      <c r="M269"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N269" s="4" t="s">
        <v>49</v>
      </c>
      <c r="O269" s="1" t="str">
        <f ca="1">IFERROR(__xludf.DUMMYFUNCTION("""COMPUTED_VALUE"""),"Manager who sets goal and helps me achieve it")</f>
        <v>Manager who sets goal and helps me achieve it</v>
      </c>
      <c r="P269" s="1" t="str">
        <f ca="1">IFERROR(__xludf.DUMMYFUNCTION("""COMPUTED_VALUE"""),"Work &gt;10 people in Team")</f>
        <v>Work &gt;10 people in Team</v>
      </c>
      <c r="Q269" s="1" t="s">
        <v>41</v>
      </c>
      <c r="R269" s="1"/>
    </row>
    <row r="270" spans="1:18" x14ac:dyDescent="0.25">
      <c r="A270" s="2">
        <f ca="1">IFERROR(__xludf.DUMMYFUNCTION("""COMPUTED_VALUE"""),44918.8044140277)</f>
        <v>44918.804414027698</v>
      </c>
      <c r="B270" s="1" t="str">
        <f ca="1">IFERROR(__xludf.DUMMYFUNCTION("""COMPUTED_VALUE"""),"United Arab Emirates")</f>
        <v>United Arab Emirates</v>
      </c>
      <c r="C270" s="1">
        <f ca="1">IFERROR(__xludf.DUMMYFUNCTION("""COMPUTED_VALUE"""),420)</f>
        <v>420</v>
      </c>
      <c r="D270" s="1" t="str">
        <f ca="1">IFERROR(__xludf.DUMMYFUNCTION("""COMPUTED_VALUE"""),"Female")</f>
        <v>Female</v>
      </c>
      <c r="E270" s="1" t="str">
        <f ca="1">IFERROR(__xludf.DUMMYFUNCTION("""COMPUTED_VALUE"""),"People who have changed the world for better")</f>
        <v>People who have changed the world for better</v>
      </c>
      <c r="F270" s="1" t="str">
        <f ca="1">IFERROR(__xludf.DUMMYFUNCTION("""COMPUTED_VALUE"""),"No I would not be pursuing Higher Education outside of India")</f>
        <v>No I would not be pursuing Higher Education outside of India</v>
      </c>
      <c r="G270" s="1" t="str">
        <f ca="1">IFERROR(__xludf.DUMMYFUNCTION("""COMPUTED_VALUE"""),"No way, 3 years with one employer is crazy")</f>
        <v>No way, 3 years with one employer is crazy</v>
      </c>
      <c r="H270" s="1" t="str">
        <f ca="1">IFERROR(__xludf.DUMMYFUNCTION("""COMPUTED_VALUE"""),"No")</f>
        <v>No</v>
      </c>
      <c r="I270" s="1" t="str">
        <f ca="1">IFERROR(__xludf.DUMMYFUNCTION("""COMPUTED_VALUE"""),"Will NOT work for them")</f>
        <v>Will NOT work for them</v>
      </c>
      <c r="J270" s="1">
        <f ca="1">IFERROR(__xludf.DUMMYFUNCTION("""COMPUTED_VALUE"""),1)</f>
        <v>1</v>
      </c>
      <c r="K270" s="1" t="str">
        <f ca="1">IFERROR(__xludf.DUMMYFUNCTION("""COMPUTED_VALUE"""),"Fully Remote with No option to visit offices")</f>
        <v>Fully Remote with No option to visit offices</v>
      </c>
      <c r="L270" s="1" t="str">
        <f ca="1">IFERROR(__xludf.DUMMYFUNCTION("""COMPUTED_VALUE"""),"Employers who appreciates learning but doesn't enables an learning environment")</f>
        <v>Employers who appreciates learning but doesn't enables an learning environment</v>
      </c>
      <c r="M270" s="1" t="str">
        <f ca="1">IFERROR(__xludf.DUMMYFUNCTION("""COMPUTED_VALUE"""),"Work in a BPO setup for some well known client, Work as a freelancer and do my thing my way, Become a content Creator in some platform")</f>
        <v>Work in a BPO setup for some well known client, Work as a freelancer and do my thing my way, Become a content Creator in some platform</v>
      </c>
      <c r="N270" s="4" t="s">
        <v>48</v>
      </c>
      <c r="O270" s="1" t="str">
        <f ca="1">IFERROR(__xludf.DUMMYFUNCTION("""COMPUTED_VALUE"""),"Manager who sets unrealistic targets")</f>
        <v>Manager who sets unrealistic targets</v>
      </c>
      <c r="P270" s="1" t="str">
        <f ca="1">IFERROR(__xludf.DUMMYFUNCTION("""COMPUTED_VALUE"""),"Work alone")</f>
        <v>Work alone</v>
      </c>
      <c r="Q270" s="1" t="s">
        <v>42</v>
      </c>
      <c r="R270" s="1"/>
    </row>
    <row r="271" spans="1:18" x14ac:dyDescent="0.25">
      <c r="A271" s="2">
        <f ca="1">IFERROR(__xludf.DUMMYFUNCTION("""COMPUTED_VALUE"""),44918.8096292361)</f>
        <v>44918.809629236101</v>
      </c>
      <c r="B271" s="1" t="str">
        <f ca="1">IFERROR(__xludf.DUMMYFUNCTION("""COMPUTED_VALUE"""),"India")</f>
        <v>India</v>
      </c>
      <c r="C271" s="1">
        <f ca="1">IFERROR(__xludf.DUMMYFUNCTION("""COMPUTED_VALUE"""),576213)</f>
        <v>576213</v>
      </c>
      <c r="D271" s="1" t="str">
        <f ca="1">IFERROR(__xludf.DUMMYFUNCTION("""COMPUTED_VALUE"""),"Female")</f>
        <v>Female</v>
      </c>
      <c r="E271" s="1" t="str">
        <f ca="1">IFERROR(__xludf.DUMMYFUNCTION("""COMPUTED_VALUE"""),"People from my circle, but not family members")</f>
        <v>People from my circle, but not family members</v>
      </c>
      <c r="F271" s="1" t="str">
        <f ca="1">IFERROR(__xludf.DUMMYFUNCTION("""COMPUTED_VALUE"""),"No I would not be pursuing Higher Education outside of India")</f>
        <v>No I would not be pursuing Higher Education outside of India</v>
      </c>
      <c r="G271" s="1" t="str">
        <f ca="1">IFERROR(__xludf.DUMMYFUNCTION("""COMPUTED_VALUE"""),"This will be hard to do, but if it is the right company I would try")</f>
        <v>This will be hard to do, but if it is the right company I would try</v>
      </c>
      <c r="H271" s="1" t="str">
        <f ca="1">IFERROR(__xludf.DUMMYFUNCTION("""COMPUTED_VALUE"""),"Yes")</f>
        <v>Yes</v>
      </c>
      <c r="I271" s="1" t="str">
        <f ca="1">IFERROR(__xludf.DUMMYFUNCTION("""COMPUTED_VALUE"""),"Will NOT work for them")</f>
        <v>Will NOT work for them</v>
      </c>
      <c r="J271" s="1">
        <f ca="1">IFERROR(__xludf.DUMMYFUNCTION("""COMPUTED_VALUE"""),8)</f>
        <v>8</v>
      </c>
      <c r="K271" s="1" t="str">
        <f ca="1">IFERROR(__xludf.DUMMYFUNCTION("""COMPUTED_VALUE"""),"Hybrid Working Environment with less than 10 days a month at office")</f>
        <v>Hybrid Working Environment with less than 10 days a month at office</v>
      </c>
      <c r="L271" s="1" t="str">
        <f ca="1">IFERROR(__xludf.DUMMYFUNCTION("""COMPUTED_VALUE"""),"Employer who appreciates learning and enables that environment")</f>
        <v>Employer who appreciates learning and enables that environment</v>
      </c>
      <c r="M27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271" s="4" t="s">
        <v>48</v>
      </c>
      <c r="O271" s="1" t="str">
        <f ca="1">IFERROR(__xludf.DUMMYFUNCTION("""COMPUTED_VALUE"""),"Manager who explains what is expected, sets a goal and helps achieve it")</f>
        <v>Manager who explains what is expected, sets a goal and helps achieve it</v>
      </c>
      <c r="P271" s="1" t="str">
        <f ca="1">IFERROR(__xludf.DUMMYFUNCTION("""COMPUTED_VALUE"""),"Work &gt;=7 People in the Team")</f>
        <v>Work &gt;=7 People in the Team</v>
      </c>
      <c r="Q271" s="1" t="s">
        <v>40</v>
      </c>
      <c r="R271" s="1"/>
    </row>
    <row r="272" spans="1:18" x14ac:dyDescent="0.25">
      <c r="A272" s="2">
        <f ca="1">IFERROR(__xludf.DUMMYFUNCTION("""COMPUTED_VALUE"""),44918.8157517013)</f>
        <v>44918.815751701302</v>
      </c>
      <c r="B272" s="1" t="str">
        <f ca="1">IFERROR(__xludf.DUMMYFUNCTION("""COMPUTED_VALUE"""),"India")</f>
        <v>India</v>
      </c>
      <c r="C272" s="1">
        <f ca="1">IFERROR(__xludf.DUMMYFUNCTION("""COMPUTED_VALUE"""),576210)</f>
        <v>576210</v>
      </c>
      <c r="D272" s="1" t="str">
        <f ca="1">IFERROR(__xludf.DUMMYFUNCTION("""COMPUTED_VALUE"""),"Female")</f>
        <v>Female</v>
      </c>
      <c r="E272" s="1" t="str">
        <f ca="1">IFERROR(__xludf.DUMMYFUNCTION("""COMPUTED_VALUE"""),"My Parents")</f>
        <v>My Parents</v>
      </c>
      <c r="F272" s="1" t="str">
        <f ca="1">IFERROR(__xludf.DUMMYFUNCTION("""COMPUTED_VALUE"""),"Yes, I will earn and do that")</f>
        <v>Yes, I will earn and do that</v>
      </c>
      <c r="G272" s="1" t="str">
        <f ca="1">IFERROR(__xludf.DUMMYFUNCTION("""COMPUTED_VALUE"""),"Will work for 3 years or more")</f>
        <v>Will work for 3 years or more</v>
      </c>
      <c r="H272" s="1" t="str">
        <f ca="1">IFERROR(__xludf.DUMMYFUNCTION("""COMPUTED_VALUE"""),"No")</f>
        <v>No</v>
      </c>
      <c r="I272" s="1" t="str">
        <f ca="1">IFERROR(__xludf.DUMMYFUNCTION("""COMPUTED_VALUE"""),"Will NOT work for them")</f>
        <v>Will NOT work for them</v>
      </c>
      <c r="J272" s="1">
        <f ca="1">IFERROR(__xludf.DUMMYFUNCTION("""COMPUTED_VALUE"""),5)</f>
        <v>5</v>
      </c>
      <c r="K272" s="1" t="str">
        <f ca="1">IFERROR(__xludf.DUMMYFUNCTION("""COMPUTED_VALUE"""),"Every Day Office Environment")</f>
        <v>Every Day Office Environment</v>
      </c>
      <c r="L272" s="1" t="str">
        <f ca="1">IFERROR(__xludf.DUMMYFUNCTION("""COMPUTED_VALUE"""),"Employer who appreciates learning and enables that environment")</f>
        <v>Employer who appreciates learning and enables that environment</v>
      </c>
      <c r="M27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272" s="4" t="s">
        <v>49</v>
      </c>
      <c r="O272" s="1" t="str">
        <f ca="1">IFERROR(__xludf.DUMMYFUNCTION("""COMPUTED_VALUE"""),"Manager who clearly describes what she/he needs")</f>
        <v>Manager who clearly describes what she/he needs</v>
      </c>
      <c r="P272" s="1" t="str">
        <f ca="1">IFERROR(__xludf.DUMMYFUNCTION("""COMPUTED_VALUE"""),"Work &gt;10 people in Team")</f>
        <v>Work &gt;10 people in Team</v>
      </c>
      <c r="Q272" s="1" t="s">
        <v>41</v>
      </c>
      <c r="R272" s="1"/>
    </row>
    <row r="273" spans="1:18" x14ac:dyDescent="0.25">
      <c r="A273" s="2">
        <f ca="1">IFERROR(__xludf.DUMMYFUNCTION("""COMPUTED_VALUE"""),44918.8177486921)</f>
        <v>44918.817748692098</v>
      </c>
      <c r="B273" s="1" t="str">
        <f ca="1">IFERROR(__xludf.DUMMYFUNCTION("""COMPUTED_VALUE"""),"India")</f>
        <v>India</v>
      </c>
      <c r="C273" s="1">
        <f ca="1">IFERROR(__xludf.DUMMYFUNCTION("""COMPUTED_VALUE"""),385001)</f>
        <v>385001</v>
      </c>
      <c r="D273" s="1" t="str">
        <f ca="1">IFERROR(__xludf.DUMMYFUNCTION("""COMPUTED_VALUE"""),"Female")</f>
        <v>Female</v>
      </c>
      <c r="E273" s="1" t="str">
        <f ca="1">IFERROR(__xludf.DUMMYFUNCTION("""COMPUTED_VALUE"""),"My Parents")</f>
        <v>My Parents</v>
      </c>
      <c r="F273" s="1" t="str">
        <f ca="1">IFERROR(__xludf.DUMMYFUNCTION("""COMPUTED_VALUE"""),"No I would not be pursuing Higher Education outside of India")</f>
        <v>No I would not be pursuing Higher Education outside of India</v>
      </c>
      <c r="G273" s="1" t="str">
        <f ca="1">IFERROR(__xludf.DUMMYFUNCTION("""COMPUTED_VALUE"""),"This will be hard to do, but if it is the right company I would try")</f>
        <v>This will be hard to do, but if it is the right company I would try</v>
      </c>
      <c r="H273" s="1" t="str">
        <f ca="1">IFERROR(__xludf.DUMMYFUNCTION("""COMPUTED_VALUE"""),"No")</f>
        <v>No</v>
      </c>
      <c r="I273" s="1" t="str">
        <f ca="1">IFERROR(__xludf.DUMMYFUNCTION("""COMPUTED_VALUE"""),"Will NOT work for them")</f>
        <v>Will NOT work for them</v>
      </c>
      <c r="J273" s="1">
        <f ca="1">IFERROR(__xludf.DUMMYFUNCTION("""COMPUTED_VALUE"""),3)</f>
        <v>3</v>
      </c>
      <c r="K273" s="1" t="str">
        <f ca="1">IFERROR(__xludf.DUMMYFUNCTION("""COMPUTED_VALUE"""),"Every Day Office Environment")</f>
        <v>Every Day Office Environment</v>
      </c>
      <c r="L273" s="1" t="str">
        <f ca="1">IFERROR(__xludf.DUMMYFUNCTION("""COMPUTED_VALUE"""),"Employer who appreciates learning and enables that environment")</f>
        <v>Employer who appreciates learning and enables that environment</v>
      </c>
      <c r="M273"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N273" s="4" t="s">
        <v>48</v>
      </c>
      <c r="O273" s="1" t="str">
        <f ca="1">IFERROR(__xludf.DUMMYFUNCTION("""COMPUTED_VALUE"""),"Manager who clearly describes what she/he needs")</f>
        <v>Manager who clearly describes what she/he needs</v>
      </c>
      <c r="P273" s="1" t="str">
        <f ca="1">IFERROR(__xludf.DUMMYFUNCTION("""COMPUTED_VALUE"""),"Work &gt;10 people in Team")</f>
        <v>Work &gt;10 people in Team</v>
      </c>
      <c r="Q273" s="1" t="s">
        <v>41</v>
      </c>
      <c r="R273" s="1"/>
    </row>
    <row r="274" spans="1:18" x14ac:dyDescent="0.25">
      <c r="A274" s="2">
        <f ca="1">IFERROR(__xludf.DUMMYFUNCTION("""COMPUTED_VALUE"""),44918.8226930208)</f>
        <v>44918.822693020797</v>
      </c>
      <c r="B274" s="1" t="str">
        <f ca="1">IFERROR(__xludf.DUMMYFUNCTION("""COMPUTED_VALUE"""),"India")</f>
        <v>India</v>
      </c>
      <c r="C274" s="1">
        <f ca="1">IFERROR(__xludf.DUMMYFUNCTION("""COMPUTED_VALUE"""),385001)</f>
        <v>385001</v>
      </c>
      <c r="D274" s="1" t="str">
        <f ca="1">IFERROR(__xludf.DUMMYFUNCTION("""COMPUTED_VALUE"""),"Female")</f>
        <v>Female</v>
      </c>
      <c r="E274" s="1" t="str">
        <f ca="1">IFERROR(__xludf.DUMMYFUNCTION("""COMPUTED_VALUE"""),"My Parents")</f>
        <v>My Parents</v>
      </c>
      <c r="F274" s="1" t="str">
        <f ca="1">IFERROR(__xludf.DUMMYFUNCTION("""COMPUTED_VALUE"""),"No I would not be pursuing Higher Education outside of India")</f>
        <v>No I would not be pursuing Higher Education outside of India</v>
      </c>
      <c r="G274" s="1" t="str">
        <f ca="1">IFERROR(__xludf.DUMMYFUNCTION("""COMPUTED_VALUE"""),"This will be hard to do, but if it is the right company I would try")</f>
        <v>This will be hard to do, but if it is the right company I would try</v>
      </c>
      <c r="H274" s="1" t="str">
        <f ca="1">IFERROR(__xludf.DUMMYFUNCTION("""COMPUTED_VALUE"""),"Yes")</f>
        <v>Yes</v>
      </c>
      <c r="I274" s="1" t="str">
        <f ca="1">IFERROR(__xludf.DUMMYFUNCTION("""COMPUTED_VALUE"""),"Will work for them")</f>
        <v>Will work for them</v>
      </c>
      <c r="J274" s="1">
        <f ca="1">IFERROR(__xludf.DUMMYFUNCTION("""COMPUTED_VALUE"""),9)</f>
        <v>9</v>
      </c>
      <c r="K274" s="1" t="str">
        <f ca="1">IFERROR(__xludf.DUMMYFUNCTION("""COMPUTED_VALUE"""),"Every Day Office Environment")</f>
        <v>Every Day Office Environment</v>
      </c>
      <c r="L274" s="1" t="str">
        <f ca="1">IFERROR(__xludf.DUMMYFUNCTION("""COMPUTED_VALUE"""),"Employer who pushes your limits and doesn't enables learning environment and never rewards you")</f>
        <v>Employer who pushes your limits and doesn't enables learning environment and never rewards you</v>
      </c>
      <c r="M274"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N274" s="4" t="s">
        <v>49</v>
      </c>
      <c r="O274" s="1" t="str">
        <f ca="1">IFERROR(__xludf.DUMMYFUNCTION("""COMPUTED_VALUE"""),"Manager who explains what is expected, sets a goal and helps achieve it")</f>
        <v>Manager who explains what is expected, sets a goal and helps achieve it</v>
      </c>
      <c r="P274" s="1" t="str">
        <f ca="1">IFERROR(__xludf.DUMMYFUNCTION("""COMPUTED_VALUE"""),"Work &gt;=7 People in the Team")</f>
        <v>Work &gt;=7 People in the Team</v>
      </c>
      <c r="Q274" s="1" t="s">
        <v>41</v>
      </c>
      <c r="R274" s="1"/>
    </row>
    <row r="275" spans="1:18" x14ac:dyDescent="0.25">
      <c r="A275" s="2">
        <f ca="1">IFERROR(__xludf.DUMMYFUNCTION("""COMPUTED_VALUE"""),44918.8316146412)</f>
        <v>44918.831614641203</v>
      </c>
      <c r="B275" s="1" t="str">
        <f ca="1">IFERROR(__xludf.DUMMYFUNCTION("""COMPUTED_VALUE"""),"India")</f>
        <v>India</v>
      </c>
      <c r="C275" s="1">
        <f ca="1">IFERROR(__xludf.DUMMYFUNCTION("""COMPUTED_VALUE"""),574102)</f>
        <v>574102</v>
      </c>
      <c r="D275" s="1" t="str">
        <f ca="1">IFERROR(__xludf.DUMMYFUNCTION("""COMPUTED_VALUE"""),"Male")</f>
        <v>Male</v>
      </c>
      <c r="E275" s="1" t="str">
        <f ca="1">IFERROR(__xludf.DUMMYFUNCTION("""COMPUTED_VALUE"""),"People from my circle, but not family members")</f>
        <v>People from my circle, but not family members</v>
      </c>
      <c r="F275" s="1" t="str">
        <f ca="1">IFERROR(__xludf.DUMMYFUNCTION("""COMPUTED_VALUE"""),"Yes, I will earn and do that")</f>
        <v>Yes, I will earn and do that</v>
      </c>
      <c r="G275" s="1" t="str">
        <f ca="1">IFERROR(__xludf.DUMMYFUNCTION("""COMPUTED_VALUE"""),"Will work for 3 years or more")</f>
        <v>Will work for 3 years or more</v>
      </c>
      <c r="H275" s="1" t="str">
        <f ca="1">IFERROR(__xludf.DUMMYFUNCTION("""COMPUTED_VALUE"""),"Yes")</f>
        <v>Yes</v>
      </c>
      <c r="I275" s="1" t="str">
        <f ca="1">IFERROR(__xludf.DUMMYFUNCTION("""COMPUTED_VALUE"""),"Will NOT work for them")</f>
        <v>Will NOT work for them</v>
      </c>
      <c r="J275" s="1">
        <f ca="1">IFERROR(__xludf.DUMMYFUNCTION("""COMPUTED_VALUE"""),9)</f>
        <v>9</v>
      </c>
      <c r="K275" s="1" t="str">
        <f ca="1">IFERROR(__xludf.DUMMYFUNCTION("""COMPUTED_VALUE"""),"Fully Remote with Options to travel as and when needed")</f>
        <v>Fully Remote with Options to travel as and when needed</v>
      </c>
      <c r="L275" s="1" t="str">
        <f ca="1">IFERROR(__xludf.DUMMYFUNCTION("""COMPUTED_VALUE"""),"Employer who rewards learning and enables that environment")</f>
        <v>Employer who rewards learning and enables that environment</v>
      </c>
      <c r="M275"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75" s="4" t="s">
        <v>49</v>
      </c>
      <c r="O275" s="1" t="str">
        <f ca="1">IFERROR(__xludf.DUMMYFUNCTION("""COMPUTED_VALUE"""),"Manager who explains what is expected, sets a goal and helps achieve it")</f>
        <v>Manager who explains what is expected, sets a goal and helps achieve it</v>
      </c>
      <c r="P275" s="1" t="str">
        <f ca="1">IFERROR(__xludf.DUMMYFUNCTION("""COMPUTED_VALUE"""),"Work &lt;=6 People in the Team")</f>
        <v>Work &lt;=6 People in the Team</v>
      </c>
      <c r="Q275" s="1" t="s">
        <v>40</v>
      </c>
      <c r="R275" s="1"/>
    </row>
    <row r="276" spans="1:18" x14ac:dyDescent="0.25">
      <c r="A276" s="2">
        <f ca="1">IFERROR(__xludf.DUMMYFUNCTION("""COMPUTED_VALUE"""),44918.8425719675)</f>
        <v>44918.8425719675</v>
      </c>
      <c r="B276" s="1" t="str">
        <f ca="1">IFERROR(__xludf.DUMMYFUNCTION("""COMPUTED_VALUE"""),"India")</f>
        <v>India</v>
      </c>
      <c r="C276" s="1">
        <f ca="1">IFERROR(__xludf.DUMMYFUNCTION("""COMPUTED_VALUE"""),576221)</f>
        <v>576221</v>
      </c>
      <c r="D276" s="1" t="str">
        <f ca="1">IFERROR(__xludf.DUMMYFUNCTION("""COMPUTED_VALUE"""),"Female")</f>
        <v>Female</v>
      </c>
      <c r="E276" s="1" t="str">
        <f ca="1">IFERROR(__xludf.DUMMYFUNCTION("""COMPUTED_VALUE"""),"My Parents")</f>
        <v>My Parents</v>
      </c>
      <c r="F276" s="1" t="str">
        <f ca="1">IFERROR(__xludf.DUMMYFUNCTION("""COMPUTED_VALUE"""),"No I would not be pursuing Higher Education outside of India")</f>
        <v>No I would not be pursuing Higher Education outside of India</v>
      </c>
      <c r="G276" s="1" t="str">
        <f ca="1">IFERROR(__xludf.DUMMYFUNCTION("""COMPUTED_VALUE"""),"This will be hard to do, but if it is the right company I would try")</f>
        <v>This will be hard to do, but if it is the right company I would try</v>
      </c>
      <c r="H276" s="1" t="str">
        <f ca="1">IFERROR(__xludf.DUMMYFUNCTION("""COMPUTED_VALUE"""),"Yes")</f>
        <v>Yes</v>
      </c>
      <c r="I276" s="1" t="str">
        <f ca="1">IFERROR(__xludf.DUMMYFUNCTION("""COMPUTED_VALUE"""),"Will NOT work for them")</f>
        <v>Will NOT work for them</v>
      </c>
      <c r="J276" s="1">
        <f ca="1">IFERROR(__xludf.DUMMYFUNCTION("""COMPUTED_VALUE"""),4)</f>
        <v>4</v>
      </c>
      <c r="K276" s="1" t="str">
        <f ca="1">IFERROR(__xludf.DUMMYFUNCTION("""COMPUTED_VALUE"""),"Every Day Office Environment")</f>
        <v>Every Day Office Environment</v>
      </c>
      <c r="L276" s="1" t="str">
        <f ca="1">IFERROR(__xludf.DUMMYFUNCTION("""COMPUTED_VALUE"""),"Employer who rewards learning and enables that environment")</f>
        <v>Employer who rewards learning and enables that environment</v>
      </c>
      <c r="M276"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276" s="4" t="s">
        <v>49</v>
      </c>
      <c r="O276" s="1" t="str">
        <f ca="1">IFERROR(__xludf.DUMMYFUNCTION("""COMPUTED_VALUE"""),"Manager who sets goal and helps me achieve it")</f>
        <v>Manager who sets goal and helps me achieve it</v>
      </c>
      <c r="P276" s="1" t="str">
        <f ca="1">IFERROR(__xludf.DUMMYFUNCTION("""COMPUTED_VALUE"""),"Work &lt;=6 People in the Team")</f>
        <v>Work &lt;=6 People in the Team</v>
      </c>
      <c r="Q276" s="1" t="s">
        <v>40</v>
      </c>
      <c r="R276" s="1"/>
    </row>
    <row r="277" spans="1:18" x14ac:dyDescent="0.25">
      <c r="A277" s="2">
        <f ca="1">IFERROR(__xludf.DUMMYFUNCTION("""COMPUTED_VALUE"""),44918.9005433217)</f>
        <v>44918.900543321703</v>
      </c>
      <c r="B277" s="1" t="str">
        <f ca="1">IFERROR(__xludf.DUMMYFUNCTION("""COMPUTED_VALUE"""),"India")</f>
        <v>India</v>
      </c>
      <c r="C277" s="1">
        <f ca="1">IFERROR(__xludf.DUMMYFUNCTION("""COMPUTED_VALUE"""),605008)</f>
        <v>605008</v>
      </c>
      <c r="D277" s="1" t="str">
        <f ca="1">IFERROR(__xludf.DUMMYFUNCTION("""COMPUTED_VALUE"""),"Female")</f>
        <v>Female</v>
      </c>
      <c r="E277" s="1" t="str">
        <f ca="1">IFERROR(__xludf.DUMMYFUNCTION("""COMPUTED_VALUE"""),"Social Media like LinkedIn")</f>
        <v>Social Media like LinkedIn</v>
      </c>
      <c r="F277" s="1" t="str">
        <f ca="1">IFERROR(__xludf.DUMMYFUNCTION("""COMPUTED_VALUE"""),"Yes, I will earn and do that")</f>
        <v>Yes, I will earn and do that</v>
      </c>
      <c r="G277" s="1" t="str">
        <f ca="1">IFERROR(__xludf.DUMMYFUNCTION("""COMPUTED_VALUE"""),"Will work for 3 years or more")</f>
        <v>Will work for 3 years or more</v>
      </c>
      <c r="H277" s="1" t="str">
        <f ca="1">IFERROR(__xludf.DUMMYFUNCTION("""COMPUTED_VALUE"""),"Yes")</f>
        <v>Yes</v>
      </c>
      <c r="I277" s="1" t="str">
        <f ca="1">IFERROR(__xludf.DUMMYFUNCTION("""COMPUTED_VALUE"""),"Will work for them")</f>
        <v>Will work for them</v>
      </c>
      <c r="J277" s="1">
        <f ca="1">IFERROR(__xludf.DUMMYFUNCTION("""COMPUTED_VALUE"""),5)</f>
        <v>5</v>
      </c>
      <c r="K277" s="1" t="str">
        <f ca="1">IFERROR(__xludf.DUMMYFUNCTION("""COMPUTED_VALUE"""),"Every Day Office Environment")</f>
        <v>Every Day Office Environment</v>
      </c>
      <c r="L277" s="1" t="str">
        <f ca="1">IFERROR(__xludf.DUMMYFUNCTION("""COMPUTED_VALUE"""),"Employer who rewards learning and enables that environment")</f>
        <v>Employer who rewards learning and enables that environment</v>
      </c>
      <c r="M277"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277" s="4" t="s">
        <v>48</v>
      </c>
      <c r="O277" s="1" t="str">
        <f ca="1">IFERROR(__xludf.DUMMYFUNCTION("""COMPUTED_VALUE"""),"Manager who explains what is expected, sets a goal and helps achieve it")</f>
        <v>Manager who explains what is expected, sets a goal and helps achieve it</v>
      </c>
      <c r="P277" s="1" t="str">
        <f ca="1">IFERROR(__xludf.DUMMYFUNCTION("""COMPUTED_VALUE"""),"Work &lt;=6 People in the Team")</f>
        <v>Work &lt;=6 People in the Team</v>
      </c>
      <c r="Q277" s="1" t="s">
        <v>41</v>
      </c>
      <c r="R277" s="1"/>
    </row>
    <row r="278" spans="1:18" x14ac:dyDescent="0.25">
      <c r="A278" s="2">
        <f ca="1">IFERROR(__xludf.DUMMYFUNCTION("""COMPUTED_VALUE"""),44918.9024058912)</f>
        <v>44918.902405891196</v>
      </c>
      <c r="B278" s="1" t="str">
        <f ca="1">IFERROR(__xludf.DUMMYFUNCTION("""COMPUTED_VALUE"""),"India")</f>
        <v>India</v>
      </c>
      <c r="C278" s="1">
        <f ca="1">IFERROR(__xludf.DUMMYFUNCTION("""COMPUTED_VALUE"""),385120)</f>
        <v>385120</v>
      </c>
      <c r="D278" s="1" t="str">
        <f ca="1">IFERROR(__xludf.DUMMYFUNCTION("""COMPUTED_VALUE"""),"Male")</f>
        <v>Male</v>
      </c>
      <c r="E278" s="1" t="str">
        <f ca="1">IFERROR(__xludf.DUMMYFUNCTION("""COMPUTED_VALUE"""),"My Parents")</f>
        <v>My Parents</v>
      </c>
      <c r="F278" s="1" t="str">
        <f ca="1">IFERROR(__xludf.DUMMYFUNCTION("""COMPUTED_VALUE"""),"No I would not be pursuing Higher Education outside of India")</f>
        <v>No I would not be pursuing Higher Education outside of India</v>
      </c>
      <c r="G278" s="1" t="str">
        <f ca="1">IFERROR(__xludf.DUMMYFUNCTION("""COMPUTED_VALUE"""),"Will work for 3 years or more")</f>
        <v>Will work for 3 years or more</v>
      </c>
      <c r="H278" s="1" t="str">
        <f ca="1">IFERROR(__xludf.DUMMYFUNCTION("""COMPUTED_VALUE"""),"No")</f>
        <v>No</v>
      </c>
      <c r="I278" s="1" t="str">
        <f ca="1">IFERROR(__xludf.DUMMYFUNCTION("""COMPUTED_VALUE"""),"Will NOT work for them")</f>
        <v>Will NOT work for them</v>
      </c>
      <c r="J278" s="1">
        <f ca="1">IFERROR(__xludf.DUMMYFUNCTION("""COMPUTED_VALUE"""),1)</f>
        <v>1</v>
      </c>
      <c r="K278" s="1" t="str">
        <f ca="1">IFERROR(__xludf.DUMMYFUNCTION("""COMPUTED_VALUE"""),"Every Day Office Environment")</f>
        <v>Every Day Office Environment</v>
      </c>
      <c r="L278" s="1" t="str">
        <f ca="1">IFERROR(__xludf.DUMMYFUNCTION("""COMPUTED_VALUE"""),"Employer who appreciates learning and enables that environment")</f>
        <v>Employer who appreciates learning and enables that environment</v>
      </c>
      <c r="M2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278" s="4" t="s">
        <v>48</v>
      </c>
      <c r="O278" s="1" t="str">
        <f ca="1">IFERROR(__xludf.DUMMYFUNCTION("""COMPUTED_VALUE"""),"Manager who explains what is expected, sets a goal and helps achieve it")</f>
        <v>Manager who explains what is expected, sets a goal and helps achieve it</v>
      </c>
      <c r="P278" s="1" t="str">
        <f ca="1">IFERROR(__xludf.DUMMYFUNCTION("""COMPUTED_VALUE"""),"Work &lt;=6 People in the Team")</f>
        <v>Work &lt;=6 People in the Team</v>
      </c>
      <c r="Q278" s="1" t="s">
        <v>40</v>
      </c>
      <c r="R278" s="1"/>
    </row>
    <row r="279" spans="1:18" x14ac:dyDescent="0.25">
      <c r="A279" s="2">
        <f ca="1">IFERROR(__xludf.DUMMYFUNCTION("""COMPUTED_VALUE"""),44918.9036249421)</f>
        <v>44918.903624942097</v>
      </c>
      <c r="B279" s="1" t="str">
        <f ca="1">IFERROR(__xludf.DUMMYFUNCTION("""COMPUTED_VALUE"""),"India")</f>
        <v>India</v>
      </c>
      <c r="C279" s="1">
        <f ca="1">IFERROR(__xludf.DUMMYFUNCTION("""COMPUTED_VALUE"""),605601)</f>
        <v>605601</v>
      </c>
      <c r="D279" s="1" t="str">
        <f ca="1">IFERROR(__xludf.DUMMYFUNCTION("""COMPUTED_VALUE"""),"Male")</f>
        <v>Male</v>
      </c>
      <c r="E279" s="1" t="str">
        <f ca="1">IFERROR(__xludf.DUMMYFUNCTION("""COMPUTED_VALUE"""),"My Parents")</f>
        <v>My Parents</v>
      </c>
      <c r="F279" s="1" t="str">
        <f ca="1">IFERROR(__xludf.DUMMYFUNCTION("""COMPUTED_VALUE"""),"No I would not be pursuing Higher Education outside of India")</f>
        <v>No I would not be pursuing Higher Education outside of India</v>
      </c>
      <c r="G279" s="1" t="str">
        <f ca="1">IFERROR(__xludf.DUMMYFUNCTION("""COMPUTED_VALUE"""),"Will work for 3 years or more")</f>
        <v>Will work for 3 years or more</v>
      </c>
      <c r="H279" s="1" t="str">
        <f ca="1">IFERROR(__xludf.DUMMYFUNCTION("""COMPUTED_VALUE"""),"Yes")</f>
        <v>Yes</v>
      </c>
      <c r="I279" s="1" t="str">
        <f ca="1">IFERROR(__xludf.DUMMYFUNCTION("""COMPUTED_VALUE"""),"Will work for them")</f>
        <v>Will work for them</v>
      </c>
      <c r="J279" s="1">
        <f ca="1">IFERROR(__xludf.DUMMYFUNCTION("""COMPUTED_VALUE"""),1)</f>
        <v>1</v>
      </c>
      <c r="K279" s="1" t="str">
        <f ca="1">IFERROR(__xludf.DUMMYFUNCTION("""COMPUTED_VALUE"""),"Hybrid Working Environment with less than 3 days a month at office")</f>
        <v>Hybrid Working Environment with less than 3 days a month at office</v>
      </c>
      <c r="L279" s="1" t="str">
        <f ca="1">IFERROR(__xludf.DUMMYFUNCTION("""COMPUTED_VALUE"""),"Employer who rewards learning and enables that environment")</f>
        <v>Employer who rewards learning and enables that environment</v>
      </c>
      <c r="M279"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N279" s="4" t="s">
        <v>48</v>
      </c>
      <c r="O279" s="1" t="str">
        <f ca="1">IFERROR(__xludf.DUMMYFUNCTION("""COMPUTED_VALUE"""),"Manager who explains what is expected, sets a goal and helps achieve it")</f>
        <v>Manager who explains what is expected, sets a goal and helps achieve it</v>
      </c>
      <c r="P279" s="1" t="str">
        <f ca="1">IFERROR(__xludf.DUMMYFUNCTION("""COMPUTED_VALUE"""),"Work alone")</f>
        <v>Work alone</v>
      </c>
      <c r="Q279" s="1" t="s">
        <v>41</v>
      </c>
      <c r="R279" s="1"/>
    </row>
    <row r="280" spans="1:18" x14ac:dyDescent="0.25">
      <c r="A280" s="2">
        <f ca="1">IFERROR(__xludf.DUMMYFUNCTION("""COMPUTED_VALUE"""),44918.9125017708)</f>
        <v>44918.912501770799</v>
      </c>
      <c r="B280" s="1" t="str">
        <f ca="1">IFERROR(__xludf.DUMMYFUNCTION("""COMPUTED_VALUE"""),"India")</f>
        <v>India</v>
      </c>
      <c r="C280" s="1">
        <f ca="1">IFERROR(__xludf.DUMMYFUNCTION("""COMPUTED_VALUE"""),385001)</f>
        <v>385001</v>
      </c>
      <c r="D280" s="1" t="str">
        <f ca="1">IFERROR(__xludf.DUMMYFUNCTION("""COMPUTED_VALUE"""),"Female")</f>
        <v>Female</v>
      </c>
      <c r="E280" s="1" t="str">
        <f ca="1">IFERROR(__xludf.DUMMYFUNCTION("""COMPUTED_VALUE"""),"My Parents")</f>
        <v>My Parents</v>
      </c>
      <c r="F280" s="1" t="str">
        <f ca="1">IFERROR(__xludf.DUMMYFUNCTION("""COMPUTED_VALUE"""),"No, But if someone could bare the cost I will")</f>
        <v>No, But if someone could bare the cost I will</v>
      </c>
      <c r="G280" s="1" t="str">
        <f ca="1">IFERROR(__xludf.DUMMYFUNCTION("""COMPUTED_VALUE"""),"This will be hard to do, but if it is the right company I would try")</f>
        <v>This will be hard to do, but if it is the right company I would try</v>
      </c>
      <c r="H280" s="1" t="str">
        <f ca="1">IFERROR(__xludf.DUMMYFUNCTION("""COMPUTED_VALUE"""),"No")</f>
        <v>No</v>
      </c>
      <c r="I280" s="1" t="str">
        <f ca="1">IFERROR(__xludf.DUMMYFUNCTION("""COMPUTED_VALUE"""),"Will NOT work for them")</f>
        <v>Will NOT work for them</v>
      </c>
      <c r="J280" s="1">
        <f ca="1">IFERROR(__xludf.DUMMYFUNCTION("""COMPUTED_VALUE"""),5)</f>
        <v>5</v>
      </c>
      <c r="K280" s="1" t="str">
        <f ca="1">IFERROR(__xludf.DUMMYFUNCTION("""COMPUTED_VALUE"""),"Every Day Office Environment")</f>
        <v>Every Day Office Environment</v>
      </c>
      <c r="L280" s="1" t="str">
        <f ca="1">IFERROR(__xludf.DUMMYFUNCTION("""COMPUTED_VALUE"""),"Employer who rewards learning and enables that environment")</f>
        <v>Employer who rewards learning and enables that environment</v>
      </c>
      <c r="M28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280" s="4" t="s">
        <v>49</v>
      </c>
      <c r="O280" s="1" t="str">
        <f ca="1">IFERROR(__xludf.DUMMYFUNCTION("""COMPUTED_VALUE"""),"Manager who explains what is expected, sets a goal and helps achieve it")</f>
        <v>Manager who explains what is expected, sets a goal and helps achieve it</v>
      </c>
      <c r="P280" s="1" t="str">
        <f ca="1">IFERROR(__xludf.DUMMYFUNCTION("""COMPUTED_VALUE"""),"Work &lt;=6 People in the Team")</f>
        <v>Work &lt;=6 People in the Team</v>
      </c>
      <c r="Q280" s="1" t="s">
        <v>41</v>
      </c>
      <c r="R280" s="1"/>
    </row>
    <row r="281" spans="1:18" x14ac:dyDescent="0.25">
      <c r="A281" s="2">
        <f ca="1">IFERROR(__xludf.DUMMYFUNCTION("""COMPUTED_VALUE"""),44918.9128643171)</f>
        <v>44918.912864317099</v>
      </c>
      <c r="B281" s="1" t="str">
        <f ca="1">IFERROR(__xludf.DUMMYFUNCTION("""COMPUTED_VALUE"""),"India")</f>
        <v>India</v>
      </c>
      <c r="C281" s="1">
        <f ca="1">IFERROR(__xludf.DUMMYFUNCTION("""COMPUTED_VALUE"""),607301)</f>
        <v>607301</v>
      </c>
      <c r="D281" s="1" t="str">
        <f ca="1">IFERROR(__xludf.DUMMYFUNCTION("""COMPUTED_VALUE"""),"Male")</f>
        <v>Male</v>
      </c>
      <c r="E281" s="1" t="str">
        <f ca="1">IFERROR(__xludf.DUMMYFUNCTION("""COMPUTED_VALUE"""),"My Parents")</f>
        <v>My Parents</v>
      </c>
      <c r="F281" s="1" t="str">
        <f ca="1">IFERROR(__xludf.DUMMYFUNCTION("""COMPUTED_VALUE"""),"Yes, I will earn and do that")</f>
        <v>Yes, I will earn and do that</v>
      </c>
      <c r="G281" s="1" t="str">
        <f ca="1">IFERROR(__xludf.DUMMYFUNCTION("""COMPUTED_VALUE"""),"Will work for 3 years or more")</f>
        <v>Will work for 3 years or more</v>
      </c>
      <c r="H281" s="1" t="str">
        <f ca="1">IFERROR(__xludf.DUMMYFUNCTION("""COMPUTED_VALUE"""),"No")</f>
        <v>No</v>
      </c>
      <c r="I281" s="1" t="str">
        <f ca="1">IFERROR(__xludf.DUMMYFUNCTION("""COMPUTED_VALUE"""),"Will NOT work for them")</f>
        <v>Will NOT work for them</v>
      </c>
      <c r="J281" s="1">
        <f ca="1">IFERROR(__xludf.DUMMYFUNCTION("""COMPUTED_VALUE"""),5)</f>
        <v>5</v>
      </c>
      <c r="K281" s="1" t="str">
        <f ca="1">IFERROR(__xludf.DUMMYFUNCTION("""COMPUTED_VALUE"""),"Fully Remote with Options to travel as and when needed")</f>
        <v>Fully Remote with Options to travel as and when needed</v>
      </c>
      <c r="L281" s="1" t="str">
        <f ca="1">IFERROR(__xludf.DUMMYFUNCTION("""COMPUTED_VALUE"""),"Employer who appreciates learning and enables that environment")</f>
        <v>Employer who appreciates learning and enables that environment</v>
      </c>
      <c r="M281"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N281" s="4" t="s">
        <v>48</v>
      </c>
      <c r="O281" s="1" t="str">
        <f ca="1">IFERROR(__xludf.DUMMYFUNCTION("""COMPUTED_VALUE"""),"Manager who sets goal and helps me achieve it")</f>
        <v>Manager who sets goal and helps me achieve it</v>
      </c>
      <c r="P281" s="1" t="str">
        <f ca="1">IFERROR(__xludf.DUMMYFUNCTION("""COMPUTED_VALUE"""),"Work alone")</f>
        <v>Work alone</v>
      </c>
      <c r="Q281" s="1" t="s">
        <v>41</v>
      </c>
      <c r="R281" s="1"/>
    </row>
    <row r="282" spans="1:18" x14ac:dyDescent="0.25">
      <c r="A282" s="2">
        <f ca="1">IFERROR(__xludf.DUMMYFUNCTION("""COMPUTED_VALUE"""),44918.9228122106)</f>
        <v>44918.9228122106</v>
      </c>
      <c r="B282" s="1" t="str">
        <f ca="1">IFERROR(__xludf.DUMMYFUNCTION("""COMPUTED_VALUE"""),"India")</f>
        <v>India</v>
      </c>
      <c r="C282" s="1">
        <f ca="1">IFERROR(__xludf.DUMMYFUNCTION("""COMPUTED_VALUE"""),576229)</f>
        <v>576229</v>
      </c>
      <c r="D282" s="1" t="str">
        <f ca="1">IFERROR(__xludf.DUMMYFUNCTION("""COMPUTED_VALUE"""),"Female")</f>
        <v>Female</v>
      </c>
      <c r="E282" s="1" t="str">
        <f ca="1">IFERROR(__xludf.DUMMYFUNCTION("""COMPUTED_VALUE"""),"My Parents")</f>
        <v>My Parents</v>
      </c>
      <c r="F282" s="1" t="str">
        <f ca="1">IFERROR(__xludf.DUMMYFUNCTION("""COMPUTED_VALUE"""),"No I would not be pursuing Higher Education outside of India")</f>
        <v>No I would not be pursuing Higher Education outside of India</v>
      </c>
      <c r="G282" s="1" t="str">
        <f ca="1">IFERROR(__xludf.DUMMYFUNCTION("""COMPUTED_VALUE"""),"This will be hard to do, but if it is the right company I would try")</f>
        <v>This will be hard to do, but if it is the right company I would try</v>
      </c>
      <c r="H282" s="1" t="str">
        <f ca="1">IFERROR(__xludf.DUMMYFUNCTION("""COMPUTED_VALUE"""),"No")</f>
        <v>No</v>
      </c>
      <c r="I282" s="1" t="str">
        <f ca="1">IFERROR(__xludf.DUMMYFUNCTION("""COMPUTED_VALUE"""),"Will NOT work for them")</f>
        <v>Will NOT work for them</v>
      </c>
      <c r="J282" s="1">
        <f ca="1">IFERROR(__xludf.DUMMYFUNCTION("""COMPUTED_VALUE"""),3)</f>
        <v>3</v>
      </c>
      <c r="K282" s="1" t="str">
        <f ca="1">IFERROR(__xludf.DUMMYFUNCTION("""COMPUTED_VALUE"""),"Hybrid Working Environment with less than 15 days a month at office")</f>
        <v>Hybrid Working Environment with less than 15 days a month at office</v>
      </c>
      <c r="L282" s="1" t="str">
        <f ca="1">IFERROR(__xludf.DUMMYFUNCTION("""COMPUTED_VALUE"""),"Employer who pushes your limits by enabling an learning environment, and rewards you at the end")</f>
        <v>Employer who pushes your limits by enabling an learning environment, and rewards you at the end</v>
      </c>
      <c r="M282"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N282" s="4" t="s">
        <v>48</v>
      </c>
      <c r="O282" s="1" t="str">
        <f ca="1">IFERROR(__xludf.DUMMYFUNCTION("""COMPUTED_VALUE"""),"Manager who explains what is expected, sets a goal and helps achieve it")</f>
        <v>Manager who explains what is expected, sets a goal and helps achieve it</v>
      </c>
      <c r="P282" s="1" t="str">
        <f ca="1">IFERROR(__xludf.DUMMYFUNCTION("""COMPUTED_VALUE"""),"Work &lt;=6 People in the Team")</f>
        <v>Work &lt;=6 People in the Team</v>
      </c>
      <c r="Q282" s="1" t="s">
        <v>40</v>
      </c>
      <c r="R282" s="1"/>
    </row>
    <row r="283" spans="1:18" x14ac:dyDescent="0.25">
      <c r="A283" s="2">
        <f ca="1">IFERROR(__xludf.DUMMYFUNCTION("""COMPUTED_VALUE"""),44918.9581378125)</f>
        <v>44918.9581378125</v>
      </c>
      <c r="B283" s="1" t="str">
        <f ca="1">IFERROR(__xludf.DUMMYFUNCTION("""COMPUTED_VALUE"""),"India")</f>
        <v>India</v>
      </c>
      <c r="C283" s="1">
        <f ca="1">IFERROR(__xludf.DUMMYFUNCTION("""COMPUTED_VALUE"""),385001)</f>
        <v>385001</v>
      </c>
      <c r="D283" s="1" t="str">
        <f ca="1">IFERROR(__xludf.DUMMYFUNCTION("""COMPUTED_VALUE"""),"Male")</f>
        <v>Male</v>
      </c>
      <c r="E283" s="1" t="str">
        <f ca="1">IFERROR(__xludf.DUMMYFUNCTION("""COMPUTED_VALUE"""),"My Parents")</f>
        <v>My Parents</v>
      </c>
      <c r="F283" s="1" t="str">
        <f ca="1">IFERROR(__xludf.DUMMYFUNCTION("""COMPUTED_VALUE"""),"Yes, I will earn and do that")</f>
        <v>Yes, I will earn and do that</v>
      </c>
      <c r="G283" s="1" t="str">
        <f ca="1">IFERROR(__xludf.DUMMYFUNCTION("""COMPUTED_VALUE"""),"This will be hard to do, but if it is the right company I would try")</f>
        <v>This will be hard to do, but if it is the right company I would try</v>
      </c>
      <c r="H283" s="1" t="str">
        <f ca="1">IFERROR(__xludf.DUMMYFUNCTION("""COMPUTED_VALUE"""),"No")</f>
        <v>No</v>
      </c>
      <c r="I283" s="1" t="str">
        <f ca="1">IFERROR(__xludf.DUMMYFUNCTION("""COMPUTED_VALUE"""),"Will NOT work for them")</f>
        <v>Will NOT work for them</v>
      </c>
      <c r="J283" s="1">
        <f ca="1">IFERROR(__xludf.DUMMYFUNCTION("""COMPUTED_VALUE"""),7)</f>
        <v>7</v>
      </c>
      <c r="K283" s="1" t="str">
        <f ca="1">IFERROR(__xludf.DUMMYFUNCTION("""COMPUTED_VALUE"""),"Fully Remote with Options to travel as and when needed")</f>
        <v>Fully Remote with Options to travel as and when needed</v>
      </c>
      <c r="L283" s="1" t="str">
        <f ca="1">IFERROR(__xludf.DUMMYFUNCTION("""COMPUTED_VALUE"""),"Employer who pushes your limits by enabling an learning environment, and rewards you at the end")</f>
        <v>Employer who pushes your limits by enabling an learning environment, and rewards you at the end</v>
      </c>
      <c r="M28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283" s="4" t="s">
        <v>49</v>
      </c>
      <c r="O283" s="1" t="str">
        <f ca="1">IFERROR(__xludf.DUMMYFUNCTION("""COMPUTED_VALUE"""),"Manager who explains what is expected, sets a goal and helps achieve it")</f>
        <v>Manager who explains what is expected, sets a goal and helps achieve it</v>
      </c>
      <c r="P283" s="1" t="str">
        <f ca="1">IFERROR(__xludf.DUMMYFUNCTION("""COMPUTED_VALUE"""),"Work &gt;10 people in Team")</f>
        <v>Work &gt;10 people in Team</v>
      </c>
      <c r="Q283" s="1" t="s">
        <v>40</v>
      </c>
      <c r="R283" s="1"/>
    </row>
    <row r="284" spans="1:18" x14ac:dyDescent="0.25">
      <c r="A284" s="2">
        <f ca="1">IFERROR(__xludf.DUMMYFUNCTION("""COMPUTED_VALUE"""),44918.9781476967)</f>
        <v>44918.978147696696</v>
      </c>
      <c r="B284" s="1" t="str">
        <f ca="1">IFERROR(__xludf.DUMMYFUNCTION("""COMPUTED_VALUE"""),"India")</f>
        <v>India</v>
      </c>
      <c r="C284" s="1">
        <f ca="1">IFERROR(__xludf.DUMMYFUNCTION("""COMPUTED_VALUE"""),385001)</f>
        <v>385001</v>
      </c>
      <c r="D284" s="1" t="str">
        <f ca="1">IFERROR(__xludf.DUMMYFUNCTION("""COMPUTED_VALUE"""),"Female")</f>
        <v>Female</v>
      </c>
      <c r="E284" s="1" t="str">
        <f ca="1">IFERROR(__xludf.DUMMYFUNCTION("""COMPUTED_VALUE"""),"People who have changed the world for better")</f>
        <v>People who have changed the world for better</v>
      </c>
      <c r="F284" s="1" t="str">
        <f ca="1">IFERROR(__xludf.DUMMYFUNCTION("""COMPUTED_VALUE"""),"No I would not be pursuing Higher Education outside of India")</f>
        <v>No I would not be pursuing Higher Education outside of India</v>
      </c>
      <c r="G284" s="1" t="str">
        <f ca="1">IFERROR(__xludf.DUMMYFUNCTION("""COMPUTED_VALUE"""),"This will be hard to do, but if it is the right company I would try")</f>
        <v>This will be hard to do, but if it is the right company I would try</v>
      </c>
      <c r="H284" s="1" t="str">
        <f ca="1">IFERROR(__xludf.DUMMYFUNCTION("""COMPUTED_VALUE"""),"No")</f>
        <v>No</v>
      </c>
      <c r="I284" s="1" t="str">
        <f ca="1">IFERROR(__xludf.DUMMYFUNCTION("""COMPUTED_VALUE"""),"Will NOT work for them")</f>
        <v>Will NOT work for them</v>
      </c>
      <c r="J284" s="1">
        <f ca="1">IFERROR(__xludf.DUMMYFUNCTION("""COMPUTED_VALUE"""),1)</f>
        <v>1</v>
      </c>
      <c r="K284" s="1" t="str">
        <f ca="1">IFERROR(__xludf.DUMMYFUNCTION("""COMPUTED_VALUE"""),"Fully Remote with Options to travel as and when needed")</f>
        <v>Fully Remote with Options to travel as and when needed</v>
      </c>
      <c r="L284" s="1" t="str">
        <f ca="1">IFERROR(__xludf.DUMMYFUNCTION("""COMPUTED_VALUE"""),"Employer who pushes your limits by enabling an learning environment, and rewards you at the end")</f>
        <v>Employer who pushes your limits by enabling an learning environment, and rewards you at the end</v>
      </c>
      <c r="M284"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N284" s="4" t="s">
        <v>48</v>
      </c>
      <c r="O284" s="1" t="str">
        <f ca="1">IFERROR(__xludf.DUMMYFUNCTION("""COMPUTED_VALUE"""),"Manager who clearly describes what she/he needs")</f>
        <v>Manager who clearly describes what she/he needs</v>
      </c>
      <c r="P284" s="1" t="str">
        <f ca="1">IFERROR(__xludf.DUMMYFUNCTION("""COMPUTED_VALUE"""),"Work &lt;=6 People in the Team")</f>
        <v>Work &lt;=6 People in the Team</v>
      </c>
      <c r="Q284" s="1" t="s">
        <v>40</v>
      </c>
      <c r="R284" s="1"/>
    </row>
    <row r="285" spans="1:18" x14ac:dyDescent="0.25">
      <c r="A285" s="2">
        <f ca="1">IFERROR(__xludf.DUMMYFUNCTION("""COMPUTED_VALUE"""),44919.2661134143)</f>
        <v>44919.266113414298</v>
      </c>
      <c r="B285" s="1" t="str">
        <f ca="1">IFERROR(__xludf.DUMMYFUNCTION("""COMPUTED_VALUE"""),"India")</f>
        <v>India</v>
      </c>
      <c r="C285" s="1">
        <f ca="1">IFERROR(__xludf.DUMMYFUNCTION("""COMPUTED_VALUE"""),385210)</f>
        <v>385210</v>
      </c>
      <c r="D285" s="1" t="str">
        <f ca="1">IFERROR(__xludf.DUMMYFUNCTION("""COMPUTED_VALUE"""),"Male")</f>
        <v>Male</v>
      </c>
      <c r="E285" s="1" t="str">
        <f ca="1">IFERROR(__xludf.DUMMYFUNCTION("""COMPUTED_VALUE"""),"My Parents")</f>
        <v>My Parents</v>
      </c>
      <c r="F285" s="1" t="str">
        <f ca="1">IFERROR(__xludf.DUMMYFUNCTION("""COMPUTED_VALUE"""),"No, But if someone could bare the cost I will")</f>
        <v>No, But if someone could bare the cost I will</v>
      </c>
      <c r="G285" s="1" t="str">
        <f ca="1">IFERROR(__xludf.DUMMYFUNCTION("""COMPUTED_VALUE"""),"This will be hard to do, but if it is the right company I would try")</f>
        <v>This will be hard to do, but if it is the right company I would try</v>
      </c>
      <c r="H285" s="1" t="str">
        <f ca="1">IFERROR(__xludf.DUMMYFUNCTION("""COMPUTED_VALUE"""),"Yes")</f>
        <v>Yes</v>
      </c>
      <c r="I285" s="1" t="str">
        <f ca="1">IFERROR(__xludf.DUMMYFUNCTION("""COMPUTED_VALUE"""),"Will work for them")</f>
        <v>Will work for them</v>
      </c>
      <c r="J285" s="1">
        <f ca="1">IFERROR(__xludf.DUMMYFUNCTION("""COMPUTED_VALUE"""),4)</f>
        <v>4</v>
      </c>
      <c r="K285" s="1" t="str">
        <f ca="1">IFERROR(__xludf.DUMMYFUNCTION("""COMPUTED_VALUE"""),"Hybrid Working Environment with less than 15 days a month at office")</f>
        <v>Hybrid Working Environment with less than 15 days a month at office</v>
      </c>
      <c r="L285" s="1" t="str">
        <f ca="1">IFERROR(__xludf.DUMMYFUNCTION("""COMPUTED_VALUE"""),"Employer who pushes your limits by enabling an learning environment, and rewards you at the end")</f>
        <v>Employer who pushes your limits by enabling an learning environment, and rewards you at the end</v>
      </c>
      <c r="M285"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N285" s="4" t="s">
        <v>49</v>
      </c>
      <c r="O285" s="1" t="str">
        <f ca="1">IFERROR(__xludf.DUMMYFUNCTION("""COMPUTED_VALUE"""),"Manager who clearly describes what she/he needs")</f>
        <v>Manager who clearly describes what she/he needs</v>
      </c>
      <c r="P285" s="1" t="str">
        <f ca="1">IFERROR(__xludf.DUMMYFUNCTION("""COMPUTED_VALUE"""),"Work alone")</f>
        <v>Work alone</v>
      </c>
      <c r="Q285" s="1" t="s">
        <v>40</v>
      </c>
      <c r="R285" s="1"/>
    </row>
    <row r="286" spans="1:18" x14ac:dyDescent="0.25">
      <c r="A286" s="2">
        <f ca="1">IFERROR(__xludf.DUMMYFUNCTION("""COMPUTED_VALUE"""),44919.3857185185)</f>
        <v>44919.385718518497</v>
      </c>
      <c r="B286" s="1" t="str">
        <f ca="1">IFERROR(__xludf.DUMMYFUNCTION("""COMPUTED_VALUE"""),"India")</f>
        <v>India</v>
      </c>
      <c r="C286" s="1">
        <f ca="1">IFERROR(__xludf.DUMMYFUNCTION("""COMPUTED_VALUE"""),574611)</f>
        <v>574611</v>
      </c>
      <c r="D286" s="1" t="str">
        <f ca="1">IFERROR(__xludf.DUMMYFUNCTION("""COMPUTED_VALUE"""),"Female")</f>
        <v>Female</v>
      </c>
      <c r="E286" s="1" t="str">
        <f ca="1">IFERROR(__xludf.DUMMYFUNCTION("""COMPUTED_VALUE"""),"Influencers who had successful careers")</f>
        <v>Influencers who had successful careers</v>
      </c>
      <c r="F286" s="1" t="str">
        <f ca="1">IFERROR(__xludf.DUMMYFUNCTION("""COMPUTED_VALUE"""),"No I would not be pursuing Higher Education outside of India")</f>
        <v>No I would not be pursuing Higher Education outside of India</v>
      </c>
      <c r="G286" s="1" t="str">
        <f ca="1">IFERROR(__xludf.DUMMYFUNCTION("""COMPUTED_VALUE"""),"Will work for 3 years or more")</f>
        <v>Will work for 3 years or more</v>
      </c>
      <c r="H286" s="1" t="str">
        <f ca="1">IFERROR(__xludf.DUMMYFUNCTION("""COMPUTED_VALUE"""),"No")</f>
        <v>No</v>
      </c>
      <c r="I286" s="1" t="str">
        <f ca="1">IFERROR(__xludf.DUMMYFUNCTION("""COMPUTED_VALUE"""),"Will NOT work for them")</f>
        <v>Will NOT work for them</v>
      </c>
      <c r="J286" s="1">
        <f ca="1">IFERROR(__xludf.DUMMYFUNCTION("""COMPUTED_VALUE"""),6)</f>
        <v>6</v>
      </c>
      <c r="K286" s="1" t="str">
        <f ca="1">IFERROR(__xludf.DUMMYFUNCTION("""COMPUTED_VALUE"""),"Every Day Office Environment")</f>
        <v>Every Day Office Environment</v>
      </c>
      <c r="L286" s="1" t="str">
        <f ca="1">IFERROR(__xludf.DUMMYFUNCTION("""COMPUTED_VALUE"""),"Employer who appreciates learning and enables that environment")</f>
        <v>Employer who appreciates learning and enables that environment</v>
      </c>
      <c r="M28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286" s="4" t="s">
        <v>48</v>
      </c>
      <c r="O286" s="1" t="str">
        <f ca="1">IFERROR(__xludf.DUMMYFUNCTION("""COMPUTED_VALUE"""),"Manager who clearly describes what she/he needs")</f>
        <v>Manager who clearly describes what she/he needs</v>
      </c>
      <c r="P286" s="1" t="str">
        <f ca="1">IFERROR(__xludf.DUMMYFUNCTION("""COMPUTED_VALUE"""),"Work &lt;=6 People in the Team")</f>
        <v>Work &lt;=6 People in the Team</v>
      </c>
      <c r="Q286" s="1" t="s">
        <v>40</v>
      </c>
      <c r="R286" s="1"/>
    </row>
    <row r="287" spans="1:18" x14ac:dyDescent="0.25">
      <c r="A287" s="2">
        <f ca="1">IFERROR(__xludf.DUMMYFUNCTION("""COMPUTED_VALUE"""),44919.4026261689)</f>
        <v>44919.4026261689</v>
      </c>
      <c r="B287" s="1" t="str">
        <f ca="1">IFERROR(__xludf.DUMMYFUNCTION("""COMPUTED_VALUE"""),"India")</f>
        <v>India</v>
      </c>
      <c r="C287" s="1">
        <f ca="1">IFERROR(__xludf.DUMMYFUNCTION("""COMPUTED_VALUE"""),574103)</f>
        <v>574103</v>
      </c>
      <c r="D287" s="1" t="str">
        <f ca="1">IFERROR(__xludf.DUMMYFUNCTION("""COMPUTED_VALUE"""),"Male")</f>
        <v>Male</v>
      </c>
      <c r="E287" s="1" t="str">
        <f ca="1">IFERROR(__xludf.DUMMYFUNCTION("""COMPUTED_VALUE"""),"People who have changed the world for better")</f>
        <v>People who have changed the world for better</v>
      </c>
      <c r="F287" s="1" t="str">
        <f ca="1">IFERROR(__xludf.DUMMYFUNCTION("""COMPUTED_VALUE"""),"Yes, I will earn and do that")</f>
        <v>Yes, I will earn and do that</v>
      </c>
      <c r="G287" s="1" t="str">
        <f ca="1">IFERROR(__xludf.DUMMYFUNCTION("""COMPUTED_VALUE"""),"Will work for 3 years or more")</f>
        <v>Will work for 3 years or more</v>
      </c>
      <c r="H287" s="1" t="str">
        <f ca="1">IFERROR(__xludf.DUMMYFUNCTION("""COMPUTED_VALUE"""),"Yes")</f>
        <v>Yes</v>
      </c>
      <c r="I287" s="1" t="str">
        <f ca="1">IFERROR(__xludf.DUMMYFUNCTION("""COMPUTED_VALUE"""),"Will NOT work for them")</f>
        <v>Will NOT work for them</v>
      </c>
      <c r="J287" s="1">
        <f ca="1">IFERROR(__xludf.DUMMYFUNCTION("""COMPUTED_VALUE"""),7)</f>
        <v>7</v>
      </c>
      <c r="K287" s="1" t="str">
        <f ca="1">IFERROR(__xludf.DUMMYFUNCTION("""COMPUTED_VALUE"""),"Hybrid Working Environment with less than 10 days a month at office")</f>
        <v>Hybrid Working Environment with less than 10 days a month at office</v>
      </c>
      <c r="L287" s="1" t="str">
        <f ca="1">IFERROR(__xludf.DUMMYFUNCTION("""COMPUTED_VALUE"""),"Employer who pushes your limits by enabling an learning environment, and rewards you at the end")</f>
        <v>Employer who pushes your limits by enabling an learning environment, and rewards you at the end</v>
      </c>
      <c r="M287"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287" s="4" t="s">
        <v>48</v>
      </c>
      <c r="O287" s="1" t="str">
        <f ca="1">IFERROR(__xludf.DUMMYFUNCTION("""COMPUTED_VALUE"""),"Manager who explains what is expected, sets a goal and helps achieve it")</f>
        <v>Manager who explains what is expected, sets a goal and helps achieve it</v>
      </c>
      <c r="P287" s="1" t="str">
        <f ca="1">IFERROR(__xludf.DUMMYFUNCTION("""COMPUTED_VALUE"""),"Work &lt;67 People in the Team")</f>
        <v>Work &lt;67 People in the Team</v>
      </c>
      <c r="Q287" s="1" t="s">
        <v>40</v>
      </c>
      <c r="R287" s="1"/>
    </row>
    <row r="288" spans="1:18" x14ac:dyDescent="0.25">
      <c r="A288" s="2">
        <f ca="1">IFERROR(__xludf.DUMMYFUNCTION("""COMPUTED_VALUE"""),44919.4068294212)</f>
        <v>44919.406829421197</v>
      </c>
      <c r="B288" s="1" t="str">
        <f ca="1">IFERROR(__xludf.DUMMYFUNCTION("""COMPUTED_VALUE"""),"India")</f>
        <v>India</v>
      </c>
      <c r="C288" s="1">
        <f ca="1">IFERROR(__xludf.DUMMYFUNCTION("""COMPUTED_VALUE"""),574111)</f>
        <v>574111</v>
      </c>
      <c r="D288" s="1" t="str">
        <f ca="1">IFERROR(__xludf.DUMMYFUNCTION("""COMPUTED_VALUE"""),"Female")</f>
        <v>Female</v>
      </c>
      <c r="E288" s="1" t="str">
        <f ca="1">IFERROR(__xludf.DUMMYFUNCTION("""COMPUTED_VALUE"""),"Influencers who had successful careers")</f>
        <v>Influencers who had successful careers</v>
      </c>
      <c r="F288" s="1" t="str">
        <f ca="1">IFERROR(__xludf.DUMMYFUNCTION("""COMPUTED_VALUE"""),"No, But if someone could bare the cost I will")</f>
        <v>No, But if someone could bare the cost I will</v>
      </c>
      <c r="G288" s="1" t="str">
        <f ca="1">IFERROR(__xludf.DUMMYFUNCTION("""COMPUTED_VALUE"""),"This will be hard to do, but if it is the right company I would try")</f>
        <v>This will be hard to do, but if it is the right company I would try</v>
      </c>
      <c r="H288" s="1" t="str">
        <f ca="1">IFERROR(__xludf.DUMMYFUNCTION("""COMPUTED_VALUE"""),"No")</f>
        <v>No</v>
      </c>
      <c r="I288" s="1" t="str">
        <f ca="1">IFERROR(__xludf.DUMMYFUNCTION("""COMPUTED_VALUE"""),"Will NOT work for them")</f>
        <v>Will NOT work for them</v>
      </c>
      <c r="J288" s="1">
        <f ca="1">IFERROR(__xludf.DUMMYFUNCTION("""COMPUTED_VALUE"""),8)</f>
        <v>8</v>
      </c>
      <c r="K288" s="1" t="str">
        <f ca="1">IFERROR(__xludf.DUMMYFUNCTION("""COMPUTED_VALUE"""),"Fully Remote with Options to travel as and when needed")</f>
        <v>Fully Remote with Options to travel as and when needed</v>
      </c>
      <c r="L288" s="1" t="str">
        <f ca="1">IFERROR(__xludf.DUMMYFUNCTION("""COMPUTED_VALUE"""),"Employer who pushes your limits by enabling an learning environment, and rewards you at the end")</f>
        <v>Employer who pushes your limits by enabling an learning environment, and rewards you at the end</v>
      </c>
      <c r="M28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N288" s="4" t="s">
        <v>49</v>
      </c>
      <c r="O288" s="1" t="str">
        <f ca="1">IFERROR(__xludf.DUMMYFUNCTION("""COMPUTED_VALUE"""),"Manager who explains what is expected, sets a goal and helps achieve it")</f>
        <v>Manager who explains what is expected, sets a goal and helps achieve it</v>
      </c>
      <c r="P288" s="1" t="str">
        <f ca="1">IFERROR(__xludf.DUMMYFUNCTION("""COMPUTED_VALUE"""),"Work Alone, &lt;=6 in team")</f>
        <v>Work Alone, &lt;=6 in team</v>
      </c>
      <c r="Q288" s="1" t="s">
        <v>40</v>
      </c>
      <c r="R288" s="1"/>
    </row>
    <row r="289" spans="1:18" x14ac:dyDescent="0.25">
      <c r="A289" s="2">
        <f ca="1">IFERROR(__xludf.DUMMYFUNCTION("""COMPUTED_VALUE"""),44919.460229699)</f>
        <v>44919.460229698998</v>
      </c>
      <c r="B289" s="1" t="str">
        <f ca="1">IFERROR(__xludf.DUMMYFUNCTION("""COMPUTED_VALUE"""),"India")</f>
        <v>India</v>
      </c>
      <c r="C289" s="1">
        <f ca="1">IFERROR(__xludf.DUMMYFUNCTION("""COMPUTED_VALUE"""),385520)</f>
        <v>385520</v>
      </c>
      <c r="D289" s="1" t="str">
        <f ca="1">IFERROR(__xludf.DUMMYFUNCTION("""COMPUTED_VALUE"""),"Male")</f>
        <v>Male</v>
      </c>
      <c r="E289" s="1" t="str">
        <f ca="1">IFERROR(__xludf.DUMMYFUNCTION("""COMPUTED_VALUE"""),"People who have changed the world for better")</f>
        <v>People who have changed the world for better</v>
      </c>
      <c r="F289" s="1" t="str">
        <f ca="1">IFERROR(__xludf.DUMMYFUNCTION("""COMPUTED_VALUE"""),"No I would not be pursuing Higher Education outside of India")</f>
        <v>No I would not be pursuing Higher Education outside of India</v>
      </c>
      <c r="G289" s="1" t="str">
        <f ca="1">IFERROR(__xludf.DUMMYFUNCTION("""COMPUTED_VALUE"""),"Will work for 3 years or more")</f>
        <v>Will work for 3 years or more</v>
      </c>
      <c r="H289" s="1" t="str">
        <f ca="1">IFERROR(__xludf.DUMMYFUNCTION("""COMPUTED_VALUE"""),"No")</f>
        <v>No</v>
      </c>
      <c r="I289" s="1" t="str">
        <f ca="1">IFERROR(__xludf.DUMMYFUNCTION("""COMPUTED_VALUE"""),"Will NOT work for them")</f>
        <v>Will NOT work for them</v>
      </c>
      <c r="J289" s="1">
        <f ca="1">IFERROR(__xludf.DUMMYFUNCTION("""COMPUTED_VALUE"""),3)</f>
        <v>3</v>
      </c>
      <c r="K289" s="1" t="str">
        <f ca="1">IFERROR(__xludf.DUMMYFUNCTION("""COMPUTED_VALUE"""),"Fully Remote with Options to travel as and when needed")</f>
        <v>Fully Remote with Options to travel as and when needed</v>
      </c>
      <c r="L289" s="1" t="str">
        <f ca="1">IFERROR(__xludf.DUMMYFUNCTION("""COMPUTED_VALUE"""),"Employer who pushes your limits by enabling an learning environment, and rewards you at the end")</f>
        <v>Employer who pushes your limits by enabling an learning environment, and rewards you at the end</v>
      </c>
      <c r="M28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289" s="4" t="s">
        <v>48</v>
      </c>
      <c r="O289" s="1" t="str">
        <f ca="1">IFERROR(__xludf.DUMMYFUNCTION("""COMPUTED_VALUE"""),"Manager who explains what is expected, sets a goal and helps achieve it")</f>
        <v>Manager who explains what is expected, sets a goal and helps achieve it</v>
      </c>
      <c r="P289" s="1" t="str">
        <f ca="1">IFERROR(__xludf.DUMMYFUNCTION("""COMPUTED_VALUE"""),"Work &lt;=6 People in the Team")</f>
        <v>Work &lt;=6 People in the Team</v>
      </c>
      <c r="Q289" s="1" t="s">
        <v>41</v>
      </c>
      <c r="R289" s="1"/>
    </row>
    <row r="290" spans="1:18" x14ac:dyDescent="0.25">
      <c r="A290" s="2">
        <f ca="1">IFERROR(__xludf.DUMMYFUNCTION("""COMPUTED_VALUE"""),44919.4652683796)</f>
        <v>44919.465268379601</v>
      </c>
      <c r="B290" s="1" t="str">
        <f ca="1">IFERROR(__xludf.DUMMYFUNCTION("""COMPUTED_VALUE"""),"India")</f>
        <v>India</v>
      </c>
      <c r="C290" s="1">
        <f ca="1">IFERROR(__xludf.DUMMYFUNCTION("""COMPUTED_VALUE"""),576213)</f>
        <v>576213</v>
      </c>
      <c r="D290" s="1" t="str">
        <f ca="1">IFERROR(__xludf.DUMMYFUNCTION("""COMPUTED_VALUE"""),"Female")</f>
        <v>Female</v>
      </c>
      <c r="E290" s="1" t="str">
        <f ca="1">IFERROR(__xludf.DUMMYFUNCTION("""COMPUTED_VALUE"""),"People who have changed the world for better")</f>
        <v>People who have changed the world for better</v>
      </c>
      <c r="F290" s="1" t="str">
        <f ca="1">IFERROR(__xludf.DUMMYFUNCTION("""COMPUTED_VALUE"""),"Yes, I will earn and do that")</f>
        <v>Yes, I will earn and do that</v>
      </c>
      <c r="G290" s="1" t="str">
        <f ca="1">IFERROR(__xludf.DUMMYFUNCTION("""COMPUTED_VALUE"""),"This will be hard to do, but if it is the right company I would try")</f>
        <v>This will be hard to do, but if it is the right company I would try</v>
      </c>
      <c r="H290" s="1" t="str">
        <f ca="1">IFERROR(__xludf.DUMMYFUNCTION("""COMPUTED_VALUE"""),"No")</f>
        <v>No</v>
      </c>
      <c r="I290" s="1" t="str">
        <f ca="1">IFERROR(__xludf.DUMMYFUNCTION("""COMPUTED_VALUE"""),"Will NOT work for them")</f>
        <v>Will NOT work for them</v>
      </c>
      <c r="J290" s="1">
        <f ca="1">IFERROR(__xludf.DUMMYFUNCTION("""COMPUTED_VALUE"""),3)</f>
        <v>3</v>
      </c>
      <c r="K290" s="1" t="str">
        <f ca="1">IFERROR(__xludf.DUMMYFUNCTION("""COMPUTED_VALUE"""),"Fully Remote with Options to travel as and when needed")</f>
        <v>Fully Remote with Options to travel as and when needed</v>
      </c>
      <c r="L290" s="1" t="str">
        <f ca="1">IFERROR(__xludf.DUMMYFUNCTION("""COMPUTED_VALUE"""),"Employer who appreciates learning and enables that environment")</f>
        <v>Employer who appreciates learning and enables that environment</v>
      </c>
      <c r="M290"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290" s="4" t="s">
        <v>48</v>
      </c>
      <c r="O290" s="1" t="str">
        <f ca="1">IFERROR(__xludf.DUMMYFUNCTION("""COMPUTED_VALUE"""),"Manager who sets goal and helps me achieve it")</f>
        <v>Manager who sets goal and helps me achieve it</v>
      </c>
      <c r="P290" s="1" t="str">
        <f ca="1">IFERROR(__xludf.DUMMYFUNCTION("""COMPUTED_VALUE"""),"Work &lt;=6 People in the Team")</f>
        <v>Work &lt;=6 People in the Team</v>
      </c>
      <c r="Q290" s="1" t="s">
        <v>40</v>
      </c>
      <c r="R290" s="1"/>
    </row>
    <row r="291" spans="1:18" x14ac:dyDescent="0.25">
      <c r="A291" s="2">
        <f ca="1">IFERROR(__xludf.DUMMYFUNCTION("""COMPUTED_VALUE"""),44919.6012614699)</f>
        <v>44919.601261469899</v>
      </c>
      <c r="B291" s="1" t="str">
        <f ca="1">IFERROR(__xludf.DUMMYFUNCTION("""COMPUTED_VALUE"""),"India")</f>
        <v>India</v>
      </c>
      <c r="C291" s="1">
        <f ca="1">IFERROR(__xludf.DUMMYFUNCTION("""COMPUTED_VALUE"""),385520)</f>
        <v>385520</v>
      </c>
      <c r="D291" s="1" t="str">
        <f ca="1">IFERROR(__xludf.DUMMYFUNCTION("""COMPUTED_VALUE"""),"Female")</f>
        <v>Female</v>
      </c>
      <c r="E291" s="1" t="str">
        <f ca="1">IFERROR(__xludf.DUMMYFUNCTION("""COMPUTED_VALUE"""),"Influencers who had successful careers")</f>
        <v>Influencers who had successful careers</v>
      </c>
      <c r="F291" s="1" t="str">
        <f ca="1">IFERROR(__xludf.DUMMYFUNCTION("""COMPUTED_VALUE"""),"Yes, I will earn and do that")</f>
        <v>Yes, I will earn and do that</v>
      </c>
      <c r="G291" s="1" t="str">
        <f ca="1">IFERROR(__xludf.DUMMYFUNCTION("""COMPUTED_VALUE"""),"This will be hard to do, but if it is the right company I would try")</f>
        <v>This will be hard to do, but if it is the right company I would try</v>
      </c>
      <c r="H291" s="1" t="str">
        <f ca="1">IFERROR(__xludf.DUMMYFUNCTION("""COMPUTED_VALUE"""),"Yes")</f>
        <v>Yes</v>
      </c>
      <c r="I291" s="1" t="str">
        <f ca="1">IFERROR(__xludf.DUMMYFUNCTION("""COMPUTED_VALUE"""),"Will work for them")</f>
        <v>Will work for them</v>
      </c>
      <c r="J291" s="1">
        <f ca="1">IFERROR(__xludf.DUMMYFUNCTION("""COMPUTED_VALUE"""),5)</f>
        <v>5</v>
      </c>
      <c r="K291" s="1" t="str">
        <f ca="1">IFERROR(__xludf.DUMMYFUNCTION("""COMPUTED_VALUE"""),"Hybrid Working Environment with less than 10 days a month at office")</f>
        <v>Hybrid Working Environment with less than 10 days a month at office</v>
      </c>
      <c r="L291" s="1" t="str">
        <f ca="1">IFERROR(__xludf.DUMMYFUNCTION("""COMPUTED_VALUE"""),"Employer who appreciates learning and enables that environment")</f>
        <v>Employer who appreciates learning and enables that environment</v>
      </c>
      <c r="M291"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291" s="4" t="s">
        <v>48</v>
      </c>
      <c r="O291" s="1" t="str">
        <f ca="1">IFERROR(__xludf.DUMMYFUNCTION("""COMPUTED_VALUE"""),"Manager who explains what is expected, sets a goal and helps achieve it")</f>
        <v>Manager who explains what is expected, sets a goal and helps achieve it</v>
      </c>
      <c r="P291" s="1" t="str">
        <f ca="1">IFERROR(__xludf.DUMMYFUNCTION("""COMPUTED_VALUE"""),"Work &lt;=6 People in the Team")</f>
        <v>Work &lt;=6 People in the Team</v>
      </c>
      <c r="Q291" s="1" t="s">
        <v>40</v>
      </c>
      <c r="R291" s="1"/>
    </row>
    <row r="292" spans="1:18" x14ac:dyDescent="0.25">
      <c r="A292" s="2">
        <f ca="1">IFERROR(__xludf.DUMMYFUNCTION("""COMPUTED_VALUE"""),44919.6154726273)</f>
        <v>44919.615472627302</v>
      </c>
      <c r="B292" s="1" t="str">
        <f ca="1">IFERROR(__xludf.DUMMYFUNCTION("""COMPUTED_VALUE"""),"India")</f>
        <v>India</v>
      </c>
      <c r="C292" s="1">
        <f ca="1">IFERROR(__xludf.DUMMYFUNCTION("""COMPUTED_VALUE"""),442401)</f>
        <v>442401</v>
      </c>
      <c r="D292" s="1" t="str">
        <f ca="1">IFERROR(__xludf.DUMMYFUNCTION("""COMPUTED_VALUE"""),"Male")</f>
        <v>Male</v>
      </c>
      <c r="E292" s="1" t="str">
        <f ca="1">IFERROR(__xludf.DUMMYFUNCTION("""COMPUTED_VALUE"""),"My Parents")</f>
        <v>My Parents</v>
      </c>
      <c r="F292" s="1" t="str">
        <f ca="1">IFERROR(__xludf.DUMMYFUNCTION("""COMPUTED_VALUE"""),"No, But if someone could bare the cost I will")</f>
        <v>No, But if someone could bare the cost I will</v>
      </c>
      <c r="G292" s="1" t="str">
        <f ca="1">IFERROR(__xludf.DUMMYFUNCTION("""COMPUTED_VALUE"""),"This will be hard to do, but if it is the right company I would try")</f>
        <v>This will be hard to do, but if it is the right company I would try</v>
      </c>
      <c r="H292" s="1" t="str">
        <f ca="1">IFERROR(__xludf.DUMMYFUNCTION("""COMPUTED_VALUE"""),"No")</f>
        <v>No</v>
      </c>
      <c r="I292" s="1" t="str">
        <f ca="1">IFERROR(__xludf.DUMMYFUNCTION("""COMPUTED_VALUE"""),"Will NOT work for them")</f>
        <v>Will NOT work for them</v>
      </c>
      <c r="J292" s="1">
        <f ca="1">IFERROR(__xludf.DUMMYFUNCTION("""COMPUTED_VALUE"""),7)</f>
        <v>7</v>
      </c>
      <c r="K292" s="1" t="str">
        <f ca="1">IFERROR(__xludf.DUMMYFUNCTION("""COMPUTED_VALUE"""),"Fully Remote with Options to travel as and when needed")</f>
        <v>Fully Remote with Options to travel as and when needed</v>
      </c>
      <c r="L292" s="1" t="str">
        <f ca="1">IFERROR(__xludf.DUMMYFUNCTION("""COMPUTED_VALUE"""),"Employer who rewards learning and enables that environment")</f>
        <v>Employer who rewards learning and enables that environment</v>
      </c>
      <c r="M292" s="1" t="str">
        <f ca="1">IFERROR(__xludf.DUMMYFUNCTION("""COMPUTED_VALUE"""),"Business Operations in any organization, Look deeply into Data and generate insights, Become a content Creator in some platform")</f>
        <v>Business Operations in any organization, Look deeply into Data and generate insights, Become a content Creator in some platform</v>
      </c>
      <c r="N292" s="4" t="s">
        <v>53</v>
      </c>
      <c r="O292" s="1" t="str">
        <f ca="1">IFERROR(__xludf.DUMMYFUNCTION("""COMPUTED_VALUE"""),"Manager who explains what is expected, sets a goal and helps achieve it")</f>
        <v>Manager who explains what is expected, sets a goal and helps achieve it</v>
      </c>
      <c r="P292" s="1" t="str">
        <f ca="1">IFERROR(__xludf.DUMMYFUNCTION("""COMPUTED_VALUE"""),"Work &lt;=6 People in the Team")</f>
        <v>Work &lt;=6 People in the Team</v>
      </c>
      <c r="Q292" s="1" t="s">
        <v>40</v>
      </c>
      <c r="R292" s="1"/>
    </row>
    <row r="293" spans="1:18" x14ac:dyDescent="0.25">
      <c r="A293" s="2">
        <f ca="1">IFERROR(__xludf.DUMMYFUNCTION("""COMPUTED_VALUE"""),44919.6175858912)</f>
        <v>44919.617585891203</v>
      </c>
      <c r="B293" s="1" t="str">
        <f ca="1">IFERROR(__xludf.DUMMYFUNCTION("""COMPUTED_VALUE"""),"India")</f>
        <v>India</v>
      </c>
      <c r="C293" s="1">
        <f ca="1">IFERROR(__xludf.DUMMYFUNCTION("""COMPUTED_VALUE"""),576215)</f>
        <v>576215</v>
      </c>
      <c r="D293" s="1" t="str">
        <f ca="1">IFERROR(__xludf.DUMMYFUNCTION("""COMPUTED_VALUE"""),"Female")</f>
        <v>Female</v>
      </c>
      <c r="E293" s="1" t="str">
        <f ca="1">IFERROR(__xludf.DUMMYFUNCTION("""COMPUTED_VALUE"""),"My Parents")</f>
        <v>My Parents</v>
      </c>
      <c r="F293" s="1" t="str">
        <f ca="1">IFERROR(__xludf.DUMMYFUNCTION("""COMPUTED_VALUE"""),"No I would not be pursuing Higher Education outside of India")</f>
        <v>No I would not be pursuing Higher Education outside of India</v>
      </c>
      <c r="G293" s="1" t="str">
        <f ca="1">IFERROR(__xludf.DUMMYFUNCTION("""COMPUTED_VALUE"""),"This will be hard to do, but if it is the right company I would try")</f>
        <v>This will be hard to do, but if it is the right company I would try</v>
      </c>
      <c r="H293" s="1" t="str">
        <f ca="1">IFERROR(__xludf.DUMMYFUNCTION("""COMPUTED_VALUE"""),"No")</f>
        <v>No</v>
      </c>
      <c r="I293" s="1" t="str">
        <f ca="1">IFERROR(__xludf.DUMMYFUNCTION("""COMPUTED_VALUE"""),"Will NOT work for them")</f>
        <v>Will NOT work for them</v>
      </c>
      <c r="J293" s="1">
        <f ca="1">IFERROR(__xludf.DUMMYFUNCTION("""COMPUTED_VALUE"""),4)</f>
        <v>4</v>
      </c>
      <c r="K293" s="1" t="str">
        <f ca="1">IFERROR(__xludf.DUMMYFUNCTION("""COMPUTED_VALUE"""),"Hybrid Working Environment with less than 15 days a month at office")</f>
        <v>Hybrid Working Environment with less than 15 days a month at office</v>
      </c>
      <c r="L293" s="1" t="str">
        <f ca="1">IFERROR(__xludf.DUMMYFUNCTION("""COMPUTED_VALUE"""),"Employer who appreciates learning and enables that environment")</f>
        <v>Employer who appreciates learning and enables that environment</v>
      </c>
      <c r="M293"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N293" s="4" t="s">
        <v>48</v>
      </c>
      <c r="O293" s="1" t="str">
        <f ca="1">IFERROR(__xludf.DUMMYFUNCTION("""COMPUTED_VALUE"""),"Manager who explains what is expected, sets a goal and helps achieve it")</f>
        <v>Manager who explains what is expected, sets a goal and helps achieve it</v>
      </c>
      <c r="P293" s="1" t="str">
        <f ca="1">IFERROR(__xludf.DUMMYFUNCTION("""COMPUTED_VALUE"""),"Work &lt;=6 People in the Team")</f>
        <v>Work &lt;=6 People in the Team</v>
      </c>
      <c r="Q293" s="1" t="s">
        <v>42</v>
      </c>
      <c r="R293" s="1"/>
    </row>
    <row r="294" spans="1:18" x14ac:dyDescent="0.25">
      <c r="A294" s="2">
        <f ca="1">IFERROR(__xludf.DUMMYFUNCTION("""COMPUTED_VALUE"""),44919.6313431712)</f>
        <v>44919.631343171197</v>
      </c>
      <c r="B294" s="1" t="str">
        <f ca="1">IFERROR(__xludf.DUMMYFUNCTION("""COMPUTED_VALUE"""),"India")</f>
        <v>India</v>
      </c>
      <c r="C294" s="1">
        <f ca="1">IFERROR(__xludf.DUMMYFUNCTION("""COMPUTED_VALUE"""),401107)</f>
        <v>401107</v>
      </c>
      <c r="D294" s="1" t="str">
        <f ca="1">IFERROR(__xludf.DUMMYFUNCTION("""COMPUTED_VALUE"""),"Female")</f>
        <v>Female</v>
      </c>
      <c r="E294" s="1" t="str">
        <f ca="1">IFERROR(__xludf.DUMMYFUNCTION("""COMPUTED_VALUE"""),"Social Media like LinkedIn")</f>
        <v>Social Media like LinkedIn</v>
      </c>
      <c r="F294" s="1" t="str">
        <f ca="1">IFERROR(__xludf.DUMMYFUNCTION("""COMPUTED_VALUE"""),"Yes, I will earn and do that")</f>
        <v>Yes, I will earn and do that</v>
      </c>
      <c r="G294" s="1" t="str">
        <f ca="1">IFERROR(__xludf.DUMMYFUNCTION("""COMPUTED_VALUE"""),"Will work for 3 years or more")</f>
        <v>Will work for 3 years or more</v>
      </c>
      <c r="H294" s="1" t="str">
        <f ca="1">IFERROR(__xludf.DUMMYFUNCTION("""COMPUTED_VALUE"""),"No")</f>
        <v>No</v>
      </c>
      <c r="I294" s="1" t="str">
        <f ca="1">IFERROR(__xludf.DUMMYFUNCTION("""COMPUTED_VALUE"""),"Will NOT work for them")</f>
        <v>Will NOT work for them</v>
      </c>
      <c r="J294" s="1">
        <f ca="1">IFERROR(__xludf.DUMMYFUNCTION("""COMPUTED_VALUE"""),9)</f>
        <v>9</v>
      </c>
      <c r="K294" s="1" t="str">
        <f ca="1">IFERROR(__xludf.DUMMYFUNCTION("""COMPUTED_VALUE"""),"Hybrid Working Environment with less than 3 days a month at office")</f>
        <v>Hybrid Working Environment with less than 3 days a month at office</v>
      </c>
      <c r="L294" s="1" t="str">
        <f ca="1">IFERROR(__xludf.DUMMYFUNCTION("""COMPUTED_VALUE"""),"Employer who rewards learning and enables that environment")</f>
        <v>Employer who rewards learning and enables that environment</v>
      </c>
      <c r="M294" s="1" t="str">
        <f ca="1">IFERROR(__xludf.DUMMYFUNCTION("""COMPUTED_VALUE"""),"Build and develop a Team, Look deeply into Data and generate insights, Work as a freelancer and do my thing my way")</f>
        <v>Build and develop a Team, Look deeply into Data and generate insights, Work as a freelancer and do my thing my way</v>
      </c>
      <c r="N294" s="4" t="s">
        <v>49</v>
      </c>
      <c r="O294" s="1" t="str">
        <f ca="1">IFERROR(__xludf.DUMMYFUNCTION("""COMPUTED_VALUE"""),"Manager who clearly describes what she/he needs")</f>
        <v>Manager who clearly describes what she/he needs</v>
      </c>
      <c r="P294" s="1" t="str">
        <f ca="1">IFERROR(__xludf.DUMMYFUNCTION("""COMPUTED_VALUE"""),"Work Alone, &lt;67 people in team")</f>
        <v>Work Alone, &lt;67 people in team</v>
      </c>
      <c r="Q294" s="1" t="s">
        <v>41</v>
      </c>
      <c r="R294" s="1"/>
    </row>
    <row r="295" spans="1:18" x14ac:dyDescent="0.25">
      <c r="A295" s="2">
        <f ca="1">IFERROR(__xludf.DUMMYFUNCTION("""COMPUTED_VALUE"""),44919.6499281481)</f>
        <v>44919.649928148101</v>
      </c>
      <c r="B295" s="1" t="str">
        <f ca="1">IFERROR(__xludf.DUMMYFUNCTION("""COMPUTED_VALUE"""),"India")</f>
        <v>India</v>
      </c>
      <c r="C295" s="1">
        <f ca="1">IFERROR(__xludf.DUMMYFUNCTION("""COMPUTED_VALUE"""),400101)</f>
        <v>400101</v>
      </c>
      <c r="D295" s="1" t="str">
        <f ca="1">IFERROR(__xludf.DUMMYFUNCTION("""COMPUTED_VALUE"""),"Male")</f>
        <v>Male</v>
      </c>
      <c r="E295" s="1" t="str">
        <f ca="1">IFERROR(__xludf.DUMMYFUNCTION("""COMPUTED_VALUE"""),"People from my circle, but not family members")</f>
        <v>People from my circle, but not family members</v>
      </c>
      <c r="F295" s="1" t="str">
        <f ca="1">IFERROR(__xludf.DUMMYFUNCTION("""COMPUTED_VALUE"""),"No I would not be pursuing Higher Education outside of India")</f>
        <v>No I would not be pursuing Higher Education outside of India</v>
      </c>
      <c r="G295" s="1" t="str">
        <f ca="1">IFERROR(__xludf.DUMMYFUNCTION("""COMPUTED_VALUE"""),"This will be hard to do, but if it is the right company I would try")</f>
        <v>This will be hard to do, but if it is the right company I would try</v>
      </c>
      <c r="H295" s="1" t="str">
        <f ca="1">IFERROR(__xludf.DUMMYFUNCTION("""COMPUTED_VALUE"""),"Yes")</f>
        <v>Yes</v>
      </c>
      <c r="I295" s="1" t="str">
        <f ca="1">IFERROR(__xludf.DUMMYFUNCTION("""COMPUTED_VALUE"""),"Will NOT work for them")</f>
        <v>Will NOT work for them</v>
      </c>
      <c r="J295" s="1">
        <f ca="1">IFERROR(__xludf.DUMMYFUNCTION("""COMPUTED_VALUE"""),3)</f>
        <v>3</v>
      </c>
      <c r="K295" s="1" t="str">
        <f ca="1">IFERROR(__xludf.DUMMYFUNCTION("""COMPUTED_VALUE"""),"Fully Remote with Options to travel as and when needed")</f>
        <v>Fully Remote with Options to travel as and when needed</v>
      </c>
      <c r="L295" s="1" t="str">
        <f ca="1">IFERROR(__xludf.DUMMYFUNCTION("""COMPUTED_VALUE"""),"Employer who pushes your limits by enabling an learning environment, and rewards you at the end")</f>
        <v>Employer who pushes your limits by enabling an learning environment, and rewards you at the end</v>
      </c>
      <c r="M29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295" s="4" t="s">
        <v>48</v>
      </c>
      <c r="O295" s="1" t="str">
        <f ca="1">IFERROR(__xludf.DUMMYFUNCTION("""COMPUTED_VALUE"""),"Manager who explains what is expected, sets a goal and helps achieve it")</f>
        <v>Manager who explains what is expected, sets a goal and helps achieve it</v>
      </c>
      <c r="P295" s="1" t="str">
        <f ca="1">IFERROR(__xludf.DUMMYFUNCTION("""COMPUTED_VALUE"""),"Work Alone, &lt;=6 in team")</f>
        <v>Work Alone, &lt;=6 in team</v>
      </c>
      <c r="Q295" s="1" t="s">
        <v>41</v>
      </c>
      <c r="R295" s="1"/>
    </row>
    <row r="296" spans="1:18" x14ac:dyDescent="0.25">
      <c r="A296" s="2">
        <f ca="1">IFERROR(__xludf.DUMMYFUNCTION("""COMPUTED_VALUE"""),44919.649994074)</f>
        <v>44919.649994074003</v>
      </c>
      <c r="B296" s="1" t="str">
        <f ca="1">IFERROR(__xludf.DUMMYFUNCTION("""COMPUTED_VALUE"""),"India")</f>
        <v>India</v>
      </c>
      <c r="C296" s="1">
        <f ca="1">IFERROR(__xludf.DUMMYFUNCTION("""COMPUTED_VALUE"""),400101)</f>
        <v>400101</v>
      </c>
      <c r="D296" s="1" t="str">
        <f ca="1">IFERROR(__xludf.DUMMYFUNCTION("""COMPUTED_VALUE"""),"Male")</f>
        <v>Male</v>
      </c>
      <c r="E296" s="1" t="str">
        <f ca="1">IFERROR(__xludf.DUMMYFUNCTION("""COMPUTED_VALUE"""),"My Parents")</f>
        <v>My Parents</v>
      </c>
      <c r="F296" s="1" t="str">
        <f ca="1">IFERROR(__xludf.DUMMYFUNCTION("""COMPUTED_VALUE"""),"No, But if someone could bare the cost I will")</f>
        <v>No, But if someone could bare the cost I will</v>
      </c>
      <c r="G296" s="1" t="str">
        <f ca="1">IFERROR(__xludf.DUMMYFUNCTION("""COMPUTED_VALUE"""),"Will work for 3 years or more")</f>
        <v>Will work for 3 years or more</v>
      </c>
      <c r="H296" s="1" t="str">
        <f ca="1">IFERROR(__xludf.DUMMYFUNCTION("""COMPUTED_VALUE"""),"Yes")</f>
        <v>Yes</v>
      </c>
      <c r="I296" s="1" t="str">
        <f ca="1">IFERROR(__xludf.DUMMYFUNCTION("""COMPUTED_VALUE"""),"Will work for them")</f>
        <v>Will work for them</v>
      </c>
      <c r="J296" s="1">
        <f ca="1">IFERROR(__xludf.DUMMYFUNCTION("""COMPUTED_VALUE"""),1)</f>
        <v>1</v>
      </c>
      <c r="K296" s="1" t="str">
        <f ca="1">IFERROR(__xludf.DUMMYFUNCTION("""COMPUTED_VALUE"""),"Every Day Office Environment")</f>
        <v>Every Day Office Environment</v>
      </c>
      <c r="L296" s="1" t="str">
        <f ca="1">IFERROR(__xludf.DUMMYFUNCTION("""COMPUTED_VALUE"""),"Employer who appreciates learning and enables that environment")</f>
        <v>Employer who appreciates learning and enables that environment</v>
      </c>
      <c r="M296"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N296" s="4" t="s">
        <v>49</v>
      </c>
      <c r="O296" s="1" t="str">
        <f ca="1">IFERROR(__xludf.DUMMYFUNCTION("""COMPUTED_VALUE"""),"Manager who clearly describes what she/he needs")</f>
        <v>Manager who clearly describes what she/he needs</v>
      </c>
      <c r="P296" s="1" t="str">
        <f ca="1">IFERROR(__xludf.DUMMYFUNCTION("""COMPUTED_VALUE"""),"Work alone")</f>
        <v>Work alone</v>
      </c>
      <c r="Q296" s="1" t="s">
        <v>41</v>
      </c>
      <c r="R296" s="1"/>
    </row>
    <row r="297" spans="1:18" x14ac:dyDescent="0.25">
      <c r="A297" s="2">
        <f ca="1">IFERROR(__xludf.DUMMYFUNCTION("""COMPUTED_VALUE"""),44919.6628826851)</f>
        <v>44919.662882685101</v>
      </c>
      <c r="B297" s="1" t="str">
        <f ca="1">IFERROR(__xludf.DUMMYFUNCTION("""COMPUTED_VALUE"""),"India")</f>
        <v>India</v>
      </c>
      <c r="C297" s="1">
        <f ca="1">IFERROR(__xludf.DUMMYFUNCTION("""COMPUTED_VALUE"""),385001)</f>
        <v>385001</v>
      </c>
      <c r="D297" s="1" t="str">
        <f ca="1">IFERROR(__xludf.DUMMYFUNCTION("""COMPUTED_VALUE"""),"Female")</f>
        <v>Female</v>
      </c>
      <c r="E297" s="1" t="str">
        <f ca="1">IFERROR(__xludf.DUMMYFUNCTION("""COMPUTED_VALUE"""),"My Parents")</f>
        <v>My Parents</v>
      </c>
      <c r="F297" s="1" t="str">
        <f ca="1">IFERROR(__xludf.DUMMYFUNCTION("""COMPUTED_VALUE"""),"Yes, I will earn and do that")</f>
        <v>Yes, I will earn and do that</v>
      </c>
      <c r="G297" s="1" t="str">
        <f ca="1">IFERROR(__xludf.DUMMYFUNCTION("""COMPUTED_VALUE"""),"No way, 3 years with one employer is crazy")</f>
        <v>No way, 3 years with one employer is crazy</v>
      </c>
      <c r="H297" s="1" t="str">
        <f ca="1">IFERROR(__xludf.DUMMYFUNCTION("""COMPUTED_VALUE"""),"Yes")</f>
        <v>Yes</v>
      </c>
      <c r="I297" s="1" t="str">
        <f ca="1">IFERROR(__xludf.DUMMYFUNCTION("""COMPUTED_VALUE"""),"Will work for them")</f>
        <v>Will work for them</v>
      </c>
      <c r="J297" s="1">
        <f ca="1">IFERROR(__xludf.DUMMYFUNCTION("""COMPUTED_VALUE"""),2)</f>
        <v>2</v>
      </c>
      <c r="K297" s="1" t="str">
        <f ca="1">IFERROR(__xludf.DUMMYFUNCTION("""COMPUTED_VALUE"""),"Every Day Office Environment")</f>
        <v>Every Day Office Environment</v>
      </c>
      <c r="L297" s="1" t="str">
        <f ca="1">IFERROR(__xludf.DUMMYFUNCTION("""COMPUTED_VALUE"""),"Employer who rewards learning and enables that environment")</f>
        <v>Employer who rewards learning and enables that environment</v>
      </c>
      <c r="M297"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N297" s="4" t="s">
        <v>48</v>
      </c>
      <c r="O297" s="1" t="str">
        <f ca="1">IFERROR(__xludf.DUMMYFUNCTION("""COMPUTED_VALUE"""),"Manager who sets targets and expects me to achieve it")</f>
        <v>Manager who sets targets and expects me to achieve it</v>
      </c>
      <c r="P297" s="1" t="str">
        <f ca="1">IFERROR(__xludf.DUMMYFUNCTION("""COMPUTED_VALUE"""),"Work &lt;=6 People in the Team")</f>
        <v>Work &lt;=6 People in the Team</v>
      </c>
      <c r="Q297" s="1" t="s">
        <v>41</v>
      </c>
      <c r="R297" s="1"/>
    </row>
    <row r="298" spans="1:18" x14ac:dyDescent="0.25">
      <c r="A298" s="2">
        <f ca="1">IFERROR(__xludf.DUMMYFUNCTION("""COMPUTED_VALUE"""),44919.6646511805)</f>
        <v>44919.664651180501</v>
      </c>
      <c r="B298" s="1" t="str">
        <f ca="1">IFERROR(__xludf.DUMMYFUNCTION("""COMPUTED_VALUE"""),"India")</f>
        <v>India</v>
      </c>
      <c r="C298" s="1">
        <f ca="1">IFERROR(__xludf.DUMMYFUNCTION("""COMPUTED_VALUE"""),576213)</f>
        <v>576213</v>
      </c>
      <c r="D298" s="1" t="str">
        <f ca="1">IFERROR(__xludf.DUMMYFUNCTION("""COMPUTED_VALUE"""),"Female")</f>
        <v>Female</v>
      </c>
      <c r="E298" s="1" t="str">
        <f ca="1">IFERROR(__xludf.DUMMYFUNCTION("""COMPUTED_VALUE"""),"My Parents")</f>
        <v>My Parents</v>
      </c>
      <c r="F298" s="1" t="str">
        <f ca="1">IFERROR(__xludf.DUMMYFUNCTION("""COMPUTED_VALUE"""),"No, But if someone could bare the cost I will")</f>
        <v>No, But if someone could bare the cost I will</v>
      </c>
      <c r="G298" s="1" t="str">
        <f ca="1">IFERROR(__xludf.DUMMYFUNCTION("""COMPUTED_VALUE"""),"This will be hard to do, but if it is the right company I would try")</f>
        <v>This will be hard to do, but if it is the right company I would try</v>
      </c>
      <c r="H298" s="1" t="str">
        <f ca="1">IFERROR(__xludf.DUMMYFUNCTION("""COMPUTED_VALUE"""),"No")</f>
        <v>No</v>
      </c>
      <c r="I298" s="1" t="str">
        <f ca="1">IFERROR(__xludf.DUMMYFUNCTION("""COMPUTED_VALUE"""),"Will NOT work for them")</f>
        <v>Will NOT work for them</v>
      </c>
      <c r="J298" s="1">
        <f ca="1">IFERROR(__xludf.DUMMYFUNCTION("""COMPUTED_VALUE"""),5)</f>
        <v>5</v>
      </c>
      <c r="K298" s="1" t="str">
        <f ca="1">IFERROR(__xludf.DUMMYFUNCTION("""COMPUTED_VALUE"""),"Fully Remote with Options to travel as and when needed")</f>
        <v>Fully Remote with Options to travel as and when needed</v>
      </c>
      <c r="L298" s="1" t="str">
        <f ca="1">IFERROR(__xludf.DUMMYFUNCTION("""COMPUTED_VALUE"""),"Employer who rewards learning and enables that environment")</f>
        <v>Employer who rewards learning and enables that environment</v>
      </c>
      <c r="M298" s="1" t="str">
        <f ca="1">IFERROR(__xludf.DUMMYFUNCTION("""COMPUTED_VALUE"""),"Build and develop a Team, Design and Develop amazing software, Look deeply into Data and generate insights")</f>
        <v>Build and develop a Team, Design and Develop amazing software, Look deeply into Data and generate insights</v>
      </c>
      <c r="N298" s="4" t="s">
        <v>49</v>
      </c>
      <c r="O298" s="1" t="str">
        <f ca="1">IFERROR(__xludf.DUMMYFUNCTION("""COMPUTED_VALUE"""),"Manager who clearly describes what she/he needs")</f>
        <v>Manager who clearly describes what she/he needs</v>
      </c>
      <c r="P298" s="1" t="str">
        <f ca="1">IFERROR(__xludf.DUMMYFUNCTION("""COMPUTED_VALUE"""),"Work &gt;=7 People in the Team")</f>
        <v>Work &gt;=7 People in the Team</v>
      </c>
      <c r="Q298" s="1" t="s">
        <v>41</v>
      </c>
      <c r="R298" s="1"/>
    </row>
    <row r="299" spans="1:18" x14ac:dyDescent="0.25">
      <c r="A299" s="2">
        <f ca="1">IFERROR(__xludf.DUMMYFUNCTION("""COMPUTED_VALUE"""),44919.6716289699)</f>
        <v>44919.671628969903</v>
      </c>
      <c r="B299" s="1" t="str">
        <f ca="1">IFERROR(__xludf.DUMMYFUNCTION("""COMPUTED_VALUE"""),"India")</f>
        <v>India</v>
      </c>
      <c r="C299" s="1">
        <f ca="1">IFERROR(__xludf.DUMMYFUNCTION("""COMPUTED_VALUE"""),400101)</f>
        <v>400101</v>
      </c>
      <c r="D299" s="1" t="str">
        <f ca="1">IFERROR(__xludf.DUMMYFUNCTION("""COMPUTED_VALUE"""),"Male")</f>
        <v>Male</v>
      </c>
      <c r="E299" s="1" t="str">
        <f ca="1">IFERROR(__xludf.DUMMYFUNCTION("""COMPUTED_VALUE"""),"People from my circle, but not family members")</f>
        <v>People from my circle, but not family members</v>
      </c>
      <c r="F299" s="1" t="str">
        <f ca="1">IFERROR(__xludf.DUMMYFUNCTION("""COMPUTED_VALUE"""),"No I would not be pursuing Higher Education outside of India")</f>
        <v>No I would not be pursuing Higher Education outside of India</v>
      </c>
      <c r="G299" s="1" t="str">
        <f ca="1">IFERROR(__xludf.DUMMYFUNCTION("""COMPUTED_VALUE"""),"This will be hard to do, but if it is the right company I would try")</f>
        <v>This will be hard to do, but if it is the right company I would try</v>
      </c>
      <c r="H299" s="1" t="str">
        <f ca="1">IFERROR(__xludf.DUMMYFUNCTION("""COMPUTED_VALUE"""),"No")</f>
        <v>No</v>
      </c>
      <c r="I299" s="1" t="str">
        <f ca="1">IFERROR(__xludf.DUMMYFUNCTION("""COMPUTED_VALUE"""),"Will NOT work for them")</f>
        <v>Will NOT work for them</v>
      </c>
      <c r="J299" s="1">
        <f ca="1">IFERROR(__xludf.DUMMYFUNCTION("""COMPUTED_VALUE"""),1)</f>
        <v>1</v>
      </c>
      <c r="K299" s="1" t="str">
        <f ca="1">IFERROR(__xludf.DUMMYFUNCTION("""COMPUTED_VALUE"""),"Hybrid Working Environment with less than 15 days a month at office")</f>
        <v>Hybrid Working Environment with less than 15 days a month at office</v>
      </c>
      <c r="L299" s="1" t="str">
        <f ca="1">IFERROR(__xludf.DUMMYFUNCTION("""COMPUTED_VALUE"""),"Employer who rewards learning and enables that environment")</f>
        <v>Employer who rewards learning and enables that environment</v>
      </c>
      <c r="M29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299" s="4" t="s">
        <v>53</v>
      </c>
      <c r="O299" s="1" t="str">
        <f ca="1">IFERROR(__xludf.DUMMYFUNCTION("""COMPUTED_VALUE"""),"Manager who clearly describes what she/he needs")</f>
        <v>Manager who clearly describes what she/he needs</v>
      </c>
      <c r="P299" s="1" t="str">
        <f ca="1">IFERROR(__xludf.DUMMYFUNCTION("""COMPUTED_VALUE"""),"Work alone")</f>
        <v>Work alone</v>
      </c>
      <c r="Q299" s="1" t="s">
        <v>42</v>
      </c>
      <c r="R299" s="1"/>
    </row>
    <row r="300" spans="1:18" x14ac:dyDescent="0.25">
      <c r="A300" s="2">
        <f ca="1">IFERROR(__xludf.DUMMYFUNCTION("""COMPUTED_VALUE"""),44919.6728348032)</f>
        <v>44919.672834803197</v>
      </c>
      <c r="B300" s="1" t="str">
        <f ca="1">IFERROR(__xludf.DUMMYFUNCTION("""COMPUTED_VALUE"""),"India")</f>
        <v>India</v>
      </c>
      <c r="C300" s="1">
        <f ca="1">IFERROR(__xludf.DUMMYFUNCTION("""COMPUTED_VALUE"""),400028)</f>
        <v>400028</v>
      </c>
      <c r="D300" s="1" t="str">
        <f ca="1">IFERROR(__xludf.DUMMYFUNCTION("""COMPUTED_VALUE"""),"Female")</f>
        <v>Female</v>
      </c>
      <c r="E300" s="1" t="str">
        <f ca="1">IFERROR(__xludf.DUMMYFUNCTION("""COMPUTED_VALUE"""),"People who have changed the world for better")</f>
        <v>People who have changed the world for better</v>
      </c>
      <c r="F300" s="1" t="str">
        <f ca="1">IFERROR(__xludf.DUMMYFUNCTION("""COMPUTED_VALUE"""),"Yes, I will earn and do that")</f>
        <v>Yes, I will earn and do that</v>
      </c>
      <c r="G300" s="1" t="str">
        <f ca="1">IFERROR(__xludf.DUMMYFUNCTION("""COMPUTED_VALUE"""),"This will be hard to do, but if it is the right company I would try")</f>
        <v>This will be hard to do, but if it is the right company I would try</v>
      </c>
      <c r="H300" s="1" t="str">
        <f ca="1">IFERROR(__xludf.DUMMYFUNCTION("""COMPUTED_VALUE"""),"Yes")</f>
        <v>Yes</v>
      </c>
      <c r="I300" s="1" t="str">
        <f ca="1">IFERROR(__xludf.DUMMYFUNCTION("""COMPUTED_VALUE"""),"Will NOT work for them")</f>
        <v>Will NOT work for them</v>
      </c>
      <c r="J300" s="1">
        <f ca="1">IFERROR(__xludf.DUMMYFUNCTION("""COMPUTED_VALUE"""),8)</f>
        <v>8</v>
      </c>
      <c r="K300" s="1" t="str">
        <f ca="1">IFERROR(__xludf.DUMMYFUNCTION("""COMPUTED_VALUE"""),"Fully Remote with No option to visit offices")</f>
        <v>Fully Remote with No option to visit offices</v>
      </c>
      <c r="L300" s="1" t="str">
        <f ca="1">IFERROR(__xludf.DUMMYFUNCTION("""COMPUTED_VALUE"""),"Employer who appreciates learning and enables that environment")</f>
        <v>Employer who appreciates learning and enables that environment</v>
      </c>
      <c r="M30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00" s="4" t="s">
        <v>58</v>
      </c>
      <c r="O300" s="1" t="str">
        <f ca="1">IFERROR(__xludf.DUMMYFUNCTION("""COMPUTED_VALUE"""),"Manager who sets targets and expects me to achieve it")</f>
        <v>Manager who sets targets and expects me to achieve it</v>
      </c>
      <c r="P300" s="1" t="str">
        <f ca="1">IFERROR(__xludf.DUMMYFUNCTION("""COMPUTED_VALUE"""),"Work alone")</f>
        <v>Work alone</v>
      </c>
      <c r="Q300" s="1" t="s">
        <v>41</v>
      </c>
      <c r="R300" s="1"/>
    </row>
    <row r="301" spans="1:18" x14ac:dyDescent="0.25">
      <c r="A301" s="2">
        <f ca="1">IFERROR(__xludf.DUMMYFUNCTION("""COMPUTED_VALUE"""),44919.7080869212)</f>
        <v>44919.7080869212</v>
      </c>
      <c r="B301" s="1" t="str">
        <f ca="1">IFERROR(__xludf.DUMMYFUNCTION("""COMPUTED_VALUE"""),"India")</f>
        <v>India</v>
      </c>
      <c r="C301" s="1">
        <f ca="1">IFERROR(__xludf.DUMMYFUNCTION("""COMPUTED_VALUE"""),574214)</f>
        <v>574214</v>
      </c>
      <c r="D301" s="1" t="str">
        <f ca="1">IFERROR(__xludf.DUMMYFUNCTION("""COMPUTED_VALUE"""),"Female")</f>
        <v>Female</v>
      </c>
      <c r="E301" s="1" t="str">
        <f ca="1">IFERROR(__xludf.DUMMYFUNCTION("""COMPUTED_VALUE"""),"My Parents")</f>
        <v>My Parents</v>
      </c>
      <c r="F301" s="1" t="str">
        <f ca="1">IFERROR(__xludf.DUMMYFUNCTION("""COMPUTED_VALUE"""),"No, But if someone could bare the cost I will")</f>
        <v>No, But if someone could bare the cost I will</v>
      </c>
      <c r="G301" s="1" t="str">
        <f ca="1">IFERROR(__xludf.DUMMYFUNCTION("""COMPUTED_VALUE"""),"This will be hard to do, but if it is the right company I would try")</f>
        <v>This will be hard to do, but if it is the right company I would try</v>
      </c>
      <c r="H301" s="1" t="str">
        <f ca="1">IFERROR(__xludf.DUMMYFUNCTION("""COMPUTED_VALUE"""),"No")</f>
        <v>No</v>
      </c>
      <c r="I301" s="1" t="str">
        <f ca="1">IFERROR(__xludf.DUMMYFUNCTION("""COMPUTED_VALUE"""),"Will NOT work for them")</f>
        <v>Will NOT work for them</v>
      </c>
      <c r="J301" s="1">
        <f ca="1">IFERROR(__xludf.DUMMYFUNCTION("""COMPUTED_VALUE"""),5)</f>
        <v>5</v>
      </c>
      <c r="K301" s="1" t="str">
        <f ca="1">IFERROR(__xludf.DUMMYFUNCTION("""COMPUTED_VALUE"""),"Fully Remote with Options to travel as and when needed")</f>
        <v>Fully Remote with Options to travel as and when needed</v>
      </c>
      <c r="L301" s="1" t="str">
        <f ca="1">IFERROR(__xludf.DUMMYFUNCTION("""COMPUTED_VALUE"""),"Employer who rewards learning and enables that environment")</f>
        <v>Employer who rewards learning and enables that environment</v>
      </c>
      <c r="M30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301" s="4" t="s">
        <v>48</v>
      </c>
      <c r="O301" s="1" t="str">
        <f ca="1">IFERROR(__xludf.DUMMYFUNCTION("""COMPUTED_VALUE"""),"Manager who explains what is expected, sets a goal and helps achieve it")</f>
        <v>Manager who explains what is expected, sets a goal and helps achieve it</v>
      </c>
      <c r="P301" s="1" t="str">
        <f ca="1">IFERROR(__xludf.DUMMYFUNCTION("""COMPUTED_VALUE"""),"Work &lt;=6 People in the Team")</f>
        <v>Work &lt;=6 People in the Team</v>
      </c>
      <c r="Q301" s="1" t="s">
        <v>41</v>
      </c>
      <c r="R301" s="1"/>
    </row>
    <row r="302" spans="1:18" x14ac:dyDescent="0.25">
      <c r="A302" s="2">
        <f ca="1">IFERROR(__xludf.DUMMYFUNCTION("""COMPUTED_VALUE"""),44919.7263927893)</f>
        <v>44919.7263927893</v>
      </c>
      <c r="B302" s="1" t="str">
        <f ca="1">IFERROR(__xludf.DUMMYFUNCTION("""COMPUTED_VALUE"""),"India")</f>
        <v>India</v>
      </c>
      <c r="C302" s="1">
        <f ca="1">IFERROR(__xludf.DUMMYFUNCTION("""COMPUTED_VALUE"""),576101)</f>
        <v>576101</v>
      </c>
      <c r="D302" s="1" t="str">
        <f ca="1">IFERROR(__xludf.DUMMYFUNCTION("""COMPUTED_VALUE"""),"Female")</f>
        <v>Female</v>
      </c>
      <c r="E302" s="1" t="str">
        <f ca="1">IFERROR(__xludf.DUMMYFUNCTION("""COMPUTED_VALUE"""),"Influencers who had successful careers")</f>
        <v>Influencers who had successful careers</v>
      </c>
      <c r="F302" s="1" t="str">
        <f ca="1">IFERROR(__xludf.DUMMYFUNCTION("""COMPUTED_VALUE"""),"No, But if someone could bare the cost I will")</f>
        <v>No, But if someone could bare the cost I will</v>
      </c>
      <c r="G302" s="1" t="str">
        <f ca="1">IFERROR(__xludf.DUMMYFUNCTION("""COMPUTED_VALUE"""),"This will be hard to do, but if it is the right company I would try")</f>
        <v>This will be hard to do, but if it is the right company I would try</v>
      </c>
      <c r="H302" s="1" t="str">
        <f ca="1">IFERROR(__xludf.DUMMYFUNCTION("""COMPUTED_VALUE"""),"No")</f>
        <v>No</v>
      </c>
      <c r="I302" s="1" t="str">
        <f ca="1">IFERROR(__xludf.DUMMYFUNCTION("""COMPUTED_VALUE"""),"Will NOT work for them")</f>
        <v>Will NOT work for them</v>
      </c>
      <c r="J302" s="1">
        <f ca="1">IFERROR(__xludf.DUMMYFUNCTION("""COMPUTED_VALUE"""),2)</f>
        <v>2</v>
      </c>
      <c r="K302" s="1" t="str">
        <f ca="1">IFERROR(__xludf.DUMMYFUNCTION("""COMPUTED_VALUE"""),"Hybrid Working Environment with less than 15 days a month at office")</f>
        <v>Hybrid Working Environment with less than 15 days a month at office</v>
      </c>
      <c r="L302" s="1" t="str">
        <f ca="1">IFERROR(__xludf.DUMMYFUNCTION("""COMPUTED_VALUE"""),"Employer who pushes your limits by enabling an learning environment, and rewards you at the end")</f>
        <v>Employer who pushes your limits by enabling an learning environment, and rewards you at the end</v>
      </c>
      <c r="M30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302" s="4" t="s">
        <v>53</v>
      </c>
      <c r="O302" s="1" t="str">
        <f ca="1">IFERROR(__xludf.DUMMYFUNCTION("""COMPUTED_VALUE"""),"Manager who explains what is expected, sets a goal and helps achieve it")</f>
        <v>Manager who explains what is expected, sets a goal and helps achieve it</v>
      </c>
      <c r="P302" s="1" t="str">
        <f ca="1">IFERROR(__xludf.DUMMYFUNCTION("""COMPUTED_VALUE"""),"Work Alone, &lt;=6 in team")</f>
        <v>Work Alone, &lt;=6 in team</v>
      </c>
      <c r="Q302" s="1" t="s">
        <v>41</v>
      </c>
      <c r="R302" s="1"/>
    </row>
    <row r="303" spans="1:18" x14ac:dyDescent="0.25">
      <c r="A303" s="2">
        <f ca="1">IFERROR(__xludf.DUMMYFUNCTION("""COMPUTED_VALUE"""),44919.7392865162)</f>
        <v>44919.739286516196</v>
      </c>
      <c r="B303" s="1" t="str">
        <f ca="1">IFERROR(__xludf.DUMMYFUNCTION("""COMPUTED_VALUE"""),"India")</f>
        <v>India</v>
      </c>
      <c r="C303" s="1">
        <f ca="1">IFERROR(__xludf.DUMMYFUNCTION("""COMPUTED_VALUE"""),385001)</f>
        <v>385001</v>
      </c>
      <c r="D303" s="1" t="str">
        <f ca="1">IFERROR(__xludf.DUMMYFUNCTION("""COMPUTED_VALUE"""),"Female")</f>
        <v>Female</v>
      </c>
      <c r="E303" s="1" t="str">
        <f ca="1">IFERROR(__xludf.DUMMYFUNCTION("""COMPUTED_VALUE"""),"Social Media like LinkedIn")</f>
        <v>Social Media like LinkedIn</v>
      </c>
      <c r="F303" s="1" t="str">
        <f ca="1">IFERROR(__xludf.DUMMYFUNCTION("""COMPUTED_VALUE"""),"Yes, I will earn and do that")</f>
        <v>Yes, I will earn and do that</v>
      </c>
      <c r="G303" s="1" t="str">
        <f ca="1">IFERROR(__xludf.DUMMYFUNCTION("""COMPUTED_VALUE"""),"No way, 3 years with one employer is crazy")</f>
        <v>No way, 3 years with one employer is crazy</v>
      </c>
      <c r="H303" s="1" t="str">
        <f ca="1">IFERROR(__xludf.DUMMYFUNCTION("""COMPUTED_VALUE"""),"Yes")</f>
        <v>Yes</v>
      </c>
      <c r="I303" s="1" t="str">
        <f ca="1">IFERROR(__xludf.DUMMYFUNCTION("""COMPUTED_VALUE"""),"Will NOT work for them")</f>
        <v>Will NOT work for them</v>
      </c>
      <c r="J303" s="1">
        <f ca="1">IFERROR(__xludf.DUMMYFUNCTION("""COMPUTED_VALUE"""),10)</f>
        <v>10</v>
      </c>
      <c r="K303" s="1" t="str">
        <f ca="1">IFERROR(__xludf.DUMMYFUNCTION("""COMPUTED_VALUE"""),"Fully Remote with No option to visit offices")</f>
        <v>Fully Remote with No option to visit offices</v>
      </c>
      <c r="L303" s="1" t="str">
        <f ca="1">IFERROR(__xludf.DUMMYFUNCTION("""COMPUTED_VALUE"""),"Employer who rewards learning and enables that environment")</f>
        <v>Employer who rewards learning and enables that environment</v>
      </c>
      <c r="M303"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303" s="4" t="s">
        <v>48</v>
      </c>
      <c r="O303" s="1" t="str">
        <f ca="1">IFERROR(__xludf.DUMMYFUNCTION("""COMPUTED_VALUE"""),"Manager who sets targets and expects me to achieve it")</f>
        <v>Manager who sets targets and expects me to achieve it</v>
      </c>
      <c r="P303" s="1" t="str">
        <f ca="1">IFERROR(__xludf.DUMMYFUNCTION("""COMPUTED_VALUE"""),"Work &gt;10 people in Team")</f>
        <v>Work &gt;10 people in Team</v>
      </c>
      <c r="Q303" s="1" t="s">
        <v>42</v>
      </c>
      <c r="R303" s="1"/>
    </row>
    <row r="304" spans="1:18" x14ac:dyDescent="0.25">
      <c r="A304" s="2">
        <f ca="1">IFERROR(__xludf.DUMMYFUNCTION("""COMPUTED_VALUE"""),44919.9693147569)</f>
        <v>44919.969314756898</v>
      </c>
      <c r="B304" s="1" t="str">
        <f ca="1">IFERROR(__xludf.DUMMYFUNCTION("""COMPUTED_VALUE"""),"India")</f>
        <v>India</v>
      </c>
      <c r="C304" s="1">
        <f ca="1">IFERROR(__xludf.DUMMYFUNCTION("""COMPUTED_VALUE"""),574227)</f>
        <v>574227</v>
      </c>
      <c r="D304" s="1" t="str">
        <f ca="1">IFERROR(__xludf.DUMMYFUNCTION("""COMPUTED_VALUE"""),"Female")</f>
        <v>Female</v>
      </c>
      <c r="E304" s="1" t="str">
        <f ca="1">IFERROR(__xludf.DUMMYFUNCTION("""COMPUTED_VALUE"""),"Influencers who had successful careers")</f>
        <v>Influencers who had successful careers</v>
      </c>
      <c r="F304" s="1" t="str">
        <f ca="1">IFERROR(__xludf.DUMMYFUNCTION("""COMPUTED_VALUE"""),"No I would not be pursuing Higher Education outside of India")</f>
        <v>No I would not be pursuing Higher Education outside of India</v>
      </c>
      <c r="G304" s="1" t="str">
        <f ca="1">IFERROR(__xludf.DUMMYFUNCTION("""COMPUTED_VALUE"""),"Will work for 3 years or more")</f>
        <v>Will work for 3 years or more</v>
      </c>
      <c r="H304" s="1" t="str">
        <f ca="1">IFERROR(__xludf.DUMMYFUNCTION("""COMPUTED_VALUE"""),"No")</f>
        <v>No</v>
      </c>
      <c r="I304" s="1" t="str">
        <f ca="1">IFERROR(__xludf.DUMMYFUNCTION("""COMPUTED_VALUE"""),"Will NOT work for them")</f>
        <v>Will NOT work for them</v>
      </c>
      <c r="J304" s="1">
        <f ca="1">IFERROR(__xludf.DUMMYFUNCTION("""COMPUTED_VALUE"""),5)</f>
        <v>5</v>
      </c>
      <c r="K304" s="1" t="str">
        <f ca="1">IFERROR(__xludf.DUMMYFUNCTION("""COMPUTED_VALUE"""),"Hybrid Working Environment with less than 10 days a month at office")</f>
        <v>Hybrid Working Environment with less than 10 days a month at office</v>
      </c>
      <c r="L304" s="1" t="str">
        <f ca="1">IFERROR(__xludf.DUMMYFUNCTION("""COMPUTED_VALUE"""),"Employer who pushes your limits by enabling an learning environment, and rewards you at the end")</f>
        <v>Employer who pushes your limits by enabling an learning environment, and rewards you at the end</v>
      </c>
      <c r="M30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04" s="4" t="s">
        <v>53</v>
      </c>
      <c r="O304" s="1" t="str">
        <f ca="1">IFERROR(__xludf.DUMMYFUNCTION("""COMPUTED_VALUE"""),"Manager who explains what is expected, sets a goal and helps achieve it")</f>
        <v>Manager who explains what is expected, sets a goal and helps achieve it</v>
      </c>
      <c r="P304" s="1" t="str">
        <f ca="1">IFERROR(__xludf.DUMMYFUNCTION("""COMPUTED_VALUE"""),"Work &gt;=7 People in the Team")</f>
        <v>Work &gt;=7 People in the Team</v>
      </c>
      <c r="Q304" s="1" t="s">
        <v>40</v>
      </c>
      <c r="R304" s="1"/>
    </row>
    <row r="305" spans="1:18" x14ac:dyDescent="0.25">
      <c r="A305" s="2">
        <f ca="1">IFERROR(__xludf.DUMMYFUNCTION("""COMPUTED_VALUE"""),44920.6712373726)</f>
        <v>44920.671237372597</v>
      </c>
      <c r="B305" s="1" t="str">
        <f ca="1">IFERROR(__xludf.DUMMYFUNCTION("""COMPUTED_VALUE"""),"India")</f>
        <v>India</v>
      </c>
      <c r="C305" s="1">
        <f ca="1">IFERROR(__xludf.DUMMYFUNCTION("""COMPUTED_VALUE"""),210424)</f>
        <v>210424</v>
      </c>
      <c r="D305" s="1" t="str">
        <f ca="1">IFERROR(__xludf.DUMMYFUNCTION("""COMPUTED_VALUE"""),"Male")</f>
        <v>Male</v>
      </c>
      <c r="E305" s="1" t="str">
        <f ca="1">IFERROR(__xludf.DUMMYFUNCTION("""COMPUTED_VALUE"""),"People from my circle, but not family members")</f>
        <v>People from my circle, but not family members</v>
      </c>
      <c r="F305" s="1" t="str">
        <f ca="1">IFERROR(__xludf.DUMMYFUNCTION("""COMPUTED_VALUE"""),"No I would not be pursuing Higher Education outside of India")</f>
        <v>No I would not be pursuing Higher Education outside of India</v>
      </c>
      <c r="G305" s="1" t="str">
        <f ca="1">IFERROR(__xludf.DUMMYFUNCTION("""COMPUTED_VALUE"""),"Will work for 3 years or more")</f>
        <v>Will work for 3 years or more</v>
      </c>
      <c r="H305" s="1" t="str">
        <f ca="1">IFERROR(__xludf.DUMMYFUNCTION("""COMPUTED_VALUE"""),"No")</f>
        <v>No</v>
      </c>
      <c r="I305" s="1" t="str">
        <f ca="1">IFERROR(__xludf.DUMMYFUNCTION("""COMPUTED_VALUE"""),"Will NOT work for them")</f>
        <v>Will NOT work for them</v>
      </c>
      <c r="J305" s="1">
        <f ca="1">IFERROR(__xludf.DUMMYFUNCTION("""COMPUTED_VALUE"""),5)</f>
        <v>5</v>
      </c>
      <c r="K305" s="1" t="str">
        <f ca="1">IFERROR(__xludf.DUMMYFUNCTION("""COMPUTED_VALUE"""),"Hybrid Working Environment with less than 10 days a month at office")</f>
        <v>Hybrid Working Environment with less than 10 days a month at office</v>
      </c>
      <c r="L305" s="1" t="str">
        <f ca="1">IFERROR(__xludf.DUMMYFUNCTION("""COMPUTED_VALUE"""),"Employer who appreciates learning and enables that environment")</f>
        <v>Employer who appreciates learning and enables that environment</v>
      </c>
      <c r="M305"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305" s="4" t="s">
        <v>49</v>
      </c>
      <c r="O305" s="1" t="str">
        <f ca="1">IFERROR(__xludf.DUMMYFUNCTION("""COMPUTED_VALUE"""),"Manager who sets goal and helps me achieve it")</f>
        <v>Manager who sets goal and helps me achieve it</v>
      </c>
      <c r="P305" s="1" t="str">
        <f ca="1">IFERROR(__xludf.DUMMYFUNCTION("""COMPUTED_VALUE"""),"Work &lt;=6 People in the Team")</f>
        <v>Work &lt;=6 People in the Team</v>
      </c>
      <c r="Q305" s="1" t="s">
        <v>40</v>
      </c>
      <c r="R305" s="1"/>
    </row>
    <row r="306" spans="1:18" x14ac:dyDescent="0.25">
      <c r="A306" s="2">
        <f ca="1">IFERROR(__xludf.DUMMYFUNCTION("""COMPUTED_VALUE"""),44920.6721050694)</f>
        <v>44920.672105069403</v>
      </c>
      <c r="B306" s="1" t="str">
        <f ca="1">IFERROR(__xludf.DUMMYFUNCTION("""COMPUTED_VALUE"""),"India")</f>
        <v>India</v>
      </c>
      <c r="C306" s="1">
        <f ca="1">IFERROR(__xludf.DUMMYFUNCTION("""COMPUTED_VALUE"""),600100)</f>
        <v>600100</v>
      </c>
      <c r="D306" s="1" t="str">
        <f ca="1">IFERROR(__xludf.DUMMYFUNCTION("""COMPUTED_VALUE"""),"Female")</f>
        <v>Female</v>
      </c>
      <c r="E306" s="1" t="str">
        <f ca="1">IFERROR(__xludf.DUMMYFUNCTION("""COMPUTED_VALUE"""),"My Parents")</f>
        <v>My Parents</v>
      </c>
      <c r="F306" s="1" t="str">
        <f ca="1">IFERROR(__xludf.DUMMYFUNCTION("""COMPUTED_VALUE"""),"No, But if someone could bare the cost I will")</f>
        <v>No, But if someone could bare the cost I will</v>
      </c>
      <c r="G306" s="1" t="str">
        <f ca="1">IFERROR(__xludf.DUMMYFUNCTION("""COMPUTED_VALUE"""),"This will be hard to do, but if it is the right company I would try")</f>
        <v>This will be hard to do, but if it is the right company I would try</v>
      </c>
      <c r="H306" s="1" t="str">
        <f ca="1">IFERROR(__xludf.DUMMYFUNCTION("""COMPUTED_VALUE"""),"No")</f>
        <v>No</v>
      </c>
      <c r="I306" s="1" t="str">
        <f ca="1">IFERROR(__xludf.DUMMYFUNCTION("""COMPUTED_VALUE"""),"Will NOT work for them")</f>
        <v>Will NOT work for them</v>
      </c>
      <c r="J306" s="1">
        <f ca="1">IFERROR(__xludf.DUMMYFUNCTION("""COMPUTED_VALUE"""),9)</f>
        <v>9</v>
      </c>
      <c r="K306" s="1" t="str">
        <f ca="1">IFERROR(__xludf.DUMMYFUNCTION("""COMPUTED_VALUE"""),"Hybrid Working Environment with less than 15 days a month at office")</f>
        <v>Hybrid Working Environment with less than 15 days a month at office</v>
      </c>
      <c r="L306" s="1" t="str">
        <f ca="1">IFERROR(__xludf.DUMMYFUNCTION("""COMPUTED_VALUE"""),"Employer who pushes your limits by enabling an learning environment, and rewards you at the end")</f>
        <v>Employer who pushes your limits by enabling an learning environment, and rewards you at the end</v>
      </c>
      <c r="M30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306" s="4" t="s">
        <v>49</v>
      </c>
      <c r="O306" s="1" t="str">
        <f ca="1">IFERROR(__xludf.DUMMYFUNCTION("""COMPUTED_VALUE"""),"Manager who clearly describes what she/he needs")</f>
        <v>Manager who clearly describes what she/he needs</v>
      </c>
      <c r="P306" s="1" t="str">
        <f ca="1">IFERROR(__xludf.DUMMYFUNCTION("""COMPUTED_VALUE"""),"Work &lt;=6 People in the Team")</f>
        <v>Work &lt;=6 People in the Team</v>
      </c>
      <c r="Q306" s="1" t="s">
        <v>41</v>
      </c>
      <c r="R306" s="1"/>
    </row>
    <row r="307" spans="1:18" x14ac:dyDescent="0.25">
      <c r="A307" s="2">
        <f ca="1">IFERROR(__xludf.DUMMYFUNCTION("""COMPUTED_VALUE"""),44920.6784597569)</f>
        <v>44920.678459756899</v>
      </c>
      <c r="B307" s="1" t="str">
        <f ca="1">IFERROR(__xludf.DUMMYFUNCTION("""COMPUTED_VALUE"""),"India")</f>
        <v>India</v>
      </c>
      <c r="C307" s="1">
        <f ca="1">IFERROR(__xludf.DUMMYFUNCTION("""COMPUTED_VALUE"""),210427)</f>
        <v>210427</v>
      </c>
      <c r="D307" s="1" t="str">
        <f ca="1">IFERROR(__xludf.DUMMYFUNCTION("""COMPUTED_VALUE"""),"Male")</f>
        <v>Male</v>
      </c>
      <c r="E307" s="1" t="str">
        <f ca="1">IFERROR(__xludf.DUMMYFUNCTION("""COMPUTED_VALUE"""),"Social Media like LinkedIn")</f>
        <v>Social Media like LinkedIn</v>
      </c>
      <c r="F307" s="1" t="str">
        <f ca="1">IFERROR(__xludf.DUMMYFUNCTION("""COMPUTED_VALUE"""),"Yes, I will earn and do that")</f>
        <v>Yes, I will earn and do that</v>
      </c>
      <c r="G307" s="1" t="str">
        <f ca="1">IFERROR(__xludf.DUMMYFUNCTION("""COMPUTED_VALUE"""),"This will be hard to do, but if it is the right company I would try")</f>
        <v>This will be hard to do, but if it is the right company I would try</v>
      </c>
      <c r="H307" s="1" t="str">
        <f ca="1">IFERROR(__xludf.DUMMYFUNCTION("""COMPUTED_VALUE"""),"No")</f>
        <v>No</v>
      </c>
      <c r="I307" s="1" t="str">
        <f ca="1">IFERROR(__xludf.DUMMYFUNCTION("""COMPUTED_VALUE"""),"Will NOT work for them")</f>
        <v>Will NOT work for them</v>
      </c>
      <c r="J307" s="1">
        <f ca="1">IFERROR(__xludf.DUMMYFUNCTION("""COMPUTED_VALUE"""),8)</f>
        <v>8</v>
      </c>
      <c r="K307" s="1" t="str">
        <f ca="1">IFERROR(__xludf.DUMMYFUNCTION("""COMPUTED_VALUE"""),"Hybrid Working Environment with less than 3 days a month at office")</f>
        <v>Hybrid Working Environment with less than 3 days a month at office</v>
      </c>
      <c r="L307" s="1" t="str">
        <f ca="1">IFERROR(__xludf.DUMMYFUNCTION("""COMPUTED_VALUE"""),"Employer who pushes your limits by enabling an learning environment, and rewards you at the end")</f>
        <v>Employer who pushes your limits by enabling an learning environment, and rewards you at the end</v>
      </c>
      <c r="M307"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307" s="4" t="s">
        <v>49</v>
      </c>
      <c r="O307" s="1" t="str">
        <f ca="1">IFERROR(__xludf.DUMMYFUNCTION("""COMPUTED_VALUE"""),"Manager who explains what is expected, sets a goal and helps achieve it")</f>
        <v>Manager who explains what is expected, sets a goal and helps achieve it</v>
      </c>
      <c r="P307" s="1" t="str">
        <f ca="1">IFERROR(__xludf.DUMMYFUNCTION("""COMPUTED_VALUE"""),"Work alone")</f>
        <v>Work alone</v>
      </c>
      <c r="Q307" s="1" t="s">
        <v>41</v>
      </c>
      <c r="R307" s="1"/>
    </row>
    <row r="308" spans="1:18" x14ac:dyDescent="0.25">
      <c r="A308" s="2">
        <f ca="1">IFERROR(__xludf.DUMMYFUNCTION("""COMPUTED_VALUE"""),44920.7275024421)</f>
        <v>44920.727502442103</v>
      </c>
      <c r="B308" s="1" t="str">
        <f ca="1">IFERROR(__xludf.DUMMYFUNCTION("""COMPUTED_VALUE"""),"India")</f>
        <v>India</v>
      </c>
      <c r="C308" s="1">
        <f ca="1">IFERROR(__xludf.DUMMYFUNCTION("""COMPUTED_VALUE"""),210424)</f>
        <v>210424</v>
      </c>
      <c r="D308" s="1" t="str">
        <f ca="1">IFERROR(__xludf.DUMMYFUNCTION("""COMPUTED_VALUE"""),"Male")</f>
        <v>Male</v>
      </c>
      <c r="E308" s="1" t="str">
        <f ca="1">IFERROR(__xludf.DUMMYFUNCTION("""COMPUTED_VALUE"""),"My Parents")</f>
        <v>My Parents</v>
      </c>
      <c r="F308" s="1" t="str">
        <f ca="1">IFERROR(__xludf.DUMMYFUNCTION("""COMPUTED_VALUE"""),"No I would not be pursuing Higher Education outside of India")</f>
        <v>No I would not be pursuing Higher Education outside of India</v>
      </c>
      <c r="G308" s="1" t="str">
        <f ca="1">IFERROR(__xludf.DUMMYFUNCTION("""COMPUTED_VALUE"""),"This will be hard to do, but if it is the right company I would try")</f>
        <v>This will be hard to do, but if it is the right company I would try</v>
      </c>
      <c r="H308" s="1" t="str">
        <f ca="1">IFERROR(__xludf.DUMMYFUNCTION("""COMPUTED_VALUE"""),"No")</f>
        <v>No</v>
      </c>
      <c r="I308" s="1" t="str">
        <f ca="1">IFERROR(__xludf.DUMMYFUNCTION("""COMPUTED_VALUE"""),"Will NOT work for them")</f>
        <v>Will NOT work for them</v>
      </c>
      <c r="J308" s="1">
        <f ca="1">IFERROR(__xludf.DUMMYFUNCTION("""COMPUTED_VALUE"""),5)</f>
        <v>5</v>
      </c>
      <c r="K308" s="1" t="str">
        <f ca="1">IFERROR(__xludf.DUMMYFUNCTION("""COMPUTED_VALUE"""),"Fully Remote with Options to travel as and when needed")</f>
        <v>Fully Remote with Options to travel as and when needed</v>
      </c>
      <c r="L308" s="1" t="str">
        <f ca="1">IFERROR(__xludf.DUMMYFUNCTION("""COMPUTED_VALUE"""),"Employer who appreciates learning and enables that environment")</f>
        <v>Employer who appreciates learning and enables that environment</v>
      </c>
      <c r="M308"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308" s="4" t="s">
        <v>48</v>
      </c>
      <c r="O308" s="1" t="str">
        <f ca="1">IFERROR(__xludf.DUMMYFUNCTION("""COMPUTED_VALUE"""),"Manager who sets goal and helps me achieve it")</f>
        <v>Manager who sets goal and helps me achieve it</v>
      </c>
      <c r="P308" s="1" t="str">
        <f ca="1">IFERROR(__xludf.DUMMYFUNCTION("""COMPUTED_VALUE"""),"Work alone")</f>
        <v>Work alone</v>
      </c>
      <c r="Q308" s="1" t="s">
        <v>41</v>
      </c>
      <c r="R308" s="1"/>
    </row>
    <row r="309" spans="1:18" x14ac:dyDescent="0.25">
      <c r="A309" s="2">
        <f ca="1">IFERROR(__xludf.DUMMYFUNCTION("""COMPUTED_VALUE"""),44921.23996978)</f>
        <v>44921.239969779999</v>
      </c>
      <c r="B309" s="1" t="str">
        <f ca="1">IFERROR(__xludf.DUMMYFUNCTION("""COMPUTED_VALUE"""),"India")</f>
        <v>India</v>
      </c>
      <c r="C309" s="1">
        <f ca="1">IFERROR(__xludf.DUMMYFUNCTION("""COMPUTED_VALUE"""),828120)</f>
        <v>828120</v>
      </c>
      <c r="D309" s="1" t="str">
        <f ca="1">IFERROR(__xludf.DUMMYFUNCTION("""COMPUTED_VALUE"""),"Female")</f>
        <v>Female</v>
      </c>
      <c r="E309" s="1" t="str">
        <f ca="1">IFERROR(__xludf.DUMMYFUNCTION("""COMPUTED_VALUE"""),"People who have changed the world for better")</f>
        <v>People who have changed the world for better</v>
      </c>
      <c r="F309" s="1" t="str">
        <f ca="1">IFERROR(__xludf.DUMMYFUNCTION("""COMPUTED_VALUE"""),"No I would not be pursuing Higher Education outside of India")</f>
        <v>No I would not be pursuing Higher Education outside of India</v>
      </c>
      <c r="G309" s="1" t="str">
        <f ca="1">IFERROR(__xludf.DUMMYFUNCTION("""COMPUTED_VALUE"""),"This will be hard to do, but if it is the right company I would try")</f>
        <v>This will be hard to do, but if it is the right company I would try</v>
      </c>
      <c r="H309" s="1" t="str">
        <f ca="1">IFERROR(__xludf.DUMMYFUNCTION("""COMPUTED_VALUE"""),"No")</f>
        <v>No</v>
      </c>
      <c r="I309" s="1" t="str">
        <f ca="1">IFERROR(__xludf.DUMMYFUNCTION("""COMPUTED_VALUE"""),"Will NOT work for them")</f>
        <v>Will NOT work for them</v>
      </c>
      <c r="J309" s="1">
        <f ca="1">IFERROR(__xludf.DUMMYFUNCTION("""COMPUTED_VALUE"""),5)</f>
        <v>5</v>
      </c>
      <c r="K309" s="1" t="str">
        <f ca="1">IFERROR(__xludf.DUMMYFUNCTION("""COMPUTED_VALUE"""),"Fully Remote with No option to visit offices")</f>
        <v>Fully Remote with No option to visit offices</v>
      </c>
      <c r="L309" s="1" t="str">
        <f ca="1">IFERROR(__xludf.DUMMYFUNCTION("""COMPUTED_VALUE"""),"Employer who appreciates learning and enables that environment")</f>
        <v>Employer who appreciates learning and enables that environment</v>
      </c>
      <c r="M309"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N309" s="4" t="s">
        <v>49</v>
      </c>
      <c r="O309" s="1" t="str">
        <f ca="1">IFERROR(__xludf.DUMMYFUNCTION("""COMPUTED_VALUE"""),"Manager who sets goal and helps me achieve it")</f>
        <v>Manager who sets goal and helps me achieve it</v>
      </c>
      <c r="P309" s="1" t="str">
        <f ca="1">IFERROR(__xludf.DUMMYFUNCTION("""COMPUTED_VALUE"""),"Work &lt;=6 People in the Team")</f>
        <v>Work &lt;=6 People in the Team</v>
      </c>
      <c r="Q309" s="1" t="s">
        <v>40</v>
      </c>
      <c r="R309" s="1"/>
    </row>
    <row r="310" spans="1:18" x14ac:dyDescent="0.25">
      <c r="A310" s="2">
        <f ca="1">IFERROR(__xludf.DUMMYFUNCTION("""COMPUTED_VALUE"""),44922.4101984838)</f>
        <v>44922.410198483798</v>
      </c>
      <c r="B310" s="1" t="str">
        <f ca="1">IFERROR(__xludf.DUMMYFUNCTION("""COMPUTED_VALUE"""),"India")</f>
        <v>India</v>
      </c>
      <c r="C310" s="1">
        <f ca="1">IFERROR(__xludf.DUMMYFUNCTION("""COMPUTED_VALUE"""),743127)</f>
        <v>743127</v>
      </c>
      <c r="D310" s="1" t="str">
        <f ca="1">IFERROR(__xludf.DUMMYFUNCTION("""COMPUTED_VALUE"""),"Male")</f>
        <v>Male</v>
      </c>
      <c r="E310" s="1" t="str">
        <f ca="1">IFERROR(__xludf.DUMMYFUNCTION("""COMPUTED_VALUE"""),"People who have changed the world for better")</f>
        <v>People who have changed the world for better</v>
      </c>
      <c r="F310" s="1" t="str">
        <f ca="1">IFERROR(__xludf.DUMMYFUNCTION("""COMPUTED_VALUE"""),"Yes, I will earn and do that")</f>
        <v>Yes, I will earn and do that</v>
      </c>
      <c r="G310" s="1" t="str">
        <f ca="1">IFERROR(__xludf.DUMMYFUNCTION("""COMPUTED_VALUE"""),"Will work for 3 years or more")</f>
        <v>Will work for 3 years or more</v>
      </c>
      <c r="H310" s="1" t="str">
        <f ca="1">IFERROR(__xludf.DUMMYFUNCTION("""COMPUTED_VALUE"""),"No")</f>
        <v>No</v>
      </c>
      <c r="I310" s="1" t="str">
        <f ca="1">IFERROR(__xludf.DUMMYFUNCTION("""COMPUTED_VALUE"""),"Will NOT work for them")</f>
        <v>Will NOT work for them</v>
      </c>
      <c r="J310" s="1">
        <f ca="1">IFERROR(__xludf.DUMMYFUNCTION("""COMPUTED_VALUE"""),2)</f>
        <v>2</v>
      </c>
      <c r="K310" s="1" t="str">
        <f ca="1">IFERROR(__xludf.DUMMYFUNCTION("""COMPUTED_VALUE"""),"Fully Remote with Options to travel as and when needed")</f>
        <v>Fully Remote with Options to travel as and when needed</v>
      </c>
      <c r="L310" s="1" t="str">
        <f ca="1">IFERROR(__xludf.DUMMYFUNCTION("""COMPUTED_VALUE"""),"Employer who pushes your limits by enabling an learning environment, and rewards you at the end")</f>
        <v>Employer who pushes your limits by enabling an learning environment, and rewards you at the end</v>
      </c>
      <c r="M310"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N310" s="4" t="s">
        <v>49</v>
      </c>
      <c r="O310" s="1" t="str">
        <f ca="1">IFERROR(__xludf.DUMMYFUNCTION("""COMPUTED_VALUE"""),"Manager who explains what is expected, sets a goal and helps achieve it")</f>
        <v>Manager who explains what is expected, sets a goal and helps achieve it</v>
      </c>
      <c r="P310" s="1" t="str">
        <f ca="1">IFERROR(__xludf.DUMMYFUNCTION("""COMPUTED_VALUE"""),"Work &gt;10 people in Team")</f>
        <v>Work &gt;10 people in Team</v>
      </c>
      <c r="Q310" s="1" t="s">
        <v>41</v>
      </c>
      <c r="R310" s="1"/>
    </row>
    <row r="311" spans="1:18" x14ac:dyDescent="0.25">
      <c r="A311" s="2">
        <f ca="1">IFERROR(__xludf.DUMMYFUNCTION("""COMPUTED_VALUE"""),44925.2234842013)</f>
        <v>44925.223484201299</v>
      </c>
      <c r="B311" s="1" t="str">
        <f ca="1">IFERROR(__xludf.DUMMYFUNCTION("""COMPUTED_VALUE"""),"Canada")</f>
        <v>Canada</v>
      </c>
      <c r="C311" s="1" t="str">
        <f ca="1">IFERROR(__xludf.DUMMYFUNCTION("""COMPUTED_VALUE"""),"N9B2K9")</f>
        <v>N9B2K9</v>
      </c>
      <c r="D311" s="1" t="str">
        <f ca="1">IFERROR(__xludf.DUMMYFUNCTION("""COMPUTED_VALUE"""),"Male")</f>
        <v>Male</v>
      </c>
      <c r="E311" s="1" t="str">
        <f ca="1">IFERROR(__xludf.DUMMYFUNCTION("""COMPUTED_VALUE"""),"Social Media like LinkedIn")</f>
        <v>Social Media like LinkedIn</v>
      </c>
      <c r="F311" s="1" t="str">
        <f ca="1">IFERROR(__xludf.DUMMYFUNCTION("""COMPUTED_VALUE"""),"Yes, I will earn and do that")</f>
        <v>Yes, I will earn and do that</v>
      </c>
      <c r="G311" s="1" t="str">
        <f ca="1">IFERROR(__xludf.DUMMYFUNCTION("""COMPUTED_VALUE"""),"Will work for 3 years or more")</f>
        <v>Will work for 3 years or more</v>
      </c>
      <c r="H311" s="1" t="str">
        <f ca="1">IFERROR(__xludf.DUMMYFUNCTION("""COMPUTED_VALUE"""),"No")</f>
        <v>No</v>
      </c>
      <c r="I311" s="1" t="str">
        <f ca="1">IFERROR(__xludf.DUMMYFUNCTION("""COMPUTED_VALUE"""),"Will NOT work for them")</f>
        <v>Will NOT work for them</v>
      </c>
      <c r="J311" s="1">
        <f ca="1">IFERROR(__xludf.DUMMYFUNCTION("""COMPUTED_VALUE"""),5)</f>
        <v>5</v>
      </c>
      <c r="K311" s="1" t="str">
        <f ca="1">IFERROR(__xludf.DUMMYFUNCTION("""COMPUTED_VALUE"""),"Fully Remote with Options to travel as and when needed")</f>
        <v>Fully Remote with Options to travel as and when needed</v>
      </c>
      <c r="L311" s="1" t="str">
        <f ca="1">IFERROR(__xludf.DUMMYFUNCTION("""COMPUTED_VALUE"""),"Employer who appreciates learning and enables that environment")</f>
        <v>Employer who appreciates learning and enables that environment</v>
      </c>
      <c r="M311"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11" s="4" t="s">
        <v>49</v>
      </c>
      <c r="O311" s="1" t="str">
        <f ca="1">IFERROR(__xludf.DUMMYFUNCTION("""COMPUTED_VALUE"""),"Manager who sets goal and helps me achieve it")</f>
        <v>Manager who sets goal and helps me achieve it</v>
      </c>
      <c r="P311" s="1" t="str">
        <f ca="1">IFERROR(__xludf.DUMMYFUNCTION("""COMPUTED_VALUE"""),"Work &gt;10 people in Team")</f>
        <v>Work &gt;10 people in Team</v>
      </c>
      <c r="Q311" s="1" t="s">
        <v>41</v>
      </c>
      <c r="R311" s="1"/>
    </row>
    <row r="312" spans="1:18" x14ac:dyDescent="0.25">
      <c r="A312" s="2">
        <f ca="1">IFERROR(__xludf.DUMMYFUNCTION("""COMPUTED_VALUE"""),44925.3416531365)</f>
        <v>44925.3416531365</v>
      </c>
      <c r="B312" s="1" t="str">
        <f ca="1">IFERROR(__xludf.DUMMYFUNCTION("""COMPUTED_VALUE"""),"India")</f>
        <v>India</v>
      </c>
      <c r="C312" s="1">
        <f ca="1">IFERROR(__xludf.DUMMYFUNCTION("""COMPUTED_VALUE"""),560064)</f>
        <v>560064</v>
      </c>
      <c r="D312" s="1" t="str">
        <f ca="1">IFERROR(__xludf.DUMMYFUNCTION("""COMPUTED_VALUE"""),"Female")</f>
        <v>Female</v>
      </c>
      <c r="E312" s="1" t="str">
        <f ca="1">IFERROR(__xludf.DUMMYFUNCTION("""COMPUTED_VALUE"""),"My Parents")</f>
        <v>My Parents</v>
      </c>
      <c r="F312" s="1" t="str">
        <f ca="1">IFERROR(__xludf.DUMMYFUNCTION("""COMPUTED_VALUE"""),"Yes, I will earn and do that")</f>
        <v>Yes, I will earn and do that</v>
      </c>
      <c r="G312" s="1" t="str">
        <f ca="1">IFERROR(__xludf.DUMMYFUNCTION("""COMPUTED_VALUE"""),"Will work for 3 years or more")</f>
        <v>Will work for 3 years or more</v>
      </c>
      <c r="H312" s="1" t="str">
        <f ca="1">IFERROR(__xludf.DUMMYFUNCTION("""COMPUTED_VALUE"""),"No")</f>
        <v>No</v>
      </c>
      <c r="I312" s="1" t="str">
        <f ca="1">IFERROR(__xludf.DUMMYFUNCTION("""COMPUTED_VALUE"""),"Will NOT work for them")</f>
        <v>Will NOT work for them</v>
      </c>
      <c r="J312" s="1">
        <f ca="1">IFERROR(__xludf.DUMMYFUNCTION("""COMPUTED_VALUE"""),5)</f>
        <v>5</v>
      </c>
      <c r="K312" s="1" t="str">
        <f ca="1">IFERROR(__xludf.DUMMYFUNCTION("""COMPUTED_VALUE"""),"Every Day Office Environment")</f>
        <v>Every Day Office Environment</v>
      </c>
      <c r="L312" s="1" t="str">
        <f ca="1">IFERROR(__xludf.DUMMYFUNCTION("""COMPUTED_VALUE"""),"Employer who pushes your limits by enabling an learning environment, and rewards you at the end")</f>
        <v>Employer who pushes your limits by enabling an learning environment, and rewards you at the end</v>
      </c>
      <c r="M31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312" s="4" t="s">
        <v>48</v>
      </c>
      <c r="O312" s="1" t="str">
        <f ca="1">IFERROR(__xludf.DUMMYFUNCTION("""COMPUTED_VALUE"""),"Manager who explains what is expected, sets a goal and helps achieve it")</f>
        <v>Manager who explains what is expected, sets a goal and helps achieve it</v>
      </c>
      <c r="P312" s="1" t="str">
        <f ca="1">IFERROR(__xludf.DUMMYFUNCTION("""COMPUTED_VALUE"""),"Work &lt;=6 People in the Team")</f>
        <v>Work &lt;=6 People in the Team</v>
      </c>
      <c r="Q312" s="1" t="s">
        <v>41</v>
      </c>
      <c r="R312" s="1"/>
    </row>
    <row r="313" spans="1:18" x14ac:dyDescent="0.25">
      <c r="A313" s="2">
        <f ca="1">IFERROR(__xludf.DUMMYFUNCTION("""COMPUTED_VALUE"""),44925.4868696296)</f>
        <v>44925.486869629603</v>
      </c>
      <c r="B313" s="1" t="str">
        <f ca="1">IFERROR(__xludf.DUMMYFUNCTION("""COMPUTED_VALUE"""),"India")</f>
        <v>India</v>
      </c>
      <c r="C313" s="1">
        <f ca="1">IFERROR(__xludf.DUMMYFUNCTION("""COMPUTED_VALUE"""),814112)</f>
        <v>814112</v>
      </c>
      <c r="D313" s="1" t="str">
        <f ca="1">IFERROR(__xludf.DUMMYFUNCTION("""COMPUTED_VALUE"""),"Male")</f>
        <v>Male</v>
      </c>
      <c r="E313" s="1" t="str">
        <f ca="1">IFERROR(__xludf.DUMMYFUNCTION("""COMPUTED_VALUE"""),"People who have changed the world for better")</f>
        <v>People who have changed the world for better</v>
      </c>
      <c r="F313" s="1" t="str">
        <f ca="1">IFERROR(__xludf.DUMMYFUNCTION("""COMPUTED_VALUE"""),"No, But if someone could bare the cost I will")</f>
        <v>No, But if someone could bare the cost I will</v>
      </c>
      <c r="G313" s="1" t="str">
        <f ca="1">IFERROR(__xludf.DUMMYFUNCTION("""COMPUTED_VALUE"""),"This will be hard to do, but if it is the right company I would try")</f>
        <v>This will be hard to do, but if it is the right company I would try</v>
      </c>
      <c r="H313" s="1" t="str">
        <f ca="1">IFERROR(__xludf.DUMMYFUNCTION("""COMPUTED_VALUE"""),"No")</f>
        <v>No</v>
      </c>
      <c r="I313" s="1" t="str">
        <f ca="1">IFERROR(__xludf.DUMMYFUNCTION("""COMPUTED_VALUE"""),"Will NOT work for them")</f>
        <v>Will NOT work for them</v>
      </c>
      <c r="J313" s="1">
        <f ca="1">IFERROR(__xludf.DUMMYFUNCTION("""COMPUTED_VALUE"""),8)</f>
        <v>8</v>
      </c>
      <c r="K313" s="1" t="str">
        <f ca="1">IFERROR(__xludf.DUMMYFUNCTION("""COMPUTED_VALUE"""),"Fully Remote with Options to travel as and when needed")</f>
        <v>Fully Remote with Options to travel as and when needed</v>
      </c>
      <c r="L313" s="1" t="str">
        <f ca="1">IFERROR(__xludf.DUMMYFUNCTION("""COMPUTED_VALUE"""),"Employer who rewards learning and enables that environment")</f>
        <v>Employer who rewards learning and enables that environment</v>
      </c>
      <c r="M313"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313" s="4" t="s">
        <v>48</v>
      </c>
      <c r="O313" s="1" t="str">
        <f ca="1">IFERROR(__xludf.DUMMYFUNCTION("""COMPUTED_VALUE"""),"Manager who explains what is expected, sets a goal and helps achieve it")</f>
        <v>Manager who explains what is expected, sets a goal and helps achieve it</v>
      </c>
      <c r="P313" s="1" t="str">
        <f ca="1">IFERROR(__xludf.DUMMYFUNCTION("""COMPUTED_VALUE"""),"Work &lt;=6 People in the Team")</f>
        <v>Work &lt;=6 People in the Team</v>
      </c>
      <c r="Q313" s="1" t="s">
        <v>40</v>
      </c>
      <c r="R313" s="1"/>
    </row>
    <row r="314" spans="1:18" x14ac:dyDescent="0.25">
      <c r="A314" s="2">
        <f ca="1">IFERROR(__xludf.DUMMYFUNCTION("""COMPUTED_VALUE"""),44926.5888028819)</f>
        <v>44926.588802881903</v>
      </c>
      <c r="B314" s="1" t="str">
        <f ca="1">IFERROR(__xludf.DUMMYFUNCTION("""COMPUTED_VALUE"""),"India")</f>
        <v>India</v>
      </c>
      <c r="C314" s="1">
        <f ca="1">IFERROR(__xludf.DUMMYFUNCTION("""COMPUTED_VALUE"""),147001)</f>
        <v>147001</v>
      </c>
      <c r="D314" s="1" t="str">
        <f ca="1">IFERROR(__xludf.DUMMYFUNCTION("""COMPUTED_VALUE"""),"Female")</f>
        <v>Female</v>
      </c>
      <c r="E314" s="1" t="str">
        <f ca="1">IFERROR(__xludf.DUMMYFUNCTION("""COMPUTED_VALUE"""),"People who have changed the world for better")</f>
        <v>People who have changed the world for better</v>
      </c>
      <c r="F314" s="1" t="str">
        <f ca="1">IFERROR(__xludf.DUMMYFUNCTION("""COMPUTED_VALUE"""),"No, But if someone could bare the cost I will")</f>
        <v>No, But if someone could bare the cost I will</v>
      </c>
      <c r="G314" s="1" t="str">
        <f ca="1">IFERROR(__xludf.DUMMYFUNCTION("""COMPUTED_VALUE"""),"This will be hard to do, but if it is the right company I would try")</f>
        <v>This will be hard to do, but if it is the right company I would try</v>
      </c>
      <c r="H314" s="1" t="str">
        <f ca="1">IFERROR(__xludf.DUMMYFUNCTION("""COMPUTED_VALUE"""),"Yes")</f>
        <v>Yes</v>
      </c>
      <c r="I314" s="1" t="str">
        <f ca="1">IFERROR(__xludf.DUMMYFUNCTION("""COMPUTED_VALUE"""),"Will NOT work for them")</f>
        <v>Will NOT work for them</v>
      </c>
      <c r="J314" s="1">
        <f ca="1">IFERROR(__xludf.DUMMYFUNCTION("""COMPUTED_VALUE"""),7)</f>
        <v>7</v>
      </c>
      <c r="K314" s="1" t="str">
        <f ca="1">IFERROR(__xludf.DUMMYFUNCTION("""COMPUTED_VALUE"""),"Fully Remote with Options to travel as and when needed")</f>
        <v>Fully Remote with Options to travel as and when needed</v>
      </c>
      <c r="L314" s="1" t="str">
        <f ca="1">IFERROR(__xludf.DUMMYFUNCTION("""COMPUTED_VALUE"""),"Employer who pushes your limits by enabling an learning environment, and rewards you at the end")</f>
        <v>Employer who pushes your limits by enabling an learning environment, and rewards you at the end</v>
      </c>
      <c r="M31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314" s="4" t="s">
        <v>48</v>
      </c>
      <c r="O314" s="1" t="str">
        <f ca="1">IFERROR(__xludf.DUMMYFUNCTION("""COMPUTED_VALUE"""),"Manager who explains what is expected, sets a goal and helps achieve it")</f>
        <v>Manager who explains what is expected, sets a goal and helps achieve it</v>
      </c>
      <c r="P314" s="1" t="str">
        <f ca="1">IFERROR(__xludf.DUMMYFUNCTION("""COMPUTED_VALUE"""),"Work &lt;=6 People in the Team")</f>
        <v>Work &lt;=6 People in the Team</v>
      </c>
      <c r="Q314" s="1" t="s">
        <v>42</v>
      </c>
      <c r="R314" s="1"/>
    </row>
    <row r="315" spans="1:18" x14ac:dyDescent="0.25">
      <c r="A315" s="2">
        <f ca="1">IFERROR(__xludf.DUMMYFUNCTION("""COMPUTED_VALUE"""),44926.6492813194)</f>
        <v>44926.649281319398</v>
      </c>
      <c r="B315" s="1" t="str">
        <f ca="1">IFERROR(__xludf.DUMMYFUNCTION("""COMPUTED_VALUE"""),"Canada")</f>
        <v>Canada</v>
      </c>
      <c r="C315" s="1" t="str">
        <f ca="1">IFERROR(__xludf.DUMMYFUNCTION("""COMPUTED_VALUE"""),"S4s6a6")</f>
        <v>S4s6a6</v>
      </c>
      <c r="D315" s="1" t="str">
        <f ca="1">IFERROR(__xludf.DUMMYFUNCTION("""COMPUTED_VALUE"""),"Female")</f>
        <v>Female</v>
      </c>
      <c r="E315" s="1" t="str">
        <f ca="1">IFERROR(__xludf.DUMMYFUNCTION("""COMPUTED_VALUE"""),"Influencers who had successful careers")</f>
        <v>Influencers who had successful careers</v>
      </c>
      <c r="F315" s="1" t="str">
        <f ca="1">IFERROR(__xludf.DUMMYFUNCTION("""COMPUTED_VALUE"""),"Yes, I will earn and do that")</f>
        <v>Yes, I will earn and do that</v>
      </c>
      <c r="G315" s="1" t="str">
        <f ca="1">IFERROR(__xludf.DUMMYFUNCTION("""COMPUTED_VALUE"""),"This will be hard to do, but if it is the right company I would try")</f>
        <v>This will be hard to do, but if it is the right company I would try</v>
      </c>
      <c r="H315" s="1" t="str">
        <f ca="1">IFERROR(__xludf.DUMMYFUNCTION("""COMPUTED_VALUE"""),"No")</f>
        <v>No</v>
      </c>
      <c r="I315" s="1" t="str">
        <f ca="1">IFERROR(__xludf.DUMMYFUNCTION("""COMPUTED_VALUE"""),"Will NOT work for them")</f>
        <v>Will NOT work for them</v>
      </c>
      <c r="J315" s="1">
        <f ca="1">IFERROR(__xludf.DUMMYFUNCTION("""COMPUTED_VALUE"""),1)</f>
        <v>1</v>
      </c>
      <c r="K315" s="1" t="str">
        <f ca="1">IFERROR(__xludf.DUMMYFUNCTION("""COMPUTED_VALUE"""),"Fully Remote with Options to travel as and when needed")</f>
        <v>Fully Remote with Options to travel as and when needed</v>
      </c>
      <c r="L315" s="1" t="str">
        <f ca="1">IFERROR(__xludf.DUMMYFUNCTION("""COMPUTED_VALUE"""),"Employer who pushes your limits by enabling an learning environment, and rewards you at the end")</f>
        <v>Employer who pushes your limits by enabling an learning environment, and rewards you at the end</v>
      </c>
      <c r="M315"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15" s="4" t="s">
        <v>48</v>
      </c>
      <c r="O315" s="1" t="str">
        <f ca="1">IFERROR(__xludf.DUMMYFUNCTION("""COMPUTED_VALUE"""),"Manager who explains what is expected, sets a goal and helps achieve it")</f>
        <v>Manager who explains what is expected, sets a goal and helps achieve it</v>
      </c>
      <c r="P315" s="1" t="str">
        <f ca="1">IFERROR(__xludf.DUMMYFUNCTION("""COMPUTED_VALUE"""),"Work &gt;10 people in Team")</f>
        <v>Work &gt;10 people in Team</v>
      </c>
      <c r="Q315" s="1" t="s">
        <v>41</v>
      </c>
      <c r="R315" s="1"/>
    </row>
    <row r="316" spans="1:18" x14ac:dyDescent="0.25">
      <c r="A316" s="2">
        <f ca="1">IFERROR(__xludf.DUMMYFUNCTION("""COMPUTED_VALUE"""),44926.7506061921)</f>
        <v>44926.750606192101</v>
      </c>
      <c r="B316" s="1" t="str">
        <f ca="1">IFERROR(__xludf.DUMMYFUNCTION("""COMPUTED_VALUE"""),"India")</f>
        <v>India</v>
      </c>
      <c r="C316" s="1">
        <f ca="1">IFERROR(__xludf.DUMMYFUNCTION("""COMPUTED_VALUE"""),431601)</f>
        <v>431601</v>
      </c>
      <c r="D316" s="1" t="str">
        <f ca="1">IFERROR(__xludf.DUMMYFUNCTION("""COMPUTED_VALUE"""),"Male")</f>
        <v>Male</v>
      </c>
      <c r="E316" s="1" t="str">
        <f ca="1">IFERROR(__xludf.DUMMYFUNCTION("""COMPUTED_VALUE"""),"Influencers who had successful careers")</f>
        <v>Influencers who had successful careers</v>
      </c>
      <c r="F316" s="1" t="str">
        <f ca="1">IFERROR(__xludf.DUMMYFUNCTION("""COMPUTED_VALUE"""),"Yes, I will earn and do that")</f>
        <v>Yes, I will earn and do that</v>
      </c>
      <c r="G316" s="1" t="str">
        <f ca="1">IFERROR(__xludf.DUMMYFUNCTION("""COMPUTED_VALUE"""),"Will work for 3 years or more")</f>
        <v>Will work for 3 years or more</v>
      </c>
      <c r="H316" s="1" t="str">
        <f ca="1">IFERROR(__xludf.DUMMYFUNCTION("""COMPUTED_VALUE"""),"Yes")</f>
        <v>Yes</v>
      </c>
      <c r="I316" s="1" t="str">
        <f ca="1">IFERROR(__xludf.DUMMYFUNCTION("""COMPUTED_VALUE"""),"Will work for them")</f>
        <v>Will work for them</v>
      </c>
      <c r="J316" s="1">
        <f ca="1">IFERROR(__xludf.DUMMYFUNCTION("""COMPUTED_VALUE"""),4)</f>
        <v>4</v>
      </c>
      <c r="K316" s="1" t="str">
        <f ca="1">IFERROR(__xludf.DUMMYFUNCTION("""COMPUTED_VALUE"""),"Hybrid Working Environment with less than 10 days a month at office")</f>
        <v>Hybrid Working Environment with less than 10 days a month at office</v>
      </c>
      <c r="L316" s="1" t="str">
        <f ca="1">IFERROR(__xludf.DUMMYFUNCTION("""COMPUTED_VALUE"""),"Employer who pushes your limits by enabling an learning environment, and rewards you at the end")</f>
        <v>Employer who pushes your limits by enabling an learning environment, and rewards you at the end</v>
      </c>
      <c r="M31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16" s="4" t="s">
        <v>49</v>
      </c>
      <c r="O316" s="1" t="str">
        <f ca="1">IFERROR(__xludf.DUMMYFUNCTION("""COMPUTED_VALUE"""),"Manager who sets targets and expects me to achieve it")</f>
        <v>Manager who sets targets and expects me to achieve it</v>
      </c>
      <c r="P316" s="1" t="str">
        <f ca="1">IFERROR(__xludf.DUMMYFUNCTION("""COMPUTED_VALUE"""),"Work &lt;=6 People in the Team")</f>
        <v>Work &lt;=6 People in the Team</v>
      </c>
      <c r="Q316" s="1" t="s">
        <v>40</v>
      </c>
      <c r="R316" s="1"/>
    </row>
    <row r="317" spans="1:18" x14ac:dyDescent="0.25">
      <c r="A317" s="2">
        <f ca="1">IFERROR(__xludf.DUMMYFUNCTION("""COMPUTED_VALUE"""),44926.8332774074)</f>
        <v>44926.833277407401</v>
      </c>
      <c r="B317" s="1" t="str">
        <f ca="1">IFERROR(__xludf.DUMMYFUNCTION("""COMPUTED_VALUE"""),"India")</f>
        <v>India</v>
      </c>
      <c r="C317" s="1">
        <f ca="1">IFERROR(__xludf.DUMMYFUNCTION("""COMPUTED_VALUE"""),147001)</f>
        <v>147001</v>
      </c>
      <c r="D317" s="1" t="str">
        <f ca="1">IFERROR(__xludf.DUMMYFUNCTION("""COMPUTED_VALUE"""),"Female")</f>
        <v>Female</v>
      </c>
      <c r="E317" s="1" t="str">
        <f ca="1">IFERROR(__xludf.DUMMYFUNCTION("""COMPUTED_VALUE"""),"My Parents")</f>
        <v>My Parents</v>
      </c>
      <c r="F317" s="1" t="str">
        <f ca="1">IFERROR(__xludf.DUMMYFUNCTION("""COMPUTED_VALUE"""),"No I would not be pursuing Higher Education outside of India")</f>
        <v>No I would not be pursuing Higher Education outside of India</v>
      </c>
      <c r="G317" s="1" t="str">
        <f ca="1">IFERROR(__xludf.DUMMYFUNCTION("""COMPUTED_VALUE"""),"Will work for 3 years or more")</f>
        <v>Will work for 3 years or more</v>
      </c>
      <c r="H317" s="1" t="str">
        <f ca="1">IFERROR(__xludf.DUMMYFUNCTION("""COMPUTED_VALUE"""),"No")</f>
        <v>No</v>
      </c>
      <c r="I317" s="1" t="str">
        <f ca="1">IFERROR(__xludf.DUMMYFUNCTION("""COMPUTED_VALUE"""),"Will NOT work for them")</f>
        <v>Will NOT work for them</v>
      </c>
      <c r="J317" s="1">
        <f ca="1">IFERROR(__xludf.DUMMYFUNCTION("""COMPUTED_VALUE"""),1)</f>
        <v>1</v>
      </c>
      <c r="K317" s="1" t="str">
        <f ca="1">IFERROR(__xludf.DUMMYFUNCTION("""COMPUTED_VALUE"""),"Fully Remote with No option to visit offices")</f>
        <v>Fully Remote with No option to visit offices</v>
      </c>
      <c r="L317" s="1" t="str">
        <f ca="1">IFERROR(__xludf.DUMMYFUNCTION("""COMPUTED_VALUE"""),"Employer who pushes your limits by enabling an learning environment, and rewards you at the end")</f>
        <v>Employer who pushes your limits by enabling an learning environment, and rewards you at the end</v>
      </c>
      <c r="M317" s="1" t="str">
        <f ca="1">IFERROR(__xludf.DUMMYFUNCTION("""COMPUTED_VALUE"""),"Business Operations in any organization, Build and develop a Team, Work in a BPO setup for some well known client")</f>
        <v>Business Operations in any organization, Build and develop a Team, Work in a BPO setup for some well known client</v>
      </c>
      <c r="N317" s="4" t="s">
        <v>49</v>
      </c>
      <c r="O317" s="1" t="str">
        <f ca="1">IFERROR(__xludf.DUMMYFUNCTION("""COMPUTED_VALUE"""),"Manager who sets goal and helps me achieve it")</f>
        <v>Manager who sets goal and helps me achieve it</v>
      </c>
      <c r="P317" s="1" t="str">
        <f ca="1">IFERROR(__xludf.DUMMYFUNCTION("""COMPUTED_VALUE"""),"Work &lt;=6 People in the Team")</f>
        <v>Work &lt;=6 People in the Team</v>
      </c>
      <c r="Q317" s="1" t="s">
        <v>40</v>
      </c>
      <c r="R317" s="1"/>
    </row>
    <row r="318" spans="1:18" x14ac:dyDescent="0.25">
      <c r="A318" s="2">
        <f ca="1">IFERROR(__xludf.DUMMYFUNCTION("""COMPUTED_VALUE"""),44926.879094699)</f>
        <v>44926.879094698998</v>
      </c>
      <c r="B318" s="1" t="str">
        <f ca="1">IFERROR(__xludf.DUMMYFUNCTION("""COMPUTED_VALUE"""),"India")</f>
        <v>India</v>
      </c>
      <c r="C318" s="1">
        <f ca="1">IFERROR(__xludf.DUMMYFUNCTION("""COMPUTED_VALUE"""),412308)</f>
        <v>412308</v>
      </c>
      <c r="D318" s="1" t="str">
        <f ca="1">IFERROR(__xludf.DUMMYFUNCTION("""COMPUTED_VALUE"""),"Male")</f>
        <v>Male</v>
      </c>
      <c r="E318" s="1" t="str">
        <f ca="1">IFERROR(__xludf.DUMMYFUNCTION("""COMPUTED_VALUE"""),"My Parents")</f>
        <v>My Parents</v>
      </c>
      <c r="F318" s="1" t="str">
        <f ca="1">IFERROR(__xludf.DUMMYFUNCTION("""COMPUTED_VALUE"""),"No I would not be pursuing Higher Education outside of India")</f>
        <v>No I would not be pursuing Higher Education outside of India</v>
      </c>
      <c r="G318" s="1" t="str">
        <f ca="1">IFERROR(__xludf.DUMMYFUNCTION("""COMPUTED_VALUE"""),"No way, 3 years with one employer is crazy")</f>
        <v>No way, 3 years with one employer is crazy</v>
      </c>
      <c r="H318" s="1" t="str">
        <f ca="1">IFERROR(__xludf.DUMMYFUNCTION("""COMPUTED_VALUE"""),"Yes")</f>
        <v>Yes</v>
      </c>
      <c r="I318" s="1" t="str">
        <f ca="1">IFERROR(__xludf.DUMMYFUNCTION("""COMPUTED_VALUE"""),"Will work for them")</f>
        <v>Will work for them</v>
      </c>
      <c r="J318" s="1">
        <f ca="1">IFERROR(__xludf.DUMMYFUNCTION("""COMPUTED_VALUE"""),5)</f>
        <v>5</v>
      </c>
      <c r="K318" s="1" t="str">
        <f ca="1">IFERROR(__xludf.DUMMYFUNCTION("""COMPUTED_VALUE"""),"Hybrid Working Environment with less than 3 days a month at office")</f>
        <v>Hybrid Working Environment with less than 3 days a month at office</v>
      </c>
      <c r="L318" s="1" t="str">
        <f ca="1">IFERROR(__xludf.DUMMYFUNCTION("""COMPUTED_VALUE"""),"Employer who pushes your limits by enabling an learning environment, and rewards you at the end")</f>
        <v>Employer who pushes your limits by enabling an learning environment, and rewards you at the end</v>
      </c>
      <c r="M31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N318" s="4" t="s">
        <v>48</v>
      </c>
      <c r="O318" s="1" t="str">
        <f ca="1">IFERROR(__xludf.DUMMYFUNCTION("""COMPUTED_VALUE"""),"Manager who explains what is expected, sets a goal and helps achieve it")</f>
        <v>Manager who explains what is expected, sets a goal and helps achieve it</v>
      </c>
      <c r="P318" s="1" t="str">
        <f ca="1">IFERROR(__xludf.DUMMYFUNCTION("""COMPUTED_VALUE"""),"Work &lt;=6 People in the Team")</f>
        <v>Work &lt;=6 People in the Team</v>
      </c>
      <c r="Q318" s="1" t="s">
        <v>41</v>
      </c>
      <c r="R318" s="1"/>
    </row>
    <row r="319" spans="1:18" x14ac:dyDescent="0.25">
      <c r="A319" s="2">
        <f ca="1">IFERROR(__xludf.DUMMYFUNCTION("""COMPUTED_VALUE"""),44928.9700246412)</f>
        <v>44928.970024641203</v>
      </c>
      <c r="B319" s="1" t="str">
        <f ca="1">IFERROR(__xludf.DUMMYFUNCTION("""COMPUTED_VALUE"""),"India")</f>
        <v>India</v>
      </c>
      <c r="C319" s="1">
        <f ca="1">IFERROR(__xludf.DUMMYFUNCTION("""COMPUTED_VALUE"""),627004)</f>
        <v>627004</v>
      </c>
      <c r="D319" s="1" t="str">
        <f ca="1">IFERROR(__xludf.DUMMYFUNCTION("""COMPUTED_VALUE"""),"Male")</f>
        <v>Male</v>
      </c>
      <c r="E319" s="1" t="str">
        <f ca="1">IFERROR(__xludf.DUMMYFUNCTION("""COMPUTED_VALUE"""),"Influencers who had successful careers")</f>
        <v>Influencers who had successful careers</v>
      </c>
      <c r="F319" s="1" t="str">
        <f ca="1">IFERROR(__xludf.DUMMYFUNCTION("""COMPUTED_VALUE"""),"No I would not be pursuing Higher Education outside of India")</f>
        <v>No I would not be pursuing Higher Education outside of India</v>
      </c>
      <c r="G319" s="1" t="str">
        <f ca="1">IFERROR(__xludf.DUMMYFUNCTION("""COMPUTED_VALUE"""),"Will work for 3 years or more")</f>
        <v>Will work for 3 years or more</v>
      </c>
      <c r="H319" s="1" t="str">
        <f ca="1">IFERROR(__xludf.DUMMYFUNCTION("""COMPUTED_VALUE"""),"Yes")</f>
        <v>Yes</v>
      </c>
      <c r="I319" s="1" t="str">
        <f ca="1">IFERROR(__xludf.DUMMYFUNCTION("""COMPUTED_VALUE"""),"Will NOT work for them")</f>
        <v>Will NOT work for them</v>
      </c>
      <c r="J319" s="1">
        <f ca="1">IFERROR(__xludf.DUMMYFUNCTION("""COMPUTED_VALUE"""),3)</f>
        <v>3</v>
      </c>
      <c r="K319" s="1" t="str">
        <f ca="1">IFERROR(__xludf.DUMMYFUNCTION("""COMPUTED_VALUE"""),"Hybrid Working Environment with less than 15 days a month at office")</f>
        <v>Hybrid Working Environment with less than 15 days a month at office</v>
      </c>
      <c r="L319" s="1" t="str">
        <f ca="1">IFERROR(__xludf.DUMMYFUNCTION("""COMPUTED_VALUE"""),"Employer who appreciates learning and enables that environment")</f>
        <v>Employer who appreciates learning and enables that environment</v>
      </c>
      <c r="M31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19" s="4" t="s">
        <v>58</v>
      </c>
      <c r="O319" s="1" t="str">
        <f ca="1">IFERROR(__xludf.DUMMYFUNCTION("""COMPUTED_VALUE"""),"Manager who sets goal and helps me achieve it")</f>
        <v>Manager who sets goal and helps me achieve it</v>
      </c>
      <c r="P319" s="1" t="str">
        <f ca="1">IFERROR(__xludf.DUMMYFUNCTION("""COMPUTED_VALUE"""),"Work &lt;=6 People in the Team")</f>
        <v>Work &lt;=6 People in the Team</v>
      </c>
      <c r="Q319" s="1" t="s">
        <v>40</v>
      </c>
      <c r="R319" s="1"/>
    </row>
    <row r="320" spans="1:18" x14ac:dyDescent="0.25">
      <c r="A320" s="2">
        <f ca="1">IFERROR(__xludf.DUMMYFUNCTION("""COMPUTED_VALUE"""),44929.907437905)</f>
        <v>44929.907437905</v>
      </c>
      <c r="B320" s="1" t="str">
        <f ca="1">IFERROR(__xludf.DUMMYFUNCTION("""COMPUTED_VALUE"""),"India")</f>
        <v>India</v>
      </c>
      <c r="C320" s="1">
        <f ca="1">IFERROR(__xludf.DUMMYFUNCTION("""COMPUTED_VALUE"""),457001)</f>
        <v>457001</v>
      </c>
      <c r="D320" s="1" t="str">
        <f ca="1">IFERROR(__xludf.DUMMYFUNCTION("""COMPUTED_VALUE"""),"Female")</f>
        <v>Female</v>
      </c>
      <c r="E320" s="1" t="str">
        <f ca="1">IFERROR(__xludf.DUMMYFUNCTION("""COMPUTED_VALUE"""),"Influencers who had successful careers")</f>
        <v>Influencers who had successful careers</v>
      </c>
      <c r="F320" s="1" t="str">
        <f ca="1">IFERROR(__xludf.DUMMYFUNCTION("""COMPUTED_VALUE"""),"Yes, I will earn and do that")</f>
        <v>Yes, I will earn and do that</v>
      </c>
      <c r="G320" s="1" t="str">
        <f ca="1">IFERROR(__xludf.DUMMYFUNCTION("""COMPUTED_VALUE"""),"Will work for 3 years or more")</f>
        <v>Will work for 3 years or more</v>
      </c>
      <c r="H320" s="1" t="str">
        <f ca="1">IFERROR(__xludf.DUMMYFUNCTION("""COMPUTED_VALUE"""),"No")</f>
        <v>No</v>
      </c>
      <c r="I320" s="1" t="str">
        <f ca="1">IFERROR(__xludf.DUMMYFUNCTION("""COMPUTED_VALUE"""),"Will work for them")</f>
        <v>Will work for them</v>
      </c>
      <c r="J320" s="1">
        <f ca="1">IFERROR(__xludf.DUMMYFUNCTION("""COMPUTED_VALUE"""),3)</f>
        <v>3</v>
      </c>
      <c r="K320" s="1" t="str">
        <f ca="1">IFERROR(__xludf.DUMMYFUNCTION("""COMPUTED_VALUE"""),"Hybrid Working Environment with less than 10 days a month at office")</f>
        <v>Hybrid Working Environment with less than 10 days a month at office</v>
      </c>
      <c r="L320" s="1" t="str">
        <f ca="1">IFERROR(__xludf.DUMMYFUNCTION("""COMPUTED_VALUE"""),"Employer who appreciates learning and enables that environment")</f>
        <v>Employer who appreciates learning and enables that environment</v>
      </c>
      <c r="M320" s="1" t="str">
        <f ca="1">IFERROR(__xludf.DUMMYFUNCTION("""COMPUTED_VALUE"""),"Teaching in any of the institutes/online or Offline, Manage and drive End-to-End Projects or Products, Work as a freelancer and do my thing my way")</f>
        <v>Teaching in any of the institutes/online or Offline, Manage and drive End-to-End Projects or Products, Work as a freelancer and do my thing my way</v>
      </c>
      <c r="N320" s="4" t="s">
        <v>57</v>
      </c>
      <c r="O320" s="1" t="str">
        <f ca="1">IFERROR(__xludf.DUMMYFUNCTION("""COMPUTED_VALUE"""),"Manager who clearly describes what she/he needs")</f>
        <v>Manager who clearly describes what she/he needs</v>
      </c>
      <c r="P320" s="1" t="str">
        <f ca="1">IFERROR(__xludf.DUMMYFUNCTION("""COMPUTED_VALUE"""),"Work &lt;=6 People in the Team")</f>
        <v>Work &lt;=6 People in the Team</v>
      </c>
      <c r="Q320" s="1" t="s">
        <v>41</v>
      </c>
      <c r="R320" s="1"/>
    </row>
    <row r="321" spans="1:18" x14ac:dyDescent="0.25">
      <c r="A321" s="2">
        <f ca="1">IFERROR(__xludf.DUMMYFUNCTION("""COMPUTED_VALUE"""),44934.5219611458)</f>
        <v>44934.521961145801</v>
      </c>
      <c r="B321" s="1" t="str">
        <f ca="1">IFERROR(__xludf.DUMMYFUNCTION("""COMPUTED_VALUE"""),"India")</f>
        <v>India</v>
      </c>
      <c r="C321" s="1">
        <f ca="1">IFERROR(__xludf.DUMMYFUNCTION("""COMPUTED_VALUE"""),400016)</f>
        <v>400016</v>
      </c>
      <c r="D321" s="1" t="str">
        <f ca="1">IFERROR(__xludf.DUMMYFUNCTION("""COMPUTED_VALUE"""),"Male")</f>
        <v>Male</v>
      </c>
      <c r="E321" s="1" t="str">
        <f ca="1">IFERROR(__xludf.DUMMYFUNCTION("""COMPUTED_VALUE"""),"My Parents")</f>
        <v>My Parents</v>
      </c>
      <c r="F321" s="1" t="str">
        <f ca="1">IFERROR(__xludf.DUMMYFUNCTION("""COMPUTED_VALUE"""),"Yes, I will earn and do that")</f>
        <v>Yes, I will earn and do that</v>
      </c>
      <c r="G321" s="1" t="str">
        <f ca="1">IFERROR(__xludf.DUMMYFUNCTION("""COMPUTED_VALUE"""),"This will be hard to do, but if it is the right company I would try")</f>
        <v>This will be hard to do, but if it is the right company I would try</v>
      </c>
      <c r="H321" s="1" t="str">
        <f ca="1">IFERROR(__xludf.DUMMYFUNCTION("""COMPUTED_VALUE"""),"No")</f>
        <v>No</v>
      </c>
      <c r="I321" s="1" t="str">
        <f ca="1">IFERROR(__xludf.DUMMYFUNCTION("""COMPUTED_VALUE"""),"Will NOT work for them")</f>
        <v>Will NOT work for them</v>
      </c>
      <c r="J321" s="1">
        <f ca="1">IFERROR(__xludf.DUMMYFUNCTION("""COMPUTED_VALUE"""),7)</f>
        <v>7</v>
      </c>
      <c r="K321" s="1" t="str">
        <f ca="1">IFERROR(__xludf.DUMMYFUNCTION("""COMPUTED_VALUE"""),"Hybrid Working Environment with less than 10 days a month at office")</f>
        <v>Hybrid Working Environment with less than 10 days a month at office</v>
      </c>
      <c r="L321" s="1" t="str">
        <f ca="1">IFERROR(__xludf.DUMMYFUNCTION("""COMPUTED_VALUE"""),"Employer who appreciates learning and enables that environment")</f>
        <v>Employer who appreciates learning and enables that environment</v>
      </c>
      <c r="M321"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321" s="4" t="s">
        <v>51</v>
      </c>
      <c r="O321" s="1" t="str">
        <f ca="1">IFERROR(__xludf.DUMMYFUNCTION("""COMPUTED_VALUE"""),"Manager who explains what is expected, sets a goal and helps achieve it")</f>
        <v>Manager who explains what is expected, sets a goal and helps achieve it</v>
      </c>
      <c r="P321" s="1" t="str">
        <f ca="1">IFERROR(__xludf.DUMMYFUNCTION("""COMPUTED_VALUE"""),"Work &lt;=6 People in the Team")</f>
        <v>Work &lt;=6 People in the Team</v>
      </c>
      <c r="Q321" s="1" t="s">
        <v>41</v>
      </c>
      <c r="R321" s="1"/>
    </row>
    <row r="322" spans="1:18" x14ac:dyDescent="0.25">
      <c r="A322" s="2">
        <f ca="1">IFERROR(__xludf.DUMMYFUNCTION("""COMPUTED_VALUE"""),44934.7767418865)</f>
        <v>44934.776741886497</v>
      </c>
      <c r="B322" s="1" t="str">
        <f ca="1">IFERROR(__xludf.DUMMYFUNCTION("""COMPUTED_VALUE"""),"India")</f>
        <v>India</v>
      </c>
      <c r="C322" s="1">
        <f ca="1">IFERROR(__xludf.DUMMYFUNCTION("""COMPUTED_VALUE"""),600069)</f>
        <v>600069</v>
      </c>
      <c r="D322" s="1" t="str">
        <f ca="1">IFERROR(__xludf.DUMMYFUNCTION("""COMPUTED_VALUE"""),"Male")</f>
        <v>Male</v>
      </c>
      <c r="E322" s="1" t="str">
        <f ca="1">IFERROR(__xludf.DUMMYFUNCTION("""COMPUTED_VALUE"""),"People who have changed the world for better")</f>
        <v>People who have changed the world for better</v>
      </c>
      <c r="F322" s="1" t="str">
        <f ca="1">IFERROR(__xludf.DUMMYFUNCTION("""COMPUTED_VALUE"""),"Yes, I will earn and do that")</f>
        <v>Yes, I will earn and do that</v>
      </c>
      <c r="G322" s="1" t="str">
        <f ca="1">IFERROR(__xludf.DUMMYFUNCTION("""COMPUTED_VALUE"""),"This will be hard to do, but if it is the right company I would try")</f>
        <v>This will be hard to do, but if it is the right company I would try</v>
      </c>
      <c r="H322" s="1" t="str">
        <f ca="1">IFERROR(__xludf.DUMMYFUNCTION("""COMPUTED_VALUE"""),"Yes")</f>
        <v>Yes</v>
      </c>
      <c r="I322" s="1" t="str">
        <f ca="1">IFERROR(__xludf.DUMMYFUNCTION("""COMPUTED_VALUE"""),"Will work for them")</f>
        <v>Will work for them</v>
      </c>
      <c r="J322" s="1">
        <f ca="1">IFERROR(__xludf.DUMMYFUNCTION("""COMPUTED_VALUE"""),6)</f>
        <v>6</v>
      </c>
      <c r="K322" s="1" t="str">
        <f ca="1">IFERROR(__xludf.DUMMYFUNCTION("""COMPUTED_VALUE"""),"Hybrid Working Environment with less than 15 days a month at office")</f>
        <v>Hybrid Working Environment with less than 15 days a month at office</v>
      </c>
      <c r="L322" s="1" t="str">
        <f ca="1">IFERROR(__xludf.DUMMYFUNCTION("""COMPUTED_VALUE"""),"Employer who appreciates learning and enables that environment")</f>
        <v>Employer who appreciates learning and enables that environment</v>
      </c>
      <c r="M32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22" s="4" t="s">
        <v>48</v>
      </c>
      <c r="O322" s="1" t="str">
        <f ca="1">IFERROR(__xludf.DUMMYFUNCTION("""COMPUTED_VALUE"""),"Manager who explains what is expected, sets a goal and helps achieve it")</f>
        <v>Manager who explains what is expected, sets a goal and helps achieve it</v>
      </c>
      <c r="P322" s="1" t="str">
        <f ca="1">IFERROR(__xludf.DUMMYFUNCTION("""COMPUTED_VALUE"""),"Work &lt;=6 People in the Team")</f>
        <v>Work &lt;=6 People in the Team</v>
      </c>
      <c r="Q322" s="1" t="s">
        <v>42</v>
      </c>
      <c r="R322" s="1"/>
    </row>
    <row r="323" spans="1:18" x14ac:dyDescent="0.25">
      <c r="A323" s="2">
        <f ca="1">IFERROR(__xludf.DUMMYFUNCTION("""COMPUTED_VALUE"""),44934.8605270023)</f>
        <v>44934.860527002304</v>
      </c>
      <c r="B323" s="1" t="str">
        <f ca="1">IFERROR(__xludf.DUMMYFUNCTION("""COMPUTED_VALUE"""),"India")</f>
        <v>India</v>
      </c>
      <c r="C323" s="1">
        <f ca="1">IFERROR(__xludf.DUMMYFUNCTION("""COMPUTED_VALUE"""),342005)</f>
        <v>342005</v>
      </c>
      <c r="D323" s="1" t="str">
        <f ca="1">IFERROR(__xludf.DUMMYFUNCTION("""COMPUTED_VALUE"""),"Male")</f>
        <v>Male</v>
      </c>
      <c r="E323" s="1" t="str">
        <f ca="1">IFERROR(__xludf.DUMMYFUNCTION("""COMPUTED_VALUE"""),"Social Media like LinkedIn")</f>
        <v>Social Media like LinkedIn</v>
      </c>
      <c r="F323" s="1" t="str">
        <f ca="1">IFERROR(__xludf.DUMMYFUNCTION("""COMPUTED_VALUE"""),"No I would not be pursuing Higher Education outside of India")</f>
        <v>No I would not be pursuing Higher Education outside of India</v>
      </c>
      <c r="G323" s="1" t="str">
        <f ca="1">IFERROR(__xludf.DUMMYFUNCTION("""COMPUTED_VALUE"""),"This will be hard to do, but if it is the right company I would try")</f>
        <v>This will be hard to do, but if it is the right company I would try</v>
      </c>
      <c r="H323" s="1" t="str">
        <f ca="1">IFERROR(__xludf.DUMMYFUNCTION("""COMPUTED_VALUE"""),"No")</f>
        <v>No</v>
      </c>
      <c r="I323" s="1" t="str">
        <f ca="1">IFERROR(__xludf.DUMMYFUNCTION("""COMPUTED_VALUE"""),"Will NOT work for them")</f>
        <v>Will NOT work for them</v>
      </c>
      <c r="J323" s="1">
        <f ca="1">IFERROR(__xludf.DUMMYFUNCTION("""COMPUTED_VALUE"""),6)</f>
        <v>6</v>
      </c>
      <c r="K323" s="1" t="str">
        <f ca="1">IFERROR(__xludf.DUMMYFUNCTION("""COMPUTED_VALUE"""),"Fully Remote with Options to travel as and when needed")</f>
        <v>Fully Remote with Options to travel as and when needed</v>
      </c>
      <c r="L323" s="1" t="str">
        <f ca="1">IFERROR(__xludf.DUMMYFUNCTION("""COMPUTED_VALUE"""),"Employer who pushes your limits by enabling an learning environment, and rewards you at the end")</f>
        <v>Employer who pushes your limits by enabling an learning environment, and rewards you at the end</v>
      </c>
      <c r="M32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323" s="4" t="s">
        <v>50</v>
      </c>
      <c r="O323" s="1" t="str">
        <f ca="1">IFERROR(__xludf.DUMMYFUNCTION("""COMPUTED_VALUE"""),"Manager who explains what is expected, sets a goal and helps achieve it")</f>
        <v>Manager who explains what is expected, sets a goal and helps achieve it</v>
      </c>
      <c r="P323" s="1" t="str">
        <f ca="1">IFERROR(__xludf.DUMMYFUNCTION("""COMPUTED_VALUE"""),"Work &lt;=6 People in the Team")</f>
        <v>Work &lt;=6 People in the Team</v>
      </c>
      <c r="Q323" s="1" t="s">
        <v>40</v>
      </c>
      <c r="R323" s="1"/>
    </row>
    <row r="324" spans="1:18" x14ac:dyDescent="0.25">
      <c r="A324" s="2">
        <f ca="1">IFERROR(__xludf.DUMMYFUNCTION("""COMPUTED_VALUE"""),44935.0275088194)</f>
        <v>44935.027508819403</v>
      </c>
      <c r="B324" s="1" t="str">
        <f ca="1">IFERROR(__xludf.DUMMYFUNCTION("""COMPUTED_VALUE"""),"India")</f>
        <v>India</v>
      </c>
      <c r="C324" s="1">
        <f ca="1">IFERROR(__xludf.DUMMYFUNCTION("""COMPUTED_VALUE"""),851101)</f>
        <v>851101</v>
      </c>
      <c r="D324" s="1" t="str">
        <f ca="1">IFERROR(__xludf.DUMMYFUNCTION("""COMPUTED_VALUE"""),"Male")</f>
        <v>Male</v>
      </c>
      <c r="E324" s="1" t="str">
        <f ca="1">IFERROR(__xludf.DUMMYFUNCTION("""COMPUTED_VALUE"""),"People who have changed the world for better")</f>
        <v>People who have changed the world for better</v>
      </c>
      <c r="F324" s="1" t="str">
        <f ca="1">IFERROR(__xludf.DUMMYFUNCTION("""COMPUTED_VALUE"""),"Yes, I will earn and do that")</f>
        <v>Yes, I will earn and do that</v>
      </c>
      <c r="G324" s="1" t="str">
        <f ca="1">IFERROR(__xludf.DUMMYFUNCTION("""COMPUTED_VALUE"""),"This will be hard to do, but if it is the right company I would try")</f>
        <v>This will be hard to do, but if it is the right company I would try</v>
      </c>
      <c r="H324" s="1" t="str">
        <f ca="1">IFERROR(__xludf.DUMMYFUNCTION("""COMPUTED_VALUE"""),"Yes")</f>
        <v>Yes</v>
      </c>
      <c r="I324" s="1" t="str">
        <f ca="1">IFERROR(__xludf.DUMMYFUNCTION("""COMPUTED_VALUE"""),"Will work for them")</f>
        <v>Will work for them</v>
      </c>
      <c r="J324" s="1">
        <f ca="1">IFERROR(__xludf.DUMMYFUNCTION("""COMPUTED_VALUE"""),7)</f>
        <v>7</v>
      </c>
      <c r="K324" s="1" t="str">
        <f ca="1">IFERROR(__xludf.DUMMYFUNCTION("""COMPUTED_VALUE"""),"Hybrid Working Environment with less than 15 days a month at office")</f>
        <v>Hybrid Working Environment with less than 15 days a month at office</v>
      </c>
      <c r="L324" s="1" t="str">
        <f ca="1">IFERROR(__xludf.DUMMYFUNCTION("""COMPUTED_VALUE"""),"Employer who pushes your limits by enabling an learning environment, and rewards you at the end")</f>
        <v>Employer who pushes your limits by enabling an learning environment, and rewards you at the end</v>
      </c>
      <c r="M324"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324" s="4" t="s">
        <v>55</v>
      </c>
      <c r="O324" s="1" t="str">
        <f ca="1">IFERROR(__xludf.DUMMYFUNCTION("""COMPUTED_VALUE"""),"Manager who explains what is expected, sets a goal and helps achieve it")</f>
        <v>Manager who explains what is expected, sets a goal and helps achieve it</v>
      </c>
      <c r="P324" s="1" t="str">
        <f ca="1">IFERROR(__xludf.DUMMYFUNCTION("""COMPUTED_VALUE"""),"Work &lt;=6 People in the Team")</f>
        <v>Work &lt;=6 People in the Team</v>
      </c>
      <c r="Q324" s="1" t="s">
        <v>40</v>
      </c>
      <c r="R324" s="1"/>
    </row>
    <row r="325" spans="1:18" x14ac:dyDescent="0.25">
      <c r="A325" s="2">
        <f ca="1">IFERROR(__xludf.DUMMYFUNCTION("""COMPUTED_VALUE"""),44935.3081085532)</f>
        <v>44935.308108553203</v>
      </c>
      <c r="B325" s="1" t="str">
        <f ca="1">IFERROR(__xludf.DUMMYFUNCTION("""COMPUTED_VALUE"""),"India")</f>
        <v>India</v>
      </c>
      <c r="C325" s="1">
        <f ca="1">IFERROR(__xludf.DUMMYFUNCTION("""COMPUTED_VALUE"""),636701)</f>
        <v>636701</v>
      </c>
      <c r="D325" s="1" t="str">
        <f ca="1">IFERROR(__xludf.DUMMYFUNCTION("""COMPUTED_VALUE"""),"Male")</f>
        <v>Male</v>
      </c>
      <c r="E325" s="1" t="str">
        <f ca="1">IFERROR(__xludf.DUMMYFUNCTION("""COMPUTED_VALUE"""),"Influencers who had successful careers")</f>
        <v>Influencers who had successful careers</v>
      </c>
      <c r="F325" s="1" t="str">
        <f ca="1">IFERROR(__xludf.DUMMYFUNCTION("""COMPUTED_VALUE"""),"No I would not be pursuing Higher Education outside of India")</f>
        <v>No I would not be pursuing Higher Education outside of India</v>
      </c>
      <c r="G325" s="1" t="str">
        <f ca="1">IFERROR(__xludf.DUMMYFUNCTION("""COMPUTED_VALUE"""),"This will be hard to do, but if it is the right company I would try")</f>
        <v>This will be hard to do, but if it is the right company I would try</v>
      </c>
      <c r="H325" s="1" t="str">
        <f ca="1">IFERROR(__xludf.DUMMYFUNCTION("""COMPUTED_VALUE"""),"No")</f>
        <v>No</v>
      </c>
      <c r="I325" s="1" t="str">
        <f ca="1">IFERROR(__xludf.DUMMYFUNCTION("""COMPUTED_VALUE"""),"Will NOT work for them")</f>
        <v>Will NOT work for them</v>
      </c>
      <c r="J325" s="1">
        <f ca="1">IFERROR(__xludf.DUMMYFUNCTION("""COMPUTED_VALUE"""),5)</f>
        <v>5</v>
      </c>
      <c r="K325" s="1" t="str">
        <f ca="1">IFERROR(__xludf.DUMMYFUNCTION("""COMPUTED_VALUE"""),"Hybrid Working Environment with less than 10 days a month at office")</f>
        <v>Hybrid Working Environment with less than 10 days a month at office</v>
      </c>
      <c r="L325" s="1" t="str">
        <f ca="1">IFERROR(__xludf.DUMMYFUNCTION("""COMPUTED_VALUE"""),"Employer who pushes your limits by enabling an learning environment, and rewards you at the end")</f>
        <v>Employer who pushes your limits by enabling an learning environment, and rewards you at the end</v>
      </c>
      <c r="M325"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325" s="4" t="s">
        <v>50</v>
      </c>
      <c r="O325" s="1" t="str">
        <f ca="1">IFERROR(__xludf.DUMMYFUNCTION("""COMPUTED_VALUE"""),"Manager who sets goal and helps me achieve it")</f>
        <v>Manager who sets goal and helps me achieve it</v>
      </c>
      <c r="P325" s="1" t="str">
        <f ca="1">IFERROR(__xludf.DUMMYFUNCTION("""COMPUTED_VALUE"""),"Work &lt;=6 People in the Team")</f>
        <v>Work &lt;=6 People in the Team</v>
      </c>
      <c r="Q325" s="1" t="s">
        <v>41</v>
      </c>
      <c r="R325" s="1"/>
    </row>
    <row r="326" spans="1:18" x14ac:dyDescent="0.25">
      <c r="A326" s="2">
        <f ca="1">IFERROR(__xludf.DUMMYFUNCTION("""COMPUTED_VALUE"""),44935.4817815393)</f>
        <v>44935.481781539303</v>
      </c>
      <c r="B326" s="1" t="str">
        <f ca="1">IFERROR(__xludf.DUMMYFUNCTION("""COMPUTED_VALUE"""),"India")</f>
        <v>India</v>
      </c>
      <c r="C326" s="1">
        <f ca="1">IFERROR(__xludf.DUMMYFUNCTION("""COMPUTED_VALUE"""),600007)</f>
        <v>600007</v>
      </c>
      <c r="D326" s="1" t="str">
        <f ca="1">IFERROR(__xludf.DUMMYFUNCTION("""COMPUTED_VALUE"""),"Male")</f>
        <v>Male</v>
      </c>
      <c r="E326" s="1" t="str">
        <f ca="1">IFERROR(__xludf.DUMMYFUNCTION("""COMPUTED_VALUE"""),"People who have changed the world for better")</f>
        <v>People who have changed the world for better</v>
      </c>
      <c r="F326" s="1" t="str">
        <f ca="1">IFERROR(__xludf.DUMMYFUNCTION("""COMPUTED_VALUE"""),"Yes, I will earn and do that")</f>
        <v>Yes, I will earn and do that</v>
      </c>
      <c r="G326" s="1" t="str">
        <f ca="1">IFERROR(__xludf.DUMMYFUNCTION("""COMPUTED_VALUE"""),"Will work for 3 years or more")</f>
        <v>Will work for 3 years or more</v>
      </c>
      <c r="H326" s="1" t="str">
        <f ca="1">IFERROR(__xludf.DUMMYFUNCTION("""COMPUTED_VALUE"""),"No")</f>
        <v>No</v>
      </c>
      <c r="I326" s="1" t="str">
        <f ca="1">IFERROR(__xludf.DUMMYFUNCTION("""COMPUTED_VALUE"""),"Will work for them")</f>
        <v>Will work for them</v>
      </c>
      <c r="J326" s="1">
        <f ca="1">IFERROR(__xludf.DUMMYFUNCTION("""COMPUTED_VALUE"""),8)</f>
        <v>8</v>
      </c>
      <c r="K326" s="1" t="str">
        <f ca="1">IFERROR(__xludf.DUMMYFUNCTION("""COMPUTED_VALUE"""),"Hybrid Working Environment with less than 15 days a month at office")</f>
        <v>Hybrid Working Environment with less than 15 days a month at office</v>
      </c>
      <c r="L326" s="1" t="str">
        <f ca="1">IFERROR(__xludf.DUMMYFUNCTION("""COMPUTED_VALUE"""),"Employer who pushes your limits by enabling an learning environment, and rewards you at the end")</f>
        <v>Employer who pushes your limits by enabling an learning environment, and rewards you at the end</v>
      </c>
      <c r="M326"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326" s="4" t="s">
        <v>50</v>
      </c>
      <c r="O326" s="1" t="str">
        <f ca="1">IFERROR(__xludf.DUMMYFUNCTION("""COMPUTED_VALUE"""),"Manager who explains what is expected, sets a goal and helps achieve it")</f>
        <v>Manager who explains what is expected, sets a goal and helps achieve it</v>
      </c>
      <c r="P326" s="1" t="str">
        <f ca="1">IFERROR(__xludf.DUMMYFUNCTION("""COMPUTED_VALUE"""),"Work alone, Work &gt;10 people in Team")</f>
        <v>Work alone, Work &gt;10 people in Team</v>
      </c>
      <c r="Q326" s="1" t="s">
        <v>41</v>
      </c>
      <c r="R326" s="1"/>
    </row>
    <row r="327" spans="1:18" x14ac:dyDescent="0.25">
      <c r="A327" s="2">
        <f ca="1">IFERROR(__xludf.DUMMYFUNCTION("""COMPUTED_VALUE"""),44935.5299539699)</f>
        <v>44935.529953969897</v>
      </c>
      <c r="B327" s="1" t="str">
        <f ca="1">IFERROR(__xludf.DUMMYFUNCTION("""COMPUTED_VALUE"""),"India")</f>
        <v>India</v>
      </c>
      <c r="C327" s="1">
        <f ca="1">IFERROR(__xludf.DUMMYFUNCTION("""COMPUTED_VALUE"""),400070)</f>
        <v>400070</v>
      </c>
      <c r="D327" s="1" t="str">
        <f ca="1">IFERROR(__xludf.DUMMYFUNCTION("""COMPUTED_VALUE"""),"Male")</f>
        <v>Male</v>
      </c>
      <c r="E327" s="1" t="str">
        <f ca="1">IFERROR(__xludf.DUMMYFUNCTION("""COMPUTED_VALUE"""),"Influencers who had successful careers")</f>
        <v>Influencers who had successful careers</v>
      </c>
      <c r="F327" s="1" t="str">
        <f ca="1">IFERROR(__xludf.DUMMYFUNCTION("""COMPUTED_VALUE"""),"Yes, I will earn and do that")</f>
        <v>Yes, I will earn and do that</v>
      </c>
      <c r="G327" s="1" t="str">
        <f ca="1">IFERROR(__xludf.DUMMYFUNCTION("""COMPUTED_VALUE"""),"This will be hard to do, but if it is the right company I would try")</f>
        <v>This will be hard to do, but if it is the right company I would try</v>
      </c>
      <c r="H327" s="1" t="str">
        <f ca="1">IFERROR(__xludf.DUMMYFUNCTION("""COMPUTED_VALUE"""),"No")</f>
        <v>No</v>
      </c>
      <c r="I327" s="1" t="str">
        <f ca="1">IFERROR(__xludf.DUMMYFUNCTION("""COMPUTED_VALUE"""),"Will NOT work for them")</f>
        <v>Will NOT work for them</v>
      </c>
      <c r="J327" s="1">
        <f ca="1">IFERROR(__xludf.DUMMYFUNCTION("""COMPUTED_VALUE"""),10)</f>
        <v>10</v>
      </c>
      <c r="K327" s="1" t="str">
        <f ca="1">IFERROR(__xludf.DUMMYFUNCTION("""COMPUTED_VALUE"""),"Hybrid Working Environment with less than 10 days a month at office")</f>
        <v>Hybrid Working Environment with less than 10 days a month at office</v>
      </c>
      <c r="L327" s="1" t="str">
        <f ca="1">IFERROR(__xludf.DUMMYFUNCTION("""COMPUTED_VALUE"""),"Employer who appreciates learning and enables that environment")</f>
        <v>Employer who appreciates learning and enables that environment</v>
      </c>
      <c r="M327"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N327" s="4" t="s">
        <v>48</v>
      </c>
      <c r="O327" s="1" t="str">
        <f ca="1">IFERROR(__xludf.DUMMYFUNCTION("""COMPUTED_VALUE"""),"Manager who sets goal and helps me achieve it")</f>
        <v>Manager who sets goal and helps me achieve it</v>
      </c>
      <c r="P327" s="1" t="str">
        <f ca="1">IFERROR(__xludf.DUMMYFUNCTION("""COMPUTED_VALUE"""),"Work &gt;=7 People in the Team")</f>
        <v>Work &gt;=7 People in the Team</v>
      </c>
      <c r="Q327" s="1" t="s">
        <v>40</v>
      </c>
      <c r="R327" s="1"/>
    </row>
    <row r="328" spans="1:18" x14ac:dyDescent="0.25">
      <c r="A328" s="2">
        <f ca="1">IFERROR(__xludf.DUMMYFUNCTION("""COMPUTED_VALUE"""),44935.5639017129)</f>
        <v>44935.5639017129</v>
      </c>
      <c r="B328" s="1" t="str">
        <f ca="1">IFERROR(__xludf.DUMMYFUNCTION("""COMPUTED_VALUE"""),"India")</f>
        <v>India</v>
      </c>
      <c r="C328" s="1">
        <f ca="1">IFERROR(__xludf.DUMMYFUNCTION("""COMPUTED_VALUE"""),521001)</f>
        <v>521001</v>
      </c>
      <c r="D328" s="1" t="str">
        <f ca="1">IFERROR(__xludf.DUMMYFUNCTION("""COMPUTED_VALUE"""),"Male")</f>
        <v>Male</v>
      </c>
      <c r="E328" s="1" t="str">
        <f ca="1">IFERROR(__xludf.DUMMYFUNCTION("""COMPUTED_VALUE"""),"Social Media like LinkedIn")</f>
        <v>Social Media like LinkedIn</v>
      </c>
      <c r="F328" s="1" t="str">
        <f ca="1">IFERROR(__xludf.DUMMYFUNCTION("""COMPUTED_VALUE"""),"No I would not be pursuing Higher Education outside of India")</f>
        <v>No I would not be pursuing Higher Education outside of India</v>
      </c>
      <c r="G328" s="1" t="str">
        <f ca="1">IFERROR(__xludf.DUMMYFUNCTION("""COMPUTED_VALUE"""),"This will be hard to do, but if it is the right company I would try")</f>
        <v>This will be hard to do, but if it is the right company I would try</v>
      </c>
      <c r="H328" s="1" t="str">
        <f ca="1">IFERROR(__xludf.DUMMYFUNCTION("""COMPUTED_VALUE"""),"No")</f>
        <v>No</v>
      </c>
      <c r="I328" s="1" t="str">
        <f ca="1">IFERROR(__xludf.DUMMYFUNCTION("""COMPUTED_VALUE"""),"Will NOT work for them")</f>
        <v>Will NOT work for them</v>
      </c>
      <c r="J328" s="1">
        <f ca="1">IFERROR(__xludf.DUMMYFUNCTION("""COMPUTED_VALUE"""),5)</f>
        <v>5</v>
      </c>
      <c r="K328" s="1" t="str">
        <f ca="1">IFERROR(__xludf.DUMMYFUNCTION("""COMPUTED_VALUE"""),"Fully Remote with Options to travel as and when needed")</f>
        <v>Fully Remote with Options to travel as and when needed</v>
      </c>
      <c r="L328" s="1" t="str">
        <f ca="1">IFERROR(__xludf.DUMMYFUNCTION("""COMPUTED_VALUE"""),"Employer who pushes your limits by enabling an learning environment, and rewards you at the end")</f>
        <v>Employer who pushes your limits by enabling an learning environment, and rewards you at the end</v>
      </c>
      <c r="M328"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N328" s="4" t="s">
        <v>51</v>
      </c>
      <c r="O328" s="1" t="str">
        <f ca="1">IFERROR(__xludf.DUMMYFUNCTION("""COMPUTED_VALUE"""),"Manager who explains what is expected, sets a goal and helps achieve it")</f>
        <v>Manager who explains what is expected, sets a goal and helps achieve it</v>
      </c>
      <c r="P328" s="1" t="str">
        <f ca="1">IFERROR(__xludf.DUMMYFUNCTION("""COMPUTED_VALUE"""),"Work &lt;=6 People in the Team")</f>
        <v>Work &lt;=6 People in the Team</v>
      </c>
      <c r="Q328" s="1" t="s">
        <v>41</v>
      </c>
      <c r="R328" s="1"/>
    </row>
    <row r="329" spans="1:18" x14ac:dyDescent="0.25">
      <c r="A329" s="2">
        <f ca="1">IFERROR(__xludf.DUMMYFUNCTION("""COMPUTED_VALUE"""),44935.7051731134)</f>
        <v>44935.705173113398</v>
      </c>
      <c r="B329" s="1" t="str">
        <f ca="1">IFERROR(__xludf.DUMMYFUNCTION("""COMPUTED_VALUE"""),"India")</f>
        <v>India</v>
      </c>
      <c r="C329" s="1">
        <f ca="1">IFERROR(__xludf.DUMMYFUNCTION("""COMPUTED_VALUE"""),411033)</f>
        <v>411033</v>
      </c>
      <c r="D329" s="1" t="str">
        <f ca="1">IFERROR(__xludf.DUMMYFUNCTION("""COMPUTED_VALUE"""),"Female")</f>
        <v>Female</v>
      </c>
      <c r="E329" s="1" t="str">
        <f ca="1">IFERROR(__xludf.DUMMYFUNCTION("""COMPUTED_VALUE"""),"My Parents")</f>
        <v>My Parents</v>
      </c>
      <c r="F329" s="1" t="str">
        <f ca="1">IFERROR(__xludf.DUMMYFUNCTION("""COMPUTED_VALUE"""),"No I would not be pursuing Higher Education outside of India")</f>
        <v>No I would not be pursuing Higher Education outside of India</v>
      </c>
      <c r="G329" s="1" t="str">
        <f ca="1">IFERROR(__xludf.DUMMYFUNCTION("""COMPUTED_VALUE"""),"This will be hard to do, but if it is the right company I would try")</f>
        <v>This will be hard to do, but if it is the right company I would try</v>
      </c>
      <c r="H329" s="1" t="str">
        <f ca="1">IFERROR(__xludf.DUMMYFUNCTION("""COMPUTED_VALUE"""),"No")</f>
        <v>No</v>
      </c>
      <c r="I329" s="1" t="str">
        <f ca="1">IFERROR(__xludf.DUMMYFUNCTION("""COMPUTED_VALUE"""),"Will NOT work for them")</f>
        <v>Will NOT work for them</v>
      </c>
      <c r="J329" s="1">
        <f ca="1">IFERROR(__xludf.DUMMYFUNCTION("""COMPUTED_VALUE"""),5)</f>
        <v>5</v>
      </c>
      <c r="K329" s="1" t="str">
        <f ca="1">IFERROR(__xludf.DUMMYFUNCTION("""COMPUTED_VALUE"""),"Every Day Office Environment")</f>
        <v>Every Day Office Environment</v>
      </c>
      <c r="L329" s="1" t="str">
        <f ca="1">IFERROR(__xludf.DUMMYFUNCTION("""COMPUTED_VALUE"""),"Employer who pushes your limits by enabling an learning environment, and rewards you at the end")</f>
        <v>Employer who pushes your limits by enabling an learning environment, and rewards you at the end</v>
      </c>
      <c r="M32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N329" s="4" t="s">
        <v>50</v>
      </c>
      <c r="O329" s="1" t="str">
        <f ca="1">IFERROR(__xludf.DUMMYFUNCTION("""COMPUTED_VALUE"""),"Manager who explains what is expected, sets a goal and helps achieve it")</f>
        <v>Manager who explains what is expected, sets a goal and helps achieve it</v>
      </c>
      <c r="P329" s="1" t="str">
        <f ca="1">IFERROR(__xludf.DUMMYFUNCTION("""COMPUTED_VALUE"""),"Work &lt;=6 People in the Team")</f>
        <v>Work &lt;=6 People in the Team</v>
      </c>
      <c r="Q329" s="1" t="s">
        <v>41</v>
      </c>
      <c r="R329" s="1"/>
    </row>
    <row r="330" spans="1:18" x14ac:dyDescent="0.25">
      <c r="A330" s="2">
        <f ca="1">IFERROR(__xludf.DUMMYFUNCTION("""COMPUTED_VALUE"""),44935.7640316898)</f>
        <v>44935.764031689803</v>
      </c>
      <c r="B330" s="1" t="str">
        <f ca="1">IFERROR(__xludf.DUMMYFUNCTION("""COMPUTED_VALUE"""),"India")</f>
        <v>India</v>
      </c>
      <c r="C330" s="1">
        <f ca="1">IFERROR(__xludf.DUMMYFUNCTION("""COMPUTED_VALUE"""),263153)</f>
        <v>263153</v>
      </c>
      <c r="D330" s="1" t="str">
        <f ca="1">IFERROR(__xludf.DUMMYFUNCTION("""COMPUTED_VALUE"""),"Female")</f>
        <v>Female</v>
      </c>
      <c r="E330" s="1" t="str">
        <f ca="1">IFERROR(__xludf.DUMMYFUNCTION("""COMPUTED_VALUE"""),"Influencers who had successful careers")</f>
        <v>Influencers who had successful careers</v>
      </c>
      <c r="F330" s="1" t="str">
        <f ca="1">IFERROR(__xludf.DUMMYFUNCTION("""COMPUTED_VALUE"""),"No I would not be pursuing Higher Education outside of India")</f>
        <v>No I would not be pursuing Higher Education outside of India</v>
      </c>
      <c r="G330" s="1" t="str">
        <f ca="1">IFERROR(__xludf.DUMMYFUNCTION("""COMPUTED_VALUE"""),"This will be hard to do, but if it is the right company I would try")</f>
        <v>This will be hard to do, but if it is the right company I would try</v>
      </c>
      <c r="H330" s="1" t="str">
        <f ca="1">IFERROR(__xludf.DUMMYFUNCTION("""COMPUTED_VALUE"""),"Yes")</f>
        <v>Yes</v>
      </c>
      <c r="I330" s="1" t="str">
        <f ca="1">IFERROR(__xludf.DUMMYFUNCTION("""COMPUTED_VALUE"""),"Will NOT work for them")</f>
        <v>Will NOT work for them</v>
      </c>
      <c r="J330" s="1">
        <f ca="1">IFERROR(__xludf.DUMMYFUNCTION("""COMPUTED_VALUE"""),5)</f>
        <v>5</v>
      </c>
      <c r="K330" s="1" t="str">
        <f ca="1">IFERROR(__xludf.DUMMYFUNCTION("""COMPUTED_VALUE"""),"Fully Remote with No option to visit offices")</f>
        <v>Fully Remote with No option to visit offices</v>
      </c>
      <c r="L330" s="1" t="str">
        <f ca="1">IFERROR(__xludf.DUMMYFUNCTION("""COMPUTED_VALUE"""),"Employer who pushes your limits by enabling an learning environment, and rewards you at the end")</f>
        <v>Employer who pushes your limits by enabling an learning environment, and rewards you at the end</v>
      </c>
      <c r="M330"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330" s="4" t="s">
        <v>48</v>
      </c>
      <c r="O330" s="1" t="str">
        <f ca="1">IFERROR(__xludf.DUMMYFUNCTION("""COMPUTED_VALUE"""),"Manager who explains what is expected, sets a goal and helps achieve it")</f>
        <v>Manager who explains what is expected, sets a goal and helps achieve it</v>
      </c>
      <c r="P330" s="1" t="str">
        <f ca="1">IFERROR(__xludf.DUMMYFUNCTION("""COMPUTED_VALUE"""),"Work &lt;=6 People in the Team")</f>
        <v>Work &lt;=6 People in the Team</v>
      </c>
      <c r="Q330" s="1" t="s">
        <v>40</v>
      </c>
      <c r="R330" s="1"/>
    </row>
    <row r="331" spans="1:18" x14ac:dyDescent="0.25">
      <c r="A331" s="2">
        <f ca="1">IFERROR(__xludf.DUMMYFUNCTION("""COMPUTED_VALUE"""),44935.8380354398)</f>
        <v>44935.838035439803</v>
      </c>
      <c r="B331" s="1" t="str">
        <f ca="1">IFERROR(__xludf.DUMMYFUNCTION("""COMPUTED_VALUE"""),"India")</f>
        <v>India</v>
      </c>
      <c r="C331" s="1">
        <f ca="1">IFERROR(__xludf.DUMMYFUNCTION("""COMPUTED_VALUE"""),465674)</f>
        <v>465674</v>
      </c>
      <c r="D331" s="1" t="str">
        <f ca="1">IFERROR(__xludf.DUMMYFUNCTION("""COMPUTED_VALUE"""),"Female")</f>
        <v>Female</v>
      </c>
      <c r="E331" s="1" t="str">
        <f ca="1">IFERROR(__xludf.DUMMYFUNCTION("""COMPUTED_VALUE"""),"My Parents")</f>
        <v>My Parents</v>
      </c>
      <c r="F331" s="1" t="str">
        <f ca="1">IFERROR(__xludf.DUMMYFUNCTION("""COMPUTED_VALUE"""),"Yes, I will earn and do that")</f>
        <v>Yes, I will earn and do that</v>
      </c>
      <c r="G331" s="1" t="str">
        <f ca="1">IFERROR(__xludf.DUMMYFUNCTION("""COMPUTED_VALUE"""),"Will work for 3 years or more")</f>
        <v>Will work for 3 years or more</v>
      </c>
      <c r="H331" s="1" t="str">
        <f ca="1">IFERROR(__xludf.DUMMYFUNCTION("""COMPUTED_VALUE"""),"No")</f>
        <v>No</v>
      </c>
      <c r="I331" s="1" t="str">
        <f ca="1">IFERROR(__xludf.DUMMYFUNCTION("""COMPUTED_VALUE"""),"Will NOT work for them")</f>
        <v>Will NOT work for them</v>
      </c>
      <c r="J331" s="1">
        <f ca="1">IFERROR(__xludf.DUMMYFUNCTION("""COMPUTED_VALUE"""),1)</f>
        <v>1</v>
      </c>
      <c r="K331" s="1" t="str">
        <f ca="1">IFERROR(__xludf.DUMMYFUNCTION("""COMPUTED_VALUE"""),"Hybrid Working Environment with less than 15 days a month at office")</f>
        <v>Hybrid Working Environment with less than 15 days a month at office</v>
      </c>
      <c r="L331" s="1" t="str">
        <f ca="1">IFERROR(__xludf.DUMMYFUNCTION("""COMPUTED_VALUE"""),"Employer who appreciates learning and enables that environment")</f>
        <v>Employer who appreciates learning and enables that environment</v>
      </c>
      <c r="M331"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N331" s="4" t="s">
        <v>48</v>
      </c>
      <c r="O331" s="1" t="str">
        <f ca="1">IFERROR(__xludf.DUMMYFUNCTION("""COMPUTED_VALUE"""),"Manager who explains what is expected, sets a goal and helps achieve it")</f>
        <v>Manager who explains what is expected, sets a goal and helps achieve it</v>
      </c>
      <c r="P331" s="1" t="str">
        <f ca="1">IFERROR(__xludf.DUMMYFUNCTION("""COMPUTED_VALUE"""),"Work &gt;=7 People in the Team")</f>
        <v>Work &gt;=7 People in the Team</v>
      </c>
      <c r="Q331" s="1" t="s">
        <v>41</v>
      </c>
      <c r="R331" s="1"/>
    </row>
    <row r="332" spans="1:18" x14ac:dyDescent="0.25">
      <c r="A332" s="2">
        <f ca="1">IFERROR(__xludf.DUMMYFUNCTION("""COMPUTED_VALUE"""),44936.0309894444)</f>
        <v>44936.0309894444</v>
      </c>
      <c r="B332" s="1" t="str">
        <f ca="1">IFERROR(__xludf.DUMMYFUNCTION("""COMPUTED_VALUE"""),"India")</f>
        <v>India</v>
      </c>
      <c r="C332" s="1">
        <f ca="1">IFERROR(__xludf.DUMMYFUNCTION("""COMPUTED_VALUE"""),110027)</f>
        <v>110027</v>
      </c>
      <c r="D332" s="1" t="str">
        <f ca="1">IFERROR(__xludf.DUMMYFUNCTION("""COMPUTED_VALUE"""),"Male")</f>
        <v>Male</v>
      </c>
      <c r="E332" s="1" t="str">
        <f ca="1">IFERROR(__xludf.DUMMYFUNCTION("""COMPUTED_VALUE"""),"People from my circle, but not family members")</f>
        <v>People from my circle, but not family members</v>
      </c>
      <c r="F332" s="1" t="str">
        <f ca="1">IFERROR(__xludf.DUMMYFUNCTION("""COMPUTED_VALUE"""),"No I would not be pursuing Higher Education outside of India")</f>
        <v>No I would not be pursuing Higher Education outside of India</v>
      </c>
      <c r="G332" s="1" t="str">
        <f ca="1">IFERROR(__xludf.DUMMYFUNCTION("""COMPUTED_VALUE"""),"Will work for 3 years or more")</f>
        <v>Will work for 3 years or more</v>
      </c>
      <c r="H332" s="1" t="str">
        <f ca="1">IFERROR(__xludf.DUMMYFUNCTION("""COMPUTED_VALUE"""),"No")</f>
        <v>No</v>
      </c>
      <c r="I332" s="1" t="str">
        <f ca="1">IFERROR(__xludf.DUMMYFUNCTION("""COMPUTED_VALUE"""),"Will NOT work for them")</f>
        <v>Will NOT work for them</v>
      </c>
      <c r="J332" s="1">
        <f ca="1">IFERROR(__xludf.DUMMYFUNCTION("""COMPUTED_VALUE"""),6)</f>
        <v>6</v>
      </c>
      <c r="K332" s="1" t="str">
        <f ca="1">IFERROR(__xludf.DUMMYFUNCTION("""COMPUTED_VALUE"""),"Hybrid Working Environment with less than 15 days a month at office")</f>
        <v>Hybrid Working Environment with less than 15 days a month at office</v>
      </c>
      <c r="L332" s="1" t="str">
        <f ca="1">IFERROR(__xludf.DUMMYFUNCTION("""COMPUTED_VALUE"""),"Employer who pushes your limits by enabling an learning environment, and rewards you at the end")</f>
        <v>Employer who pushes your limits by enabling an learning environment, and rewards you at the end</v>
      </c>
      <c r="M33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332" s="4" t="s">
        <v>55</v>
      </c>
      <c r="O332" s="1" t="str">
        <f ca="1">IFERROR(__xludf.DUMMYFUNCTION("""COMPUTED_VALUE"""),"Manager who explains what is expected, sets a goal and helps achieve it")</f>
        <v>Manager who explains what is expected, sets a goal and helps achieve it</v>
      </c>
      <c r="P332" s="1" t="str">
        <f ca="1">IFERROR(__xludf.DUMMYFUNCTION("""COMPUTED_VALUE"""),"Work Alone, &lt;=6 in team")</f>
        <v>Work Alone, &lt;=6 in team</v>
      </c>
      <c r="Q332" s="1" t="s">
        <v>40</v>
      </c>
      <c r="R332" s="1"/>
    </row>
    <row r="333" spans="1:18" x14ac:dyDescent="0.25">
      <c r="A333" s="2">
        <f ca="1">IFERROR(__xludf.DUMMYFUNCTION("""COMPUTED_VALUE"""),44936.5113378124)</f>
        <v>44936.511337812401</v>
      </c>
      <c r="B333" s="1" t="str">
        <f ca="1">IFERROR(__xludf.DUMMYFUNCTION("""COMPUTED_VALUE"""),"India")</f>
        <v>India</v>
      </c>
      <c r="C333" s="1">
        <f ca="1">IFERROR(__xludf.DUMMYFUNCTION("""COMPUTED_VALUE"""),145001)</f>
        <v>145001</v>
      </c>
      <c r="D333" s="1" t="str">
        <f ca="1">IFERROR(__xludf.DUMMYFUNCTION("""COMPUTED_VALUE"""),"Male")</f>
        <v>Male</v>
      </c>
      <c r="E333" s="1" t="str">
        <f ca="1">IFERROR(__xludf.DUMMYFUNCTION("""COMPUTED_VALUE"""),"Influencers who had successful careers")</f>
        <v>Influencers who had successful careers</v>
      </c>
      <c r="F333" s="1" t="str">
        <f ca="1">IFERROR(__xludf.DUMMYFUNCTION("""COMPUTED_VALUE"""),"No, But if someone could bare the cost I will")</f>
        <v>No, But if someone could bare the cost I will</v>
      </c>
      <c r="G333" s="1" t="str">
        <f ca="1">IFERROR(__xludf.DUMMYFUNCTION("""COMPUTED_VALUE"""),"This will be hard to do, but if it is the right company I would try")</f>
        <v>This will be hard to do, but if it is the right company I would try</v>
      </c>
      <c r="H333" s="1" t="str">
        <f ca="1">IFERROR(__xludf.DUMMYFUNCTION("""COMPUTED_VALUE"""),"No")</f>
        <v>No</v>
      </c>
      <c r="I333" s="1" t="str">
        <f ca="1">IFERROR(__xludf.DUMMYFUNCTION("""COMPUTED_VALUE"""),"Will NOT work for them")</f>
        <v>Will NOT work for them</v>
      </c>
      <c r="J333" s="1">
        <f ca="1">IFERROR(__xludf.DUMMYFUNCTION("""COMPUTED_VALUE"""),1)</f>
        <v>1</v>
      </c>
      <c r="K333" s="1" t="str">
        <f ca="1">IFERROR(__xludf.DUMMYFUNCTION("""COMPUTED_VALUE"""),"Fully Remote with Options to travel as and when needed")</f>
        <v>Fully Remote with Options to travel as and when needed</v>
      </c>
      <c r="L333" s="1" t="str">
        <f ca="1">IFERROR(__xludf.DUMMYFUNCTION("""COMPUTED_VALUE"""),"Employer who pushes your limits by enabling an learning environment, and rewards you at the end")</f>
        <v>Employer who pushes your limits by enabling an learning environment, and rewards you at the end</v>
      </c>
      <c r="M333"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333" s="4" t="s">
        <v>48</v>
      </c>
      <c r="O333" s="1" t="str">
        <f ca="1">IFERROR(__xludf.DUMMYFUNCTION("""COMPUTED_VALUE"""),"Manager who explains what is expected, sets a goal and helps achieve it")</f>
        <v>Manager who explains what is expected, sets a goal and helps achieve it</v>
      </c>
      <c r="P333" s="1" t="str">
        <f ca="1">IFERROR(__xludf.DUMMYFUNCTION("""COMPUTED_VALUE"""),"Work &lt;=6 People in the Team")</f>
        <v>Work &lt;=6 People in the Team</v>
      </c>
      <c r="Q333" s="1" t="s">
        <v>40</v>
      </c>
      <c r="R333" s="1"/>
    </row>
    <row r="334" spans="1:18" x14ac:dyDescent="0.25">
      <c r="A334" s="2">
        <f ca="1">IFERROR(__xludf.DUMMYFUNCTION("""COMPUTED_VALUE"""),44936.6800256828)</f>
        <v>44936.680025682799</v>
      </c>
      <c r="B334" s="1" t="str">
        <f ca="1">IFERROR(__xludf.DUMMYFUNCTION("""COMPUTED_VALUE"""),"India")</f>
        <v>India</v>
      </c>
      <c r="C334" s="1">
        <f ca="1">IFERROR(__xludf.DUMMYFUNCTION("""COMPUTED_VALUE"""),431001)</f>
        <v>431001</v>
      </c>
      <c r="D334" s="1" t="str">
        <f ca="1">IFERROR(__xludf.DUMMYFUNCTION("""COMPUTED_VALUE"""),"Male")</f>
        <v>Male</v>
      </c>
      <c r="E334" s="1" t="str">
        <f ca="1">IFERROR(__xludf.DUMMYFUNCTION("""COMPUTED_VALUE"""),"Influencers who had successful careers")</f>
        <v>Influencers who had successful careers</v>
      </c>
      <c r="F334" s="1" t="str">
        <f ca="1">IFERROR(__xludf.DUMMYFUNCTION("""COMPUTED_VALUE"""),"Yes, I will earn and do that")</f>
        <v>Yes, I will earn and do that</v>
      </c>
      <c r="G334" s="1" t="str">
        <f ca="1">IFERROR(__xludf.DUMMYFUNCTION("""COMPUTED_VALUE"""),"This will be hard to do, but if it is the right company I would try")</f>
        <v>This will be hard to do, but if it is the right company I would try</v>
      </c>
      <c r="H334" s="1" t="str">
        <f ca="1">IFERROR(__xludf.DUMMYFUNCTION("""COMPUTED_VALUE"""),"No")</f>
        <v>No</v>
      </c>
      <c r="I334" s="1" t="str">
        <f ca="1">IFERROR(__xludf.DUMMYFUNCTION("""COMPUTED_VALUE"""),"Will NOT work for them")</f>
        <v>Will NOT work for them</v>
      </c>
      <c r="J334" s="1">
        <f ca="1">IFERROR(__xludf.DUMMYFUNCTION("""COMPUTED_VALUE"""),5)</f>
        <v>5</v>
      </c>
      <c r="K334" s="1" t="str">
        <f ca="1">IFERROR(__xludf.DUMMYFUNCTION("""COMPUTED_VALUE"""),"Hybrid Working Environment with less than 15 days a month at office")</f>
        <v>Hybrid Working Environment with less than 15 days a month at office</v>
      </c>
      <c r="L334" s="1" t="str">
        <f ca="1">IFERROR(__xludf.DUMMYFUNCTION("""COMPUTED_VALUE"""),"Employer who pushes your limits by enabling an learning environment, and rewards you at the end")</f>
        <v>Employer who pushes your limits by enabling an learning environment, and rewards you at the end</v>
      </c>
      <c r="M33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334" s="4" t="s">
        <v>51</v>
      </c>
      <c r="O334" s="1" t="str">
        <f ca="1">IFERROR(__xludf.DUMMYFUNCTION("""COMPUTED_VALUE"""),"Manager who explains what is expected, sets a goal and helps achieve it")</f>
        <v>Manager who explains what is expected, sets a goal and helps achieve it</v>
      </c>
      <c r="P334" s="1" t="str">
        <f ca="1">IFERROR(__xludf.DUMMYFUNCTION("""COMPUTED_VALUE"""),"Work &gt;=7 People in the Team")</f>
        <v>Work &gt;=7 People in the Team</v>
      </c>
      <c r="Q334" s="1" t="s">
        <v>41</v>
      </c>
      <c r="R334" s="1"/>
    </row>
    <row r="335" spans="1:18" x14ac:dyDescent="0.25">
      <c r="A335" s="2">
        <f ca="1">IFERROR(__xludf.DUMMYFUNCTION("""COMPUTED_VALUE"""),44936.7046449189)</f>
        <v>44936.7046449189</v>
      </c>
      <c r="B335" s="1" t="str">
        <f ca="1">IFERROR(__xludf.DUMMYFUNCTION("""COMPUTED_VALUE"""),"India")</f>
        <v>India</v>
      </c>
      <c r="C335" s="1">
        <f ca="1">IFERROR(__xludf.DUMMYFUNCTION("""COMPUTED_VALUE"""),457001)</f>
        <v>457001</v>
      </c>
      <c r="D335" s="1" t="str">
        <f ca="1">IFERROR(__xludf.DUMMYFUNCTION("""COMPUTED_VALUE"""),"Female")</f>
        <v>Female</v>
      </c>
      <c r="E335" s="1" t="str">
        <f ca="1">IFERROR(__xludf.DUMMYFUNCTION("""COMPUTED_VALUE"""),"Influencers who had successful careers")</f>
        <v>Influencers who had successful careers</v>
      </c>
      <c r="F335" s="1" t="str">
        <f ca="1">IFERROR(__xludf.DUMMYFUNCTION("""COMPUTED_VALUE"""),"No I would not be pursuing Higher Education outside of India")</f>
        <v>No I would not be pursuing Higher Education outside of India</v>
      </c>
      <c r="G335" s="1" t="str">
        <f ca="1">IFERROR(__xludf.DUMMYFUNCTION("""COMPUTED_VALUE"""),"This will be hard to do, but if it is the right company I would try")</f>
        <v>This will be hard to do, but if it is the right company I would try</v>
      </c>
      <c r="H335" s="1" t="str">
        <f ca="1">IFERROR(__xludf.DUMMYFUNCTION("""COMPUTED_VALUE"""),"No")</f>
        <v>No</v>
      </c>
      <c r="I335" s="1" t="str">
        <f ca="1">IFERROR(__xludf.DUMMYFUNCTION("""COMPUTED_VALUE"""),"Will NOT work for them")</f>
        <v>Will NOT work for them</v>
      </c>
      <c r="J335" s="1">
        <f ca="1">IFERROR(__xludf.DUMMYFUNCTION("""COMPUTED_VALUE"""),5)</f>
        <v>5</v>
      </c>
      <c r="K335" s="1" t="str">
        <f ca="1">IFERROR(__xludf.DUMMYFUNCTION("""COMPUTED_VALUE"""),"Hybrid Working Environment with less than 3 days a month at office")</f>
        <v>Hybrid Working Environment with less than 3 days a month at office</v>
      </c>
      <c r="L335" s="1" t="str">
        <f ca="1">IFERROR(__xludf.DUMMYFUNCTION("""COMPUTED_VALUE"""),"Employer who rewards learning and enables that environment")</f>
        <v>Employer who rewards learning and enables that environment</v>
      </c>
      <c r="M335"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N335" s="4" t="s">
        <v>54</v>
      </c>
      <c r="O335" s="1" t="str">
        <f ca="1">IFERROR(__xludf.DUMMYFUNCTION("""COMPUTED_VALUE"""),"Manager who clearly describes what she/he needs")</f>
        <v>Manager who clearly describes what she/he needs</v>
      </c>
      <c r="P335" s="1" t="str">
        <f ca="1">IFERROR(__xludf.DUMMYFUNCTION("""COMPUTED_VALUE"""),"Work Alone, &lt;=6 in team")</f>
        <v>Work Alone, &lt;=6 in team</v>
      </c>
      <c r="Q335" s="1" t="s">
        <v>41</v>
      </c>
      <c r="R335" s="1"/>
    </row>
    <row r="336" spans="1:18" x14ac:dyDescent="0.25">
      <c r="A336" s="2">
        <f ca="1">IFERROR(__xludf.DUMMYFUNCTION("""COMPUTED_VALUE"""),44937.3908363425)</f>
        <v>44937.3908363425</v>
      </c>
      <c r="B336" s="1" t="str">
        <f ca="1">IFERROR(__xludf.DUMMYFUNCTION("""COMPUTED_VALUE"""),"India")</f>
        <v>India</v>
      </c>
      <c r="C336" s="1">
        <f ca="1">IFERROR(__xludf.DUMMYFUNCTION("""COMPUTED_VALUE"""),520013)</f>
        <v>520013</v>
      </c>
      <c r="D336" s="1" t="str">
        <f ca="1">IFERROR(__xludf.DUMMYFUNCTION("""COMPUTED_VALUE"""),"Female")</f>
        <v>Female</v>
      </c>
      <c r="E336" s="1" t="str">
        <f ca="1">IFERROR(__xludf.DUMMYFUNCTION("""COMPUTED_VALUE"""),"People from my circle, but not family members")</f>
        <v>People from my circle, but not family members</v>
      </c>
      <c r="F336" s="1" t="str">
        <f ca="1">IFERROR(__xludf.DUMMYFUNCTION("""COMPUTED_VALUE"""),"No, But if someone could bare the cost I will")</f>
        <v>No, But if someone could bare the cost I will</v>
      </c>
      <c r="G336" s="1" t="str">
        <f ca="1">IFERROR(__xludf.DUMMYFUNCTION("""COMPUTED_VALUE"""),"No way, 3 years with one employer is crazy")</f>
        <v>No way, 3 years with one employer is crazy</v>
      </c>
      <c r="H336" s="1" t="str">
        <f ca="1">IFERROR(__xludf.DUMMYFUNCTION("""COMPUTED_VALUE"""),"No")</f>
        <v>No</v>
      </c>
      <c r="I336" s="1" t="str">
        <f ca="1">IFERROR(__xludf.DUMMYFUNCTION("""COMPUTED_VALUE"""),"Will NOT work for them")</f>
        <v>Will NOT work for them</v>
      </c>
      <c r="J336" s="1">
        <f ca="1">IFERROR(__xludf.DUMMYFUNCTION("""COMPUTED_VALUE"""),5)</f>
        <v>5</v>
      </c>
      <c r="K336" s="1" t="str">
        <f ca="1">IFERROR(__xludf.DUMMYFUNCTION("""COMPUTED_VALUE"""),"Hybrid Working Environment with less than 3 days a month at office")</f>
        <v>Hybrid Working Environment with less than 3 days a month at office</v>
      </c>
      <c r="L336" s="1" t="str">
        <f ca="1">IFERROR(__xludf.DUMMYFUNCTION("""COMPUTED_VALUE"""),"Employer who pushes your limits by enabling an learning environment, and rewards you at the end")</f>
        <v>Employer who pushes your limits by enabling an learning environment, and rewards you at the end</v>
      </c>
      <c r="M336"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N336" s="4" t="s">
        <v>52</v>
      </c>
      <c r="O336" s="1" t="str">
        <f ca="1">IFERROR(__xludf.DUMMYFUNCTION("""COMPUTED_VALUE"""),"Manager who explains what is expected, sets a goal and helps achieve it")</f>
        <v>Manager who explains what is expected, sets a goal and helps achieve it</v>
      </c>
      <c r="P336" s="1" t="str">
        <f ca="1">IFERROR(__xludf.DUMMYFUNCTION("""COMPUTED_VALUE"""),"Work &gt;10 people in Team")</f>
        <v>Work &gt;10 people in Team</v>
      </c>
      <c r="Q336" s="1" t="s">
        <v>40</v>
      </c>
      <c r="R336" s="1"/>
    </row>
    <row r="337" spans="1:18" x14ac:dyDescent="0.25">
      <c r="A337" s="2">
        <f ca="1">IFERROR(__xludf.DUMMYFUNCTION("""COMPUTED_VALUE"""),44937.5010597106)</f>
        <v>44937.501059710601</v>
      </c>
      <c r="B337" s="1" t="str">
        <f ca="1">IFERROR(__xludf.DUMMYFUNCTION("""COMPUTED_VALUE"""),"Nigeria")</f>
        <v>Nigeria</v>
      </c>
      <c r="C337" s="1" t="str">
        <f ca="1">IFERROR(__xludf.DUMMYFUNCTION("""COMPUTED_VALUE"""),"UTC+01")</f>
        <v>UTC+01</v>
      </c>
      <c r="D337" s="1" t="str">
        <f ca="1">IFERROR(__xludf.DUMMYFUNCTION("""COMPUTED_VALUE"""),"Male")</f>
        <v>Male</v>
      </c>
      <c r="E337" s="1" t="str">
        <f ca="1">IFERROR(__xludf.DUMMYFUNCTION("""COMPUTED_VALUE"""),"Influencers who had successful careers")</f>
        <v>Influencers who had successful careers</v>
      </c>
      <c r="F337" s="1" t="str">
        <f ca="1">IFERROR(__xludf.DUMMYFUNCTION("""COMPUTED_VALUE"""),"Yes, I will earn and do that")</f>
        <v>Yes, I will earn and do that</v>
      </c>
      <c r="G337" s="1" t="str">
        <f ca="1">IFERROR(__xludf.DUMMYFUNCTION("""COMPUTED_VALUE"""),"This will be hard to do, but if it is the right company I would try")</f>
        <v>This will be hard to do, but if it is the right company I would try</v>
      </c>
      <c r="H337" s="1" t="str">
        <f ca="1">IFERROR(__xludf.DUMMYFUNCTION("""COMPUTED_VALUE"""),"No")</f>
        <v>No</v>
      </c>
      <c r="I337" s="1" t="str">
        <f ca="1">IFERROR(__xludf.DUMMYFUNCTION("""COMPUTED_VALUE"""),"Will NOT work for them")</f>
        <v>Will NOT work for them</v>
      </c>
      <c r="J337" s="1">
        <f ca="1">IFERROR(__xludf.DUMMYFUNCTION("""COMPUTED_VALUE"""),1)</f>
        <v>1</v>
      </c>
      <c r="K337" s="1" t="str">
        <f ca="1">IFERROR(__xludf.DUMMYFUNCTION("""COMPUTED_VALUE"""),"Fully Remote with Options to travel as and when needed")</f>
        <v>Fully Remote with Options to travel as and when needed</v>
      </c>
      <c r="L337" s="1" t="str">
        <f ca="1">IFERROR(__xludf.DUMMYFUNCTION("""COMPUTED_VALUE"""),"Employer who pushes your limits by enabling an learning environment, and rewards you at the end")</f>
        <v>Employer who pushes your limits by enabling an learning environment, and rewards you at the end</v>
      </c>
      <c r="M3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337" s="4" t="s">
        <v>48</v>
      </c>
      <c r="O337" s="1" t="str">
        <f ca="1">IFERROR(__xludf.DUMMYFUNCTION("""COMPUTED_VALUE"""),"Manager who explains what is expected, sets a goal and helps achieve it")</f>
        <v>Manager who explains what is expected, sets a goal and helps achieve it</v>
      </c>
      <c r="P337" s="1" t="str">
        <f ca="1">IFERROR(__xludf.DUMMYFUNCTION("""COMPUTED_VALUE"""),"Work &gt;10 people in Team")</f>
        <v>Work &gt;10 people in Team</v>
      </c>
      <c r="Q337" s="1" t="s">
        <v>40</v>
      </c>
      <c r="R337" s="1"/>
    </row>
    <row r="338" spans="1:18" x14ac:dyDescent="0.25">
      <c r="A338" s="2">
        <f ca="1">IFERROR(__xludf.DUMMYFUNCTION("""COMPUTED_VALUE"""),44937.6631981944)</f>
        <v>44937.663198194401</v>
      </c>
      <c r="B338" s="1" t="str">
        <f ca="1">IFERROR(__xludf.DUMMYFUNCTION("""COMPUTED_VALUE"""),"India")</f>
        <v>India</v>
      </c>
      <c r="C338" s="1">
        <f ca="1">IFERROR(__xludf.DUMMYFUNCTION("""COMPUTED_VALUE"""),201304)</f>
        <v>201304</v>
      </c>
      <c r="D338" s="1" t="str">
        <f ca="1">IFERROR(__xludf.DUMMYFUNCTION("""COMPUTED_VALUE"""),"Female")</f>
        <v>Female</v>
      </c>
      <c r="E338" s="1" t="str">
        <f ca="1">IFERROR(__xludf.DUMMYFUNCTION("""COMPUTED_VALUE"""),"Influencers who had successful careers")</f>
        <v>Influencers who had successful careers</v>
      </c>
      <c r="F338" s="1" t="str">
        <f ca="1">IFERROR(__xludf.DUMMYFUNCTION("""COMPUTED_VALUE"""),"No I would not be pursuing Higher Education outside of India")</f>
        <v>No I would not be pursuing Higher Education outside of India</v>
      </c>
      <c r="G338" s="1" t="str">
        <f ca="1">IFERROR(__xludf.DUMMYFUNCTION("""COMPUTED_VALUE"""),"This will be hard to do, but if it is the right company I would try")</f>
        <v>This will be hard to do, but if it is the right company I would try</v>
      </c>
      <c r="H338" s="1" t="str">
        <f ca="1">IFERROR(__xludf.DUMMYFUNCTION("""COMPUTED_VALUE"""),"No")</f>
        <v>No</v>
      </c>
      <c r="I338" s="1" t="str">
        <f ca="1">IFERROR(__xludf.DUMMYFUNCTION("""COMPUTED_VALUE"""),"Will NOT work for them")</f>
        <v>Will NOT work for them</v>
      </c>
      <c r="J338" s="1">
        <f ca="1">IFERROR(__xludf.DUMMYFUNCTION("""COMPUTED_VALUE"""),2)</f>
        <v>2</v>
      </c>
      <c r="K338" s="1" t="str">
        <f ca="1">IFERROR(__xludf.DUMMYFUNCTION("""COMPUTED_VALUE"""),"Hybrid Working Environment with less than 15 days a month at office")</f>
        <v>Hybrid Working Environment with less than 15 days a month at office</v>
      </c>
      <c r="L338" s="1" t="str">
        <f ca="1">IFERROR(__xludf.DUMMYFUNCTION("""COMPUTED_VALUE"""),"Employer who pushes your limits by enabling an learning environment, and rewards you at the end")</f>
        <v>Employer who pushes your limits by enabling an learning environment, and rewards you at the end</v>
      </c>
      <c r="M338"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N338" s="4" t="s">
        <v>52</v>
      </c>
      <c r="O338" s="1" t="str">
        <f ca="1">IFERROR(__xludf.DUMMYFUNCTION("""COMPUTED_VALUE"""),"Manager who clearly describes what she/he needs")</f>
        <v>Manager who clearly describes what she/he needs</v>
      </c>
      <c r="P338" s="1" t="str">
        <f ca="1">IFERROR(__xludf.DUMMYFUNCTION("""COMPUTED_VALUE"""),"Work &lt;=6 People in the Team")</f>
        <v>Work &lt;=6 People in the Team</v>
      </c>
      <c r="Q338" s="1" t="s">
        <v>40</v>
      </c>
      <c r="R338" s="1"/>
    </row>
    <row r="339" spans="1:18" x14ac:dyDescent="0.25">
      <c r="A339" s="2">
        <f ca="1">IFERROR(__xludf.DUMMYFUNCTION("""COMPUTED_VALUE"""),44937.7179000926)</f>
        <v>44937.717900092597</v>
      </c>
      <c r="B339" s="1" t="str">
        <f ca="1">IFERROR(__xludf.DUMMYFUNCTION("""COMPUTED_VALUE"""),"India")</f>
        <v>India</v>
      </c>
      <c r="C339" s="1">
        <f ca="1">IFERROR(__xludf.DUMMYFUNCTION("""COMPUTED_VALUE"""),383007)</f>
        <v>383007</v>
      </c>
      <c r="D339" s="1" t="str">
        <f ca="1">IFERROR(__xludf.DUMMYFUNCTION("""COMPUTED_VALUE"""),"Male")</f>
        <v>Male</v>
      </c>
      <c r="E339" s="1" t="str">
        <f ca="1">IFERROR(__xludf.DUMMYFUNCTION("""COMPUTED_VALUE"""),"People from my circle, but not family members")</f>
        <v>People from my circle, but not family members</v>
      </c>
      <c r="F339" s="1" t="str">
        <f ca="1">IFERROR(__xludf.DUMMYFUNCTION("""COMPUTED_VALUE"""),"No, But if someone could bare the cost I will")</f>
        <v>No, But if someone could bare the cost I will</v>
      </c>
      <c r="G339" s="1" t="str">
        <f ca="1">IFERROR(__xludf.DUMMYFUNCTION("""COMPUTED_VALUE"""),"This will be hard to do, but if it is the right company I would try")</f>
        <v>This will be hard to do, but if it is the right company I would try</v>
      </c>
      <c r="H339" s="1" t="str">
        <f ca="1">IFERROR(__xludf.DUMMYFUNCTION("""COMPUTED_VALUE"""),"No")</f>
        <v>No</v>
      </c>
      <c r="I339" s="1" t="str">
        <f ca="1">IFERROR(__xludf.DUMMYFUNCTION("""COMPUTED_VALUE"""),"Will NOT work for them")</f>
        <v>Will NOT work for them</v>
      </c>
      <c r="J339" s="1">
        <f ca="1">IFERROR(__xludf.DUMMYFUNCTION("""COMPUTED_VALUE"""),8)</f>
        <v>8</v>
      </c>
      <c r="K339" s="1" t="str">
        <f ca="1">IFERROR(__xludf.DUMMYFUNCTION("""COMPUTED_VALUE"""),"Hybrid Working Environment with less than 10 days a month at office")</f>
        <v>Hybrid Working Environment with less than 10 days a month at office</v>
      </c>
      <c r="L339" s="1" t="str">
        <f ca="1">IFERROR(__xludf.DUMMYFUNCTION("""COMPUTED_VALUE"""),"Employer who pushes your limits by enabling an learning environment, and rewards you at the end")</f>
        <v>Employer who pushes your limits by enabling an learning environment, and rewards you at the end</v>
      </c>
      <c r="M33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39" s="4" t="s">
        <v>50</v>
      </c>
      <c r="O339" s="1" t="str">
        <f ca="1">IFERROR(__xludf.DUMMYFUNCTION("""COMPUTED_VALUE"""),"Manager who sets goal and helps me achieve it")</f>
        <v>Manager who sets goal and helps me achieve it</v>
      </c>
      <c r="P339" s="1" t="str">
        <f ca="1">IFERROR(__xludf.DUMMYFUNCTION("""COMPUTED_VALUE"""),"Work &lt;=6 People in the Team")</f>
        <v>Work &lt;=6 People in the Team</v>
      </c>
      <c r="Q339" s="1" t="s">
        <v>42</v>
      </c>
      <c r="R339" s="1"/>
    </row>
    <row r="340" spans="1:18" x14ac:dyDescent="0.25">
      <c r="A340" s="2">
        <f ca="1">IFERROR(__xludf.DUMMYFUNCTION("""COMPUTED_VALUE"""),44937.753747037)</f>
        <v>44937.753747037001</v>
      </c>
      <c r="B340" s="1" t="str">
        <f ca="1">IFERROR(__xludf.DUMMYFUNCTION("""COMPUTED_VALUE"""),"India")</f>
        <v>India</v>
      </c>
      <c r="C340" s="1">
        <f ca="1">IFERROR(__xludf.DUMMYFUNCTION("""COMPUTED_VALUE"""),638012)</f>
        <v>638012</v>
      </c>
      <c r="D340" s="1" t="str">
        <f ca="1">IFERROR(__xludf.DUMMYFUNCTION("""COMPUTED_VALUE"""),"Male")</f>
        <v>Male</v>
      </c>
      <c r="E340" s="1" t="str">
        <f ca="1">IFERROR(__xludf.DUMMYFUNCTION("""COMPUTED_VALUE"""),"Influencers who had successful careers")</f>
        <v>Influencers who had successful careers</v>
      </c>
      <c r="F340" s="1" t="str">
        <f ca="1">IFERROR(__xludf.DUMMYFUNCTION("""COMPUTED_VALUE"""),"Yes, I will earn and do that")</f>
        <v>Yes, I will earn and do that</v>
      </c>
      <c r="G340" s="1" t="str">
        <f ca="1">IFERROR(__xludf.DUMMYFUNCTION("""COMPUTED_VALUE"""),"This will be hard to do, but if it is the right company I would try")</f>
        <v>This will be hard to do, but if it is the right company I would try</v>
      </c>
      <c r="H340" s="1" t="str">
        <f ca="1">IFERROR(__xludf.DUMMYFUNCTION("""COMPUTED_VALUE"""),"No")</f>
        <v>No</v>
      </c>
      <c r="I340" s="1" t="str">
        <f ca="1">IFERROR(__xludf.DUMMYFUNCTION("""COMPUTED_VALUE"""),"Will NOT work for them")</f>
        <v>Will NOT work for them</v>
      </c>
      <c r="J340" s="1">
        <f ca="1">IFERROR(__xludf.DUMMYFUNCTION("""COMPUTED_VALUE"""),5)</f>
        <v>5</v>
      </c>
      <c r="K340" s="1" t="str">
        <f ca="1">IFERROR(__xludf.DUMMYFUNCTION("""COMPUTED_VALUE"""),"Hybrid Working Environment with less than 15 days a month at office")</f>
        <v>Hybrid Working Environment with less than 15 days a month at office</v>
      </c>
      <c r="L340" s="1" t="str">
        <f ca="1">IFERROR(__xludf.DUMMYFUNCTION("""COMPUTED_VALUE"""),"Employer who pushes your limits by enabling an learning environment, and rewards you at the end")</f>
        <v>Employer who pushes your limits by enabling an learning environment, and rewards you at the end</v>
      </c>
      <c r="M34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340" s="4" t="s">
        <v>52</v>
      </c>
      <c r="O340" s="1" t="str">
        <f ca="1">IFERROR(__xludf.DUMMYFUNCTION("""COMPUTED_VALUE"""),"Manager who explains what is expected, sets a goal and helps achieve it")</f>
        <v>Manager who explains what is expected, sets a goal and helps achieve it</v>
      </c>
      <c r="P340" s="1" t="str">
        <f ca="1">IFERROR(__xludf.DUMMYFUNCTION("""COMPUTED_VALUE"""),"Work &lt;=6 People in the Team")</f>
        <v>Work &lt;=6 People in the Team</v>
      </c>
      <c r="Q340" s="1" t="s">
        <v>41</v>
      </c>
      <c r="R340" s="1"/>
    </row>
    <row r="341" spans="1:18" x14ac:dyDescent="0.25">
      <c r="A341" s="2">
        <f ca="1">IFERROR(__xludf.DUMMYFUNCTION("""COMPUTED_VALUE"""),44937.758060324)</f>
        <v>44937.758060323999</v>
      </c>
      <c r="B341" s="1" t="str">
        <f ca="1">IFERROR(__xludf.DUMMYFUNCTION("""COMPUTED_VALUE"""),"India")</f>
        <v>India</v>
      </c>
      <c r="C341" s="1">
        <f ca="1">IFERROR(__xludf.DUMMYFUNCTION("""COMPUTED_VALUE"""),457001)</f>
        <v>457001</v>
      </c>
      <c r="D341" s="1" t="str">
        <f ca="1">IFERROR(__xludf.DUMMYFUNCTION("""COMPUTED_VALUE"""),"Male")</f>
        <v>Male</v>
      </c>
      <c r="E341" s="1" t="str">
        <f ca="1">IFERROR(__xludf.DUMMYFUNCTION("""COMPUTED_VALUE"""),"People who have changed the world for better")</f>
        <v>People who have changed the world for better</v>
      </c>
      <c r="F341" s="1" t="str">
        <f ca="1">IFERROR(__xludf.DUMMYFUNCTION("""COMPUTED_VALUE"""),"Yes, I will earn and do that")</f>
        <v>Yes, I will earn and do that</v>
      </c>
      <c r="G341" s="1" t="str">
        <f ca="1">IFERROR(__xludf.DUMMYFUNCTION("""COMPUTED_VALUE"""),"Will work for 3 years or more")</f>
        <v>Will work for 3 years or more</v>
      </c>
      <c r="H341" s="1" t="str">
        <f ca="1">IFERROR(__xludf.DUMMYFUNCTION("""COMPUTED_VALUE"""),"Yes")</f>
        <v>Yes</v>
      </c>
      <c r="I341" s="1" t="str">
        <f ca="1">IFERROR(__xludf.DUMMYFUNCTION("""COMPUTED_VALUE"""),"Will work for them")</f>
        <v>Will work for them</v>
      </c>
      <c r="J341" s="1">
        <f ca="1">IFERROR(__xludf.DUMMYFUNCTION("""COMPUTED_VALUE"""),5)</f>
        <v>5</v>
      </c>
      <c r="K341" s="1" t="str">
        <f ca="1">IFERROR(__xludf.DUMMYFUNCTION("""COMPUTED_VALUE"""),"Fully Remote with Options to travel as and when needed")</f>
        <v>Fully Remote with Options to travel as and when needed</v>
      </c>
      <c r="L341" s="1" t="str">
        <f ca="1">IFERROR(__xludf.DUMMYFUNCTION("""COMPUTED_VALUE"""),"Employer who appreciates learning and enables that environment")</f>
        <v>Employer who appreciates learning and enables that environment</v>
      </c>
      <c r="M341"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341" s="4" t="s">
        <v>50</v>
      </c>
      <c r="O341" s="1" t="str">
        <f ca="1">IFERROR(__xludf.DUMMYFUNCTION("""COMPUTED_VALUE"""),"Manager who sets goal and helps me achieve it")</f>
        <v>Manager who sets goal and helps me achieve it</v>
      </c>
      <c r="P341" s="1" t="str">
        <f ca="1">IFERROR(__xludf.DUMMYFUNCTION("""COMPUTED_VALUE"""),"Work &gt;10 people in Team")</f>
        <v>Work &gt;10 people in Team</v>
      </c>
      <c r="Q341" s="1" t="s">
        <v>41</v>
      </c>
      <c r="R341" s="1"/>
    </row>
    <row r="342" spans="1:18" x14ac:dyDescent="0.25">
      <c r="A342" s="2">
        <f ca="1">IFERROR(__xludf.DUMMYFUNCTION("""COMPUTED_VALUE"""),44937.8912260532)</f>
        <v>44937.891226053202</v>
      </c>
      <c r="B342" s="1" t="str">
        <f ca="1">IFERROR(__xludf.DUMMYFUNCTION("""COMPUTED_VALUE"""),"India")</f>
        <v>India</v>
      </c>
      <c r="C342" s="1">
        <f ca="1">IFERROR(__xludf.DUMMYFUNCTION("""COMPUTED_VALUE"""),560010)</f>
        <v>560010</v>
      </c>
      <c r="D342" s="1" t="str">
        <f ca="1">IFERROR(__xludf.DUMMYFUNCTION("""COMPUTED_VALUE"""),"Female")</f>
        <v>Female</v>
      </c>
      <c r="E342" s="1" t="str">
        <f ca="1">IFERROR(__xludf.DUMMYFUNCTION("""COMPUTED_VALUE"""),"My Parents")</f>
        <v>My Parents</v>
      </c>
      <c r="F342" s="1" t="str">
        <f ca="1">IFERROR(__xludf.DUMMYFUNCTION("""COMPUTED_VALUE"""),"No I would not be pursuing Higher Education outside of India")</f>
        <v>No I would not be pursuing Higher Education outside of India</v>
      </c>
      <c r="G342" s="1" t="str">
        <f ca="1">IFERROR(__xludf.DUMMYFUNCTION("""COMPUTED_VALUE"""),"This will be hard to do, but if it is the right company I would try")</f>
        <v>This will be hard to do, but if it is the right company I would try</v>
      </c>
      <c r="H342" s="1" t="str">
        <f ca="1">IFERROR(__xludf.DUMMYFUNCTION("""COMPUTED_VALUE"""),"No")</f>
        <v>No</v>
      </c>
      <c r="I342" s="1" t="str">
        <f ca="1">IFERROR(__xludf.DUMMYFUNCTION("""COMPUTED_VALUE"""),"Will NOT work for them")</f>
        <v>Will NOT work for them</v>
      </c>
      <c r="J342" s="1">
        <f ca="1">IFERROR(__xludf.DUMMYFUNCTION("""COMPUTED_VALUE"""),8)</f>
        <v>8</v>
      </c>
      <c r="K342" s="1" t="str">
        <f ca="1">IFERROR(__xludf.DUMMYFUNCTION("""COMPUTED_VALUE"""),"Every Day Office Environment")</f>
        <v>Every Day Office Environment</v>
      </c>
      <c r="L342" s="1" t="str">
        <f ca="1">IFERROR(__xludf.DUMMYFUNCTION("""COMPUTED_VALUE"""),"Employer who appreciates learning and enables that environment")</f>
        <v>Employer who appreciates learning and enables that environment</v>
      </c>
      <c r="M34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342" s="4" t="s">
        <v>51</v>
      </c>
      <c r="O342" s="1" t="str">
        <f ca="1">IFERROR(__xludf.DUMMYFUNCTION("""COMPUTED_VALUE"""),"Manager who sets goal and helps me achieve it")</f>
        <v>Manager who sets goal and helps me achieve it</v>
      </c>
      <c r="P342" s="1" t="str">
        <f ca="1">IFERROR(__xludf.DUMMYFUNCTION("""COMPUTED_VALUE"""),"Work &lt;=6 People in the Team")</f>
        <v>Work &lt;=6 People in the Team</v>
      </c>
      <c r="Q342" s="1" t="s">
        <v>40</v>
      </c>
      <c r="R342" s="1"/>
    </row>
    <row r="343" spans="1:18" x14ac:dyDescent="0.25">
      <c r="A343" s="2">
        <f ca="1">IFERROR(__xludf.DUMMYFUNCTION("""COMPUTED_VALUE"""),44937.891986655)</f>
        <v>44937.891986654999</v>
      </c>
      <c r="B343" s="1" t="str">
        <f ca="1">IFERROR(__xludf.DUMMYFUNCTION("""COMPUTED_VALUE"""),"India")</f>
        <v>India</v>
      </c>
      <c r="C343" s="1">
        <f ca="1">IFERROR(__xludf.DUMMYFUNCTION("""COMPUTED_VALUE"""),411048)</f>
        <v>411048</v>
      </c>
      <c r="D343" s="1" t="str">
        <f ca="1">IFERROR(__xludf.DUMMYFUNCTION("""COMPUTED_VALUE"""),"Male")</f>
        <v>Male</v>
      </c>
      <c r="E343" s="1" t="str">
        <f ca="1">IFERROR(__xludf.DUMMYFUNCTION("""COMPUTED_VALUE"""),"Social Media like LinkedIn")</f>
        <v>Social Media like LinkedIn</v>
      </c>
      <c r="F343" s="1" t="str">
        <f ca="1">IFERROR(__xludf.DUMMYFUNCTION("""COMPUTED_VALUE"""),"No, But if someone could bare the cost I will")</f>
        <v>No, But if someone could bare the cost I will</v>
      </c>
      <c r="G343" s="1" t="str">
        <f ca="1">IFERROR(__xludf.DUMMYFUNCTION("""COMPUTED_VALUE"""),"This will be hard to do, but if it is the right company I would try")</f>
        <v>This will be hard to do, but if it is the right company I would try</v>
      </c>
      <c r="H343" s="1" t="str">
        <f ca="1">IFERROR(__xludf.DUMMYFUNCTION("""COMPUTED_VALUE"""),"No")</f>
        <v>No</v>
      </c>
      <c r="I343" s="1" t="str">
        <f ca="1">IFERROR(__xludf.DUMMYFUNCTION("""COMPUTED_VALUE"""),"Will NOT work for them")</f>
        <v>Will NOT work for them</v>
      </c>
      <c r="J343" s="1">
        <f ca="1">IFERROR(__xludf.DUMMYFUNCTION("""COMPUTED_VALUE"""),7)</f>
        <v>7</v>
      </c>
      <c r="K343" s="1" t="str">
        <f ca="1">IFERROR(__xludf.DUMMYFUNCTION("""COMPUTED_VALUE"""),"Hybrid Working Environment with less than 3 days a month at office")</f>
        <v>Hybrid Working Environment with less than 3 days a month at office</v>
      </c>
      <c r="L343" s="1" t="str">
        <f ca="1">IFERROR(__xludf.DUMMYFUNCTION("""COMPUTED_VALUE"""),"Employer who pushes your limits by enabling an learning environment, and rewards you at the end")</f>
        <v>Employer who pushes your limits by enabling an learning environment, and rewards you at the end</v>
      </c>
      <c r="M34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343" s="4" t="s">
        <v>48</v>
      </c>
      <c r="O343" s="1" t="str">
        <f ca="1">IFERROR(__xludf.DUMMYFUNCTION("""COMPUTED_VALUE"""),"Manager who explains what is expected, sets a goal and helps achieve it")</f>
        <v>Manager who explains what is expected, sets a goal and helps achieve it</v>
      </c>
      <c r="P343" s="1" t="str">
        <f ca="1">IFERROR(__xludf.DUMMYFUNCTION("""COMPUTED_VALUE"""),"Work &gt;10 people in Team")</f>
        <v>Work &gt;10 people in Team</v>
      </c>
      <c r="Q343" s="1" t="s">
        <v>40</v>
      </c>
      <c r="R343" s="1"/>
    </row>
    <row r="344" spans="1:18" x14ac:dyDescent="0.25">
      <c r="A344" s="2">
        <f ca="1">IFERROR(__xludf.DUMMYFUNCTION("""COMPUTED_VALUE"""),44938.0538303125)</f>
        <v>44938.053830312499</v>
      </c>
      <c r="B344" s="1" t="str">
        <f ca="1">IFERROR(__xludf.DUMMYFUNCTION("""COMPUTED_VALUE"""),"India")</f>
        <v>India</v>
      </c>
      <c r="C344" s="1">
        <f ca="1">IFERROR(__xludf.DUMMYFUNCTION("""COMPUTED_VALUE"""),283203)</f>
        <v>283203</v>
      </c>
      <c r="D344" s="1" t="str">
        <f ca="1">IFERROR(__xludf.DUMMYFUNCTION("""COMPUTED_VALUE"""),"Female")</f>
        <v>Female</v>
      </c>
      <c r="E344" s="1" t="str">
        <f ca="1">IFERROR(__xludf.DUMMYFUNCTION("""COMPUTED_VALUE"""),"My Parents")</f>
        <v>My Parents</v>
      </c>
      <c r="F344" s="1" t="str">
        <f ca="1">IFERROR(__xludf.DUMMYFUNCTION("""COMPUTED_VALUE"""),"Yes, I will earn and do that")</f>
        <v>Yes, I will earn and do that</v>
      </c>
      <c r="G344" s="1" t="str">
        <f ca="1">IFERROR(__xludf.DUMMYFUNCTION("""COMPUTED_VALUE"""),"This will be hard to do, but if it is the right company I would try")</f>
        <v>This will be hard to do, but if it is the right company I would try</v>
      </c>
      <c r="H344" s="1" t="str">
        <f ca="1">IFERROR(__xludf.DUMMYFUNCTION("""COMPUTED_VALUE"""),"Yes")</f>
        <v>Yes</v>
      </c>
      <c r="I344" s="1" t="str">
        <f ca="1">IFERROR(__xludf.DUMMYFUNCTION("""COMPUTED_VALUE"""),"Will NOT work for them")</f>
        <v>Will NOT work for them</v>
      </c>
      <c r="J344" s="1">
        <f ca="1">IFERROR(__xludf.DUMMYFUNCTION("""COMPUTED_VALUE"""),8)</f>
        <v>8</v>
      </c>
      <c r="K344" s="1" t="str">
        <f ca="1">IFERROR(__xludf.DUMMYFUNCTION("""COMPUTED_VALUE"""),"Hybrid Working Environment with less than 10 days a month at office")</f>
        <v>Hybrid Working Environment with less than 10 days a month at office</v>
      </c>
      <c r="L344" s="1" t="str">
        <f ca="1">IFERROR(__xludf.DUMMYFUNCTION("""COMPUTED_VALUE"""),"Employer who pushes your limits by enabling an learning environment, and rewards you at the end")</f>
        <v>Employer who pushes your limits by enabling an learning environment, and rewards you at the end</v>
      </c>
      <c r="M3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344" s="4" t="s">
        <v>52</v>
      </c>
      <c r="O344" s="1" t="str">
        <f ca="1">IFERROR(__xludf.DUMMYFUNCTION("""COMPUTED_VALUE"""),"Manager who explains what is expected, sets a goal and helps achieve it")</f>
        <v>Manager who explains what is expected, sets a goal and helps achieve it</v>
      </c>
      <c r="P344" s="1" t="str">
        <f ca="1">IFERROR(__xludf.DUMMYFUNCTION("""COMPUTED_VALUE"""),"Work &lt;=6 People in the Team")</f>
        <v>Work &lt;=6 People in the Team</v>
      </c>
      <c r="Q344" s="1" t="s">
        <v>40</v>
      </c>
      <c r="R344" s="1"/>
    </row>
    <row r="345" spans="1:18" x14ac:dyDescent="0.25">
      <c r="A345" s="2">
        <f ca="1">IFERROR(__xludf.DUMMYFUNCTION("""COMPUTED_VALUE"""),44938.4051238078)</f>
        <v>44938.405123807803</v>
      </c>
      <c r="B345" s="1" t="str">
        <f ca="1">IFERROR(__xludf.DUMMYFUNCTION("""COMPUTED_VALUE"""),"India")</f>
        <v>India</v>
      </c>
      <c r="C345" s="1">
        <f ca="1">IFERROR(__xludf.DUMMYFUNCTION("""COMPUTED_VALUE"""),206001)</f>
        <v>206001</v>
      </c>
      <c r="D345" s="1" t="str">
        <f ca="1">IFERROR(__xludf.DUMMYFUNCTION("""COMPUTED_VALUE"""),"Male")</f>
        <v>Male</v>
      </c>
      <c r="E345" s="1" t="str">
        <f ca="1">IFERROR(__xludf.DUMMYFUNCTION("""COMPUTED_VALUE"""),"Influencers who had successful careers")</f>
        <v>Influencers who had successful careers</v>
      </c>
      <c r="F345" s="1" t="str">
        <f ca="1">IFERROR(__xludf.DUMMYFUNCTION("""COMPUTED_VALUE"""),"Yes, I will earn and do that")</f>
        <v>Yes, I will earn and do that</v>
      </c>
      <c r="G345" s="1" t="str">
        <f ca="1">IFERROR(__xludf.DUMMYFUNCTION("""COMPUTED_VALUE"""),"This will be hard to do, but if it is the right company I would try")</f>
        <v>This will be hard to do, but if it is the right company I would try</v>
      </c>
      <c r="H345" s="1" t="str">
        <f ca="1">IFERROR(__xludf.DUMMYFUNCTION("""COMPUTED_VALUE"""),"No")</f>
        <v>No</v>
      </c>
      <c r="I345" s="1" t="str">
        <f ca="1">IFERROR(__xludf.DUMMYFUNCTION("""COMPUTED_VALUE"""),"Will NOT work for them")</f>
        <v>Will NOT work for them</v>
      </c>
      <c r="J345" s="1">
        <f ca="1">IFERROR(__xludf.DUMMYFUNCTION("""COMPUTED_VALUE"""),6)</f>
        <v>6</v>
      </c>
      <c r="K345" s="1" t="str">
        <f ca="1">IFERROR(__xludf.DUMMYFUNCTION("""COMPUTED_VALUE"""),"Fully Remote with Options to travel as and when needed")</f>
        <v>Fully Remote with Options to travel as and when needed</v>
      </c>
      <c r="L345" s="1" t="str">
        <f ca="1">IFERROR(__xludf.DUMMYFUNCTION("""COMPUTED_VALUE"""),"Employer who pushes your limits by enabling an learning environment, and rewards you at the end")</f>
        <v>Employer who pushes your limits by enabling an learning environment, and rewards you at the end</v>
      </c>
      <c r="M34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45" s="4" t="s">
        <v>50</v>
      </c>
      <c r="O345" s="1" t="str">
        <f ca="1">IFERROR(__xludf.DUMMYFUNCTION("""COMPUTED_VALUE"""),"Manager who explains what is expected, sets a goal and helps achieve it")</f>
        <v>Manager who explains what is expected, sets a goal and helps achieve it</v>
      </c>
      <c r="P345" s="1" t="str">
        <f ca="1">IFERROR(__xludf.DUMMYFUNCTION("""COMPUTED_VALUE"""),"Work &lt;=6 People in the Team")</f>
        <v>Work &lt;=6 People in the Team</v>
      </c>
      <c r="Q345" s="1" t="s">
        <v>40</v>
      </c>
      <c r="R345" s="1"/>
    </row>
    <row r="346" spans="1:18" x14ac:dyDescent="0.25">
      <c r="A346" s="2">
        <f ca="1">IFERROR(__xludf.DUMMYFUNCTION("""COMPUTED_VALUE"""),44938.8226759259)</f>
        <v>44938.822675925898</v>
      </c>
      <c r="B346" s="1" t="str">
        <f ca="1">IFERROR(__xludf.DUMMYFUNCTION("""COMPUTED_VALUE"""),"India")</f>
        <v>India</v>
      </c>
      <c r="C346" s="1">
        <f ca="1">IFERROR(__xludf.DUMMYFUNCTION("""COMPUTED_VALUE"""),412308)</f>
        <v>412308</v>
      </c>
      <c r="D346" s="1" t="str">
        <f ca="1">IFERROR(__xludf.DUMMYFUNCTION("""COMPUTED_VALUE"""),"Male")</f>
        <v>Male</v>
      </c>
      <c r="E346" s="1" t="str">
        <f ca="1">IFERROR(__xludf.DUMMYFUNCTION("""COMPUTED_VALUE"""),"Influencers who had successful careers")</f>
        <v>Influencers who had successful careers</v>
      </c>
      <c r="F346" s="1" t="str">
        <f ca="1">IFERROR(__xludf.DUMMYFUNCTION("""COMPUTED_VALUE"""),"Yes, I will earn and do that")</f>
        <v>Yes, I will earn and do that</v>
      </c>
      <c r="G346" s="1" t="str">
        <f ca="1">IFERROR(__xludf.DUMMYFUNCTION("""COMPUTED_VALUE"""),"Will work for 3 years or more")</f>
        <v>Will work for 3 years or more</v>
      </c>
      <c r="H346" s="1" t="str">
        <f ca="1">IFERROR(__xludf.DUMMYFUNCTION("""COMPUTED_VALUE"""),"No")</f>
        <v>No</v>
      </c>
      <c r="I346" s="1" t="str">
        <f ca="1">IFERROR(__xludf.DUMMYFUNCTION("""COMPUTED_VALUE"""),"Will NOT work for them")</f>
        <v>Will NOT work for them</v>
      </c>
      <c r="J346" s="1">
        <f ca="1">IFERROR(__xludf.DUMMYFUNCTION("""COMPUTED_VALUE"""),10)</f>
        <v>10</v>
      </c>
      <c r="K346" s="1" t="str">
        <f ca="1">IFERROR(__xludf.DUMMYFUNCTION("""COMPUTED_VALUE"""),"Hybrid Working Environment with less than 10 days a month at office")</f>
        <v>Hybrid Working Environment with less than 10 days a month at office</v>
      </c>
      <c r="L346" s="1" t="str">
        <f ca="1">IFERROR(__xludf.DUMMYFUNCTION("""COMPUTED_VALUE"""),"Employer who pushes your limits by enabling an learning environment, and rewards you at the end")</f>
        <v>Employer who pushes your limits by enabling an learning environment, and rewards you at the end</v>
      </c>
      <c r="M346"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N346" s="4" t="s">
        <v>55</v>
      </c>
      <c r="O346" s="1" t="str">
        <f ca="1">IFERROR(__xludf.DUMMYFUNCTION("""COMPUTED_VALUE"""),"Manager who explains what is expected, sets a goal and helps achieve it")</f>
        <v>Manager who explains what is expected, sets a goal and helps achieve it</v>
      </c>
      <c r="P346" s="1" t="str">
        <f ca="1">IFERROR(__xludf.DUMMYFUNCTION("""COMPUTED_VALUE"""),"Work &lt;=6 People in the Team")</f>
        <v>Work &lt;=6 People in the Team</v>
      </c>
      <c r="Q346" s="1" t="s">
        <v>41</v>
      </c>
      <c r="R346" s="1"/>
    </row>
    <row r="347" spans="1:18" x14ac:dyDescent="0.25">
      <c r="A347" s="2">
        <f ca="1">IFERROR(__xludf.DUMMYFUNCTION("""COMPUTED_VALUE"""),44938.8339716319)</f>
        <v>44938.833971631902</v>
      </c>
      <c r="B347" s="1" t="str">
        <f ca="1">IFERROR(__xludf.DUMMYFUNCTION("""COMPUTED_VALUE"""),"India")</f>
        <v>India</v>
      </c>
      <c r="C347" s="1">
        <f ca="1">IFERROR(__xludf.DUMMYFUNCTION("""COMPUTED_VALUE"""),457001)</f>
        <v>457001</v>
      </c>
      <c r="D347" s="1" t="str">
        <f ca="1">IFERROR(__xludf.DUMMYFUNCTION("""COMPUTED_VALUE"""),"Female")</f>
        <v>Female</v>
      </c>
      <c r="E347" s="1" t="str">
        <f ca="1">IFERROR(__xludf.DUMMYFUNCTION("""COMPUTED_VALUE"""),"Influencers who had successful careers")</f>
        <v>Influencers who had successful careers</v>
      </c>
      <c r="F347" s="1" t="str">
        <f ca="1">IFERROR(__xludf.DUMMYFUNCTION("""COMPUTED_VALUE"""),"No I would not be pursuing Higher Education outside of India")</f>
        <v>No I would not be pursuing Higher Education outside of India</v>
      </c>
      <c r="G347" s="1" t="str">
        <f ca="1">IFERROR(__xludf.DUMMYFUNCTION("""COMPUTED_VALUE"""),"This will be hard to do, but if it is the right company I would try")</f>
        <v>This will be hard to do, but if it is the right company I would try</v>
      </c>
      <c r="H347" s="1" t="str">
        <f ca="1">IFERROR(__xludf.DUMMYFUNCTION("""COMPUTED_VALUE"""),"No")</f>
        <v>No</v>
      </c>
      <c r="I347" s="1" t="str">
        <f ca="1">IFERROR(__xludf.DUMMYFUNCTION("""COMPUTED_VALUE"""),"Will NOT work for them")</f>
        <v>Will NOT work for them</v>
      </c>
      <c r="J347" s="1">
        <f ca="1">IFERROR(__xludf.DUMMYFUNCTION("""COMPUTED_VALUE"""),4)</f>
        <v>4</v>
      </c>
      <c r="K347" s="1" t="str">
        <f ca="1">IFERROR(__xludf.DUMMYFUNCTION("""COMPUTED_VALUE"""),"Hybrid Working Environment with less than 10 days a month at office")</f>
        <v>Hybrid Working Environment with less than 10 days a month at office</v>
      </c>
      <c r="L347" s="1" t="str">
        <f ca="1">IFERROR(__xludf.DUMMYFUNCTION("""COMPUTED_VALUE"""),"Employer who pushes your limits by enabling an learning environment, and rewards you at the end")</f>
        <v>Employer who pushes your limits by enabling an learning environment, and rewards you at the end</v>
      </c>
      <c r="M34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N347" s="4" t="s">
        <v>50</v>
      </c>
      <c r="O347" s="1" t="str">
        <f ca="1">IFERROR(__xludf.DUMMYFUNCTION("""COMPUTED_VALUE"""),"Manager who explains what is expected, sets a goal and helps achieve it")</f>
        <v>Manager who explains what is expected, sets a goal and helps achieve it</v>
      </c>
      <c r="P347" s="1" t="str">
        <f ca="1">IFERROR(__xludf.DUMMYFUNCTION("""COMPUTED_VALUE"""),"Work &lt;=6 People in the Team")</f>
        <v>Work &lt;=6 People in the Team</v>
      </c>
      <c r="Q347" s="1" t="s">
        <v>41</v>
      </c>
      <c r="R347" s="1"/>
    </row>
    <row r="348" spans="1:18" x14ac:dyDescent="0.25">
      <c r="A348" s="2">
        <f ca="1">IFERROR(__xludf.DUMMYFUNCTION("""COMPUTED_VALUE"""),44938.8532356018)</f>
        <v>44938.853235601797</v>
      </c>
      <c r="B348" s="1" t="str">
        <f ca="1">IFERROR(__xludf.DUMMYFUNCTION("""COMPUTED_VALUE"""),"India")</f>
        <v>India</v>
      </c>
      <c r="C348" s="1">
        <f ca="1">IFERROR(__xludf.DUMMYFUNCTION("""COMPUTED_VALUE"""),560067)</f>
        <v>560067</v>
      </c>
      <c r="D348" s="1" t="str">
        <f ca="1">IFERROR(__xludf.DUMMYFUNCTION("""COMPUTED_VALUE"""),"Male")</f>
        <v>Male</v>
      </c>
      <c r="E348" s="1" t="str">
        <f ca="1">IFERROR(__xludf.DUMMYFUNCTION("""COMPUTED_VALUE"""),"People from my circle, but not family members")</f>
        <v>People from my circle, but not family members</v>
      </c>
      <c r="F348" s="1" t="str">
        <f ca="1">IFERROR(__xludf.DUMMYFUNCTION("""COMPUTED_VALUE"""),"No I would not be pursuing Higher Education outside of India")</f>
        <v>No I would not be pursuing Higher Education outside of India</v>
      </c>
      <c r="G348" s="1" t="str">
        <f ca="1">IFERROR(__xludf.DUMMYFUNCTION("""COMPUTED_VALUE"""),"Will work for 3 years or more")</f>
        <v>Will work for 3 years or more</v>
      </c>
      <c r="H348" s="1" t="str">
        <f ca="1">IFERROR(__xludf.DUMMYFUNCTION("""COMPUTED_VALUE"""),"No")</f>
        <v>No</v>
      </c>
      <c r="I348" s="1" t="str">
        <f ca="1">IFERROR(__xludf.DUMMYFUNCTION("""COMPUTED_VALUE"""),"Will NOT work for them")</f>
        <v>Will NOT work for them</v>
      </c>
      <c r="J348" s="1">
        <f ca="1">IFERROR(__xludf.DUMMYFUNCTION("""COMPUTED_VALUE"""),5)</f>
        <v>5</v>
      </c>
      <c r="K348" s="1" t="str">
        <f ca="1">IFERROR(__xludf.DUMMYFUNCTION("""COMPUTED_VALUE"""),"Fully Remote with Options to travel as and when needed")</f>
        <v>Fully Remote with Options to travel as and when needed</v>
      </c>
      <c r="L348" s="1" t="str">
        <f ca="1">IFERROR(__xludf.DUMMYFUNCTION("""COMPUTED_VALUE"""),"Employer who pushes your limits by enabling an learning environment, and rewards you at the end")</f>
        <v>Employer who pushes your limits by enabling an learning environment, and rewards you at the end</v>
      </c>
      <c r="M348"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N348" s="4" t="s">
        <v>55</v>
      </c>
      <c r="O348" s="1" t="str">
        <f ca="1">IFERROR(__xludf.DUMMYFUNCTION("""COMPUTED_VALUE"""),"Manager who explains what is expected, sets a goal and helps achieve it")</f>
        <v>Manager who explains what is expected, sets a goal and helps achieve it</v>
      </c>
      <c r="P348" s="1" t="str">
        <f ca="1">IFERROR(__xludf.DUMMYFUNCTION("""COMPUTED_VALUE"""),"Work  &lt;67 people in team")</f>
        <v>Work  &lt;67 people in team</v>
      </c>
      <c r="Q348" s="1" t="s">
        <v>41</v>
      </c>
      <c r="R348" s="1"/>
    </row>
    <row r="349" spans="1:18" x14ac:dyDescent="0.25">
      <c r="A349" s="2">
        <f ca="1">IFERROR(__xludf.DUMMYFUNCTION("""COMPUTED_VALUE"""),44938.9027559722)</f>
        <v>44938.902755972202</v>
      </c>
      <c r="B349" s="1" t="str">
        <f ca="1">IFERROR(__xludf.DUMMYFUNCTION("""COMPUTED_VALUE"""),"India")</f>
        <v>India</v>
      </c>
      <c r="C349" s="1">
        <f ca="1">IFERROR(__xludf.DUMMYFUNCTION("""COMPUTED_VALUE"""),560010)</f>
        <v>560010</v>
      </c>
      <c r="D349" s="1" t="str">
        <f ca="1">IFERROR(__xludf.DUMMYFUNCTION("""COMPUTED_VALUE"""),"Male")</f>
        <v>Male</v>
      </c>
      <c r="E349" s="1" t="str">
        <f ca="1">IFERROR(__xludf.DUMMYFUNCTION("""COMPUTED_VALUE"""),"My Parents")</f>
        <v>My Parents</v>
      </c>
      <c r="F349" s="1" t="str">
        <f ca="1">IFERROR(__xludf.DUMMYFUNCTION("""COMPUTED_VALUE"""),"No, But if someone could bare the cost I will")</f>
        <v>No, But if someone could bare the cost I will</v>
      </c>
      <c r="G349" s="1" t="str">
        <f ca="1">IFERROR(__xludf.DUMMYFUNCTION("""COMPUTED_VALUE"""),"Will work for 3 years or more")</f>
        <v>Will work for 3 years or more</v>
      </c>
      <c r="H349" s="1" t="str">
        <f ca="1">IFERROR(__xludf.DUMMYFUNCTION("""COMPUTED_VALUE"""),"No")</f>
        <v>No</v>
      </c>
      <c r="I349" s="1" t="str">
        <f ca="1">IFERROR(__xludf.DUMMYFUNCTION("""COMPUTED_VALUE"""),"Will work for them")</f>
        <v>Will work for them</v>
      </c>
      <c r="J349" s="1">
        <f ca="1">IFERROR(__xludf.DUMMYFUNCTION("""COMPUTED_VALUE"""),6)</f>
        <v>6</v>
      </c>
      <c r="K349" s="1" t="str">
        <f ca="1">IFERROR(__xludf.DUMMYFUNCTION("""COMPUTED_VALUE"""),"Hybrid Working Environment with less than 3 days a month at office")</f>
        <v>Hybrid Working Environment with less than 3 days a month at office</v>
      </c>
      <c r="L349" s="1" t="str">
        <f ca="1">IFERROR(__xludf.DUMMYFUNCTION("""COMPUTED_VALUE"""),"Employer who appreciates learning and enables that environment")</f>
        <v>Employer who appreciates learning and enables that environment</v>
      </c>
      <c r="M34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N349" s="4" t="s">
        <v>50</v>
      </c>
      <c r="O349" s="1" t="str">
        <f ca="1">IFERROR(__xludf.DUMMYFUNCTION("""COMPUTED_VALUE"""),"Manager who sets goal and helps me achieve it")</f>
        <v>Manager who sets goal and helps me achieve it</v>
      </c>
      <c r="P349" s="1" t="str">
        <f ca="1">IFERROR(__xludf.DUMMYFUNCTION("""COMPUTED_VALUE"""),"Work &lt;=6 People in the Team")</f>
        <v>Work &lt;=6 People in the Team</v>
      </c>
      <c r="Q349" s="1" t="s">
        <v>41</v>
      </c>
      <c r="R349" s="1"/>
    </row>
    <row r="350" spans="1:18" x14ac:dyDescent="0.25">
      <c r="A350" s="2">
        <f ca="1">IFERROR(__xludf.DUMMYFUNCTION("""COMPUTED_VALUE"""),44939.3858035069)</f>
        <v>44939.385803506899</v>
      </c>
      <c r="B350" s="1" t="str">
        <f ca="1">IFERROR(__xludf.DUMMYFUNCTION("""COMPUTED_VALUE"""),"India")</f>
        <v>India</v>
      </c>
      <c r="C350" s="1">
        <f ca="1">IFERROR(__xludf.DUMMYFUNCTION("""COMPUTED_VALUE"""),641602)</f>
        <v>641602</v>
      </c>
      <c r="D350" s="1" t="str">
        <f ca="1">IFERROR(__xludf.DUMMYFUNCTION("""COMPUTED_VALUE"""),"Male")</f>
        <v>Male</v>
      </c>
      <c r="E350" s="1" t="str">
        <f ca="1">IFERROR(__xludf.DUMMYFUNCTION("""COMPUTED_VALUE"""),"People who have changed the world for better")</f>
        <v>People who have changed the world for better</v>
      </c>
      <c r="F350" s="1" t="str">
        <f ca="1">IFERROR(__xludf.DUMMYFUNCTION("""COMPUTED_VALUE"""),"No I would not be pursuing Higher Education outside of India")</f>
        <v>No I would not be pursuing Higher Education outside of India</v>
      </c>
      <c r="G350" s="1" t="str">
        <f ca="1">IFERROR(__xludf.DUMMYFUNCTION("""COMPUTED_VALUE"""),"This will be hard to do, but if it is the right company I would try")</f>
        <v>This will be hard to do, but if it is the right company I would try</v>
      </c>
      <c r="H350" s="1" t="str">
        <f ca="1">IFERROR(__xludf.DUMMYFUNCTION("""COMPUTED_VALUE"""),"No")</f>
        <v>No</v>
      </c>
      <c r="I350" s="1" t="str">
        <f ca="1">IFERROR(__xludf.DUMMYFUNCTION("""COMPUTED_VALUE"""),"Will NOT work for them")</f>
        <v>Will NOT work for them</v>
      </c>
      <c r="J350" s="1">
        <f ca="1">IFERROR(__xludf.DUMMYFUNCTION("""COMPUTED_VALUE"""),8)</f>
        <v>8</v>
      </c>
      <c r="K350" s="1" t="str">
        <f ca="1">IFERROR(__xludf.DUMMYFUNCTION("""COMPUTED_VALUE"""),"Hybrid Working Environment with less than 15 days a month at office")</f>
        <v>Hybrid Working Environment with less than 15 days a month at office</v>
      </c>
      <c r="L350" s="1" t="str">
        <f ca="1">IFERROR(__xludf.DUMMYFUNCTION("""COMPUTED_VALUE"""),"Employer who rewards learning and enables that environment")</f>
        <v>Employer who rewards learning and enables that environment</v>
      </c>
      <c r="M350"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N350" s="4" t="s">
        <v>50</v>
      </c>
      <c r="O350" s="1" t="str">
        <f ca="1">IFERROR(__xludf.DUMMYFUNCTION("""COMPUTED_VALUE"""),"Manager who sets goal and helps me achieve it")</f>
        <v>Manager who sets goal and helps me achieve it</v>
      </c>
      <c r="P350" s="1" t="str">
        <f ca="1">IFERROR(__xludf.DUMMYFUNCTION("""COMPUTED_VALUE"""),"Work &gt;10 people in Team")</f>
        <v>Work &gt;10 people in Team</v>
      </c>
      <c r="Q350" s="1" t="s">
        <v>41</v>
      </c>
      <c r="R350" s="1"/>
    </row>
    <row r="351" spans="1:18" x14ac:dyDescent="0.25">
      <c r="A351" s="2">
        <f ca="1">IFERROR(__xludf.DUMMYFUNCTION("""COMPUTED_VALUE"""),44939.4151089236)</f>
        <v>44939.415108923597</v>
      </c>
      <c r="B351" s="1" t="str">
        <f ca="1">IFERROR(__xludf.DUMMYFUNCTION("""COMPUTED_VALUE"""),"India")</f>
        <v>India</v>
      </c>
      <c r="C351" s="1">
        <f ca="1">IFERROR(__xludf.DUMMYFUNCTION("""COMPUTED_VALUE"""),457001)</f>
        <v>457001</v>
      </c>
      <c r="D351" s="1" t="str">
        <f ca="1">IFERROR(__xludf.DUMMYFUNCTION("""COMPUTED_VALUE"""),"Male")</f>
        <v>Male</v>
      </c>
      <c r="E351" s="1" t="str">
        <f ca="1">IFERROR(__xludf.DUMMYFUNCTION("""COMPUTED_VALUE"""),"Social Media like LinkedIn")</f>
        <v>Social Media like LinkedIn</v>
      </c>
      <c r="F351" s="1" t="str">
        <f ca="1">IFERROR(__xludf.DUMMYFUNCTION("""COMPUTED_VALUE"""),"Yes, I will earn and do that")</f>
        <v>Yes, I will earn and do that</v>
      </c>
      <c r="G351" s="1" t="str">
        <f ca="1">IFERROR(__xludf.DUMMYFUNCTION("""COMPUTED_VALUE"""),"This will be hard to do, but if it is the right company I would try")</f>
        <v>This will be hard to do, but if it is the right company I would try</v>
      </c>
      <c r="H351" s="1" t="str">
        <f ca="1">IFERROR(__xludf.DUMMYFUNCTION("""COMPUTED_VALUE"""),"No")</f>
        <v>No</v>
      </c>
      <c r="I351" s="1" t="str">
        <f ca="1">IFERROR(__xludf.DUMMYFUNCTION("""COMPUTED_VALUE"""),"Will NOT work for them")</f>
        <v>Will NOT work for them</v>
      </c>
      <c r="J351" s="1">
        <f ca="1">IFERROR(__xludf.DUMMYFUNCTION("""COMPUTED_VALUE"""),4)</f>
        <v>4</v>
      </c>
      <c r="K351" s="1" t="str">
        <f ca="1">IFERROR(__xludf.DUMMYFUNCTION("""COMPUTED_VALUE"""),"Hybrid Working Environment with less than 15 days a month at office")</f>
        <v>Hybrid Working Environment with less than 15 days a month at office</v>
      </c>
      <c r="L351" s="1" t="str">
        <f ca="1">IFERROR(__xludf.DUMMYFUNCTION("""COMPUTED_VALUE"""),"Employer who pushes your limits by enabling an learning environment, and rewards you at the end")</f>
        <v>Employer who pushes your limits by enabling an learning environment, and rewards you at the end</v>
      </c>
      <c r="M351"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351" s="4" t="s">
        <v>52</v>
      </c>
      <c r="O351" s="1" t="str">
        <f ca="1">IFERROR(__xludf.DUMMYFUNCTION("""COMPUTED_VALUE"""),"Manager who explains what is expected, sets a goal and helps achieve it")</f>
        <v>Manager who explains what is expected, sets a goal and helps achieve it</v>
      </c>
      <c r="P351" s="1" t="str">
        <f ca="1">IFERROR(__xludf.DUMMYFUNCTION("""COMPUTED_VALUE"""),"Work &lt;=6 People in the Team")</f>
        <v>Work &lt;=6 People in the Team</v>
      </c>
      <c r="Q351" s="1" t="s">
        <v>40</v>
      </c>
      <c r="R351" s="1"/>
    </row>
    <row r="352" spans="1:18" x14ac:dyDescent="0.25">
      <c r="A352" s="2">
        <f ca="1">IFERROR(__xludf.DUMMYFUNCTION("""COMPUTED_VALUE"""),44939.451500706)</f>
        <v>44939.451500706004</v>
      </c>
      <c r="B352" s="1" t="str">
        <f ca="1">IFERROR(__xludf.DUMMYFUNCTION("""COMPUTED_VALUE"""),"India")</f>
        <v>India</v>
      </c>
      <c r="C352" s="1">
        <f ca="1">IFERROR(__xludf.DUMMYFUNCTION("""COMPUTED_VALUE"""),465614)</f>
        <v>465614</v>
      </c>
      <c r="D352" s="1" t="str">
        <f ca="1">IFERROR(__xludf.DUMMYFUNCTION("""COMPUTED_VALUE"""),"Male")</f>
        <v>Male</v>
      </c>
      <c r="E352" s="1" t="str">
        <f ca="1">IFERROR(__xludf.DUMMYFUNCTION("""COMPUTED_VALUE"""),"Social Media like LinkedIn")</f>
        <v>Social Media like LinkedIn</v>
      </c>
      <c r="F352" s="1" t="str">
        <f ca="1">IFERROR(__xludf.DUMMYFUNCTION("""COMPUTED_VALUE"""),"Yes, I will earn and do that")</f>
        <v>Yes, I will earn and do that</v>
      </c>
      <c r="G352" s="1" t="str">
        <f ca="1">IFERROR(__xludf.DUMMYFUNCTION("""COMPUTED_VALUE"""),"This will be hard to do, but if it is the right company I would try")</f>
        <v>This will be hard to do, but if it is the right company I would try</v>
      </c>
      <c r="H352" s="1" t="str">
        <f ca="1">IFERROR(__xludf.DUMMYFUNCTION("""COMPUTED_VALUE"""),"No")</f>
        <v>No</v>
      </c>
      <c r="I352" s="1" t="str">
        <f ca="1">IFERROR(__xludf.DUMMYFUNCTION("""COMPUTED_VALUE"""),"Will NOT work for them")</f>
        <v>Will NOT work for them</v>
      </c>
      <c r="J352" s="1">
        <f ca="1">IFERROR(__xludf.DUMMYFUNCTION("""COMPUTED_VALUE"""),1)</f>
        <v>1</v>
      </c>
      <c r="K352" s="1" t="str">
        <f ca="1">IFERROR(__xludf.DUMMYFUNCTION("""COMPUTED_VALUE"""),"Fully Remote with Options to travel as and when needed")</f>
        <v>Fully Remote with Options to travel as and when needed</v>
      </c>
      <c r="L352" s="1" t="str">
        <f ca="1">IFERROR(__xludf.DUMMYFUNCTION("""COMPUTED_VALUE"""),"Employer who appreciates learning and enables that environment")</f>
        <v>Employer who appreciates learning and enables that environment</v>
      </c>
      <c r="M35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N352" s="4" t="s">
        <v>51</v>
      </c>
      <c r="O352" s="1" t="str">
        <f ca="1">IFERROR(__xludf.DUMMYFUNCTION("""COMPUTED_VALUE"""),"Manager who clearly describes what she/he needs")</f>
        <v>Manager who clearly describes what she/he needs</v>
      </c>
      <c r="P352" s="1" t="str">
        <f ca="1">IFERROR(__xludf.DUMMYFUNCTION("""COMPUTED_VALUE"""),"Work &gt;10 people in Team")</f>
        <v>Work &gt;10 people in Team</v>
      </c>
      <c r="Q352" s="1" t="s">
        <v>41</v>
      </c>
      <c r="R352" s="1"/>
    </row>
    <row r="353" spans="1:18" x14ac:dyDescent="0.25">
      <c r="A353" s="2">
        <f ca="1">IFERROR(__xludf.DUMMYFUNCTION("""COMPUTED_VALUE"""),44939.4556909722)</f>
        <v>44939.455690972201</v>
      </c>
      <c r="B353" s="1" t="str">
        <f ca="1">IFERROR(__xludf.DUMMYFUNCTION("""COMPUTED_VALUE"""),"India")</f>
        <v>India</v>
      </c>
      <c r="C353" s="1">
        <f ca="1">IFERROR(__xludf.DUMMYFUNCTION("""COMPUTED_VALUE"""),560010)</f>
        <v>560010</v>
      </c>
      <c r="D353" s="1" t="str">
        <f ca="1">IFERROR(__xludf.DUMMYFUNCTION("""COMPUTED_VALUE"""),"Male")</f>
        <v>Male</v>
      </c>
      <c r="E353" s="1" t="str">
        <f ca="1">IFERROR(__xludf.DUMMYFUNCTION("""COMPUTED_VALUE"""),"People who have changed the world for better")</f>
        <v>People who have changed the world for better</v>
      </c>
      <c r="F353" s="1" t="str">
        <f ca="1">IFERROR(__xludf.DUMMYFUNCTION("""COMPUTED_VALUE"""),"No I would not be pursuing Higher Education outside of India")</f>
        <v>No I would not be pursuing Higher Education outside of India</v>
      </c>
      <c r="G353" s="1" t="str">
        <f ca="1">IFERROR(__xludf.DUMMYFUNCTION("""COMPUTED_VALUE"""),"This will be hard to do, but if it is the right company I would try")</f>
        <v>This will be hard to do, but if it is the right company I would try</v>
      </c>
      <c r="H353" s="1" t="str">
        <f ca="1">IFERROR(__xludf.DUMMYFUNCTION("""COMPUTED_VALUE"""),"No")</f>
        <v>No</v>
      </c>
      <c r="I353" s="1" t="str">
        <f ca="1">IFERROR(__xludf.DUMMYFUNCTION("""COMPUTED_VALUE"""),"Will NOT work for them")</f>
        <v>Will NOT work for them</v>
      </c>
      <c r="J353" s="1">
        <f ca="1">IFERROR(__xludf.DUMMYFUNCTION("""COMPUTED_VALUE"""),7)</f>
        <v>7</v>
      </c>
      <c r="K353" s="1" t="str">
        <f ca="1">IFERROR(__xludf.DUMMYFUNCTION("""COMPUTED_VALUE"""),"Hybrid Working Environment with less than 15 days a month at office")</f>
        <v>Hybrid Working Environment with less than 15 days a month at office</v>
      </c>
      <c r="L353" s="1" t="str">
        <f ca="1">IFERROR(__xludf.DUMMYFUNCTION("""COMPUTED_VALUE"""),"Employer who pushes your limits by enabling an learning environment, and rewards you at the end")</f>
        <v>Employer who pushes your limits by enabling an learning environment, and rewards you at the end</v>
      </c>
      <c r="M353"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N353" s="4" t="s">
        <v>48</v>
      </c>
      <c r="O353" s="1" t="str">
        <f ca="1">IFERROR(__xludf.DUMMYFUNCTION("""COMPUTED_VALUE"""),"Manager who explains what is expected, sets a goal and helps achieve it")</f>
        <v>Manager who explains what is expected, sets a goal and helps achieve it</v>
      </c>
      <c r="P353" s="1" t="str">
        <f ca="1">IFERROR(__xludf.DUMMYFUNCTION("""COMPUTED_VALUE"""),"Work &gt;10 people in Team")</f>
        <v>Work &gt;10 people in Team</v>
      </c>
      <c r="Q353" s="1" t="s">
        <v>40</v>
      </c>
      <c r="R353" s="1"/>
    </row>
    <row r="354" spans="1:18" x14ac:dyDescent="0.25">
      <c r="A354" s="2">
        <f ca="1">IFERROR(__xludf.DUMMYFUNCTION("""COMPUTED_VALUE"""),44939.5227505902)</f>
        <v>44939.5227505902</v>
      </c>
      <c r="B354" s="1" t="str">
        <f ca="1">IFERROR(__xludf.DUMMYFUNCTION("""COMPUTED_VALUE"""),"India")</f>
        <v>India</v>
      </c>
      <c r="C354" s="1">
        <f ca="1">IFERROR(__xludf.DUMMYFUNCTION("""COMPUTED_VALUE"""),560015)</f>
        <v>560015</v>
      </c>
      <c r="D354" s="1" t="str">
        <f ca="1">IFERROR(__xludf.DUMMYFUNCTION("""COMPUTED_VALUE"""),"Male")</f>
        <v>Male</v>
      </c>
      <c r="E354" s="1" t="str">
        <f ca="1">IFERROR(__xludf.DUMMYFUNCTION("""COMPUTED_VALUE"""),"People from my circle, but not family members")</f>
        <v>People from my circle, but not family members</v>
      </c>
      <c r="F354" s="1" t="str">
        <f ca="1">IFERROR(__xludf.DUMMYFUNCTION("""COMPUTED_VALUE"""),"No I would not be pursuing Higher Education outside of India")</f>
        <v>No I would not be pursuing Higher Education outside of India</v>
      </c>
      <c r="G354" s="1" t="str">
        <f ca="1">IFERROR(__xludf.DUMMYFUNCTION("""COMPUTED_VALUE"""),"This will be hard to do, but if it is the right company I would try")</f>
        <v>This will be hard to do, but if it is the right company I would try</v>
      </c>
      <c r="H354" s="1" t="str">
        <f ca="1">IFERROR(__xludf.DUMMYFUNCTION("""COMPUTED_VALUE"""),"No")</f>
        <v>No</v>
      </c>
      <c r="I354" s="1" t="str">
        <f ca="1">IFERROR(__xludf.DUMMYFUNCTION("""COMPUTED_VALUE"""),"Will NOT work for them")</f>
        <v>Will NOT work for them</v>
      </c>
      <c r="J354" s="1">
        <f ca="1">IFERROR(__xludf.DUMMYFUNCTION("""COMPUTED_VALUE"""),1)</f>
        <v>1</v>
      </c>
      <c r="K354" s="1" t="str">
        <f ca="1">IFERROR(__xludf.DUMMYFUNCTION("""COMPUTED_VALUE"""),"Hybrid Working Environment with less than 10 days a month at office")</f>
        <v>Hybrid Working Environment with less than 10 days a month at office</v>
      </c>
      <c r="L354" s="1" t="str">
        <f ca="1">IFERROR(__xludf.DUMMYFUNCTION("""COMPUTED_VALUE"""),"Employer who rewards learning and enables that environment")</f>
        <v>Employer who rewards learning and enables that environment</v>
      </c>
      <c r="M354"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N354" s="4" t="s">
        <v>50</v>
      </c>
      <c r="O354" s="1" t="str">
        <f ca="1">IFERROR(__xludf.DUMMYFUNCTION("""COMPUTED_VALUE"""),"Manager who explains what is expected, sets a goal and helps achieve it")</f>
        <v>Manager who explains what is expected, sets a goal and helps achieve it</v>
      </c>
      <c r="P354" s="1" t="str">
        <f ca="1">IFERROR(__xludf.DUMMYFUNCTION("""COMPUTED_VALUE"""),"Work &lt;=6 People in the Team")</f>
        <v>Work &lt;=6 People in the Team</v>
      </c>
      <c r="Q354" s="1" t="s">
        <v>41</v>
      </c>
      <c r="R354" s="1"/>
    </row>
    <row r="355" spans="1:18" x14ac:dyDescent="0.25">
      <c r="A355" s="2">
        <f ca="1">IFERROR(__xludf.DUMMYFUNCTION("""COMPUTED_VALUE"""),44939.5722373611)</f>
        <v>44939.572237361099</v>
      </c>
      <c r="B355" s="1" t="str">
        <f ca="1">IFERROR(__xludf.DUMMYFUNCTION("""COMPUTED_VALUE"""),"India")</f>
        <v>India</v>
      </c>
      <c r="C355" s="1">
        <f ca="1">IFERROR(__xludf.DUMMYFUNCTION("""COMPUTED_VALUE"""),560077)</f>
        <v>560077</v>
      </c>
      <c r="D355" s="1" t="str">
        <f ca="1">IFERROR(__xludf.DUMMYFUNCTION("""COMPUTED_VALUE"""),"Male")</f>
        <v>Male</v>
      </c>
      <c r="E355" s="1" t="str">
        <f ca="1">IFERROR(__xludf.DUMMYFUNCTION("""COMPUTED_VALUE"""),"My Parents")</f>
        <v>My Parents</v>
      </c>
      <c r="F355" s="1" t="str">
        <f ca="1">IFERROR(__xludf.DUMMYFUNCTION("""COMPUTED_VALUE"""),"No, But if someone could bare the cost I will")</f>
        <v>No, But if someone could bare the cost I will</v>
      </c>
      <c r="G355" s="1" t="str">
        <f ca="1">IFERROR(__xludf.DUMMYFUNCTION("""COMPUTED_VALUE"""),"Will work for 3 years or more")</f>
        <v>Will work for 3 years or more</v>
      </c>
      <c r="H355" s="1" t="str">
        <f ca="1">IFERROR(__xludf.DUMMYFUNCTION("""COMPUTED_VALUE"""),"Yes")</f>
        <v>Yes</v>
      </c>
      <c r="I355" s="1" t="str">
        <f ca="1">IFERROR(__xludf.DUMMYFUNCTION("""COMPUTED_VALUE"""),"Will work for them")</f>
        <v>Will work for them</v>
      </c>
      <c r="J355" s="1">
        <f ca="1">IFERROR(__xludf.DUMMYFUNCTION("""COMPUTED_VALUE"""),4)</f>
        <v>4</v>
      </c>
      <c r="K355" s="1" t="str">
        <f ca="1">IFERROR(__xludf.DUMMYFUNCTION("""COMPUTED_VALUE"""),"Hybrid Working Environment with less than 15 days a month at office")</f>
        <v>Hybrid Working Environment with less than 15 days a month at office</v>
      </c>
      <c r="L355" s="1" t="str">
        <f ca="1">IFERROR(__xludf.DUMMYFUNCTION("""COMPUTED_VALUE"""),"Employer who rewards learning and enables that environment")</f>
        <v>Employer who rewards learning and enables that environment</v>
      </c>
      <c r="M35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355" s="4" t="s">
        <v>50</v>
      </c>
      <c r="O355" s="1" t="str">
        <f ca="1">IFERROR(__xludf.DUMMYFUNCTION("""COMPUTED_VALUE"""),"Manager who explains what is expected, sets a goal and helps achieve it")</f>
        <v>Manager who explains what is expected, sets a goal and helps achieve it</v>
      </c>
      <c r="P355" s="1" t="str">
        <f ca="1">IFERROR(__xludf.DUMMYFUNCTION("""COMPUTED_VALUE"""),"Work &gt;10 people in Team")</f>
        <v>Work &gt;10 people in Team</v>
      </c>
      <c r="Q355" s="1" t="s">
        <v>42</v>
      </c>
      <c r="R355" s="1"/>
    </row>
    <row r="356" spans="1:18" x14ac:dyDescent="0.25">
      <c r="A356" s="2">
        <f ca="1">IFERROR(__xludf.DUMMYFUNCTION("""COMPUTED_VALUE"""),44939.8109976736)</f>
        <v>44939.810997673601</v>
      </c>
      <c r="B356" s="1" t="str">
        <f ca="1">IFERROR(__xludf.DUMMYFUNCTION("""COMPUTED_VALUE"""),"India")</f>
        <v>India</v>
      </c>
      <c r="C356" s="1">
        <f ca="1">IFERROR(__xludf.DUMMYFUNCTION("""COMPUTED_VALUE"""),401105)</f>
        <v>401105</v>
      </c>
      <c r="D356" s="1" t="str">
        <f ca="1">IFERROR(__xludf.DUMMYFUNCTION("""COMPUTED_VALUE"""),"Male")</f>
        <v>Male</v>
      </c>
      <c r="E356" s="1" t="str">
        <f ca="1">IFERROR(__xludf.DUMMYFUNCTION("""COMPUTED_VALUE"""),"People who have changed the world for better")</f>
        <v>People who have changed the world for better</v>
      </c>
      <c r="F356" s="1" t="str">
        <f ca="1">IFERROR(__xludf.DUMMYFUNCTION("""COMPUTED_VALUE"""),"No, But if someone could bare the cost I will")</f>
        <v>No, But if someone could bare the cost I will</v>
      </c>
      <c r="G356" s="1" t="str">
        <f ca="1">IFERROR(__xludf.DUMMYFUNCTION("""COMPUTED_VALUE"""),"This will be hard to do, but if it is the right company I would try")</f>
        <v>This will be hard to do, but if it is the right company I would try</v>
      </c>
      <c r="H356" s="1" t="str">
        <f ca="1">IFERROR(__xludf.DUMMYFUNCTION("""COMPUTED_VALUE"""),"No")</f>
        <v>No</v>
      </c>
      <c r="I356" s="1" t="str">
        <f ca="1">IFERROR(__xludf.DUMMYFUNCTION("""COMPUTED_VALUE"""),"Will NOT work for them")</f>
        <v>Will NOT work for them</v>
      </c>
      <c r="J356" s="1">
        <f ca="1">IFERROR(__xludf.DUMMYFUNCTION("""COMPUTED_VALUE"""),5)</f>
        <v>5</v>
      </c>
      <c r="K356" s="1" t="str">
        <f ca="1">IFERROR(__xludf.DUMMYFUNCTION("""COMPUTED_VALUE"""),"Hybrid Working Environment with less than 10 days a month at office")</f>
        <v>Hybrid Working Environment with less than 10 days a month at office</v>
      </c>
      <c r="L356" s="1" t="str">
        <f ca="1">IFERROR(__xludf.DUMMYFUNCTION("""COMPUTED_VALUE"""),"Employer who pushes your limits by enabling an learning environment, and rewards you at the end")</f>
        <v>Employer who pushes your limits by enabling an learning environment, and rewards you at the end</v>
      </c>
      <c r="M356"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N356" s="4" t="s">
        <v>51</v>
      </c>
      <c r="O356" s="1" t="str">
        <f ca="1">IFERROR(__xludf.DUMMYFUNCTION("""COMPUTED_VALUE"""),"Manager who explains what is expected, sets a goal and helps achieve it")</f>
        <v>Manager who explains what is expected, sets a goal and helps achieve it</v>
      </c>
      <c r="P356" s="1" t="str">
        <f ca="1">IFERROR(__xludf.DUMMYFUNCTION("""COMPUTED_VALUE"""),"Work &lt;=6 People in the Team")</f>
        <v>Work &lt;=6 People in the Team</v>
      </c>
      <c r="Q356" s="1" t="s">
        <v>42</v>
      </c>
      <c r="R356" s="1"/>
    </row>
    <row r="357" spans="1:18" x14ac:dyDescent="0.25">
      <c r="A357" s="2">
        <f ca="1">IFERROR(__xludf.DUMMYFUNCTION("""COMPUTED_VALUE"""),44939.956319699)</f>
        <v>44939.956319698998</v>
      </c>
      <c r="B357" s="1" t="str">
        <f ca="1">IFERROR(__xludf.DUMMYFUNCTION("""COMPUTED_VALUE"""),"India")</f>
        <v>India</v>
      </c>
      <c r="C357" s="1">
        <f ca="1">IFERROR(__xludf.DUMMYFUNCTION("""COMPUTED_VALUE"""),500010)</f>
        <v>500010</v>
      </c>
      <c r="D357" s="1" t="str">
        <f ca="1">IFERROR(__xludf.DUMMYFUNCTION("""COMPUTED_VALUE"""),"Male")</f>
        <v>Male</v>
      </c>
      <c r="E357" s="1" t="str">
        <f ca="1">IFERROR(__xludf.DUMMYFUNCTION("""COMPUTED_VALUE"""),"Social Media like LinkedIn")</f>
        <v>Social Media like LinkedIn</v>
      </c>
      <c r="F357" s="1" t="str">
        <f ca="1">IFERROR(__xludf.DUMMYFUNCTION("""COMPUTED_VALUE"""),"No I would not be pursuing Higher Education outside of India")</f>
        <v>No I would not be pursuing Higher Education outside of India</v>
      </c>
      <c r="G357" s="1" t="str">
        <f ca="1">IFERROR(__xludf.DUMMYFUNCTION("""COMPUTED_VALUE"""),"This will be hard to do, but if it is the right company I would try")</f>
        <v>This will be hard to do, but if it is the right company I would try</v>
      </c>
      <c r="H357" s="1" t="str">
        <f ca="1">IFERROR(__xludf.DUMMYFUNCTION("""COMPUTED_VALUE"""),"Yes")</f>
        <v>Yes</v>
      </c>
      <c r="I357" s="1" t="str">
        <f ca="1">IFERROR(__xludf.DUMMYFUNCTION("""COMPUTED_VALUE"""),"Will work for them")</f>
        <v>Will work for them</v>
      </c>
      <c r="J357" s="1">
        <f ca="1">IFERROR(__xludf.DUMMYFUNCTION("""COMPUTED_VALUE"""),6)</f>
        <v>6</v>
      </c>
      <c r="K357" s="1" t="str">
        <f ca="1">IFERROR(__xludf.DUMMYFUNCTION("""COMPUTED_VALUE"""),"Every Day Office Environment")</f>
        <v>Every Day Office Environment</v>
      </c>
      <c r="L357" s="1" t="str">
        <f ca="1">IFERROR(__xludf.DUMMYFUNCTION("""COMPUTED_VALUE"""),"Employer who pushes your limits by enabling an learning environment, and rewards you at the end")</f>
        <v>Employer who pushes your limits by enabling an learning environment, and rewards you at the end</v>
      </c>
      <c r="M357"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N357" s="4" t="s">
        <v>50</v>
      </c>
      <c r="O357" s="1" t="str">
        <f ca="1">IFERROR(__xludf.DUMMYFUNCTION("""COMPUTED_VALUE"""),"Manager who explains what is expected, sets a goal and helps achieve it")</f>
        <v>Manager who explains what is expected, sets a goal and helps achieve it</v>
      </c>
      <c r="P357" s="1" t="str">
        <f ca="1">IFERROR(__xludf.DUMMYFUNCTION("""COMPUTED_VALUE"""),"Work &lt;=6 People in the Team")</f>
        <v>Work &lt;=6 People in the Team</v>
      </c>
      <c r="Q357" s="1" t="s">
        <v>40</v>
      </c>
      <c r="R357" s="1"/>
    </row>
    <row r="358" spans="1:18" x14ac:dyDescent="0.25">
      <c r="A358" s="2">
        <f ca="1">IFERROR(__xludf.DUMMYFUNCTION("""COMPUTED_VALUE"""),44940.5050044328)</f>
        <v>44940.505004432802</v>
      </c>
      <c r="B358" s="1" t="str">
        <f ca="1">IFERROR(__xludf.DUMMYFUNCTION("""COMPUTED_VALUE"""),"India")</f>
        <v>India</v>
      </c>
      <c r="C358" s="1">
        <f ca="1">IFERROR(__xludf.DUMMYFUNCTION("""COMPUTED_VALUE"""),534003)</f>
        <v>534003</v>
      </c>
      <c r="D358" s="1" t="str">
        <f ca="1">IFERROR(__xludf.DUMMYFUNCTION("""COMPUTED_VALUE"""),"Female")</f>
        <v>Female</v>
      </c>
      <c r="E358" s="1" t="str">
        <f ca="1">IFERROR(__xludf.DUMMYFUNCTION("""COMPUTED_VALUE"""),"Influencers who had successful careers")</f>
        <v>Influencers who had successful careers</v>
      </c>
      <c r="F358" s="1" t="str">
        <f ca="1">IFERROR(__xludf.DUMMYFUNCTION("""COMPUTED_VALUE"""),"No I would not be pursuing Higher Education outside of India")</f>
        <v>No I would not be pursuing Higher Education outside of India</v>
      </c>
      <c r="G358" s="1" t="str">
        <f ca="1">IFERROR(__xludf.DUMMYFUNCTION("""COMPUTED_VALUE"""),"This will be hard to do, but if it is the right company I would try")</f>
        <v>This will be hard to do, but if it is the right company I would try</v>
      </c>
      <c r="H358" s="1" t="str">
        <f ca="1">IFERROR(__xludf.DUMMYFUNCTION("""COMPUTED_VALUE"""),"No")</f>
        <v>No</v>
      </c>
      <c r="I358" s="1" t="str">
        <f ca="1">IFERROR(__xludf.DUMMYFUNCTION("""COMPUTED_VALUE"""),"Will NOT work for them")</f>
        <v>Will NOT work for them</v>
      </c>
      <c r="J358" s="1">
        <f ca="1">IFERROR(__xludf.DUMMYFUNCTION("""COMPUTED_VALUE"""),5)</f>
        <v>5</v>
      </c>
      <c r="K358" s="1" t="str">
        <f ca="1">IFERROR(__xludf.DUMMYFUNCTION("""COMPUTED_VALUE"""),"Fully Remote with No option to visit offices")</f>
        <v>Fully Remote with No option to visit offices</v>
      </c>
      <c r="L358" s="1" t="str">
        <f ca="1">IFERROR(__xludf.DUMMYFUNCTION("""COMPUTED_VALUE"""),"Employer who pushes your limits by enabling an learning environment, and rewards you at the end")</f>
        <v>Employer who pushes your limits by enabling an learning environment, and rewards you at the end</v>
      </c>
      <c r="M358"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358" s="4" t="s">
        <v>51</v>
      </c>
      <c r="O358" s="1" t="str">
        <f ca="1">IFERROR(__xludf.DUMMYFUNCTION("""COMPUTED_VALUE"""),"Manager who sets goal and helps me achieve it")</f>
        <v>Manager who sets goal and helps me achieve it</v>
      </c>
      <c r="P358" s="1" t="str">
        <f ca="1">IFERROR(__xludf.DUMMYFUNCTION("""COMPUTED_VALUE"""),"Work &lt;=6 People in the Team")</f>
        <v>Work &lt;=6 People in the Team</v>
      </c>
      <c r="Q358" s="1" t="s">
        <v>40</v>
      </c>
      <c r="R358" s="1"/>
    </row>
    <row r="359" spans="1:18" x14ac:dyDescent="0.25">
      <c r="A359" s="2">
        <f ca="1">IFERROR(__xludf.DUMMYFUNCTION("""COMPUTED_VALUE"""),44940.5063320717)</f>
        <v>44940.506332071702</v>
      </c>
      <c r="B359" s="1" t="str">
        <f ca="1">IFERROR(__xludf.DUMMYFUNCTION("""COMPUTED_VALUE"""),"India")</f>
        <v>India</v>
      </c>
      <c r="C359" s="1">
        <f ca="1">IFERROR(__xludf.DUMMYFUNCTION("""COMPUTED_VALUE"""),534001)</f>
        <v>534001</v>
      </c>
      <c r="D359" s="1" t="str">
        <f ca="1">IFERROR(__xludf.DUMMYFUNCTION("""COMPUTED_VALUE"""),"Male")</f>
        <v>Male</v>
      </c>
      <c r="E359" s="1" t="str">
        <f ca="1">IFERROR(__xludf.DUMMYFUNCTION("""COMPUTED_VALUE"""),"Influencers who had successful careers")</f>
        <v>Influencers who had successful careers</v>
      </c>
      <c r="F359" s="1" t="str">
        <f ca="1">IFERROR(__xludf.DUMMYFUNCTION("""COMPUTED_VALUE"""),"No I would not be pursuing Higher Education outside of India")</f>
        <v>No I would not be pursuing Higher Education outside of India</v>
      </c>
      <c r="G359" s="1" t="str">
        <f ca="1">IFERROR(__xludf.DUMMYFUNCTION("""COMPUTED_VALUE"""),"This will be hard to do, but if it is the right company I would try")</f>
        <v>This will be hard to do, but if it is the right company I would try</v>
      </c>
      <c r="H359" s="1" t="str">
        <f ca="1">IFERROR(__xludf.DUMMYFUNCTION("""COMPUTED_VALUE"""),"No")</f>
        <v>No</v>
      </c>
      <c r="I359" s="1" t="str">
        <f ca="1">IFERROR(__xludf.DUMMYFUNCTION("""COMPUTED_VALUE"""),"Will NOT work for them")</f>
        <v>Will NOT work for them</v>
      </c>
      <c r="J359" s="1">
        <f ca="1">IFERROR(__xludf.DUMMYFUNCTION("""COMPUTED_VALUE"""),6)</f>
        <v>6</v>
      </c>
      <c r="K359" s="1" t="str">
        <f ca="1">IFERROR(__xludf.DUMMYFUNCTION("""COMPUTED_VALUE"""),"Fully Remote with No option to visit offices")</f>
        <v>Fully Remote with No option to visit offices</v>
      </c>
      <c r="L359" s="1" t="str">
        <f ca="1">IFERROR(__xludf.DUMMYFUNCTION("""COMPUTED_VALUE"""),"Employer who appreciates learning and enables that environment")</f>
        <v>Employer who appreciates learning and enables that environment</v>
      </c>
      <c r="M35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N359" s="4" t="s">
        <v>50</v>
      </c>
      <c r="O359" s="1" t="str">
        <f ca="1">IFERROR(__xludf.DUMMYFUNCTION("""COMPUTED_VALUE"""),"Manager who explains what is expected, sets a goal and helps achieve it")</f>
        <v>Manager who explains what is expected, sets a goal and helps achieve it</v>
      </c>
      <c r="P359" s="1" t="str">
        <f ca="1">IFERROR(__xludf.DUMMYFUNCTION("""COMPUTED_VALUE"""),"Work &lt;=6 People in the Team")</f>
        <v>Work &lt;=6 People in the Team</v>
      </c>
      <c r="Q359" s="1" t="s">
        <v>41</v>
      </c>
      <c r="R359" s="1"/>
    </row>
    <row r="360" spans="1:18" x14ac:dyDescent="0.25">
      <c r="A360" s="2">
        <f ca="1">IFERROR(__xludf.DUMMYFUNCTION("""COMPUTED_VALUE"""),44940.5133477893)</f>
        <v>44940.513347789303</v>
      </c>
      <c r="B360" s="1" t="str">
        <f ca="1">IFERROR(__xludf.DUMMYFUNCTION("""COMPUTED_VALUE"""),"India")</f>
        <v>India</v>
      </c>
      <c r="C360" s="1">
        <f ca="1">IFERROR(__xludf.DUMMYFUNCTION("""COMPUTED_VALUE"""),534462)</f>
        <v>534462</v>
      </c>
      <c r="D360" s="1" t="str">
        <f ca="1">IFERROR(__xludf.DUMMYFUNCTION("""COMPUTED_VALUE"""),"Female")</f>
        <v>Female</v>
      </c>
      <c r="E360" s="1" t="str">
        <f ca="1">IFERROR(__xludf.DUMMYFUNCTION("""COMPUTED_VALUE"""),"My Parents")</f>
        <v>My Parents</v>
      </c>
      <c r="F360" s="1" t="str">
        <f ca="1">IFERROR(__xludf.DUMMYFUNCTION("""COMPUTED_VALUE"""),"Yes, I will earn and do that")</f>
        <v>Yes, I will earn and do that</v>
      </c>
      <c r="G360" s="1" t="str">
        <f ca="1">IFERROR(__xludf.DUMMYFUNCTION("""COMPUTED_VALUE"""),"This will be hard to do, but if it is the right company I would try")</f>
        <v>This will be hard to do, but if it is the right company I would try</v>
      </c>
      <c r="H360" s="1" t="str">
        <f ca="1">IFERROR(__xludf.DUMMYFUNCTION("""COMPUTED_VALUE"""),"No")</f>
        <v>No</v>
      </c>
      <c r="I360" s="1" t="str">
        <f ca="1">IFERROR(__xludf.DUMMYFUNCTION("""COMPUTED_VALUE"""),"Will work for them")</f>
        <v>Will work for them</v>
      </c>
      <c r="J360" s="1">
        <f ca="1">IFERROR(__xludf.DUMMYFUNCTION("""COMPUTED_VALUE"""),8)</f>
        <v>8</v>
      </c>
      <c r="K360" s="1" t="str">
        <f ca="1">IFERROR(__xludf.DUMMYFUNCTION("""COMPUTED_VALUE"""),"Hybrid Working Environment with less than 3 days a month at office")</f>
        <v>Hybrid Working Environment with less than 3 days a month at office</v>
      </c>
      <c r="L360" s="1" t="str">
        <f ca="1">IFERROR(__xludf.DUMMYFUNCTION("""COMPUTED_VALUE"""),"Employer who rewards learning and enables that environment")</f>
        <v>Employer who rewards learning and enables that environment</v>
      </c>
      <c r="M360"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N360" s="4" t="s">
        <v>48</v>
      </c>
      <c r="O360" s="1" t="str">
        <f ca="1">IFERROR(__xludf.DUMMYFUNCTION("""COMPUTED_VALUE"""),"Manager who clearly describes what she/he needs")</f>
        <v>Manager who clearly describes what she/he needs</v>
      </c>
      <c r="P360" s="1" t="str">
        <f ca="1">IFERROR(__xludf.DUMMYFUNCTION("""COMPUTED_VALUE"""),"Work &lt;=6 People in the Team")</f>
        <v>Work &lt;=6 People in the Team</v>
      </c>
      <c r="Q360" s="1" t="s">
        <v>41</v>
      </c>
      <c r="R360" s="1"/>
    </row>
    <row r="361" spans="1:18" x14ac:dyDescent="0.25">
      <c r="A361" s="2">
        <f ca="1">IFERROR(__xludf.DUMMYFUNCTION("""COMPUTED_VALUE"""),44940.5151725)</f>
        <v>44940.515172500003</v>
      </c>
      <c r="B361" s="1" t="str">
        <f ca="1">IFERROR(__xludf.DUMMYFUNCTION("""COMPUTED_VALUE"""),"India")</f>
        <v>India</v>
      </c>
      <c r="C361" s="1">
        <f ca="1">IFERROR(__xludf.DUMMYFUNCTION("""COMPUTED_VALUE"""),503003)</f>
        <v>503003</v>
      </c>
      <c r="D361" s="1" t="str">
        <f ca="1">IFERROR(__xludf.DUMMYFUNCTION("""COMPUTED_VALUE"""),"Female")</f>
        <v>Female</v>
      </c>
      <c r="E361" s="1" t="str">
        <f ca="1">IFERROR(__xludf.DUMMYFUNCTION("""COMPUTED_VALUE"""),"People who have changed the world for better")</f>
        <v>People who have changed the world for better</v>
      </c>
      <c r="F361" s="1" t="str">
        <f ca="1">IFERROR(__xludf.DUMMYFUNCTION("""COMPUTED_VALUE"""),"Yes, I will earn and do that")</f>
        <v>Yes, I will earn and do that</v>
      </c>
      <c r="G361" s="1" t="str">
        <f ca="1">IFERROR(__xludf.DUMMYFUNCTION("""COMPUTED_VALUE"""),"This will be hard to do, but if it is the right company I would try")</f>
        <v>This will be hard to do, but if it is the right company I would try</v>
      </c>
      <c r="H361" s="1" t="str">
        <f ca="1">IFERROR(__xludf.DUMMYFUNCTION("""COMPUTED_VALUE"""),"No")</f>
        <v>No</v>
      </c>
      <c r="I361" s="1" t="str">
        <f ca="1">IFERROR(__xludf.DUMMYFUNCTION("""COMPUTED_VALUE"""),"Will NOT work for them")</f>
        <v>Will NOT work for them</v>
      </c>
      <c r="J361" s="1">
        <f ca="1">IFERROR(__xludf.DUMMYFUNCTION("""COMPUTED_VALUE"""),4)</f>
        <v>4</v>
      </c>
      <c r="K361" s="1" t="str">
        <f ca="1">IFERROR(__xludf.DUMMYFUNCTION("""COMPUTED_VALUE"""),"Every Day Office Environment")</f>
        <v>Every Day Office Environment</v>
      </c>
      <c r="L361" s="1" t="str">
        <f ca="1">IFERROR(__xludf.DUMMYFUNCTION("""COMPUTED_VALUE"""),"Employer who pushes your limits by enabling an learning environment, and rewards you at the end")</f>
        <v>Employer who pushes your limits by enabling an learning environment, and rewards you at the end</v>
      </c>
      <c r="M361"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N361" s="4" t="s">
        <v>51</v>
      </c>
      <c r="O361" s="1" t="str">
        <f ca="1">IFERROR(__xludf.DUMMYFUNCTION("""COMPUTED_VALUE"""),"Manager who explains what is expected, sets a goal and helps achieve it")</f>
        <v>Manager who explains what is expected, sets a goal and helps achieve it</v>
      </c>
      <c r="P361" s="1" t="str">
        <f ca="1">IFERROR(__xludf.DUMMYFUNCTION("""COMPUTED_VALUE"""),"Work &gt;10 people in Team")</f>
        <v>Work &gt;10 people in Team</v>
      </c>
      <c r="Q361" s="1" t="s">
        <v>41</v>
      </c>
      <c r="R361" s="1"/>
    </row>
    <row r="362" spans="1:18" x14ac:dyDescent="0.25">
      <c r="A362" s="2">
        <f ca="1">IFERROR(__xludf.DUMMYFUNCTION("""COMPUTED_VALUE"""),44940.5228396759)</f>
        <v>44940.522839675898</v>
      </c>
      <c r="B362" s="1" t="str">
        <f ca="1">IFERROR(__xludf.DUMMYFUNCTION("""COMPUTED_VALUE"""),"India")</f>
        <v>India</v>
      </c>
      <c r="C362" s="1">
        <f ca="1">IFERROR(__xludf.DUMMYFUNCTION("""COMPUTED_VALUE"""),534001)</f>
        <v>534001</v>
      </c>
      <c r="D362" s="1" t="str">
        <f ca="1">IFERROR(__xludf.DUMMYFUNCTION("""COMPUTED_VALUE"""),"Male")</f>
        <v>Male</v>
      </c>
      <c r="E362" s="1" t="str">
        <f ca="1">IFERROR(__xludf.DUMMYFUNCTION("""COMPUTED_VALUE"""),"People who have changed the world for better")</f>
        <v>People who have changed the world for better</v>
      </c>
      <c r="F362" s="1" t="str">
        <f ca="1">IFERROR(__xludf.DUMMYFUNCTION("""COMPUTED_VALUE"""),"No I would not be pursuing Higher Education outside of India")</f>
        <v>No I would not be pursuing Higher Education outside of India</v>
      </c>
      <c r="G362" s="1" t="str">
        <f ca="1">IFERROR(__xludf.DUMMYFUNCTION("""COMPUTED_VALUE"""),"This will be hard to do, but if it is the right company I would try")</f>
        <v>This will be hard to do, but if it is the right company I would try</v>
      </c>
      <c r="H362" s="1" t="str">
        <f ca="1">IFERROR(__xludf.DUMMYFUNCTION("""COMPUTED_VALUE"""),"No")</f>
        <v>No</v>
      </c>
      <c r="I362" s="1" t="str">
        <f ca="1">IFERROR(__xludf.DUMMYFUNCTION("""COMPUTED_VALUE"""),"Will NOT work for them")</f>
        <v>Will NOT work for them</v>
      </c>
      <c r="J362" s="1">
        <f ca="1">IFERROR(__xludf.DUMMYFUNCTION("""COMPUTED_VALUE"""),8)</f>
        <v>8</v>
      </c>
      <c r="K362" s="1" t="str">
        <f ca="1">IFERROR(__xludf.DUMMYFUNCTION("""COMPUTED_VALUE"""),"Hybrid Working Environment with less than 15 days a month at office")</f>
        <v>Hybrid Working Environment with less than 15 days a month at office</v>
      </c>
      <c r="L362" s="1" t="str">
        <f ca="1">IFERROR(__xludf.DUMMYFUNCTION("""COMPUTED_VALUE"""),"Employer who pushes your limits by enabling an learning environment, and rewards you at the end")</f>
        <v>Employer who pushes your limits by enabling an learning environment, and rewards you at the end</v>
      </c>
      <c r="M362"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N362" s="4" t="s">
        <v>51</v>
      </c>
      <c r="O362" s="1" t="str">
        <f ca="1">IFERROR(__xludf.DUMMYFUNCTION("""COMPUTED_VALUE"""),"Manager who sets goal and helps me achieve it")</f>
        <v>Manager who sets goal and helps me achieve it</v>
      </c>
      <c r="P362" s="1" t="str">
        <f ca="1">IFERROR(__xludf.DUMMYFUNCTION("""COMPUTED_VALUE"""),"Work &lt;=6 People in the Team")</f>
        <v>Work &lt;=6 People in the Team</v>
      </c>
      <c r="Q362" s="1" t="s">
        <v>40</v>
      </c>
      <c r="R362" s="1"/>
    </row>
    <row r="363" spans="1:18" x14ac:dyDescent="0.25">
      <c r="A363" s="2">
        <f ca="1">IFERROR(__xludf.DUMMYFUNCTION("""COMPUTED_VALUE"""),44940.5248081944)</f>
        <v>44940.524808194401</v>
      </c>
      <c r="B363" s="1" t="str">
        <f ca="1">IFERROR(__xludf.DUMMYFUNCTION("""COMPUTED_VALUE"""),"India")</f>
        <v>India</v>
      </c>
      <c r="C363" s="1">
        <f ca="1">IFERROR(__xludf.DUMMYFUNCTION("""COMPUTED_VALUE"""),516401)</f>
        <v>516401</v>
      </c>
      <c r="D363" s="1" t="str">
        <f ca="1">IFERROR(__xludf.DUMMYFUNCTION("""COMPUTED_VALUE"""),"Male")</f>
        <v>Male</v>
      </c>
      <c r="E363" s="1" t="str">
        <f ca="1">IFERROR(__xludf.DUMMYFUNCTION("""COMPUTED_VALUE"""),"Influencers who had successful careers")</f>
        <v>Influencers who had successful careers</v>
      </c>
      <c r="F363" s="1" t="str">
        <f ca="1">IFERROR(__xludf.DUMMYFUNCTION("""COMPUTED_VALUE"""),"Yes, I will earn and do that")</f>
        <v>Yes, I will earn and do that</v>
      </c>
      <c r="G363" s="1" t="str">
        <f ca="1">IFERROR(__xludf.DUMMYFUNCTION("""COMPUTED_VALUE"""),"Will work for 3 years or more")</f>
        <v>Will work for 3 years or more</v>
      </c>
      <c r="H363" s="1" t="str">
        <f ca="1">IFERROR(__xludf.DUMMYFUNCTION("""COMPUTED_VALUE"""),"No")</f>
        <v>No</v>
      </c>
      <c r="I363" s="1" t="str">
        <f ca="1">IFERROR(__xludf.DUMMYFUNCTION("""COMPUTED_VALUE"""),"Will NOT work for them")</f>
        <v>Will NOT work for them</v>
      </c>
      <c r="J363" s="1">
        <f ca="1">IFERROR(__xludf.DUMMYFUNCTION("""COMPUTED_VALUE"""),10)</f>
        <v>10</v>
      </c>
      <c r="K363" s="1" t="str">
        <f ca="1">IFERROR(__xludf.DUMMYFUNCTION("""COMPUTED_VALUE"""),"Every Day Office Environment")</f>
        <v>Every Day Office Environment</v>
      </c>
      <c r="L363" s="1" t="str">
        <f ca="1">IFERROR(__xludf.DUMMYFUNCTION("""COMPUTED_VALUE"""),"Employer who pushes your limits by enabling an learning environment, and rewards you at the end")</f>
        <v>Employer who pushes your limits by enabling an learning environment, and rewards you at the end</v>
      </c>
      <c r="M363" s="1" t="str">
        <f ca="1">IFERROR(__xludf.DUMMYFUNCTION("""COMPUTED_VALUE"""),"Design and Creative strategy in any company, Build and develop a Team, Design and Develop amazing software")</f>
        <v>Design and Creative strategy in any company, Build and develop a Team, Design and Develop amazing software</v>
      </c>
      <c r="N363" s="4" t="s">
        <v>51</v>
      </c>
      <c r="O363" s="1" t="str">
        <f ca="1">IFERROR(__xludf.DUMMYFUNCTION("""COMPUTED_VALUE"""),"Manager who explains what is expected, sets a goal and helps achieve it")</f>
        <v>Manager who explains what is expected, sets a goal and helps achieve it</v>
      </c>
      <c r="P363" s="1" t="str">
        <f ca="1">IFERROR(__xludf.DUMMYFUNCTION("""COMPUTED_VALUE"""),"Work &lt;=6 People in the Team")</f>
        <v>Work &lt;=6 People in the Team</v>
      </c>
      <c r="Q363" s="1" t="s">
        <v>40</v>
      </c>
      <c r="R363" s="1"/>
    </row>
    <row r="364" spans="1:18" x14ac:dyDescent="0.25">
      <c r="A364" s="2">
        <f ca="1">IFERROR(__xludf.DUMMYFUNCTION("""COMPUTED_VALUE"""),44940.5311496412)</f>
        <v>44940.531149641203</v>
      </c>
      <c r="B364" s="1" t="str">
        <f ca="1">IFERROR(__xludf.DUMMYFUNCTION("""COMPUTED_VALUE"""),"India")</f>
        <v>India</v>
      </c>
      <c r="C364" s="1">
        <f ca="1">IFERROR(__xludf.DUMMYFUNCTION("""COMPUTED_VALUE"""),473551)</f>
        <v>473551</v>
      </c>
      <c r="D364" s="1" t="str">
        <f ca="1">IFERROR(__xludf.DUMMYFUNCTION("""COMPUTED_VALUE"""),"Male")</f>
        <v>Male</v>
      </c>
      <c r="E364" s="1" t="str">
        <f ca="1">IFERROR(__xludf.DUMMYFUNCTION("""COMPUTED_VALUE"""),"My Parents")</f>
        <v>My Parents</v>
      </c>
      <c r="F364" s="1" t="str">
        <f ca="1">IFERROR(__xludf.DUMMYFUNCTION("""COMPUTED_VALUE"""),"No I would not be pursuing Higher Education outside of India")</f>
        <v>No I would not be pursuing Higher Education outside of India</v>
      </c>
      <c r="G364" s="1" t="str">
        <f ca="1">IFERROR(__xludf.DUMMYFUNCTION("""COMPUTED_VALUE"""),"This will be hard to do, but if it is the right company I would try")</f>
        <v>This will be hard to do, but if it is the right company I would try</v>
      </c>
      <c r="H364" s="1" t="str">
        <f ca="1">IFERROR(__xludf.DUMMYFUNCTION("""COMPUTED_VALUE"""),"Yes")</f>
        <v>Yes</v>
      </c>
      <c r="I364" s="1" t="str">
        <f ca="1">IFERROR(__xludf.DUMMYFUNCTION("""COMPUTED_VALUE"""),"Will NOT work for them")</f>
        <v>Will NOT work for them</v>
      </c>
      <c r="J364" s="1">
        <f ca="1">IFERROR(__xludf.DUMMYFUNCTION("""COMPUTED_VALUE"""),5)</f>
        <v>5</v>
      </c>
      <c r="K364" s="1" t="str">
        <f ca="1">IFERROR(__xludf.DUMMYFUNCTION("""COMPUTED_VALUE"""),"Fully Remote with Options to travel as and when needed")</f>
        <v>Fully Remote with Options to travel as and when needed</v>
      </c>
      <c r="L364" s="1" t="str">
        <f ca="1">IFERROR(__xludf.DUMMYFUNCTION("""COMPUTED_VALUE"""),"Employer who appreciates learning and enables that environment")</f>
        <v>Employer who appreciates learning and enables that environment</v>
      </c>
      <c r="M36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64" s="4" t="s">
        <v>50</v>
      </c>
      <c r="O364" s="1" t="str">
        <f ca="1">IFERROR(__xludf.DUMMYFUNCTION("""COMPUTED_VALUE"""),"Manager who explains what is expected, sets a goal and helps achieve it")</f>
        <v>Manager who explains what is expected, sets a goal and helps achieve it</v>
      </c>
      <c r="P364" s="1" t="str">
        <f ca="1">IFERROR(__xludf.DUMMYFUNCTION("""COMPUTED_VALUE"""),"Work &gt;10 people in Team")</f>
        <v>Work &gt;10 people in Team</v>
      </c>
      <c r="Q364" s="1" t="s">
        <v>40</v>
      </c>
      <c r="R364" s="1"/>
    </row>
    <row r="365" spans="1:18" x14ac:dyDescent="0.25">
      <c r="A365" s="2">
        <f ca="1">IFERROR(__xludf.DUMMYFUNCTION("""COMPUTED_VALUE"""),44940.6212412037)</f>
        <v>44940.621241203698</v>
      </c>
      <c r="B365" s="1" t="str">
        <f ca="1">IFERROR(__xludf.DUMMYFUNCTION("""COMPUTED_VALUE"""),"India")</f>
        <v>India</v>
      </c>
      <c r="C365" s="1">
        <f ca="1">IFERROR(__xludf.DUMMYFUNCTION("""COMPUTED_VALUE"""),522647)</f>
        <v>522647</v>
      </c>
      <c r="D365" s="1" t="str">
        <f ca="1">IFERROR(__xludf.DUMMYFUNCTION("""COMPUTED_VALUE"""),"Female")</f>
        <v>Female</v>
      </c>
      <c r="E365" s="1" t="str">
        <f ca="1">IFERROR(__xludf.DUMMYFUNCTION("""COMPUTED_VALUE"""),"People from my circle, but not family members")</f>
        <v>People from my circle, but not family members</v>
      </c>
      <c r="F365" s="1" t="str">
        <f ca="1">IFERROR(__xludf.DUMMYFUNCTION("""COMPUTED_VALUE"""),"Yes, I will earn and do that")</f>
        <v>Yes, I will earn and do that</v>
      </c>
      <c r="G365" s="1" t="str">
        <f ca="1">IFERROR(__xludf.DUMMYFUNCTION("""COMPUTED_VALUE"""),"This will be hard to do, but if it is the right company I would try")</f>
        <v>This will be hard to do, but if it is the right company I would try</v>
      </c>
      <c r="H365" s="1" t="str">
        <f ca="1">IFERROR(__xludf.DUMMYFUNCTION("""COMPUTED_VALUE"""),"Yes")</f>
        <v>Yes</v>
      </c>
      <c r="I365" s="1" t="str">
        <f ca="1">IFERROR(__xludf.DUMMYFUNCTION("""COMPUTED_VALUE"""),"Will work for them")</f>
        <v>Will work for them</v>
      </c>
      <c r="J365" s="1">
        <f ca="1">IFERROR(__xludf.DUMMYFUNCTION("""COMPUTED_VALUE"""),2)</f>
        <v>2</v>
      </c>
      <c r="K365" s="1" t="str">
        <f ca="1">IFERROR(__xludf.DUMMYFUNCTION("""COMPUTED_VALUE"""),"Hybrid Working Environment with less than 3 days a month at office")</f>
        <v>Hybrid Working Environment with less than 3 days a month at office</v>
      </c>
      <c r="L365" s="1" t="str">
        <f ca="1">IFERROR(__xludf.DUMMYFUNCTION("""COMPUTED_VALUE"""),"Employer who appreciates learning and enables that environment")</f>
        <v>Employer who appreciates learning and enables that environment</v>
      </c>
      <c r="M365"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N365" s="4" t="s">
        <v>48</v>
      </c>
      <c r="O365" s="1" t="str">
        <f ca="1">IFERROR(__xludf.DUMMYFUNCTION("""COMPUTED_VALUE"""),"Manager who clearly describes what she/he needs")</f>
        <v>Manager who clearly describes what she/he needs</v>
      </c>
      <c r="P365" s="1" t="str">
        <f ca="1">IFERROR(__xludf.DUMMYFUNCTION("""COMPUTED_VALUE"""),"Work &lt;=6 People in the Team")</f>
        <v>Work &lt;=6 People in the Team</v>
      </c>
      <c r="Q365" s="1" t="s">
        <v>41</v>
      </c>
      <c r="R365" s="1"/>
    </row>
    <row r="366" spans="1:18" x14ac:dyDescent="0.25">
      <c r="A366" s="2">
        <f ca="1">IFERROR(__xludf.DUMMYFUNCTION("""COMPUTED_VALUE"""),44940.6232545949)</f>
        <v>44940.623254594902</v>
      </c>
      <c r="B366" s="1" t="str">
        <f ca="1">IFERROR(__xludf.DUMMYFUNCTION("""COMPUTED_VALUE"""),"India")</f>
        <v>India</v>
      </c>
      <c r="C366" s="1">
        <f ca="1">IFERROR(__xludf.DUMMYFUNCTION("""COMPUTED_VALUE"""),500083)</f>
        <v>500083</v>
      </c>
      <c r="D366" s="1" t="str">
        <f ca="1">IFERROR(__xludf.DUMMYFUNCTION("""COMPUTED_VALUE"""),"Female")</f>
        <v>Female</v>
      </c>
      <c r="E366" s="1" t="str">
        <f ca="1">IFERROR(__xludf.DUMMYFUNCTION("""COMPUTED_VALUE"""),"People from my circle, but not family members")</f>
        <v>People from my circle, but not family members</v>
      </c>
      <c r="F366" s="1" t="str">
        <f ca="1">IFERROR(__xludf.DUMMYFUNCTION("""COMPUTED_VALUE"""),"Yes, I will earn and do that")</f>
        <v>Yes, I will earn and do that</v>
      </c>
      <c r="G366" s="1" t="str">
        <f ca="1">IFERROR(__xludf.DUMMYFUNCTION("""COMPUTED_VALUE"""),"This will be hard to do, but if it is the right company I would try")</f>
        <v>This will be hard to do, but if it is the right company I would try</v>
      </c>
      <c r="H366" s="1" t="str">
        <f ca="1">IFERROR(__xludf.DUMMYFUNCTION("""COMPUTED_VALUE"""),"No")</f>
        <v>No</v>
      </c>
      <c r="I366" s="1" t="str">
        <f ca="1">IFERROR(__xludf.DUMMYFUNCTION("""COMPUTED_VALUE"""),"Will work for them")</f>
        <v>Will work for them</v>
      </c>
      <c r="J366" s="1">
        <f ca="1">IFERROR(__xludf.DUMMYFUNCTION("""COMPUTED_VALUE"""),9)</f>
        <v>9</v>
      </c>
      <c r="K366" s="1" t="str">
        <f ca="1">IFERROR(__xludf.DUMMYFUNCTION("""COMPUTED_VALUE"""),"Hybrid Working Environment with less than 3 days a month at office")</f>
        <v>Hybrid Working Environment with less than 3 days a month at office</v>
      </c>
      <c r="L366" s="1" t="str">
        <f ca="1">IFERROR(__xludf.DUMMYFUNCTION("""COMPUTED_VALUE"""),"Employer who rewards learning and enables that environment")</f>
        <v>Employer who rewards learning and enables that environment</v>
      </c>
      <c r="M36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66" s="4" t="s">
        <v>51</v>
      </c>
      <c r="O366" s="1" t="str">
        <f ca="1">IFERROR(__xludf.DUMMYFUNCTION("""COMPUTED_VALUE"""),"Manager who explains what is expected, sets a goal and helps achieve it")</f>
        <v>Manager who explains what is expected, sets a goal and helps achieve it</v>
      </c>
      <c r="P366" s="1" t="str">
        <f ca="1">IFERROR(__xludf.DUMMYFUNCTION("""COMPUTED_VALUE"""),"Work &lt;=6 People in the Team")</f>
        <v>Work &lt;=6 People in the Team</v>
      </c>
      <c r="Q366" s="1" t="s">
        <v>41</v>
      </c>
      <c r="R366" s="1"/>
    </row>
    <row r="367" spans="1:18" x14ac:dyDescent="0.25">
      <c r="A367" s="2">
        <f ca="1">IFERROR(__xludf.DUMMYFUNCTION("""COMPUTED_VALUE"""),44940.7054760185)</f>
        <v>44940.705476018498</v>
      </c>
      <c r="B367" s="1" t="str">
        <f ca="1">IFERROR(__xludf.DUMMYFUNCTION("""COMPUTED_VALUE"""),"India")</f>
        <v>India</v>
      </c>
      <c r="C367" s="1">
        <f ca="1">IFERROR(__xludf.DUMMYFUNCTION("""COMPUTED_VALUE"""),305001)</f>
        <v>305001</v>
      </c>
      <c r="D367" s="1" t="str">
        <f ca="1">IFERROR(__xludf.DUMMYFUNCTION("""COMPUTED_VALUE"""),"Female")</f>
        <v>Female</v>
      </c>
      <c r="E367" s="1" t="str">
        <f ca="1">IFERROR(__xludf.DUMMYFUNCTION("""COMPUTED_VALUE"""),"Influencers who had successful careers")</f>
        <v>Influencers who had successful careers</v>
      </c>
      <c r="F367" s="1" t="str">
        <f ca="1">IFERROR(__xludf.DUMMYFUNCTION("""COMPUTED_VALUE"""),"No I would not be pursuing Higher Education outside of India")</f>
        <v>No I would not be pursuing Higher Education outside of India</v>
      </c>
      <c r="G367" s="1" t="str">
        <f ca="1">IFERROR(__xludf.DUMMYFUNCTION("""COMPUTED_VALUE"""),"This will be hard to do, but if it is the right company I would try")</f>
        <v>This will be hard to do, but if it is the right company I would try</v>
      </c>
      <c r="H367" s="1" t="str">
        <f ca="1">IFERROR(__xludf.DUMMYFUNCTION("""COMPUTED_VALUE"""),"No")</f>
        <v>No</v>
      </c>
      <c r="I367" s="1" t="str">
        <f ca="1">IFERROR(__xludf.DUMMYFUNCTION("""COMPUTED_VALUE"""),"Will NOT work for them")</f>
        <v>Will NOT work for them</v>
      </c>
      <c r="J367" s="1">
        <f ca="1">IFERROR(__xludf.DUMMYFUNCTION("""COMPUTED_VALUE"""),6)</f>
        <v>6</v>
      </c>
      <c r="K367" s="1" t="str">
        <f ca="1">IFERROR(__xludf.DUMMYFUNCTION("""COMPUTED_VALUE"""),"Fully Remote with Options to travel as and when needed")</f>
        <v>Fully Remote with Options to travel as and when needed</v>
      </c>
      <c r="L367" s="1" t="str">
        <f ca="1">IFERROR(__xludf.DUMMYFUNCTION("""COMPUTED_VALUE"""),"Employer who pushes your limits by enabling an learning environment, and rewards you at the end")</f>
        <v>Employer who pushes your limits by enabling an learning environment, and rewards you at the end</v>
      </c>
      <c r="M3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367" s="4" t="s">
        <v>51</v>
      </c>
      <c r="O367" s="1" t="str">
        <f ca="1">IFERROR(__xludf.DUMMYFUNCTION("""COMPUTED_VALUE"""),"Manager who explains what is expected, sets a goal and helps achieve it")</f>
        <v>Manager who explains what is expected, sets a goal and helps achieve it</v>
      </c>
      <c r="P367" s="1" t="str">
        <f ca="1">IFERROR(__xludf.DUMMYFUNCTION("""COMPUTED_VALUE"""),"Work &lt;=6 People in the Team")</f>
        <v>Work &lt;=6 People in the Team</v>
      </c>
      <c r="Q367" s="1" t="s">
        <v>40</v>
      </c>
      <c r="R367" s="1"/>
    </row>
    <row r="368" spans="1:18" x14ac:dyDescent="0.25">
      <c r="A368" s="2">
        <f ca="1">IFERROR(__xludf.DUMMYFUNCTION("""COMPUTED_VALUE"""),44940.9715226967)</f>
        <v>44940.971522696702</v>
      </c>
      <c r="B368" s="1" t="str">
        <f ca="1">IFERROR(__xludf.DUMMYFUNCTION("""COMPUTED_VALUE"""),"India")</f>
        <v>India</v>
      </c>
      <c r="C368" s="1">
        <f ca="1">IFERROR(__xludf.DUMMYFUNCTION("""COMPUTED_VALUE"""),110034)</f>
        <v>110034</v>
      </c>
      <c r="D368" s="1" t="str">
        <f ca="1">IFERROR(__xludf.DUMMYFUNCTION("""COMPUTED_VALUE"""),"Male")</f>
        <v>Male</v>
      </c>
      <c r="E368" s="1" t="str">
        <f ca="1">IFERROR(__xludf.DUMMYFUNCTION("""COMPUTED_VALUE"""),"Social Media like LinkedIn")</f>
        <v>Social Media like LinkedIn</v>
      </c>
      <c r="F368" s="1" t="str">
        <f ca="1">IFERROR(__xludf.DUMMYFUNCTION("""COMPUTED_VALUE"""),"Yes, I will earn and do that")</f>
        <v>Yes, I will earn and do that</v>
      </c>
      <c r="G368" s="1" t="str">
        <f ca="1">IFERROR(__xludf.DUMMYFUNCTION("""COMPUTED_VALUE"""),"Will work for 3 years or more")</f>
        <v>Will work for 3 years or more</v>
      </c>
      <c r="H368" s="1" t="str">
        <f ca="1">IFERROR(__xludf.DUMMYFUNCTION("""COMPUTED_VALUE"""),"No")</f>
        <v>No</v>
      </c>
      <c r="I368" s="1" t="str">
        <f ca="1">IFERROR(__xludf.DUMMYFUNCTION("""COMPUTED_VALUE"""),"Will NOT work for them")</f>
        <v>Will NOT work for them</v>
      </c>
      <c r="J368" s="1">
        <f ca="1">IFERROR(__xludf.DUMMYFUNCTION("""COMPUTED_VALUE"""),5)</f>
        <v>5</v>
      </c>
      <c r="K368" s="1" t="str">
        <f ca="1">IFERROR(__xludf.DUMMYFUNCTION("""COMPUTED_VALUE"""),"Hybrid Working Environment with less than 3 days a month at office")</f>
        <v>Hybrid Working Environment with less than 3 days a month at office</v>
      </c>
      <c r="L368" s="1" t="str">
        <f ca="1">IFERROR(__xludf.DUMMYFUNCTION("""COMPUTED_VALUE"""),"Employer who rewards learning and enables that environment")</f>
        <v>Employer who rewards learning and enables that environment</v>
      </c>
      <c r="M36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68" s="4" t="s">
        <v>52</v>
      </c>
      <c r="O368" s="1" t="str">
        <f ca="1">IFERROR(__xludf.DUMMYFUNCTION("""COMPUTED_VALUE"""),"Manager who sets targets and expects me to achieve it")</f>
        <v>Manager who sets targets and expects me to achieve it</v>
      </c>
      <c r="P368" s="1" t="str">
        <f ca="1">IFERROR(__xludf.DUMMYFUNCTION("""COMPUTED_VALUE"""),"Work &gt;10 people in Team")</f>
        <v>Work &gt;10 people in Team</v>
      </c>
      <c r="Q368" s="1" t="s">
        <v>41</v>
      </c>
      <c r="R368" s="1"/>
    </row>
    <row r="369" spans="1:18" x14ac:dyDescent="0.25">
      <c r="A369" s="2">
        <f ca="1">IFERROR(__xludf.DUMMYFUNCTION("""COMPUTED_VALUE"""),44944.391160405)</f>
        <v>44944.391160405001</v>
      </c>
      <c r="B369" s="1" t="str">
        <f ca="1">IFERROR(__xludf.DUMMYFUNCTION("""COMPUTED_VALUE"""),"India")</f>
        <v>India</v>
      </c>
      <c r="C369" s="1">
        <f ca="1">IFERROR(__xludf.DUMMYFUNCTION("""COMPUTED_VALUE"""),760009)</f>
        <v>760009</v>
      </c>
      <c r="D369" s="1" t="str">
        <f ca="1">IFERROR(__xludf.DUMMYFUNCTION("""COMPUTED_VALUE"""),"Male")</f>
        <v>Male</v>
      </c>
      <c r="E369" s="1" t="str">
        <f ca="1">IFERROR(__xludf.DUMMYFUNCTION("""COMPUTED_VALUE"""),"People who have changed the world for better")</f>
        <v>People who have changed the world for better</v>
      </c>
      <c r="F369" s="1" t="str">
        <f ca="1">IFERROR(__xludf.DUMMYFUNCTION("""COMPUTED_VALUE"""),"No I would not be pursuing Higher Education outside of India")</f>
        <v>No I would not be pursuing Higher Education outside of India</v>
      </c>
      <c r="G369" s="1" t="str">
        <f ca="1">IFERROR(__xludf.DUMMYFUNCTION("""COMPUTED_VALUE"""),"This will be hard to do, but if it is the right company I would try")</f>
        <v>This will be hard to do, but if it is the right company I would try</v>
      </c>
      <c r="H369" s="1" t="str">
        <f ca="1">IFERROR(__xludf.DUMMYFUNCTION("""COMPUTED_VALUE"""),"No")</f>
        <v>No</v>
      </c>
      <c r="I369" s="1" t="str">
        <f ca="1">IFERROR(__xludf.DUMMYFUNCTION("""COMPUTED_VALUE"""),"Will work for them")</f>
        <v>Will work for them</v>
      </c>
      <c r="J369" s="1">
        <f ca="1">IFERROR(__xludf.DUMMYFUNCTION("""COMPUTED_VALUE"""),5)</f>
        <v>5</v>
      </c>
      <c r="K369" s="1" t="str">
        <f ca="1">IFERROR(__xludf.DUMMYFUNCTION("""COMPUTED_VALUE"""),"Hybrid Working Environment with less than 15 days a month at office")</f>
        <v>Hybrid Working Environment with less than 15 days a month at office</v>
      </c>
      <c r="L369" s="1" t="str">
        <f ca="1">IFERROR(__xludf.DUMMYFUNCTION("""COMPUTED_VALUE"""),"Employer who appreciates learning and enables that environment")</f>
        <v>Employer who appreciates learning and enables that environment</v>
      </c>
      <c r="M36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69" s="4" t="s">
        <v>54</v>
      </c>
      <c r="O369" s="1" t="str">
        <f ca="1">IFERROR(__xludf.DUMMYFUNCTION("""COMPUTED_VALUE"""),"Manager who explains what is expected, sets a goal and helps achieve it")</f>
        <v>Manager who explains what is expected, sets a goal and helps achieve it</v>
      </c>
      <c r="P369" s="1" t="str">
        <f ca="1">IFERROR(__xludf.DUMMYFUNCTION("""COMPUTED_VALUE"""),"Work &gt;10 people in Team")</f>
        <v>Work &gt;10 people in Team</v>
      </c>
      <c r="Q369" s="1" t="s">
        <v>40</v>
      </c>
      <c r="R369" s="1"/>
    </row>
    <row r="370" spans="1:18" x14ac:dyDescent="0.25">
      <c r="A370" s="2">
        <f ca="1">IFERROR(__xludf.DUMMYFUNCTION("""COMPUTED_VALUE"""),44944.4298348495)</f>
        <v>44944.429834849499</v>
      </c>
      <c r="B370" s="1" t="str">
        <f ca="1">IFERROR(__xludf.DUMMYFUNCTION("""COMPUTED_VALUE"""),"India")</f>
        <v>India</v>
      </c>
      <c r="C370" s="1">
        <f ca="1">IFERROR(__xludf.DUMMYFUNCTION("""COMPUTED_VALUE"""),500062)</f>
        <v>500062</v>
      </c>
      <c r="D370" s="1" t="str">
        <f ca="1">IFERROR(__xludf.DUMMYFUNCTION("""COMPUTED_VALUE"""),"Female")</f>
        <v>Female</v>
      </c>
      <c r="E370" s="1" t="str">
        <f ca="1">IFERROR(__xludf.DUMMYFUNCTION("""COMPUTED_VALUE"""),"My Parents")</f>
        <v>My Parents</v>
      </c>
      <c r="F370" s="1" t="str">
        <f ca="1">IFERROR(__xludf.DUMMYFUNCTION("""COMPUTED_VALUE"""),"Yes, I will earn and do that")</f>
        <v>Yes, I will earn and do that</v>
      </c>
      <c r="G370" s="1" t="str">
        <f ca="1">IFERROR(__xludf.DUMMYFUNCTION("""COMPUTED_VALUE"""),"Will work for 3 years or more")</f>
        <v>Will work for 3 years or more</v>
      </c>
      <c r="H370" s="1" t="str">
        <f ca="1">IFERROR(__xludf.DUMMYFUNCTION("""COMPUTED_VALUE"""),"No")</f>
        <v>No</v>
      </c>
      <c r="I370" s="1" t="str">
        <f ca="1">IFERROR(__xludf.DUMMYFUNCTION("""COMPUTED_VALUE"""),"Will NOT work for them")</f>
        <v>Will NOT work for them</v>
      </c>
      <c r="J370" s="1">
        <f ca="1">IFERROR(__xludf.DUMMYFUNCTION("""COMPUTED_VALUE"""),5)</f>
        <v>5</v>
      </c>
      <c r="K370" s="1" t="str">
        <f ca="1">IFERROR(__xludf.DUMMYFUNCTION("""COMPUTED_VALUE"""),"Every Day Office Environment")</f>
        <v>Every Day Office Environment</v>
      </c>
      <c r="L370" s="1" t="str">
        <f ca="1">IFERROR(__xludf.DUMMYFUNCTION("""COMPUTED_VALUE"""),"Employer who appreciates learning and enables that environment")</f>
        <v>Employer who appreciates learning and enables that environment</v>
      </c>
      <c r="M370"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N370" s="4" t="s">
        <v>48</v>
      </c>
      <c r="O370" s="1" t="str">
        <f ca="1">IFERROR(__xludf.DUMMYFUNCTION("""COMPUTED_VALUE"""),"Manager who sets goal and helps me achieve it")</f>
        <v>Manager who sets goal and helps me achieve it</v>
      </c>
      <c r="P370" s="1" t="str">
        <f ca="1">IFERROR(__xludf.DUMMYFUNCTION("""COMPUTED_VALUE"""),"Work &lt;=6 People in the Team")</f>
        <v>Work &lt;=6 People in the Team</v>
      </c>
      <c r="Q370" s="1" t="s">
        <v>41</v>
      </c>
      <c r="R370" s="1"/>
    </row>
    <row r="371" spans="1:18" x14ac:dyDescent="0.25">
      <c r="A371" s="2">
        <f ca="1">IFERROR(__xludf.DUMMYFUNCTION("""COMPUTED_VALUE"""),44944.9019997569)</f>
        <v>44944.901999756898</v>
      </c>
      <c r="B371" s="1" t="str">
        <f ca="1">IFERROR(__xludf.DUMMYFUNCTION("""COMPUTED_VALUE"""),"India")</f>
        <v>India</v>
      </c>
      <c r="C371" s="1">
        <f ca="1">IFERROR(__xludf.DUMMYFUNCTION("""COMPUTED_VALUE"""),560100)</f>
        <v>560100</v>
      </c>
      <c r="D371" s="1" t="str">
        <f ca="1">IFERROR(__xludf.DUMMYFUNCTION("""COMPUTED_VALUE"""),"Female")</f>
        <v>Female</v>
      </c>
      <c r="E371" s="1" t="str">
        <f ca="1">IFERROR(__xludf.DUMMYFUNCTION("""COMPUTED_VALUE"""),"People who have changed the world for better")</f>
        <v>People who have changed the world for better</v>
      </c>
      <c r="F371" s="1" t="str">
        <f ca="1">IFERROR(__xludf.DUMMYFUNCTION("""COMPUTED_VALUE"""),"Yes, I will earn and do that")</f>
        <v>Yes, I will earn and do that</v>
      </c>
      <c r="G371" s="1" t="str">
        <f ca="1">IFERROR(__xludf.DUMMYFUNCTION("""COMPUTED_VALUE"""),"This will be hard to do, but if it is the right company I would try")</f>
        <v>This will be hard to do, but if it is the right company I would try</v>
      </c>
      <c r="H371" s="1" t="str">
        <f ca="1">IFERROR(__xludf.DUMMYFUNCTION("""COMPUTED_VALUE"""),"Yes")</f>
        <v>Yes</v>
      </c>
      <c r="I371" s="1" t="str">
        <f ca="1">IFERROR(__xludf.DUMMYFUNCTION("""COMPUTED_VALUE"""),"Will NOT work for them")</f>
        <v>Will NOT work for them</v>
      </c>
      <c r="J371" s="1">
        <f ca="1">IFERROR(__xludf.DUMMYFUNCTION("""COMPUTED_VALUE"""),6)</f>
        <v>6</v>
      </c>
      <c r="K371" s="1" t="str">
        <f ca="1">IFERROR(__xludf.DUMMYFUNCTION("""COMPUTED_VALUE"""),"Hybrid Working Environment with less than 10 days a month at office")</f>
        <v>Hybrid Working Environment with less than 10 days a month at office</v>
      </c>
      <c r="L371" s="1" t="str">
        <f ca="1">IFERROR(__xludf.DUMMYFUNCTION("""COMPUTED_VALUE"""),"Employer who pushes your limits by enabling an learning environment, and rewards you at the end")</f>
        <v>Employer who pushes your limits by enabling an learning environment, and rewards you at the end</v>
      </c>
      <c r="M371"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N371" s="4" t="s">
        <v>51</v>
      </c>
      <c r="O371" s="1" t="str">
        <f ca="1">IFERROR(__xludf.DUMMYFUNCTION("""COMPUTED_VALUE"""),"Manager who explains what is expected, sets a goal and helps achieve it")</f>
        <v>Manager who explains what is expected, sets a goal and helps achieve it</v>
      </c>
      <c r="P371" s="1" t="str">
        <f ca="1">IFERROR(__xludf.DUMMYFUNCTION("""COMPUTED_VALUE"""),"Work &lt;=6 People in the Team")</f>
        <v>Work &lt;=6 People in the Team</v>
      </c>
      <c r="Q371" s="1" t="s">
        <v>40</v>
      </c>
      <c r="R371" s="1"/>
    </row>
    <row r="372" spans="1:18" x14ac:dyDescent="0.25">
      <c r="A372" s="2">
        <f ca="1">IFERROR(__xludf.DUMMYFUNCTION("""COMPUTED_VALUE"""),44945.7068227083)</f>
        <v>44945.7068227083</v>
      </c>
      <c r="B372" s="1" t="str">
        <f ca="1">IFERROR(__xludf.DUMMYFUNCTION("""COMPUTED_VALUE"""),"India")</f>
        <v>India</v>
      </c>
      <c r="C372" s="1">
        <f ca="1">IFERROR(__xludf.DUMMYFUNCTION("""COMPUTED_VALUE"""),490006)</f>
        <v>490006</v>
      </c>
      <c r="D372" s="1" t="str">
        <f ca="1">IFERROR(__xludf.DUMMYFUNCTION("""COMPUTED_VALUE"""),"Female")</f>
        <v>Female</v>
      </c>
      <c r="E372" s="1" t="str">
        <f ca="1">IFERROR(__xludf.DUMMYFUNCTION("""COMPUTED_VALUE"""),"My Parents")</f>
        <v>My Parents</v>
      </c>
      <c r="F372" s="1" t="str">
        <f ca="1">IFERROR(__xludf.DUMMYFUNCTION("""COMPUTED_VALUE"""),"No I would not be pursuing Higher Education outside of India")</f>
        <v>No I would not be pursuing Higher Education outside of India</v>
      </c>
      <c r="G372" s="1" t="str">
        <f ca="1">IFERROR(__xludf.DUMMYFUNCTION("""COMPUTED_VALUE"""),"This will be hard to do, but if it is the right company I would try")</f>
        <v>This will be hard to do, but if it is the right company I would try</v>
      </c>
      <c r="H372" s="1" t="str">
        <f ca="1">IFERROR(__xludf.DUMMYFUNCTION("""COMPUTED_VALUE"""),"No")</f>
        <v>No</v>
      </c>
      <c r="I372" s="1" t="str">
        <f ca="1">IFERROR(__xludf.DUMMYFUNCTION("""COMPUTED_VALUE"""),"Will NOT work for them")</f>
        <v>Will NOT work for them</v>
      </c>
      <c r="J372" s="1">
        <f ca="1">IFERROR(__xludf.DUMMYFUNCTION("""COMPUTED_VALUE"""),7)</f>
        <v>7</v>
      </c>
      <c r="K372" s="1" t="str">
        <f ca="1">IFERROR(__xludf.DUMMYFUNCTION("""COMPUTED_VALUE"""),"Hybrid Working Environment with less than 15 days a month at office")</f>
        <v>Hybrid Working Environment with less than 15 days a month at office</v>
      </c>
      <c r="L372" s="1" t="str">
        <f ca="1">IFERROR(__xludf.DUMMYFUNCTION("""COMPUTED_VALUE"""),"Employer who pushes your limits by enabling an learning environment, and rewards you at the end")</f>
        <v>Employer who pushes your limits by enabling an learning environment, and rewards you at the end</v>
      </c>
      <c r="M3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72" s="4" t="s">
        <v>48</v>
      </c>
      <c r="O372" s="1" t="str">
        <f ca="1">IFERROR(__xludf.DUMMYFUNCTION("""COMPUTED_VALUE"""),"Manager who clearly describes what she/he needs")</f>
        <v>Manager who clearly describes what she/he needs</v>
      </c>
      <c r="P372" s="1" t="str">
        <f ca="1">IFERROR(__xludf.DUMMYFUNCTION("""COMPUTED_VALUE"""),"Work &lt;=6 People in the Team")</f>
        <v>Work &lt;=6 People in the Team</v>
      </c>
      <c r="Q372" s="1" t="s">
        <v>40</v>
      </c>
      <c r="R372" s="1"/>
    </row>
    <row r="373" spans="1:18" x14ac:dyDescent="0.25">
      <c r="A373" s="2">
        <f ca="1">IFERROR(__xludf.DUMMYFUNCTION("""COMPUTED_VALUE"""),44946.8637613888)</f>
        <v>44946.863761388799</v>
      </c>
      <c r="B373" s="1" t="str">
        <f ca="1">IFERROR(__xludf.DUMMYFUNCTION("""COMPUTED_VALUE"""),"India")</f>
        <v>India</v>
      </c>
      <c r="C373" s="1">
        <f ca="1">IFERROR(__xludf.DUMMYFUNCTION("""COMPUTED_VALUE"""),834001)</f>
        <v>834001</v>
      </c>
      <c r="D373" s="1" t="str">
        <f ca="1">IFERROR(__xludf.DUMMYFUNCTION("""COMPUTED_VALUE"""),"Male")</f>
        <v>Male</v>
      </c>
      <c r="E373" s="1" t="str">
        <f ca="1">IFERROR(__xludf.DUMMYFUNCTION("""COMPUTED_VALUE"""),"Influencers who had successful careers")</f>
        <v>Influencers who had successful careers</v>
      </c>
      <c r="F373" s="1" t="str">
        <f ca="1">IFERROR(__xludf.DUMMYFUNCTION("""COMPUTED_VALUE"""),"No, But if someone could bare the cost I will")</f>
        <v>No, But if someone could bare the cost I will</v>
      </c>
      <c r="G373" s="1" t="str">
        <f ca="1">IFERROR(__xludf.DUMMYFUNCTION("""COMPUTED_VALUE"""),"This will be hard to do, but if it is the right company I would try")</f>
        <v>This will be hard to do, but if it is the right company I would try</v>
      </c>
      <c r="H373" s="1" t="str">
        <f ca="1">IFERROR(__xludf.DUMMYFUNCTION("""COMPUTED_VALUE"""),"Yes")</f>
        <v>Yes</v>
      </c>
      <c r="I373" s="1" t="str">
        <f ca="1">IFERROR(__xludf.DUMMYFUNCTION("""COMPUTED_VALUE"""),"Will NOT work for them")</f>
        <v>Will NOT work for them</v>
      </c>
      <c r="J373" s="1">
        <f ca="1">IFERROR(__xludf.DUMMYFUNCTION("""COMPUTED_VALUE"""),7)</f>
        <v>7</v>
      </c>
      <c r="K373" s="1" t="str">
        <f ca="1">IFERROR(__xludf.DUMMYFUNCTION("""COMPUTED_VALUE"""),"Hybrid Working Environment with less than 15 days a month at office")</f>
        <v>Hybrid Working Environment with less than 15 days a month at office</v>
      </c>
      <c r="L373" s="1" t="str">
        <f ca="1">IFERROR(__xludf.DUMMYFUNCTION("""COMPUTED_VALUE"""),"Employer who pushes your limits by enabling an learning environment, and rewards you at the end")</f>
        <v>Employer who pushes your limits by enabling an learning environment, and rewards you at the end</v>
      </c>
      <c r="M37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N373" s="4" t="s">
        <v>54</v>
      </c>
      <c r="O373" s="1" t="str">
        <f ca="1">IFERROR(__xludf.DUMMYFUNCTION("""COMPUTED_VALUE"""),"Manager who explains what is expected, sets a goal and helps achieve it")</f>
        <v>Manager who explains what is expected, sets a goal and helps achieve it</v>
      </c>
      <c r="P373" s="1" t="str">
        <f ca="1">IFERROR(__xludf.DUMMYFUNCTION("""COMPUTED_VALUE"""),"Work &lt;=6 People in the Team")</f>
        <v>Work &lt;=6 People in the Team</v>
      </c>
      <c r="Q373" s="1" t="s">
        <v>40</v>
      </c>
      <c r="R373" s="1"/>
    </row>
    <row r="374" spans="1:18" x14ac:dyDescent="0.25">
      <c r="A374" s="2">
        <f ca="1">IFERROR(__xludf.DUMMYFUNCTION("""COMPUTED_VALUE"""),44951.6269945833)</f>
        <v>44951.626994583297</v>
      </c>
      <c r="B374" s="1" t="str">
        <f ca="1">IFERROR(__xludf.DUMMYFUNCTION("""COMPUTED_VALUE"""),"India")</f>
        <v>India</v>
      </c>
      <c r="C374" s="1">
        <f ca="1">IFERROR(__xludf.DUMMYFUNCTION("""COMPUTED_VALUE"""),441111)</f>
        <v>441111</v>
      </c>
      <c r="D374" s="1" t="str">
        <f ca="1">IFERROR(__xludf.DUMMYFUNCTION("""COMPUTED_VALUE"""),"Female")</f>
        <v>Female</v>
      </c>
      <c r="E374" s="1" t="str">
        <f ca="1">IFERROR(__xludf.DUMMYFUNCTION("""COMPUTED_VALUE"""),"Influencers who had successful careers")</f>
        <v>Influencers who had successful careers</v>
      </c>
      <c r="F374" s="1" t="str">
        <f ca="1">IFERROR(__xludf.DUMMYFUNCTION("""COMPUTED_VALUE"""),"Yes, I will earn and do that")</f>
        <v>Yes, I will earn and do that</v>
      </c>
      <c r="G374" s="1" t="str">
        <f ca="1">IFERROR(__xludf.DUMMYFUNCTION("""COMPUTED_VALUE"""),"This will be hard to do, but if it is the right company I would try")</f>
        <v>This will be hard to do, but if it is the right company I would try</v>
      </c>
      <c r="H374" s="1" t="str">
        <f ca="1">IFERROR(__xludf.DUMMYFUNCTION("""COMPUTED_VALUE"""),"No")</f>
        <v>No</v>
      </c>
      <c r="I374" s="1" t="str">
        <f ca="1">IFERROR(__xludf.DUMMYFUNCTION("""COMPUTED_VALUE"""),"Will NOT work for them")</f>
        <v>Will NOT work for them</v>
      </c>
      <c r="J374" s="1">
        <f ca="1">IFERROR(__xludf.DUMMYFUNCTION("""COMPUTED_VALUE"""),1)</f>
        <v>1</v>
      </c>
      <c r="K374" s="1" t="str">
        <f ca="1">IFERROR(__xludf.DUMMYFUNCTION("""COMPUTED_VALUE"""),"Every Day Office Environment")</f>
        <v>Every Day Office Environment</v>
      </c>
      <c r="L374" s="1" t="str">
        <f ca="1">IFERROR(__xludf.DUMMYFUNCTION("""COMPUTED_VALUE"""),"Employer who pushes your limits by enabling an learning environment, and rewards you at the end")</f>
        <v>Employer who pushes your limits by enabling an learning environment, and rewards you at the end</v>
      </c>
      <c r="M37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N374" s="4" t="s">
        <v>55</v>
      </c>
      <c r="O374" s="1" t="str">
        <f ca="1">IFERROR(__xludf.DUMMYFUNCTION("""COMPUTED_VALUE"""),"Manager who explains what is expected, sets a goal and helps achieve it")</f>
        <v>Manager who explains what is expected, sets a goal and helps achieve it</v>
      </c>
      <c r="P374" s="1" t="str">
        <f ca="1">IFERROR(__xludf.DUMMYFUNCTION("""COMPUTED_VALUE"""),"Work &gt;10 people in Team")</f>
        <v>Work &gt;10 people in Team</v>
      </c>
      <c r="Q374" s="1" t="s">
        <v>40</v>
      </c>
      <c r="R374" s="1"/>
    </row>
    <row r="375" spans="1:18" x14ac:dyDescent="0.25">
      <c r="A375" s="2">
        <f ca="1">IFERROR(__xludf.DUMMYFUNCTION("""COMPUTED_VALUE"""),44952.7191622916)</f>
        <v>44952.7191622916</v>
      </c>
      <c r="B375" s="1" t="str">
        <f ca="1">IFERROR(__xludf.DUMMYFUNCTION("""COMPUTED_VALUE"""),"India")</f>
        <v>India</v>
      </c>
      <c r="C375" s="1">
        <f ca="1">IFERROR(__xludf.DUMMYFUNCTION("""COMPUTED_VALUE"""),631052)</f>
        <v>631052</v>
      </c>
      <c r="D375" s="1" t="str">
        <f ca="1">IFERROR(__xludf.DUMMYFUNCTION("""COMPUTED_VALUE"""),"Female")</f>
        <v>Female</v>
      </c>
      <c r="E375" s="1" t="str">
        <f ca="1">IFERROR(__xludf.DUMMYFUNCTION("""COMPUTED_VALUE"""),"My Parents")</f>
        <v>My Parents</v>
      </c>
      <c r="F375" s="1" t="str">
        <f ca="1">IFERROR(__xludf.DUMMYFUNCTION("""COMPUTED_VALUE"""),"Yes, I will earn and do that")</f>
        <v>Yes, I will earn and do that</v>
      </c>
      <c r="G375" s="1" t="str">
        <f ca="1">IFERROR(__xludf.DUMMYFUNCTION("""COMPUTED_VALUE"""),"This will be hard to do, but if it is the right company I would try")</f>
        <v>This will be hard to do, but if it is the right company I would try</v>
      </c>
      <c r="H375" s="1" t="str">
        <f ca="1">IFERROR(__xludf.DUMMYFUNCTION("""COMPUTED_VALUE"""),"No")</f>
        <v>No</v>
      </c>
      <c r="I375" s="1" t="str">
        <f ca="1">IFERROR(__xludf.DUMMYFUNCTION("""COMPUTED_VALUE"""),"Will NOT work for them")</f>
        <v>Will NOT work for them</v>
      </c>
      <c r="J375" s="1">
        <f ca="1">IFERROR(__xludf.DUMMYFUNCTION("""COMPUTED_VALUE"""),2)</f>
        <v>2</v>
      </c>
      <c r="K375" s="1" t="str">
        <f ca="1">IFERROR(__xludf.DUMMYFUNCTION("""COMPUTED_VALUE"""),"Hybrid Working Environment with less than 15 days a month at office")</f>
        <v>Hybrid Working Environment with less than 15 days a month at office</v>
      </c>
      <c r="L375" s="1" t="str">
        <f ca="1">IFERROR(__xludf.DUMMYFUNCTION("""COMPUTED_VALUE"""),"Employer who appreciates learning and enables that environment")</f>
        <v>Employer who appreciates learning and enables that environment</v>
      </c>
      <c r="M375"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N375" s="4" t="s">
        <v>54</v>
      </c>
      <c r="O375" s="1" t="str">
        <f ca="1">IFERROR(__xludf.DUMMYFUNCTION("""COMPUTED_VALUE"""),"Manager who explains what is expected, sets a goal and helps achieve it")</f>
        <v>Manager who explains what is expected, sets a goal and helps achieve it</v>
      </c>
      <c r="P375" s="1" t="str">
        <f ca="1">IFERROR(__xludf.DUMMYFUNCTION("""COMPUTED_VALUE"""),"Work &gt;=7 People in the Team")</f>
        <v>Work &gt;=7 People in the Team</v>
      </c>
      <c r="Q375" s="1" t="s">
        <v>41</v>
      </c>
      <c r="R375" s="1"/>
    </row>
    <row r="376" spans="1:18" x14ac:dyDescent="0.25">
      <c r="A376" s="2">
        <f ca="1">IFERROR(__xludf.DUMMYFUNCTION("""COMPUTED_VALUE"""),44952.9457343055)</f>
        <v>44952.945734305496</v>
      </c>
      <c r="B376" s="1" t="str">
        <f ca="1">IFERROR(__xludf.DUMMYFUNCTION("""COMPUTED_VALUE"""),"India")</f>
        <v>India</v>
      </c>
      <c r="C376" s="1">
        <f ca="1">IFERROR(__xludf.DUMMYFUNCTION("""COMPUTED_VALUE"""),416520)</f>
        <v>416520</v>
      </c>
      <c r="D376" s="1" t="str">
        <f ca="1">IFERROR(__xludf.DUMMYFUNCTION("""COMPUTED_VALUE"""),"Female")</f>
        <v>Female</v>
      </c>
      <c r="E376" s="1" t="str">
        <f ca="1">IFERROR(__xludf.DUMMYFUNCTION("""COMPUTED_VALUE"""),"My Parents")</f>
        <v>My Parents</v>
      </c>
      <c r="F376" s="1" t="str">
        <f ca="1">IFERROR(__xludf.DUMMYFUNCTION("""COMPUTED_VALUE"""),"No I would not be pursuing Higher Education outside of India")</f>
        <v>No I would not be pursuing Higher Education outside of India</v>
      </c>
      <c r="G376" s="1" t="str">
        <f ca="1">IFERROR(__xludf.DUMMYFUNCTION("""COMPUTED_VALUE"""),"Will work for 3 years or more")</f>
        <v>Will work for 3 years or more</v>
      </c>
      <c r="H376" s="1" t="str">
        <f ca="1">IFERROR(__xludf.DUMMYFUNCTION("""COMPUTED_VALUE"""),"Yes")</f>
        <v>Yes</v>
      </c>
      <c r="I376" s="1" t="str">
        <f ca="1">IFERROR(__xludf.DUMMYFUNCTION("""COMPUTED_VALUE"""),"Will work for them")</f>
        <v>Will work for them</v>
      </c>
      <c r="J376" s="1">
        <f ca="1">IFERROR(__xludf.DUMMYFUNCTION("""COMPUTED_VALUE"""),2)</f>
        <v>2</v>
      </c>
      <c r="K376" s="1" t="str">
        <f ca="1">IFERROR(__xludf.DUMMYFUNCTION("""COMPUTED_VALUE"""),"Fully Remote with Options to travel as and when needed")</f>
        <v>Fully Remote with Options to travel as and when needed</v>
      </c>
      <c r="L376" s="1" t="str">
        <f ca="1">IFERROR(__xludf.DUMMYFUNCTION("""COMPUTED_VALUE"""),"Employer who pushes your limits by enabling an learning environment, and rewards you at the end")</f>
        <v>Employer who pushes your limits by enabling an learning environment, and rewards you at the end</v>
      </c>
      <c r="M37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N376" s="4" t="s">
        <v>50</v>
      </c>
      <c r="O376" s="1" t="str">
        <f ca="1">IFERROR(__xludf.DUMMYFUNCTION("""COMPUTED_VALUE"""),"Manager who explains what is expected, sets a goal and helps achieve it")</f>
        <v>Manager who explains what is expected, sets a goal and helps achieve it</v>
      </c>
      <c r="P376" s="1" t="str">
        <f ca="1">IFERROR(__xludf.DUMMYFUNCTION("""COMPUTED_VALUE"""),"Work &lt;=6 People in the Team")</f>
        <v>Work &lt;=6 People in the Team</v>
      </c>
      <c r="Q376" s="1" t="s">
        <v>42</v>
      </c>
      <c r="R376" s="1"/>
    </row>
    <row r="377" spans="1:18" x14ac:dyDescent="0.25">
      <c r="A377" s="2">
        <f ca="1">IFERROR(__xludf.DUMMYFUNCTION("""COMPUTED_VALUE"""),44954.4842589467)</f>
        <v>44954.484258946701</v>
      </c>
      <c r="B377" s="1" t="str">
        <f ca="1">IFERROR(__xludf.DUMMYFUNCTION("""COMPUTED_VALUE"""),"India")</f>
        <v>India</v>
      </c>
      <c r="C377" s="1">
        <f ca="1">IFERROR(__xludf.DUMMYFUNCTION("""COMPUTED_VALUE"""),560100)</f>
        <v>560100</v>
      </c>
      <c r="D377" s="1" t="str">
        <f ca="1">IFERROR(__xludf.DUMMYFUNCTION("""COMPUTED_VALUE"""),"Male")</f>
        <v>Male</v>
      </c>
      <c r="E377" s="1" t="str">
        <f ca="1">IFERROR(__xludf.DUMMYFUNCTION("""COMPUTED_VALUE"""),"Influencers who had successful careers")</f>
        <v>Influencers who had successful careers</v>
      </c>
      <c r="F377" s="1" t="str">
        <f ca="1">IFERROR(__xludf.DUMMYFUNCTION("""COMPUTED_VALUE"""),"No I would not be pursuing Higher Education outside of India")</f>
        <v>No I would not be pursuing Higher Education outside of India</v>
      </c>
      <c r="G377" s="1" t="str">
        <f ca="1">IFERROR(__xludf.DUMMYFUNCTION("""COMPUTED_VALUE"""),"Will work for 3 years or more")</f>
        <v>Will work for 3 years or more</v>
      </c>
      <c r="H377" s="1" t="str">
        <f ca="1">IFERROR(__xludf.DUMMYFUNCTION("""COMPUTED_VALUE"""),"No")</f>
        <v>No</v>
      </c>
      <c r="I377" s="1" t="str">
        <f ca="1">IFERROR(__xludf.DUMMYFUNCTION("""COMPUTED_VALUE"""),"Will NOT work for them")</f>
        <v>Will NOT work for them</v>
      </c>
      <c r="J377" s="1">
        <f ca="1">IFERROR(__xludf.DUMMYFUNCTION("""COMPUTED_VALUE"""),10)</f>
        <v>10</v>
      </c>
      <c r="K377" s="1" t="str">
        <f ca="1">IFERROR(__xludf.DUMMYFUNCTION("""COMPUTED_VALUE"""),"Every Day Office Environment")</f>
        <v>Every Day Office Environment</v>
      </c>
      <c r="L377" s="1" t="str">
        <f ca="1">IFERROR(__xludf.DUMMYFUNCTION("""COMPUTED_VALUE"""),"Employer who appreciates learning and enables that environment")</f>
        <v>Employer who appreciates learning and enables that environment</v>
      </c>
      <c r="M377"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N377" s="4" t="s">
        <v>51</v>
      </c>
      <c r="O377" s="1" t="str">
        <f ca="1">IFERROR(__xludf.DUMMYFUNCTION("""COMPUTED_VALUE"""),"Manager who sets goal and helps me achieve it")</f>
        <v>Manager who sets goal and helps me achieve it</v>
      </c>
      <c r="P377" s="1" t="str">
        <f ca="1">IFERROR(__xludf.DUMMYFUNCTION("""COMPUTED_VALUE"""),"Work &gt;10 people in Team")</f>
        <v>Work &gt;10 people in Team</v>
      </c>
      <c r="Q377" s="1" t="s">
        <v>40</v>
      </c>
      <c r="R377" s="1"/>
    </row>
    <row r="378" spans="1:18" x14ac:dyDescent="0.25">
      <c r="A378" s="2">
        <f ca="1">IFERROR(__xludf.DUMMYFUNCTION("""COMPUTED_VALUE"""),44954.4842905787)</f>
        <v>44954.484290578701</v>
      </c>
      <c r="B378" s="1" t="str">
        <f ca="1">IFERROR(__xludf.DUMMYFUNCTION("""COMPUTED_VALUE"""),"India")</f>
        <v>India</v>
      </c>
      <c r="C378" s="1">
        <f ca="1">IFERROR(__xludf.DUMMYFUNCTION("""COMPUTED_VALUE"""),632301)</f>
        <v>632301</v>
      </c>
      <c r="D378" s="1" t="str">
        <f ca="1">IFERROR(__xludf.DUMMYFUNCTION("""COMPUTED_VALUE"""),"Female")</f>
        <v>Female</v>
      </c>
      <c r="E378" s="1" t="str">
        <f ca="1">IFERROR(__xludf.DUMMYFUNCTION("""COMPUTED_VALUE"""),"Influencers who had successful careers")</f>
        <v>Influencers who had successful careers</v>
      </c>
      <c r="F378" s="1" t="str">
        <f ca="1">IFERROR(__xludf.DUMMYFUNCTION("""COMPUTED_VALUE"""),"No I would not be pursuing Higher Education outside of India")</f>
        <v>No I would not be pursuing Higher Education outside of India</v>
      </c>
      <c r="G378" s="1" t="str">
        <f ca="1">IFERROR(__xludf.DUMMYFUNCTION("""COMPUTED_VALUE"""),"This will be hard to do, but if it is the right company I would try")</f>
        <v>This will be hard to do, but if it is the right company I would try</v>
      </c>
      <c r="H378" s="1" t="str">
        <f ca="1">IFERROR(__xludf.DUMMYFUNCTION("""COMPUTED_VALUE"""),"Yes")</f>
        <v>Yes</v>
      </c>
      <c r="I378" s="1" t="str">
        <f ca="1">IFERROR(__xludf.DUMMYFUNCTION("""COMPUTED_VALUE"""),"Will work for them")</f>
        <v>Will work for them</v>
      </c>
      <c r="J378" s="1">
        <f ca="1">IFERROR(__xludf.DUMMYFUNCTION("""COMPUTED_VALUE"""),5)</f>
        <v>5</v>
      </c>
      <c r="K378" s="1" t="str">
        <f ca="1">IFERROR(__xludf.DUMMYFUNCTION("""COMPUTED_VALUE"""),"Every Day Office Environment")</f>
        <v>Every Day Office Environment</v>
      </c>
      <c r="L378" s="1" t="str">
        <f ca="1">IFERROR(__xludf.DUMMYFUNCTION("""COMPUTED_VALUE"""),"Employer who appreciates learning and enables that environment")</f>
        <v>Employer who appreciates learning and enables that environment</v>
      </c>
      <c r="M378"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N378" s="4" t="s">
        <v>55</v>
      </c>
      <c r="O378" s="1" t="str">
        <f ca="1">IFERROR(__xludf.DUMMYFUNCTION("""COMPUTED_VALUE"""),"Manager who explains what is expected, sets a goal and helps achieve it")</f>
        <v>Manager who explains what is expected, sets a goal and helps achieve it</v>
      </c>
      <c r="P378" s="1" t="str">
        <f ca="1">IFERROR(__xludf.DUMMYFUNCTION("""COMPUTED_VALUE"""),"Work &lt;=6 People in the Team")</f>
        <v>Work &lt;=6 People in the Team</v>
      </c>
      <c r="Q378" s="1" t="s">
        <v>41</v>
      </c>
      <c r="R378" s="1"/>
    </row>
    <row r="379" spans="1:18" x14ac:dyDescent="0.25">
      <c r="A379" s="2">
        <f ca="1">IFERROR(__xludf.DUMMYFUNCTION("""COMPUTED_VALUE"""),44977.8779770138)</f>
        <v>44977.877977013799</v>
      </c>
      <c r="B379" s="1" t="str">
        <f ca="1">IFERROR(__xludf.DUMMYFUNCTION("""COMPUTED_VALUE"""),"India")</f>
        <v>India</v>
      </c>
      <c r="C379" s="1">
        <f ca="1">IFERROR(__xludf.DUMMYFUNCTION("""COMPUTED_VALUE"""),641046)</f>
        <v>641046</v>
      </c>
      <c r="D379" s="1" t="str">
        <f ca="1">IFERROR(__xludf.DUMMYFUNCTION("""COMPUTED_VALUE"""),"Male")</f>
        <v>Male</v>
      </c>
      <c r="E379" s="1" t="str">
        <f ca="1">IFERROR(__xludf.DUMMYFUNCTION("""COMPUTED_VALUE"""),"People who have changed the world for better")</f>
        <v>People who have changed the world for better</v>
      </c>
      <c r="F379" s="1" t="str">
        <f ca="1">IFERROR(__xludf.DUMMYFUNCTION("""COMPUTED_VALUE"""),"Yes, I will earn and do that")</f>
        <v>Yes, I will earn and do that</v>
      </c>
      <c r="G379" s="1" t="str">
        <f ca="1">IFERROR(__xludf.DUMMYFUNCTION("""COMPUTED_VALUE"""),"This will be hard to do, but if it is the right company I would try")</f>
        <v>This will be hard to do, but if it is the right company I would try</v>
      </c>
      <c r="H379" s="1" t="str">
        <f ca="1">IFERROR(__xludf.DUMMYFUNCTION("""COMPUTED_VALUE"""),"Yes")</f>
        <v>Yes</v>
      </c>
      <c r="I379" s="1" t="str">
        <f ca="1">IFERROR(__xludf.DUMMYFUNCTION("""COMPUTED_VALUE"""),"Will NOT work for them")</f>
        <v>Will NOT work for them</v>
      </c>
      <c r="J379" s="1">
        <f ca="1">IFERROR(__xludf.DUMMYFUNCTION("""COMPUTED_VALUE"""),6)</f>
        <v>6</v>
      </c>
      <c r="K379" s="1" t="str">
        <f ca="1">IFERROR(__xludf.DUMMYFUNCTION("""COMPUTED_VALUE"""),"Every Day Office Environment")</f>
        <v>Every Day Office Environment</v>
      </c>
      <c r="L379" s="1" t="str">
        <f ca="1">IFERROR(__xludf.DUMMYFUNCTION("""COMPUTED_VALUE"""),"Employer who appreciates learning and enables that environment")</f>
        <v>Employer who appreciates learning and enables that environment</v>
      </c>
      <c r="M379"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N379" s="4" t="s">
        <v>54</v>
      </c>
      <c r="O379" s="1" t="str">
        <f ca="1">IFERROR(__xludf.DUMMYFUNCTION("""COMPUTED_VALUE"""),"Manager who explains what is expected, sets a goal and helps achieve it")</f>
        <v>Manager who explains what is expected, sets a goal and helps achieve it</v>
      </c>
      <c r="P379" s="1" t="str">
        <f ca="1">IFERROR(__xludf.DUMMYFUNCTION("""COMPUTED_VALUE"""),"Work &lt;67 People in the Team")</f>
        <v>Work &lt;67 People in the Team</v>
      </c>
      <c r="Q379" s="1" t="s">
        <v>40</v>
      </c>
      <c r="R379" s="1"/>
    </row>
    <row r="380" spans="1:18" x14ac:dyDescent="0.25">
      <c r="A380" s="2">
        <f ca="1">IFERROR(__xludf.DUMMYFUNCTION("""COMPUTED_VALUE"""),44979.5104514583)</f>
        <v>44979.5104514583</v>
      </c>
      <c r="B380" s="1" t="str">
        <f ca="1">IFERROR(__xludf.DUMMYFUNCTION("""COMPUTED_VALUE"""),"India")</f>
        <v>India</v>
      </c>
      <c r="C380" s="1">
        <f ca="1">IFERROR(__xludf.DUMMYFUNCTION("""COMPUTED_VALUE"""),394230)</f>
        <v>394230</v>
      </c>
      <c r="D380" s="1" t="str">
        <f ca="1">IFERROR(__xludf.DUMMYFUNCTION("""COMPUTED_VALUE"""),"Male")</f>
        <v>Male</v>
      </c>
      <c r="E380" s="1" t="str">
        <f ca="1">IFERROR(__xludf.DUMMYFUNCTION("""COMPUTED_VALUE"""),"My Parents")</f>
        <v>My Parents</v>
      </c>
      <c r="F380" s="1" t="str">
        <f ca="1">IFERROR(__xludf.DUMMYFUNCTION("""COMPUTED_VALUE"""),"No, But if someone could bare the cost I will")</f>
        <v>No, But if someone could bare the cost I will</v>
      </c>
      <c r="G380" s="1" t="str">
        <f ca="1">IFERROR(__xludf.DUMMYFUNCTION("""COMPUTED_VALUE"""),"This will be hard to do, but if it is the right company I would try")</f>
        <v>This will be hard to do, but if it is the right company I would try</v>
      </c>
      <c r="H380" s="1" t="str">
        <f ca="1">IFERROR(__xludf.DUMMYFUNCTION("""COMPUTED_VALUE"""),"Yes")</f>
        <v>Yes</v>
      </c>
      <c r="I380" s="1" t="str">
        <f ca="1">IFERROR(__xludf.DUMMYFUNCTION("""COMPUTED_VALUE"""),"Will work for them")</f>
        <v>Will work for them</v>
      </c>
      <c r="J380" s="1">
        <f ca="1">IFERROR(__xludf.DUMMYFUNCTION("""COMPUTED_VALUE"""),10)</f>
        <v>10</v>
      </c>
      <c r="K380" s="1" t="str">
        <f ca="1">IFERROR(__xludf.DUMMYFUNCTION("""COMPUTED_VALUE"""),"Every Day Office Environment")</f>
        <v>Every Day Office Environment</v>
      </c>
      <c r="L380" s="1" t="str">
        <f ca="1">IFERROR(__xludf.DUMMYFUNCTION("""COMPUTED_VALUE"""),"Employer who pushes your limits by enabling an learning environment, and rewards you at the end")</f>
        <v>Employer who pushes your limits by enabling an learning environment, and rewards you at the end</v>
      </c>
      <c r="M380"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N380" s="4" t="s">
        <v>50</v>
      </c>
      <c r="O380" s="1" t="str">
        <f ca="1">IFERROR(__xludf.DUMMYFUNCTION("""COMPUTED_VALUE"""),"Manager who explains what is expected, sets a goal and helps achieve it")</f>
        <v>Manager who explains what is expected, sets a goal and helps achieve it</v>
      </c>
      <c r="P380" s="1" t="str">
        <f ca="1">IFERROR(__xludf.DUMMYFUNCTION("""COMPUTED_VALUE"""),"Work &lt;=6 People in the Team")</f>
        <v>Work &lt;=6 People in the Team</v>
      </c>
      <c r="Q380" s="1" t="s">
        <v>40</v>
      </c>
      <c r="R380" s="1"/>
    </row>
    <row r="381" spans="1:18" x14ac:dyDescent="0.25">
      <c r="A381" s="2">
        <f ca="1">IFERROR(__xludf.DUMMYFUNCTION("""COMPUTED_VALUE"""),44985.8199412963)</f>
        <v>44985.8199412963</v>
      </c>
      <c r="B381" s="1" t="str">
        <f ca="1">IFERROR(__xludf.DUMMYFUNCTION("""COMPUTED_VALUE"""),"India")</f>
        <v>India</v>
      </c>
      <c r="C381" s="1">
        <f ca="1">IFERROR(__xludf.DUMMYFUNCTION("""COMPUTED_VALUE"""),44023)</f>
        <v>44023</v>
      </c>
      <c r="D381" s="1" t="str">
        <f ca="1">IFERROR(__xludf.DUMMYFUNCTION("""COMPUTED_VALUE"""),"Male")</f>
        <v>Male</v>
      </c>
      <c r="E381" s="1" t="str">
        <f ca="1">IFERROR(__xludf.DUMMYFUNCTION("""COMPUTED_VALUE"""),"My Parents")</f>
        <v>My Parents</v>
      </c>
      <c r="F381" s="1" t="str">
        <f ca="1">IFERROR(__xludf.DUMMYFUNCTION("""COMPUTED_VALUE"""),"No I would not be pursuing Higher Education outside of India")</f>
        <v>No I would not be pursuing Higher Education outside of India</v>
      </c>
      <c r="G381" s="1" t="str">
        <f ca="1">IFERROR(__xludf.DUMMYFUNCTION("""COMPUTED_VALUE"""),"This will be hard to do, but if it is the right company I would try")</f>
        <v>This will be hard to do, but if it is the right company I would try</v>
      </c>
      <c r="H381" s="1" t="str">
        <f ca="1">IFERROR(__xludf.DUMMYFUNCTION("""COMPUTED_VALUE"""),"Yes")</f>
        <v>Yes</v>
      </c>
      <c r="I381" s="1" t="str">
        <f ca="1">IFERROR(__xludf.DUMMYFUNCTION("""COMPUTED_VALUE"""),"Will work for them")</f>
        <v>Will work for them</v>
      </c>
      <c r="J381" s="1">
        <f ca="1">IFERROR(__xludf.DUMMYFUNCTION("""COMPUTED_VALUE"""),5)</f>
        <v>5</v>
      </c>
      <c r="K381" s="1" t="str">
        <f ca="1">IFERROR(__xludf.DUMMYFUNCTION("""COMPUTED_VALUE"""),"Hybrid Working Environment with less than 10 days a month at office")</f>
        <v>Hybrid Working Environment with less than 10 days a month at office</v>
      </c>
      <c r="L381" s="1" t="str">
        <f ca="1">IFERROR(__xludf.DUMMYFUNCTION("""COMPUTED_VALUE"""),"Employer who rewards learning and enables that environment")</f>
        <v>Employer who rewards learning and enables that environment</v>
      </c>
      <c r="M381"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N381" s="4" t="s">
        <v>51</v>
      </c>
      <c r="O381" s="1" t="str">
        <f ca="1">IFERROR(__xludf.DUMMYFUNCTION("""COMPUTED_VALUE"""),"Manager who sets goal and helps me achieve it")</f>
        <v>Manager who sets goal and helps me achieve it</v>
      </c>
      <c r="P381" s="1" t="str">
        <f ca="1">IFERROR(__xludf.DUMMYFUNCTION("""COMPUTED_VALUE"""),"Work &gt;10 people in Team")</f>
        <v>Work &gt;10 people in Team</v>
      </c>
      <c r="Q381" s="1" t="s">
        <v>40</v>
      </c>
      <c r="R381" s="1"/>
    </row>
    <row r="382" spans="1:18" x14ac:dyDescent="0.25">
      <c r="A382" s="2">
        <f ca="1">IFERROR(__xludf.DUMMYFUNCTION("""COMPUTED_VALUE"""),45012.6643323726)</f>
        <v>45012.664332372602</v>
      </c>
      <c r="B382" s="1" t="str">
        <f ca="1">IFERROR(__xludf.DUMMYFUNCTION("""COMPUTED_VALUE"""),"India")</f>
        <v>India</v>
      </c>
      <c r="C382" s="1">
        <f ca="1">IFERROR(__xludf.DUMMYFUNCTION("""COMPUTED_VALUE"""),620017)</f>
        <v>620017</v>
      </c>
      <c r="D382" s="1" t="str">
        <f ca="1">IFERROR(__xludf.DUMMYFUNCTION("""COMPUTED_VALUE"""),"Female")</f>
        <v>Female</v>
      </c>
      <c r="E382" s="1" t="str">
        <f ca="1">IFERROR(__xludf.DUMMYFUNCTION("""COMPUTED_VALUE"""),"People who have changed the world for better")</f>
        <v>People who have changed the world for better</v>
      </c>
      <c r="F382" s="1" t="str">
        <f ca="1">IFERROR(__xludf.DUMMYFUNCTION("""COMPUTED_VALUE"""),"No, But if someone could bare the cost I will")</f>
        <v>No, But if someone could bare the cost I will</v>
      </c>
      <c r="G382" s="1" t="str">
        <f ca="1">IFERROR(__xludf.DUMMYFUNCTION("""COMPUTED_VALUE"""),"Will work for 3 years or more")</f>
        <v>Will work for 3 years or more</v>
      </c>
      <c r="H382" s="1" t="str">
        <f ca="1">IFERROR(__xludf.DUMMYFUNCTION("""COMPUTED_VALUE"""),"No")</f>
        <v>No</v>
      </c>
      <c r="I382" s="1" t="str">
        <f ca="1">IFERROR(__xludf.DUMMYFUNCTION("""COMPUTED_VALUE"""),"Will NOT work for them")</f>
        <v>Will NOT work for them</v>
      </c>
      <c r="J382" s="1">
        <f ca="1">IFERROR(__xludf.DUMMYFUNCTION("""COMPUTED_VALUE"""),5)</f>
        <v>5</v>
      </c>
      <c r="K382" s="1" t="str">
        <f ca="1">IFERROR(__xludf.DUMMYFUNCTION("""COMPUTED_VALUE"""),"Hybrid Working Environment with less than 15 days a month at office")</f>
        <v>Hybrid Working Environment with less than 15 days a month at office</v>
      </c>
      <c r="L382" s="1" t="str">
        <f ca="1">IFERROR(__xludf.DUMMYFUNCTION("""COMPUTED_VALUE"""),"Employer who appreciates learning and enables that environment")</f>
        <v>Employer who appreciates learning and enables that environment</v>
      </c>
      <c r="M382"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N382" s="4" t="s">
        <v>59</v>
      </c>
      <c r="O382" s="1" t="str">
        <f ca="1">IFERROR(__xludf.DUMMYFUNCTION("""COMPUTED_VALUE"""),"Manager who explains what is expected, sets a goal and helps achieve it")</f>
        <v>Manager who explains what is expected, sets a goal and helps achieve it</v>
      </c>
      <c r="P382" s="1" t="str">
        <f ca="1">IFERROR(__xludf.DUMMYFUNCTION("""COMPUTED_VALUE"""),"Work  &lt;67 people in team")</f>
        <v>Work  &lt;67 people in team</v>
      </c>
      <c r="Q382" s="1" t="s">
        <v>41</v>
      </c>
      <c r="R382" s="1"/>
    </row>
    <row r="383" spans="1:18" x14ac:dyDescent="0.25">
      <c r="A383" s="2">
        <f ca="1">IFERROR(__xludf.DUMMYFUNCTION("""COMPUTED_VALUE"""),45020.8773611458)</f>
        <v>45020.877361145802</v>
      </c>
      <c r="B383" s="1" t="str">
        <f ca="1">IFERROR(__xludf.DUMMYFUNCTION("""COMPUTED_VALUE"""),"India")</f>
        <v>India</v>
      </c>
      <c r="C383" s="1">
        <f ca="1">IFERROR(__xludf.DUMMYFUNCTION("""COMPUTED_VALUE"""),500032)</f>
        <v>500032</v>
      </c>
      <c r="D383" s="1" t="str">
        <f ca="1">IFERROR(__xludf.DUMMYFUNCTION("""COMPUTED_VALUE"""),"Male")</f>
        <v>Male</v>
      </c>
      <c r="E383" s="1" t="str">
        <f ca="1">IFERROR(__xludf.DUMMYFUNCTION("""COMPUTED_VALUE"""),"People who have changed the world for better")</f>
        <v>People who have changed the world for better</v>
      </c>
      <c r="F383" s="1" t="str">
        <f ca="1">IFERROR(__xludf.DUMMYFUNCTION("""COMPUTED_VALUE"""),"No I would not be pursuing Higher Education outside of India")</f>
        <v>No I would not be pursuing Higher Education outside of India</v>
      </c>
      <c r="G383" s="1" t="str">
        <f ca="1">IFERROR(__xludf.DUMMYFUNCTION("""COMPUTED_VALUE"""),"Will work for 3 years or more")</f>
        <v>Will work for 3 years or more</v>
      </c>
      <c r="H383" s="1" t="str">
        <f ca="1">IFERROR(__xludf.DUMMYFUNCTION("""COMPUTED_VALUE"""),"No")</f>
        <v>No</v>
      </c>
      <c r="I383" s="1" t="str">
        <f ca="1">IFERROR(__xludf.DUMMYFUNCTION("""COMPUTED_VALUE"""),"Will NOT work for them")</f>
        <v>Will NOT work for them</v>
      </c>
      <c r="J383" s="1">
        <f ca="1">IFERROR(__xludf.DUMMYFUNCTION("""COMPUTED_VALUE"""),5)</f>
        <v>5</v>
      </c>
      <c r="K383" s="1" t="str">
        <f ca="1">IFERROR(__xludf.DUMMYFUNCTION("""COMPUTED_VALUE"""),"Fully Remote with Options to travel as and when needed")</f>
        <v>Fully Remote with Options to travel as and when needed</v>
      </c>
      <c r="L383" s="1" t="str">
        <f ca="1">IFERROR(__xludf.DUMMYFUNCTION("""COMPUTED_VALUE"""),"Employer who pushes your limits by enabling an learning environment, and rewards you at the end")</f>
        <v>Employer who pushes your limits by enabling an learning environment, and rewards you at the end</v>
      </c>
      <c r="M383"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N383" s="4" t="s">
        <v>59</v>
      </c>
      <c r="O383" s="1" t="str">
        <f ca="1">IFERROR(__xludf.DUMMYFUNCTION("""COMPUTED_VALUE"""),"Manager who explains what is expected, sets a goal and helps achieve it")</f>
        <v>Manager who explains what is expected, sets a goal and helps achieve it</v>
      </c>
      <c r="P383" s="1" t="str">
        <f ca="1">IFERROR(__xludf.DUMMYFUNCTION("""COMPUTED_VALUE"""),"Work Alone, &lt;67 people in team")</f>
        <v>Work Alone, &lt;67 people in team</v>
      </c>
      <c r="Q383" s="1" t="s">
        <v>40</v>
      </c>
      <c r="R383" s="1"/>
    </row>
    <row r="384" spans="1:18" x14ac:dyDescent="0.25">
      <c r="A384" s="2">
        <f ca="1">IFERROR(__xludf.DUMMYFUNCTION("""COMPUTED_VALUE"""),45020.8783153472)</f>
        <v>45020.878315347203</v>
      </c>
      <c r="B384" s="1" t="str">
        <f ca="1">IFERROR(__xludf.DUMMYFUNCTION("""COMPUTED_VALUE"""),"India")</f>
        <v>India</v>
      </c>
      <c r="C384" s="1">
        <f ca="1">IFERROR(__xludf.DUMMYFUNCTION("""COMPUTED_VALUE"""),600083)</f>
        <v>600083</v>
      </c>
      <c r="D384" s="1" t="str">
        <f ca="1">IFERROR(__xludf.DUMMYFUNCTION("""COMPUTED_VALUE"""),"Female")</f>
        <v>Female</v>
      </c>
      <c r="E384" s="1" t="str">
        <f ca="1">IFERROR(__xludf.DUMMYFUNCTION("""COMPUTED_VALUE"""),"People from my circle, but not family members")</f>
        <v>People from my circle, but not family members</v>
      </c>
      <c r="F384" s="1" t="str">
        <f ca="1">IFERROR(__xludf.DUMMYFUNCTION("""COMPUTED_VALUE"""),"Yes, I will earn and do that")</f>
        <v>Yes, I will earn and do that</v>
      </c>
      <c r="G384" s="1" t="str">
        <f ca="1">IFERROR(__xludf.DUMMYFUNCTION("""COMPUTED_VALUE"""),"No way, 3 years with one employer is crazy")</f>
        <v>No way, 3 years with one employer is crazy</v>
      </c>
      <c r="H384" s="1" t="str">
        <f ca="1">IFERROR(__xludf.DUMMYFUNCTION("""COMPUTED_VALUE"""),"No")</f>
        <v>No</v>
      </c>
      <c r="I384" s="1" t="str">
        <f ca="1">IFERROR(__xludf.DUMMYFUNCTION("""COMPUTED_VALUE"""),"Will NOT work for them")</f>
        <v>Will NOT work for them</v>
      </c>
      <c r="J384" s="1">
        <f ca="1">IFERROR(__xludf.DUMMYFUNCTION("""COMPUTED_VALUE"""),3)</f>
        <v>3</v>
      </c>
      <c r="K384" s="1" t="str">
        <f ca="1">IFERROR(__xludf.DUMMYFUNCTION("""COMPUTED_VALUE"""),"Fully Remote with Options to travel as and when needed")</f>
        <v>Fully Remote with Options to travel as and when needed</v>
      </c>
      <c r="L384" s="1" t="str">
        <f ca="1">IFERROR(__xludf.DUMMYFUNCTION("""COMPUTED_VALUE"""),"Employer who pushes your limits by enabling an learning environment, and rewards you at the end")</f>
        <v>Employer who pushes your limits by enabling an learning environment, and rewards you at the end</v>
      </c>
      <c r="M38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N384" s="4" t="s">
        <v>51</v>
      </c>
      <c r="O384" s="1" t="str">
        <f ca="1">IFERROR(__xludf.DUMMYFUNCTION("""COMPUTED_VALUE"""),"Manager who explains what is expected, sets a goal and helps achieve it")</f>
        <v>Manager who explains what is expected, sets a goal and helps achieve it</v>
      </c>
      <c r="P384" s="1" t="str">
        <f ca="1">IFERROR(__xludf.DUMMYFUNCTION("""COMPUTED_VALUE"""),"Work Alone, &lt;=6 in team")</f>
        <v>Work Alone, &lt;=6 in team</v>
      </c>
      <c r="Q384" s="1" t="s">
        <v>41</v>
      </c>
      <c r="R384" s="1"/>
    </row>
    <row r="385" spans="1:18" x14ac:dyDescent="0.25">
      <c r="A385" s="2">
        <f ca="1">IFERROR(__xludf.DUMMYFUNCTION("""COMPUTED_VALUE"""),45020.8844391666)</f>
        <v>45020.884439166599</v>
      </c>
      <c r="B385" s="1" t="str">
        <f ca="1">IFERROR(__xludf.DUMMYFUNCTION("""COMPUTED_VALUE"""),"India")</f>
        <v>India</v>
      </c>
      <c r="C385" s="1">
        <f ca="1">IFERROR(__xludf.DUMMYFUNCTION("""COMPUTED_VALUE"""),560016)</f>
        <v>560016</v>
      </c>
      <c r="D385" s="1" t="str">
        <f ca="1">IFERROR(__xludf.DUMMYFUNCTION("""COMPUTED_VALUE"""),"Male")</f>
        <v>Male</v>
      </c>
      <c r="E385" s="1" t="str">
        <f ca="1">IFERROR(__xludf.DUMMYFUNCTION("""COMPUTED_VALUE"""),"Influencers who had successful careers")</f>
        <v>Influencers who had successful careers</v>
      </c>
      <c r="F385" s="1" t="str">
        <f ca="1">IFERROR(__xludf.DUMMYFUNCTION("""COMPUTED_VALUE"""),"No, But if someone could bare the cost I will")</f>
        <v>No, But if someone could bare the cost I will</v>
      </c>
      <c r="G385" s="1" t="str">
        <f ca="1">IFERROR(__xludf.DUMMYFUNCTION("""COMPUTED_VALUE"""),"This will be hard to do, but if it is the right company I would try")</f>
        <v>This will be hard to do, but if it is the right company I would try</v>
      </c>
      <c r="H385" s="1" t="str">
        <f ca="1">IFERROR(__xludf.DUMMYFUNCTION("""COMPUTED_VALUE"""),"No")</f>
        <v>No</v>
      </c>
      <c r="I385" s="1" t="str">
        <f ca="1">IFERROR(__xludf.DUMMYFUNCTION("""COMPUTED_VALUE"""),"Will work for them")</f>
        <v>Will work for them</v>
      </c>
      <c r="J385" s="1">
        <f ca="1">IFERROR(__xludf.DUMMYFUNCTION("""COMPUTED_VALUE"""),5)</f>
        <v>5</v>
      </c>
      <c r="K385" s="1" t="str">
        <f ca="1">IFERROR(__xludf.DUMMYFUNCTION("""COMPUTED_VALUE"""),"Fully Remote with Options to travel as and when needed")</f>
        <v>Fully Remote with Options to travel as and when needed</v>
      </c>
      <c r="L385" s="1" t="str">
        <f ca="1">IFERROR(__xludf.DUMMYFUNCTION("""COMPUTED_VALUE"""),"Employer who appreciates learning and enables that environment")</f>
        <v>Employer who appreciates learning and enables that environment</v>
      </c>
      <c r="M385"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N385" s="4" t="s">
        <v>48</v>
      </c>
      <c r="O385" s="1" t="str">
        <f ca="1">IFERROR(__xludf.DUMMYFUNCTION("""COMPUTED_VALUE"""),"Manager who explains what is expected, sets a goal and helps achieve it")</f>
        <v>Manager who explains what is expected, sets a goal and helps achieve it</v>
      </c>
      <c r="P385" s="1" t="str">
        <f ca="1">IFERROR(__xludf.DUMMYFUNCTION("""COMPUTED_VALUE"""),"Work &gt;10 people in Team")</f>
        <v>Work &gt;10 people in Team</v>
      </c>
      <c r="Q385" s="1" t="s">
        <v>40</v>
      </c>
      <c r="R385" s="1"/>
    </row>
    <row r="386" spans="1:18" x14ac:dyDescent="0.25">
      <c r="A386" s="2">
        <f ca="1">IFERROR(__xludf.DUMMYFUNCTION("""COMPUTED_VALUE"""),45020.884921875)</f>
        <v>45020.884921874997</v>
      </c>
      <c r="B386" s="1" t="str">
        <f ca="1">IFERROR(__xludf.DUMMYFUNCTION("""COMPUTED_VALUE"""),"India")</f>
        <v>India</v>
      </c>
      <c r="C386" s="1">
        <f ca="1">IFERROR(__xludf.DUMMYFUNCTION("""COMPUTED_VALUE"""),560083)</f>
        <v>560083</v>
      </c>
      <c r="D386" s="1" t="str">
        <f ca="1">IFERROR(__xludf.DUMMYFUNCTION("""COMPUTED_VALUE"""),"Male")</f>
        <v>Male</v>
      </c>
      <c r="E386" s="1" t="str">
        <f ca="1">IFERROR(__xludf.DUMMYFUNCTION("""COMPUTED_VALUE"""),"People from my circle, but not family members")</f>
        <v>People from my circle, but not family members</v>
      </c>
      <c r="F386" s="1" t="str">
        <f ca="1">IFERROR(__xludf.DUMMYFUNCTION("""COMPUTED_VALUE"""),"No I would not be pursuing Higher Education outside of India")</f>
        <v>No I would not be pursuing Higher Education outside of India</v>
      </c>
      <c r="G386" s="1" t="str">
        <f ca="1">IFERROR(__xludf.DUMMYFUNCTION("""COMPUTED_VALUE"""),"Will work for 3 years or more")</f>
        <v>Will work for 3 years or more</v>
      </c>
      <c r="H386" s="1" t="str">
        <f ca="1">IFERROR(__xludf.DUMMYFUNCTION("""COMPUTED_VALUE"""),"No")</f>
        <v>No</v>
      </c>
      <c r="I386" s="1" t="str">
        <f ca="1">IFERROR(__xludf.DUMMYFUNCTION("""COMPUTED_VALUE"""),"Will NOT work for them")</f>
        <v>Will NOT work for them</v>
      </c>
      <c r="J386" s="1">
        <f ca="1">IFERROR(__xludf.DUMMYFUNCTION("""COMPUTED_VALUE"""),1)</f>
        <v>1</v>
      </c>
      <c r="K386" s="1" t="str">
        <f ca="1">IFERROR(__xludf.DUMMYFUNCTION("""COMPUTED_VALUE"""),"Hybrid Working Environment with less than 3 days a month at office")</f>
        <v>Hybrid Working Environment with less than 3 days a month at office</v>
      </c>
      <c r="L386" s="1" t="str">
        <f ca="1">IFERROR(__xludf.DUMMYFUNCTION("""COMPUTED_VALUE"""),"Employer who pushes your limits by enabling an learning environment, and rewards you at the end")</f>
        <v>Employer who pushes your limits by enabling an learning environment, and rewards you at the end</v>
      </c>
      <c r="M386"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N386" s="4" t="s">
        <v>48</v>
      </c>
      <c r="O386" s="1" t="str">
        <f ca="1">IFERROR(__xludf.DUMMYFUNCTION("""COMPUTED_VALUE"""),"Manager who explains what is expected, sets a goal and helps achieve it")</f>
        <v>Manager who explains what is expected, sets a goal and helps achieve it</v>
      </c>
      <c r="P386" s="1" t="str">
        <f ca="1">IFERROR(__xludf.DUMMYFUNCTION("""COMPUTED_VALUE"""),"Work &lt;=6 People in the Team")</f>
        <v>Work &lt;=6 People in the Team</v>
      </c>
      <c r="Q386" s="1" t="s">
        <v>41</v>
      </c>
      <c r="R386" s="1"/>
    </row>
    <row r="387" spans="1:18" x14ac:dyDescent="0.25">
      <c r="A387" s="2">
        <f ca="1">IFERROR(__xludf.DUMMYFUNCTION("""COMPUTED_VALUE"""),45020.8854449189)</f>
        <v>45020.885444918902</v>
      </c>
      <c r="B387" s="1" t="str">
        <f ca="1">IFERROR(__xludf.DUMMYFUNCTION("""COMPUTED_VALUE"""),"India")</f>
        <v>India</v>
      </c>
      <c r="C387" s="1">
        <f ca="1">IFERROR(__xludf.DUMMYFUNCTION("""COMPUTED_VALUE"""),250001)</f>
        <v>250001</v>
      </c>
      <c r="D387" s="1" t="str">
        <f ca="1">IFERROR(__xludf.DUMMYFUNCTION("""COMPUTED_VALUE"""),"Male")</f>
        <v>Male</v>
      </c>
      <c r="E387" s="1" t="str">
        <f ca="1">IFERROR(__xludf.DUMMYFUNCTION("""COMPUTED_VALUE"""),"People who have changed the world for better")</f>
        <v>People who have changed the world for better</v>
      </c>
      <c r="F387" s="1" t="str">
        <f ca="1">IFERROR(__xludf.DUMMYFUNCTION("""COMPUTED_VALUE"""),"Yes, I will earn and do that")</f>
        <v>Yes, I will earn and do that</v>
      </c>
      <c r="G387" s="1" t="str">
        <f ca="1">IFERROR(__xludf.DUMMYFUNCTION("""COMPUTED_VALUE"""),"This will be hard to do, but if it is the right company I would try")</f>
        <v>This will be hard to do, but if it is the right company I would try</v>
      </c>
      <c r="H387" s="1" t="str">
        <f ca="1">IFERROR(__xludf.DUMMYFUNCTION("""COMPUTED_VALUE"""),"No")</f>
        <v>No</v>
      </c>
      <c r="I387" s="1" t="str">
        <f ca="1">IFERROR(__xludf.DUMMYFUNCTION("""COMPUTED_VALUE"""),"Will NOT work for them")</f>
        <v>Will NOT work for them</v>
      </c>
      <c r="J387" s="1">
        <f ca="1">IFERROR(__xludf.DUMMYFUNCTION("""COMPUTED_VALUE"""),6)</f>
        <v>6</v>
      </c>
      <c r="K387" s="1" t="str">
        <f ca="1">IFERROR(__xludf.DUMMYFUNCTION("""COMPUTED_VALUE"""),"Hybrid Working Environment with less than 3 days a month at office")</f>
        <v>Hybrid Working Environment with less than 3 days a month at office</v>
      </c>
      <c r="L387" s="1" t="str">
        <f ca="1">IFERROR(__xludf.DUMMYFUNCTION("""COMPUTED_VALUE"""),"Employer who rewards learning and enables that environment")</f>
        <v>Employer who rewards learning and enables that environment</v>
      </c>
      <c r="M38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387" s="4" t="s">
        <v>54</v>
      </c>
      <c r="O387" s="1" t="str">
        <f ca="1">IFERROR(__xludf.DUMMYFUNCTION("""COMPUTED_VALUE"""),"Manager who sets goal and helps me achieve it")</f>
        <v>Manager who sets goal and helps me achieve it</v>
      </c>
      <c r="P387" s="1" t="str">
        <f ca="1">IFERROR(__xludf.DUMMYFUNCTION("""COMPUTED_VALUE"""),"Work &lt;=6 People in the Team")</f>
        <v>Work &lt;=6 People in the Team</v>
      </c>
      <c r="Q387" s="1" t="s">
        <v>41</v>
      </c>
      <c r="R387" s="1"/>
    </row>
    <row r="388" spans="1:18" x14ac:dyDescent="0.25">
      <c r="A388" s="2">
        <f ca="1">IFERROR(__xludf.DUMMYFUNCTION("""COMPUTED_VALUE"""),45020.8891492361)</f>
        <v>45020.8891492361</v>
      </c>
      <c r="B388" s="1" t="str">
        <f ca="1">IFERROR(__xludf.DUMMYFUNCTION("""COMPUTED_VALUE"""),"India")</f>
        <v>India</v>
      </c>
      <c r="C388" s="1">
        <f ca="1">IFERROR(__xludf.DUMMYFUNCTION("""COMPUTED_VALUE"""),560034)</f>
        <v>560034</v>
      </c>
      <c r="D388" s="1" t="str">
        <f ca="1">IFERROR(__xludf.DUMMYFUNCTION("""COMPUTED_VALUE"""),"Male")</f>
        <v>Male</v>
      </c>
      <c r="E388" s="1" t="str">
        <f ca="1">IFERROR(__xludf.DUMMYFUNCTION("""COMPUTED_VALUE"""),"People who have changed the world for better")</f>
        <v>People who have changed the world for better</v>
      </c>
      <c r="F388" s="1" t="str">
        <f ca="1">IFERROR(__xludf.DUMMYFUNCTION("""COMPUTED_VALUE"""),"Yes, I will earn and do that")</f>
        <v>Yes, I will earn and do that</v>
      </c>
      <c r="G388" s="1" t="str">
        <f ca="1">IFERROR(__xludf.DUMMYFUNCTION("""COMPUTED_VALUE"""),"This will be hard to do, but if it is the right company I would try")</f>
        <v>This will be hard to do, but if it is the right company I would try</v>
      </c>
      <c r="H388" s="1" t="str">
        <f ca="1">IFERROR(__xludf.DUMMYFUNCTION("""COMPUTED_VALUE"""),"No")</f>
        <v>No</v>
      </c>
      <c r="I388" s="1" t="str">
        <f ca="1">IFERROR(__xludf.DUMMYFUNCTION("""COMPUTED_VALUE"""),"Will NOT work for them")</f>
        <v>Will NOT work for them</v>
      </c>
      <c r="J388" s="1">
        <f ca="1">IFERROR(__xludf.DUMMYFUNCTION("""COMPUTED_VALUE"""),1)</f>
        <v>1</v>
      </c>
      <c r="K388" s="1" t="str">
        <f ca="1">IFERROR(__xludf.DUMMYFUNCTION("""COMPUTED_VALUE"""),"Fully Remote with Options to travel as and when needed")</f>
        <v>Fully Remote with Options to travel as and when needed</v>
      </c>
      <c r="L388" s="1" t="str">
        <f ca="1">IFERROR(__xludf.DUMMYFUNCTION("""COMPUTED_VALUE"""),"Employer who pushes your limits by enabling an learning environment, and rewards you at the end")</f>
        <v>Employer who pushes your limits by enabling an learning environment, and rewards you at the end</v>
      </c>
      <c r="M388"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N388" s="4" t="s">
        <v>51</v>
      </c>
      <c r="O388" s="1" t="str">
        <f ca="1">IFERROR(__xludf.DUMMYFUNCTION("""COMPUTED_VALUE"""),"Manager who explains what is expected, sets a goal and helps achieve it")</f>
        <v>Manager who explains what is expected, sets a goal and helps achieve it</v>
      </c>
      <c r="P388" s="1" t="str">
        <f ca="1">IFERROR(__xludf.DUMMYFUNCTION("""COMPUTED_VALUE"""),"Work Alone, &lt;=6 in team")</f>
        <v>Work Alone, &lt;=6 in team</v>
      </c>
      <c r="Q388" s="1" t="s">
        <v>40</v>
      </c>
      <c r="R388" s="1"/>
    </row>
    <row r="389" spans="1:18" x14ac:dyDescent="0.25">
      <c r="A389" s="2">
        <f ca="1">IFERROR(__xludf.DUMMYFUNCTION("""COMPUTED_VALUE"""),45020.8962146874)</f>
        <v>45020.896214687396</v>
      </c>
      <c r="B389" s="1" t="str">
        <f ca="1">IFERROR(__xludf.DUMMYFUNCTION("""COMPUTED_VALUE"""),"India")</f>
        <v>India</v>
      </c>
      <c r="C389" s="1">
        <f ca="1">IFERROR(__xludf.DUMMYFUNCTION("""COMPUTED_VALUE"""),641004)</f>
        <v>641004</v>
      </c>
      <c r="D389" s="1" t="str">
        <f ca="1">IFERROR(__xludf.DUMMYFUNCTION("""COMPUTED_VALUE"""),"Male")</f>
        <v>Male</v>
      </c>
      <c r="E389" s="1" t="str">
        <f ca="1">IFERROR(__xludf.DUMMYFUNCTION("""COMPUTED_VALUE"""),"Social Media like LinkedIn")</f>
        <v>Social Media like LinkedIn</v>
      </c>
      <c r="F389" s="1" t="str">
        <f ca="1">IFERROR(__xludf.DUMMYFUNCTION("""COMPUTED_VALUE"""),"Yes, I will earn and do that")</f>
        <v>Yes, I will earn and do that</v>
      </c>
      <c r="G389" s="1" t="str">
        <f ca="1">IFERROR(__xludf.DUMMYFUNCTION("""COMPUTED_VALUE"""),"Will work for 3 years or more")</f>
        <v>Will work for 3 years or more</v>
      </c>
      <c r="H389" s="1" t="str">
        <f ca="1">IFERROR(__xludf.DUMMYFUNCTION("""COMPUTED_VALUE"""),"Yes")</f>
        <v>Yes</v>
      </c>
      <c r="I389" s="1" t="str">
        <f ca="1">IFERROR(__xludf.DUMMYFUNCTION("""COMPUTED_VALUE"""),"Will NOT work for them")</f>
        <v>Will NOT work for them</v>
      </c>
      <c r="J389" s="1">
        <f ca="1">IFERROR(__xludf.DUMMYFUNCTION("""COMPUTED_VALUE"""),8)</f>
        <v>8</v>
      </c>
      <c r="K389" s="1" t="str">
        <f ca="1">IFERROR(__xludf.DUMMYFUNCTION("""COMPUTED_VALUE"""),"Fully Remote with No option to visit offices")</f>
        <v>Fully Remote with No option to visit offices</v>
      </c>
      <c r="L389" s="1" t="str">
        <f ca="1">IFERROR(__xludf.DUMMYFUNCTION("""COMPUTED_VALUE"""),"Employer who appreciates learning and enables that environment")</f>
        <v>Employer who appreciates learning and enables that environment</v>
      </c>
      <c r="M389"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N389" s="4" t="s">
        <v>54</v>
      </c>
      <c r="O389" s="1" t="str">
        <f ca="1">IFERROR(__xludf.DUMMYFUNCTION("""COMPUTED_VALUE"""),"Manager who sets goal and helps me achieve it")</f>
        <v>Manager who sets goal and helps me achieve it</v>
      </c>
      <c r="P389" s="1" t="str">
        <f ca="1">IFERROR(__xludf.DUMMYFUNCTION("""COMPUTED_VALUE"""),"Work &lt;=6 People in the Team")</f>
        <v>Work &lt;=6 People in the Team</v>
      </c>
      <c r="Q389" s="1" t="s">
        <v>43</v>
      </c>
      <c r="R389" s="1"/>
    </row>
    <row r="390" spans="1:18" x14ac:dyDescent="0.25">
      <c r="A390" s="2">
        <f ca="1">IFERROR(__xludf.DUMMYFUNCTION("""COMPUTED_VALUE"""),45020.9041456828)</f>
        <v>45020.904145682798</v>
      </c>
      <c r="B390" s="1" t="str">
        <f ca="1">IFERROR(__xludf.DUMMYFUNCTION("""COMPUTED_VALUE"""),"India")</f>
        <v>India</v>
      </c>
      <c r="C390" s="1">
        <f ca="1">IFERROR(__xludf.DUMMYFUNCTION("""COMPUTED_VALUE"""),452003)</f>
        <v>452003</v>
      </c>
      <c r="D390" s="1" t="str">
        <f ca="1">IFERROR(__xludf.DUMMYFUNCTION("""COMPUTED_VALUE"""),"Male")</f>
        <v>Male</v>
      </c>
      <c r="E390" s="1" t="str">
        <f ca="1">IFERROR(__xludf.DUMMYFUNCTION("""COMPUTED_VALUE"""),"People who have changed the world for better")</f>
        <v>People who have changed the world for better</v>
      </c>
      <c r="F390" s="1" t="str">
        <f ca="1">IFERROR(__xludf.DUMMYFUNCTION("""COMPUTED_VALUE"""),"Yes, I will earn and do that")</f>
        <v>Yes, I will earn and do that</v>
      </c>
      <c r="G390" s="1" t="str">
        <f ca="1">IFERROR(__xludf.DUMMYFUNCTION("""COMPUTED_VALUE"""),"This will be hard to do, but if it is the right company I would try")</f>
        <v>This will be hard to do, but if it is the right company I would try</v>
      </c>
      <c r="H390" s="1" t="str">
        <f ca="1">IFERROR(__xludf.DUMMYFUNCTION("""COMPUTED_VALUE"""),"No")</f>
        <v>No</v>
      </c>
      <c r="I390" s="1" t="str">
        <f ca="1">IFERROR(__xludf.DUMMYFUNCTION("""COMPUTED_VALUE"""),"Will NOT work for them")</f>
        <v>Will NOT work for them</v>
      </c>
      <c r="J390" s="1">
        <f ca="1">IFERROR(__xludf.DUMMYFUNCTION("""COMPUTED_VALUE"""),4)</f>
        <v>4</v>
      </c>
      <c r="K390" s="1" t="str">
        <f ca="1">IFERROR(__xludf.DUMMYFUNCTION("""COMPUTED_VALUE"""),"Fully Remote with Options to travel as and when needed")</f>
        <v>Fully Remote with Options to travel as and when needed</v>
      </c>
      <c r="L390" s="1" t="str">
        <f ca="1">IFERROR(__xludf.DUMMYFUNCTION("""COMPUTED_VALUE"""),"Employer who pushes your limits by enabling an learning environment, and rewards you at the end")</f>
        <v>Employer who pushes your limits by enabling an learning environment, and rewards you at the end</v>
      </c>
      <c r="M39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N390" s="4" t="s">
        <v>51</v>
      </c>
      <c r="O390" s="1" t="str">
        <f ca="1">IFERROR(__xludf.DUMMYFUNCTION("""COMPUTED_VALUE"""),"Manager who sets targets and expects me to achieve it")</f>
        <v>Manager who sets targets and expects me to achieve it</v>
      </c>
      <c r="P390" s="1" t="str">
        <f ca="1">IFERROR(__xludf.DUMMYFUNCTION("""COMPUTED_VALUE"""),"Work &lt;=6 People in the Team")</f>
        <v>Work &lt;=6 People in the Team</v>
      </c>
      <c r="Q390" s="1" t="s">
        <v>40</v>
      </c>
      <c r="R390" s="1"/>
    </row>
    <row r="391" spans="1:18" x14ac:dyDescent="0.25">
      <c r="A391" s="2">
        <f ca="1">IFERROR(__xludf.DUMMYFUNCTION("""COMPUTED_VALUE"""),45020.9066177777)</f>
        <v>45020.906617777699</v>
      </c>
      <c r="B391" s="1" t="str">
        <f ca="1">IFERROR(__xludf.DUMMYFUNCTION("""COMPUTED_VALUE"""),"India")</f>
        <v>India</v>
      </c>
      <c r="C391" s="1">
        <f ca="1">IFERROR(__xludf.DUMMYFUNCTION("""COMPUTED_VALUE"""),560049)</f>
        <v>560049</v>
      </c>
      <c r="D391" s="1" t="str">
        <f ca="1">IFERROR(__xludf.DUMMYFUNCTION("""COMPUTED_VALUE"""),"Male")</f>
        <v>Male</v>
      </c>
      <c r="E391" s="1" t="str">
        <f ca="1">IFERROR(__xludf.DUMMYFUNCTION("""COMPUTED_VALUE"""),"My Parents")</f>
        <v>My Parents</v>
      </c>
      <c r="F391" s="1" t="str">
        <f ca="1">IFERROR(__xludf.DUMMYFUNCTION("""COMPUTED_VALUE"""),"Yes, I will earn and do that")</f>
        <v>Yes, I will earn and do that</v>
      </c>
      <c r="G391" s="1" t="str">
        <f ca="1">IFERROR(__xludf.DUMMYFUNCTION("""COMPUTED_VALUE"""),"This will be hard to do, but if it is the right company I would try")</f>
        <v>This will be hard to do, but if it is the right company I would try</v>
      </c>
      <c r="H391" s="1" t="str">
        <f ca="1">IFERROR(__xludf.DUMMYFUNCTION("""COMPUTED_VALUE"""),"No")</f>
        <v>No</v>
      </c>
      <c r="I391" s="1" t="str">
        <f ca="1">IFERROR(__xludf.DUMMYFUNCTION("""COMPUTED_VALUE"""),"Will NOT work for them")</f>
        <v>Will NOT work for them</v>
      </c>
      <c r="J391" s="1">
        <f ca="1">IFERROR(__xludf.DUMMYFUNCTION("""COMPUTED_VALUE"""),6)</f>
        <v>6</v>
      </c>
      <c r="K391" s="1" t="str">
        <f ca="1">IFERROR(__xludf.DUMMYFUNCTION("""COMPUTED_VALUE"""),"Hybrid Working Environment with more than 15 days a month at office")</f>
        <v>Hybrid Working Environment with more than 15 days a month at office</v>
      </c>
      <c r="L391" s="1" t="str">
        <f ca="1">IFERROR(__xludf.DUMMYFUNCTION("""COMPUTED_VALUE"""),"Employer who pushes your limits by enabling an learning environment, and rewards you at the end")</f>
        <v>Employer who pushes your limits by enabling an learning environment, and rewards you at the end</v>
      </c>
      <c r="M391"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N391" s="4" t="s">
        <v>51</v>
      </c>
      <c r="O391" s="1" t="str">
        <f ca="1">IFERROR(__xludf.DUMMYFUNCTION("""COMPUTED_VALUE"""),"Manager who explains what is expected, sets a goal and helps achieve it")</f>
        <v>Manager who explains what is expected, sets a goal and helps achieve it</v>
      </c>
      <c r="P391" s="1" t="str">
        <f ca="1">IFERROR(__xludf.DUMMYFUNCTION("""COMPUTED_VALUE"""),"Work &lt;=6 People in the Team")</f>
        <v>Work &lt;=6 People in the Team</v>
      </c>
      <c r="Q391" s="1" t="s">
        <v>40</v>
      </c>
      <c r="R391" s="1"/>
    </row>
    <row r="392" spans="1:18" x14ac:dyDescent="0.25">
      <c r="A392" s="2">
        <f ca="1">IFERROR(__xludf.DUMMYFUNCTION("""COMPUTED_VALUE"""),45020.9477240046)</f>
        <v>45020.947724004604</v>
      </c>
      <c r="B392" s="1" t="str">
        <f ca="1">IFERROR(__xludf.DUMMYFUNCTION("""COMPUTED_VALUE"""),"India")</f>
        <v>India</v>
      </c>
      <c r="C392" s="1">
        <f ca="1">IFERROR(__xludf.DUMMYFUNCTION("""COMPUTED_VALUE"""),335526)</f>
        <v>335526</v>
      </c>
      <c r="D392" s="1" t="str">
        <f ca="1">IFERROR(__xludf.DUMMYFUNCTION("""COMPUTED_VALUE"""),"Female")</f>
        <v>Female</v>
      </c>
      <c r="E392" s="1" t="str">
        <f ca="1">IFERROR(__xludf.DUMMYFUNCTION("""COMPUTED_VALUE"""),"People who have changed the world for better")</f>
        <v>People who have changed the world for better</v>
      </c>
      <c r="F392" s="1" t="str">
        <f ca="1">IFERROR(__xludf.DUMMYFUNCTION("""COMPUTED_VALUE"""),"Yes, I will earn and do that")</f>
        <v>Yes, I will earn and do that</v>
      </c>
      <c r="G392" s="1" t="str">
        <f ca="1">IFERROR(__xludf.DUMMYFUNCTION("""COMPUTED_VALUE"""),"This will be hard to do, but if it is the right company I would try")</f>
        <v>This will be hard to do, but if it is the right company I would try</v>
      </c>
      <c r="H392" s="1" t="str">
        <f ca="1">IFERROR(__xludf.DUMMYFUNCTION("""COMPUTED_VALUE"""),"No")</f>
        <v>No</v>
      </c>
      <c r="I392" s="1" t="str">
        <f ca="1">IFERROR(__xludf.DUMMYFUNCTION("""COMPUTED_VALUE"""),"Will NOT work for them")</f>
        <v>Will NOT work for them</v>
      </c>
      <c r="J392" s="1">
        <f ca="1">IFERROR(__xludf.DUMMYFUNCTION("""COMPUTED_VALUE"""),5)</f>
        <v>5</v>
      </c>
      <c r="K392" s="1" t="str">
        <f ca="1">IFERROR(__xludf.DUMMYFUNCTION("""COMPUTED_VALUE"""),"Fully Remote with Options to travel as and when needed")</f>
        <v>Fully Remote with Options to travel as and when needed</v>
      </c>
      <c r="L392" s="1" t="str">
        <f ca="1">IFERROR(__xludf.DUMMYFUNCTION("""COMPUTED_VALUE"""),"Employer who appreciates learning and enables that environment")</f>
        <v>Employer who appreciates learning and enables that environment</v>
      </c>
      <c r="M39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392" s="4" t="s">
        <v>51</v>
      </c>
      <c r="O392" s="1" t="str">
        <f ca="1">IFERROR(__xludf.DUMMYFUNCTION("""COMPUTED_VALUE"""),"Manager who sets goal and helps me achieve it")</f>
        <v>Manager who sets goal and helps me achieve it</v>
      </c>
      <c r="P392" s="1" t="str">
        <f ca="1">IFERROR(__xludf.DUMMYFUNCTION("""COMPUTED_VALUE"""),"Work &gt;=7 People in the Team")</f>
        <v>Work &gt;=7 People in the Team</v>
      </c>
      <c r="Q392" s="1" t="s">
        <v>40</v>
      </c>
      <c r="R392" s="1"/>
    </row>
    <row r="393" spans="1:18" x14ac:dyDescent="0.25">
      <c r="A393" s="2">
        <f ca="1">IFERROR(__xludf.DUMMYFUNCTION("""COMPUTED_VALUE"""),45020.9511776388)</f>
        <v>45020.951177638803</v>
      </c>
      <c r="B393" s="1" t="str">
        <f ca="1">IFERROR(__xludf.DUMMYFUNCTION("""COMPUTED_VALUE"""),"India")</f>
        <v>India</v>
      </c>
      <c r="C393" s="1">
        <f ca="1">IFERROR(__xludf.DUMMYFUNCTION("""COMPUTED_VALUE"""),58000)</f>
        <v>58000</v>
      </c>
      <c r="D393" s="1" t="str">
        <f ca="1">IFERROR(__xludf.DUMMYFUNCTION("""COMPUTED_VALUE"""),"Female")</f>
        <v>Female</v>
      </c>
      <c r="E393" s="1" t="str">
        <f ca="1">IFERROR(__xludf.DUMMYFUNCTION("""COMPUTED_VALUE"""),"Influencers who had successful careers")</f>
        <v>Influencers who had successful careers</v>
      </c>
      <c r="F393" s="1" t="str">
        <f ca="1">IFERROR(__xludf.DUMMYFUNCTION("""COMPUTED_VALUE"""),"Yes, I will earn and do that")</f>
        <v>Yes, I will earn and do that</v>
      </c>
      <c r="G393" s="1" t="str">
        <f ca="1">IFERROR(__xludf.DUMMYFUNCTION("""COMPUTED_VALUE"""),"Will work for 3 years or more")</f>
        <v>Will work for 3 years or more</v>
      </c>
      <c r="H393" s="1" t="str">
        <f ca="1">IFERROR(__xludf.DUMMYFUNCTION("""COMPUTED_VALUE"""),"Yes")</f>
        <v>Yes</v>
      </c>
      <c r="I393" s="1" t="str">
        <f ca="1">IFERROR(__xludf.DUMMYFUNCTION("""COMPUTED_VALUE"""),"Will NOT work for them")</f>
        <v>Will NOT work for them</v>
      </c>
      <c r="J393" s="1">
        <f ca="1">IFERROR(__xludf.DUMMYFUNCTION("""COMPUTED_VALUE"""),5)</f>
        <v>5</v>
      </c>
      <c r="K393" s="1" t="str">
        <f ca="1">IFERROR(__xludf.DUMMYFUNCTION("""COMPUTED_VALUE"""),"Fully Remote with Options to travel as and when needed")</f>
        <v>Fully Remote with Options to travel as and when needed</v>
      </c>
      <c r="L393" s="1" t="str">
        <f ca="1">IFERROR(__xludf.DUMMYFUNCTION("""COMPUTED_VALUE"""),"Employer who rewards learning and enables that environment")</f>
        <v>Employer who rewards learning and enables that environment</v>
      </c>
      <c r="M393" s="1" t="str">
        <f ca="1">IFERROR(__xludf.DUMMYFUNCTION("""COMPUTED_VALUE"""),"Build and develop a Team, Work in a BPO setup for some well known client, Work as a freelancer and do my thing my way, Manufacturing / Oil and Gas/ Construction / Hard Physical Work related")</f>
        <v>Build and develop a Team, Work in a BPO setup for some well known client, Work as a freelancer and do my thing my way, Manufacturing / Oil and Gas/ Construction / Hard Physical Work related</v>
      </c>
      <c r="N393" s="4" t="s">
        <v>50</v>
      </c>
      <c r="O393" s="1" t="str">
        <f ca="1">IFERROR(__xludf.DUMMYFUNCTION("""COMPUTED_VALUE"""),"Manager who explains what is expected, sets a goal and helps achieve it")</f>
        <v>Manager who explains what is expected, sets a goal and helps achieve it</v>
      </c>
      <c r="P393" s="1" t="str">
        <f ca="1">IFERROR(__xludf.DUMMYFUNCTION("""COMPUTED_VALUE"""),"Work &gt;=7 People in the Team")</f>
        <v>Work &gt;=7 People in the Team</v>
      </c>
      <c r="Q393" s="1" t="s">
        <v>43</v>
      </c>
      <c r="R393" s="1"/>
    </row>
    <row r="394" spans="1:18" x14ac:dyDescent="0.25">
      <c r="A394" s="2">
        <f ca="1">IFERROR(__xludf.DUMMYFUNCTION("""COMPUTED_VALUE"""),45021.0060633449)</f>
        <v>45021.006063344903</v>
      </c>
      <c r="B394" s="1" t="str">
        <f ca="1">IFERROR(__xludf.DUMMYFUNCTION("""COMPUTED_VALUE"""),"India")</f>
        <v>India</v>
      </c>
      <c r="C394" s="1">
        <f ca="1">IFERROR(__xludf.DUMMYFUNCTION("""COMPUTED_VALUE"""),400078)</f>
        <v>400078</v>
      </c>
      <c r="D394" s="1" t="str">
        <f ca="1">IFERROR(__xludf.DUMMYFUNCTION("""COMPUTED_VALUE"""),"Male")</f>
        <v>Male</v>
      </c>
      <c r="E394" s="1" t="str">
        <f ca="1">IFERROR(__xludf.DUMMYFUNCTION("""COMPUTED_VALUE"""),"People who have changed the world for better")</f>
        <v>People who have changed the world for better</v>
      </c>
      <c r="F394" s="1" t="str">
        <f ca="1">IFERROR(__xludf.DUMMYFUNCTION("""COMPUTED_VALUE"""),"Yes, I will earn and do that")</f>
        <v>Yes, I will earn and do that</v>
      </c>
      <c r="G394" s="1" t="str">
        <f ca="1">IFERROR(__xludf.DUMMYFUNCTION("""COMPUTED_VALUE"""),"No way")</f>
        <v>No way</v>
      </c>
      <c r="H394" s="1" t="str">
        <f ca="1">IFERROR(__xludf.DUMMYFUNCTION("""COMPUTED_VALUE"""),"Yes")</f>
        <v>Yes</v>
      </c>
      <c r="I394" s="1" t="str">
        <f ca="1">IFERROR(__xludf.DUMMYFUNCTION("""COMPUTED_VALUE"""),"Will NOT work for them")</f>
        <v>Will NOT work for them</v>
      </c>
      <c r="J394" s="1">
        <f ca="1">IFERROR(__xludf.DUMMYFUNCTION("""COMPUTED_VALUE"""),7)</f>
        <v>7</v>
      </c>
      <c r="K394" s="1" t="str">
        <f ca="1">IFERROR(__xludf.DUMMYFUNCTION("""COMPUTED_VALUE"""),"Hybrid Working Environment with less than 3 days a month at office")</f>
        <v>Hybrid Working Environment with less than 3 days a month at office</v>
      </c>
      <c r="L394" s="1" t="str">
        <f ca="1">IFERROR(__xludf.DUMMYFUNCTION("""COMPUTED_VALUE"""),"Employer who pushes your limits by enabling an learning environment, and rewards you at the end")</f>
        <v>Employer who pushes your limits by enabling an learning environment, and rewards you at the end</v>
      </c>
      <c r="M394" s="1" t="str">
        <f ca="1">IFERROR(__xludf.DUMMYFUNCTION("""COMPUTED_VALUE"""),"Build and develop a Team, Look deeply into Data and generate insights, Entrepreneur or Start Up, I Want to sell things/Sales")</f>
        <v>Build and develop a Team, Look deeply into Data and generate insights, Entrepreneur or Start Up, I Want to sell things/Sales</v>
      </c>
      <c r="N394" s="4" t="s">
        <v>51</v>
      </c>
      <c r="O394" s="1" t="str">
        <f ca="1">IFERROR(__xludf.DUMMYFUNCTION("""COMPUTED_VALUE"""),"Manager who explains what is expected, sets a goal and helps achieve it")</f>
        <v>Manager who explains what is expected, sets a goal and helps achieve it</v>
      </c>
      <c r="P394" s="1" t="str">
        <f ca="1">IFERROR(__xludf.DUMMYFUNCTION("""COMPUTED_VALUE"""),"Work &gt;10 people in Team")</f>
        <v>Work &gt;10 people in Team</v>
      </c>
      <c r="Q394" s="1" t="s">
        <v>43</v>
      </c>
      <c r="R394" s="1"/>
    </row>
    <row r="395" spans="1:18" x14ac:dyDescent="0.25">
      <c r="A395" s="2">
        <f ca="1">IFERROR(__xludf.DUMMYFUNCTION("""COMPUTED_VALUE"""),45021.0087265046)</f>
        <v>45021.008726504602</v>
      </c>
      <c r="B395" s="1" t="str">
        <f ca="1">IFERROR(__xludf.DUMMYFUNCTION("""COMPUTED_VALUE"""),"India")</f>
        <v>India</v>
      </c>
      <c r="C395" s="1">
        <f ca="1">IFERROR(__xludf.DUMMYFUNCTION("""COMPUTED_VALUE"""),411028)</f>
        <v>411028</v>
      </c>
      <c r="D395" s="1" t="str">
        <f ca="1">IFERROR(__xludf.DUMMYFUNCTION("""COMPUTED_VALUE"""),"Male")</f>
        <v>Male</v>
      </c>
      <c r="E395" s="1" t="str">
        <f ca="1">IFERROR(__xludf.DUMMYFUNCTION("""COMPUTED_VALUE"""),"People who have changed the world for better")</f>
        <v>People who have changed the world for better</v>
      </c>
      <c r="F395" s="1" t="str">
        <f ca="1">IFERROR(__xludf.DUMMYFUNCTION("""COMPUTED_VALUE"""),"Yes, I will earn and do that")</f>
        <v>Yes, I will earn and do that</v>
      </c>
      <c r="G395" s="1" t="str">
        <f ca="1">IFERROR(__xludf.DUMMYFUNCTION("""COMPUTED_VALUE"""),"This will be hard to do, but if it is the right company I would try")</f>
        <v>This will be hard to do, but if it is the right company I would try</v>
      </c>
      <c r="H395" s="1" t="str">
        <f ca="1">IFERROR(__xludf.DUMMYFUNCTION("""COMPUTED_VALUE"""),"Yes")</f>
        <v>Yes</v>
      </c>
      <c r="I395" s="1" t="str">
        <f ca="1">IFERROR(__xludf.DUMMYFUNCTION("""COMPUTED_VALUE"""),"Will NOT work for them")</f>
        <v>Will NOT work for them</v>
      </c>
      <c r="J395" s="1">
        <f ca="1">IFERROR(__xludf.DUMMYFUNCTION("""COMPUTED_VALUE"""),7)</f>
        <v>7</v>
      </c>
      <c r="K395" s="1" t="str">
        <f ca="1">IFERROR(__xludf.DUMMYFUNCTION("""COMPUTED_VALUE"""),"Fully Remote with Options to travel as and when needed")</f>
        <v>Fully Remote with Options to travel as and when needed</v>
      </c>
      <c r="L395" s="1" t="str">
        <f ca="1">IFERROR(__xludf.DUMMYFUNCTION("""COMPUTED_VALUE"""),"Employer who pushes your limits by enabling an learning environment, and rewards you at the end")</f>
        <v>Employer who pushes your limits by enabling an learning environment, and rewards you at the end</v>
      </c>
      <c r="M395" s="1" t="str">
        <f ca="1">IFERROR(__xludf.DUMMYFUNCTION("""COMPUTED_VALUE"""),"Look deeply into Data and generate insights, Become a content Creator in some platform, Entrepreneur or Start Up, An Artificial Intelligence Specialist / Talking to Robots")</f>
        <v>Look deeply into Data and generate insights, Become a content Creator in some platform, Entrepreneur or Start Up, An Artificial Intelligence Specialist / Talking to Robots</v>
      </c>
      <c r="N395" s="4" t="s">
        <v>52</v>
      </c>
      <c r="O395" s="1" t="str">
        <f ca="1">IFERROR(__xludf.DUMMYFUNCTION("""COMPUTED_VALUE"""),"Manager who explains what is expected, sets a goal and helps achieve it")</f>
        <v>Manager who explains what is expected, sets a goal and helps achieve it</v>
      </c>
      <c r="P395" s="1" t="str">
        <f ca="1">IFERROR(__xludf.DUMMYFUNCTION("""COMPUTED_VALUE"""),"Work &gt;10 people in Team")</f>
        <v>Work &gt;10 people in Team</v>
      </c>
      <c r="Q395" s="1" t="s">
        <v>43</v>
      </c>
      <c r="R395" s="1"/>
    </row>
    <row r="396" spans="1:18" x14ac:dyDescent="0.25">
      <c r="A396" s="2">
        <f ca="1">IFERROR(__xludf.DUMMYFUNCTION("""COMPUTED_VALUE"""),45021.0133855208)</f>
        <v>45021.013385520797</v>
      </c>
      <c r="B396" s="1" t="str">
        <f ca="1">IFERROR(__xludf.DUMMYFUNCTION("""COMPUTED_VALUE"""),"Canada")</f>
        <v>Canada</v>
      </c>
      <c r="C396" s="1">
        <f ca="1">IFERROR(__xludf.DUMMYFUNCTION("""COMPUTED_VALUE"""),132001)</f>
        <v>132001</v>
      </c>
      <c r="D396" s="1" t="str">
        <f ca="1">IFERROR(__xludf.DUMMYFUNCTION("""COMPUTED_VALUE"""),"Female")</f>
        <v>Female</v>
      </c>
      <c r="E396" s="1" t="str">
        <f ca="1">IFERROR(__xludf.DUMMYFUNCTION("""COMPUTED_VALUE"""),"People who have changed the world for better")</f>
        <v>People who have changed the world for better</v>
      </c>
      <c r="F396" s="1" t="str">
        <f ca="1">IFERROR(__xludf.DUMMYFUNCTION("""COMPUTED_VALUE"""),"Yes, I will earn and do that")</f>
        <v>Yes, I will earn and do that</v>
      </c>
      <c r="G396" s="1" t="str">
        <f ca="1">IFERROR(__xludf.DUMMYFUNCTION("""COMPUTED_VALUE"""),"This will be hard to do, but if it is the right company I would try")</f>
        <v>This will be hard to do, but if it is the right company I would try</v>
      </c>
      <c r="H396" s="1" t="str">
        <f ca="1">IFERROR(__xludf.DUMMYFUNCTION("""COMPUTED_VALUE"""),"No")</f>
        <v>No</v>
      </c>
      <c r="I396" s="1" t="str">
        <f ca="1">IFERROR(__xludf.DUMMYFUNCTION("""COMPUTED_VALUE"""),"Will NOT work for them")</f>
        <v>Will NOT work for them</v>
      </c>
      <c r="J396" s="1">
        <f ca="1">IFERROR(__xludf.DUMMYFUNCTION("""COMPUTED_VALUE"""),5)</f>
        <v>5</v>
      </c>
      <c r="K396" s="1" t="str">
        <f ca="1">IFERROR(__xludf.DUMMYFUNCTION("""COMPUTED_VALUE"""),"Fully Remote with Options to travel as and when needed")</f>
        <v>Fully Remote with Options to travel as and when needed</v>
      </c>
      <c r="L396" s="1" t="str">
        <f ca="1">IFERROR(__xludf.DUMMYFUNCTION("""COMPUTED_VALUE"""),"Employer who pushes your limits by enabling an learning environment, and rewards you at the end")</f>
        <v>Employer who pushes your limits by enabling an learning environment, and rewards you at the end</v>
      </c>
      <c r="M396"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N396" s="4" t="s">
        <v>52</v>
      </c>
      <c r="O396" s="1" t="str">
        <f ca="1">IFERROR(__xludf.DUMMYFUNCTION("""COMPUTED_VALUE"""),"Manager who explains what is expected, sets a goal and helps achieve it")</f>
        <v>Manager who explains what is expected, sets a goal and helps achieve it</v>
      </c>
      <c r="P396" s="1" t="str">
        <f ca="1">IFERROR(__xludf.DUMMYFUNCTION("""COMPUTED_VALUE"""),"Work &lt;=6 People in the Team")</f>
        <v>Work &lt;=6 People in the Team</v>
      </c>
      <c r="Q396" s="1" t="s">
        <v>43</v>
      </c>
      <c r="R396" s="1"/>
    </row>
    <row r="397" spans="1:18" x14ac:dyDescent="0.25">
      <c r="A397" s="2">
        <f ca="1">IFERROR(__xludf.DUMMYFUNCTION("""COMPUTED_VALUE"""),45021.021127037)</f>
        <v>45021.021127036998</v>
      </c>
      <c r="B397" s="1" t="str">
        <f ca="1">IFERROR(__xludf.DUMMYFUNCTION("""COMPUTED_VALUE"""),"India")</f>
        <v>India</v>
      </c>
      <c r="C397" s="1">
        <f ca="1">IFERROR(__xludf.DUMMYFUNCTION("""COMPUTED_VALUE"""),440002)</f>
        <v>440002</v>
      </c>
      <c r="D397" s="1" t="str">
        <f ca="1">IFERROR(__xludf.DUMMYFUNCTION("""COMPUTED_VALUE"""),"Male")</f>
        <v>Male</v>
      </c>
      <c r="E397" s="1" t="str">
        <f ca="1">IFERROR(__xludf.DUMMYFUNCTION("""COMPUTED_VALUE"""),"My Parents")</f>
        <v>My Parents</v>
      </c>
      <c r="F397" s="1" t="str">
        <f ca="1">IFERROR(__xludf.DUMMYFUNCTION("""COMPUTED_VALUE"""),"No, But if someone could bare the cost I will")</f>
        <v>No, But if someone could bare the cost I will</v>
      </c>
      <c r="G397" s="1" t="str">
        <f ca="1">IFERROR(__xludf.DUMMYFUNCTION("""COMPUTED_VALUE"""),"This will be hard to do, but if it is the right company I would try")</f>
        <v>This will be hard to do, but if it is the right company I would try</v>
      </c>
      <c r="H397" s="1" t="str">
        <f ca="1">IFERROR(__xludf.DUMMYFUNCTION("""COMPUTED_VALUE"""),"No")</f>
        <v>No</v>
      </c>
      <c r="I397" s="1" t="str">
        <f ca="1">IFERROR(__xludf.DUMMYFUNCTION("""COMPUTED_VALUE"""),"Will NOT work for them")</f>
        <v>Will NOT work for them</v>
      </c>
      <c r="J397" s="1">
        <f ca="1">IFERROR(__xludf.DUMMYFUNCTION("""COMPUTED_VALUE"""),4)</f>
        <v>4</v>
      </c>
      <c r="K397" s="1" t="str">
        <f ca="1">IFERROR(__xludf.DUMMYFUNCTION("""COMPUTED_VALUE"""),"Hybrid Working Environment with more than 15 days a month at office")</f>
        <v>Hybrid Working Environment with more than 15 days a month at office</v>
      </c>
      <c r="L397" s="1" t="str">
        <f ca="1">IFERROR(__xludf.DUMMYFUNCTION("""COMPUTED_VALUE"""),"Employer who rewards learning and enables that environment")</f>
        <v>Employer who rewards learning and enables that environment</v>
      </c>
      <c r="M397" s="1" t="str">
        <f ca="1">IFERROR(__xludf.DUMMYFUNCTION("""COMPUTED_VALUE"""),"Design and Develop amazing software, Work as a freelancer and do my thing my way, Entrepreneur or Start Up, An Artificial Intelligence Specialist / Talking to Robots")</f>
        <v>Design and Develop amazing software, Work as a freelancer and do my thing my way, Entrepreneur or Start Up, An Artificial Intelligence Specialist / Talking to Robots</v>
      </c>
      <c r="N397" s="4" t="s">
        <v>51</v>
      </c>
      <c r="O397" s="1" t="str">
        <f ca="1">IFERROR(__xludf.DUMMYFUNCTION("""COMPUTED_VALUE"""),"Manager who sets goal and helps me achieve it")</f>
        <v>Manager who sets goal and helps me achieve it</v>
      </c>
      <c r="P397" s="1" t="str">
        <f ca="1">IFERROR(__xludf.DUMMYFUNCTION("""COMPUTED_VALUE"""),"Work &gt;10 people in Team")</f>
        <v>Work &gt;10 people in Team</v>
      </c>
      <c r="Q397" s="1" t="s">
        <v>43</v>
      </c>
      <c r="R397" s="1"/>
    </row>
    <row r="398" spans="1:18" x14ac:dyDescent="0.25">
      <c r="A398" s="2">
        <f ca="1">IFERROR(__xludf.DUMMYFUNCTION("""COMPUTED_VALUE"""),45021.0250229745)</f>
        <v>45021.0250229745</v>
      </c>
      <c r="B398" s="1" t="str">
        <f ca="1">IFERROR(__xludf.DUMMYFUNCTION("""COMPUTED_VALUE"""),"India")</f>
        <v>India</v>
      </c>
      <c r="C398" s="1">
        <f ca="1">IFERROR(__xludf.DUMMYFUNCTION("""COMPUTED_VALUE"""),624005)</f>
        <v>624005</v>
      </c>
      <c r="D398" s="1" t="str">
        <f ca="1">IFERROR(__xludf.DUMMYFUNCTION("""COMPUTED_VALUE"""),"Female")</f>
        <v>Female</v>
      </c>
      <c r="E398" s="1" t="str">
        <f ca="1">IFERROR(__xludf.DUMMYFUNCTION("""COMPUTED_VALUE"""),"People who have changed the world for better")</f>
        <v>People who have changed the world for better</v>
      </c>
      <c r="F398" s="1" t="str">
        <f ca="1">IFERROR(__xludf.DUMMYFUNCTION("""COMPUTED_VALUE"""),"No I would not be pursuing Higher Education outside of India")</f>
        <v>No I would not be pursuing Higher Education outside of India</v>
      </c>
      <c r="G398" s="1" t="str">
        <f ca="1">IFERROR(__xludf.DUMMYFUNCTION("""COMPUTED_VALUE"""),"Will work for 3 years or more")</f>
        <v>Will work for 3 years or more</v>
      </c>
      <c r="H398" s="1" t="str">
        <f ca="1">IFERROR(__xludf.DUMMYFUNCTION("""COMPUTED_VALUE"""),"No")</f>
        <v>No</v>
      </c>
      <c r="I398" s="1" t="str">
        <f ca="1">IFERROR(__xludf.DUMMYFUNCTION("""COMPUTED_VALUE"""),"Will NOT work for them")</f>
        <v>Will NOT work for them</v>
      </c>
      <c r="J398" s="1">
        <f ca="1">IFERROR(__xludf.DUMMYFUNCTION("""COMPUTED_VALUE"""),1)</f>
        <v>1</v>
      </c>
      <c r="K398" s="1" t="str">
        <f ca="1">IFERROR(__xludf.DUMMYFUNCTION("""COMPUTED_VALUE"""),"Hybrid Working Environment with more than 15 days a month at office")</f>
        <v>Hybrid Working Environment with more than 15 days a month at office</v>
      </c>
      <c r="L398" s="1" t="str">
        <f ca="1">IFERROR(__xludf.DUMMYFUNCTION("""COMPUTED_VALUE"""),"Employer who appreciates learning and enables that environment")</f>
        <v>Employer who appreciates learning and enables that environment</v>
      </c>
      <c r="M398"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N398" s="4" t="s">
        <v>51</v>
      </c>
      <c r="O398" s="1" t="str">
        <f ca="1">IFERROR(__xludf.DUMMYFUNCTION("""COMPUTED_VALUE"""),"Manager who explains what is expected, sets a goal and helps achieve it")</f>
        <v>Manager who explains what is expected, sets a goal and helps achieve it</v>
      </c>
      <c r="P398" s="1" t="str">
        <f ca="1">IFERROR(__xludf.DUMMYFUNCTION("""COMPUTED_VALUE"""),"Work &lt;=6 People in the Team")</f>
        <v>Work &lt;=6 People in the Team</v>
      </c>
      <c r="Q398" s="1" t="s">
        <v>40</v>
      </c>
      <c r="R398" s="1"/>
    </row>
    <row r="399" spans="1:18" x14ac:dyDescent="0.25">
      <c r="A399" s="2">
        <f ca="1">IFERROR(__xludf.DUMMYFUNCTION("""COMPUTED_VALUE"""),45021.0332639467)</f>
        <v>45021.033263946701</v>
      </c>
      <c r="B399" s="1" t="str">
        <f ca="1">IFERROR(__xludf.DUMMYFUNCTION("""COMPUTED_VALUE"""),"India")</f>
        <v>India</v>
      </c>
      <c r="C399" s="1">
        <f ca="1">IFERROR(__xludf.DUMMYFUNCTION("""COMPUTED_VALUE"""),382424)</f>
        <v>382424</v>
      </c>
      <c r="D399" s="1" t="str">
        <f ca="1">IFERROR(__xludf.DUMMYFUNCTION("""COMPUTED_VALUE"""),"Male")</f>
        <v>Male</v>
      </c>
      <c r="E399" s="1" t="str">
        <f ca="1">IFERROR(__xludf.DUMMYFUNCTION("""COMPUTED_VALUE"""),"People from my circle, but not family members")</f>
        <v>People from my circle, but not family members</v>
      </c>
      <c r="F399" s="1" t="str">
        <f ca="1">IFERROR(__xludf.DUMMYFUNCTION("""COMPUTED_VALUE"""),"No I would not be pursuing Higher Education outside of India")</f>
        <v>No I would not be pursuing Higher Education outside of India</v>
      </c>
      <c r="G399" s="1" t="str">
        <f ca="1">IFERROR(__xludf.DUMMYFUNCTION("""COMPUTED_VALUE"""),"Will work for 3 years or more")</f>
        <v>Will work for 3 years or more</v>
      </c>
      <c r="H399" s="1" t="str">
        <f ca="1">IFERROR(__xludf.DUMMYFUNCTION("""COMPUTED_VALUE"""),"No")</f>
        <v>No</v>
      </c>
      <c r="I399" s="1" t="str">
        <f ca="1">IFERROR(__xludf.DUMMYFUNCTION("""COMPUTED_VALUE"""),"Will NOT work for them")</f>
        <v>Will NOT work for them</v>
      </c>
      <c r="J399" s="1">
        <f ca="1">IFERROR(__xludf.DUMMYFUNCTION("""COMPUTED_VALUE"""),6)</f>
        <v>6</v>
      </c>
      <c r="K399" s="1" t="str">
        <f ca="1">IFERROR(__xludf.DUMMYFUNCTION("""COMPUTED_VALUE"""),"Fully Remote with Options to travel as and when needed")</f>
        <v>Fully Remote with Options to travel as and when needed</v>
      </c>
      <c r="L399" s="1" t="str">
        <f ca="1">IFERROR(__xludf.DUMMYFUNCTION("""COMPUTED_VALUE"""),"Employer who pushes your limits by enabling an learning environment, and rewards you at the end")</f>
        <v>Employer who pushes your limits by enabling an learning environment, and rewards you at the end</v>
      </c>
      <c r="M3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399" s="4" t="s">
        <v>51</v>
      </c>
      <c r="O399" s="1" t="str">
        <f ca="1">IFERROR(__xludf.DUMMYFUNCTION("""COMPUTED_VALUE"""),"Manager who sets unrealistic targets")</f>
        <v>Manager who sets unrealistic targets</v>
      </c>
      <c r="P399" s="1" t="str">
        <f ca="1">IFERROR(__xludf.DUMMYFUNCTION("""COMPUTED_VALUE"""),"Work &lt;=6 People in the Team")</f>
        <v>Work &lt;=6 People in the Team</v>
      </c>
      <c r="Q399" s="1" t="s">
        <v>40</v>
      </c>
      <c r="R399" s="1"/>
    </row>
    <row r="400" spans="1:18" x14ac:dyDescent="0.25">
      <c r="A400" s="2">
        <f ca="1">IFERROR(__xludf.DUMMYFUNCTION("""COMPUTED_VALUE"""),45021.0336456597)</f>
        <v>45021.0336456597</v>
      </c>
      <c r="B400" s="1" t="str">
        <f ca="1">IFERROR(__xludf.DUMMYFUNCTION("""COMPUTED_VALUE"""),"Canada")</f>
        <v>Canada</v>
      </c>
      <c r="C400" s="1">
        <f ca="1">IFERROR(__xludf.DUMMYFUNCTION("""COMPUTED_VALUE"""),226016)</f>
        <v>226016</v>
      </c>
      <c r="D400" s="1" t="str">
        <f ca="1">IFERROR(__xludf.DUMMYFUNCTION("""COMPUTED_VALUE"""),"Female")</f>
        <v>Female</v>
      </c>
      <c r="E400" s="1" t="str">
        <f ca="1">IFERROR(__xludf.DUMMYFUNCTION("""COMPUTED_VALUE"""),"People from my circle, but not family members")</f>
        <v>People from my circle, but not family members</v>
      </c>
      <c r="F400" s="1" t="str">
        <f ca="1">IFERROR(__xludf.DUMMYFUNCTION("""COMPUTED_VALUE"""),"No, But if someone could bare the cost I will")</f>
        <v>No, But if someone could bare the cost I will</v>
      </c>
      <c r="G400" s="1" t="str">
        <f ca="1">IFERROR(__xludf.DUMMYFUNCTION("""COMPUTED_VALUE"""),"Will work for 3 years or more")</f>
        <v>Will work for 3 years or more</v>
      </c>
      <c r="H400" s="1" t="str">
        <f ca="1">IFERROR(__xludf.DUMMYFUNCTION("""COMPUTED_VALUE"""),"No")</f>
        <v>No</v>
      </c>
      <c r="I400" s="1" t="str">
        <f ca="1">IFERROR(__xludf.DUMMYFUNCTION("""COMPUTED_VALUE"""),"Will NOT work for them")</f>
        <v>Will NOT work for them</v>
      </c>
      <c r="J400" s="1">
        <f ca="1">IFERROR(__xludf.DUMMYFUNCTION("""COMPUTED_VALUE"""),8)</f>
        <v>8</v>
      </c>
      <c r="K400" s="1" t="str">
        <f ca="1">IFERROR(__xludf.DUMMYFUNCTION("""COMPUTED_VALUE"""),"Hybrid Working Environment with less than 3 days a month at office")</f>
        <v>Hybrid Working Environment with less than 3 days a month at office</v>
      </c>
      <c r="L400" s="1" t="str">
        <f ca="1">IFERROR(__xludf.DUMMYFUNCTION("""COMPUTED_VALUE"""),"Employer who appreciates learning and enables that environment")</f>
        <v>Employer who appreciates learning and enables that environment</v>
      </c>
      <c r="M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400" s="4" t="s">
        <v>51</v>
      </c>
      <c r="O400" s="1" t="str">
        <f ca="1">IFERROR(__xludf.DUMMYFUNCTION("""COMPUTED_VALUE"""),"Manager who sets goal and helps me achieve it")</f>
        <v>Manager who sets goal and helps me achieve it</v>
      </c>
      <c r="P400" s="1" t="str">
        <f ca="1">IFERROR(__xludf.DUMMYFUNCTION("""COMPUTED_VALUE"""),"Work &lt;=6 People in the Team")</f>
        <v>Work &lt;=6 People in the Team</v>
      </c>
      <c r="Q400" s="1" t="s">
        <v>43</v>
      </c>
      <c r="R400" s="1"/>
    </row>
    <row r="401" spans="1:18" x14ac:dyDescent="0.25">
      <c r="A401" s="2">
        <f ca="1">IFERROR(__xludf.DUMMYFUNCTION("""COMPUTED_VALUE"""),45021.0352989351)</f>
        <v>45021.035298935101</v>
      </c>
      <c r="B401" s="1" t="str">
        <f ca="1">IFERROR(__xludf.DUMMYFUNCTION("""COMPUTED_VALUE"""),"India")</f>
        <v>India</v>
      </c>
      <c r="C401" s="1">
        <f ca="1">IFERROR(__xludf.DUMMYFUNCTION("""COMPUTED_VALUE"""),110077)</f>
        <v>110077</v>
      </c>
      <c r="D401" s="1" t="str">
        <f ca="1">IFERROR(__xludf.DUMMYFUNCTION("""COMPUTED_VALUE"""),"Male")</f>
        <v>Male</v>
      </c>
      <c r="E401" s="1" t="str">
        <f ca="1">IFERROR(__xludf.DUMMYFUNCTION("""COMPUTED_VALUE"""),"People who have changed the world for better")</f>
        <v>People who have changed the world for better</v>
      </c>
      <c r="F401" s="1" t="str">
        <f ca="1">IFERROR(__xludf.DUMMYFUNCTION("""COMPUTED_VALUE"""),"No I would not be pursuing Higher Education outside of India")</f>
        <v>No I would not be pursuing Higher Education outside of India</v>
      </c>
      <c r="G401" s="1" t="str">
        <f ca="1">IFERROR(__xludf.DUMMYFUNCTION("""COMPUTED_VALUE"""),"This will be hard to do, but if it is the right company I would try")</f>
        <v>This will be hard to do, but if it is the right company I would try</v>
      </c>
      <c r="H401" s="1" t="str">
        <f ca="1">IFERROR(__xludf.DUMMYFUNCTION("""COMPUTED_VALUE"""),"No")</f>
        <v>No</v>
      </c>
      <c r="I401" s="1" t="str">
        <f ca="1">IFERROR(__xludf.DUMMYFUNCTION("""COMPUTED_VALUE"""),"Will NOT work for them")</f>
        <v>Will NOT work for them</v>
      </c>
      <c r="J401" s="1">
        <f ca="1">IFERROR(__xludf.DUMMYFUNCTION("""COMPUTED_VALUE"""),5)</f>
        <v>5</v>
      </c>
      <c r="K401" s="1" t="str">
        <f ca="1">IFERROR(__xludf.DUMMYFUNCTION("""COMPUTED_VALUE"""),"Hybrid Working Environment with more than 15 days a month at office")</f>
        <v>Hybrid Working Environment with more than 15 days a month at office</v>
      </c>
      <c r="L401" s="1" t="str">
        <f ca="1">IFERROR(__xludf.DUMMYFUNCTION("""COMPUTED_VALUE"""),"Employer who pushes your limits by enabling an learning environment, and rewards you at the end")</f>
        <v>Employer who pushes your limits by enabling an learning environment, and rewards you at the end</v>
      </c>
      <c r="M40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401" s="4" t="s">
        <v>51</v>
      </c>
      <c r="O401" s="1" t="str">
        <f ca="1">IFERROR(__xludf.DUMMYFUNCTION("""COMPUTED_VALUE"""),"Manager who explains what is expected, sets a goal and helps achieve it")</f>
        <v>Manager who explains what is expected, sets a goal and helps achieve it</v>
      </c>
      <c r="P401" s="1" t="str">
        <f ca="1">IFERROR(__xludf.DUMMYFUNCTION("""COMPUTED_VALUE"""),"Work Alone, &lt;=6 in team")</f>
        <v>Work Alone, &lt;=6 in team</v>
      </c>
      <c r="Q401" s="1" t="s">
        <v>40</v>
      </c>
      <c r="R401" s="1"/>
    </row>
    <row r="402" spans="1:18" x14ac:dyDescent="0.25">
      <c r="A402" s="2">
        <f ca="1">IFERROR(__xludf.DUMMYFUNCTION("""COMPUTED_VALUE"""),45021.042155324)</f>
        <v>45021.042155324001</v>
      </c>
      <c r="B402" s="1" t="str">
        <f ca="1">IFERROR(__xludf.DUMMYFUNCTION("""COMPUTED_VALUE"""),"India")</f>
        <v>India</v>
      </c>
      <c r="C402" s="1">
        <f ca="1">IFERROR(__xludf.DUMMYFUNCTION("""COMPUTED_VALUE"""),442902)</f>
        <v>442902</v>
      </c>
      <c r="D402" s="1" t="str">
        <f ca="1">IFERROR(__xludf.DUMMYFUNCTION("""COMPUTED_VALUE"""),"Male")</f>
        <v>Male</v>
      </c>
      <c r="E402" s="1" t="str">
        <f ca="1">IFERROR(__xludf.DUMMYFUNCTION("""COMPUTED_VALUE"""),"Influencers who had successful careers")</f>
        <v>Influencers who had successful careers</v>
      </c>
      <c r="F402" s="1" t="str">
        <f ca="1">IFERROR(__xludf.DUMMYFUNCTION("""COMPUTED_VALUE"""),"Yes, I will earn and do that")</f>
        <v>Yes, I will earn and do that</v>
      </c>
      <c r="G402" s="1" t="str">
        <f ca="1">IFERROR(__xludf.DUMMYFUNCTION("""COMPUTED_VALUE"""),"This will be hard to do, but if it is the right company I would try")</f>
        <v>This will be hard to do, but if it is the right company I would try</v>
      </c>
      <c r="H402" s="1" t="str">
        <f ca="1">IFERROR(__xludf.DUMMYFUNCTION("""COMPUTED_VALUE"""),"No")</f>
        <v>No</v>
      </c>
      <c r="I402" s="1" t="str">
        <f ca="1">IFERROR(__xludf.DUMMYFUNCTION("""COMPUTED_VALUE"""),"Will NOT work for them")</f>
        <v>Will NOT work for them</v>
      </c>
      <c r="J402" s="1">
        <f ca="1">IFERROR(__xludf.DUMMYFUNCTION("""COMPUTED_VALUE"""),5)</f>
        <v>5</v>
      </c>
      <c r="K402" s="1" t="str">
        <f ca="1">IFERROR(__xludf.DUMMYFUNCTION("""COMPUTED_VALUE"""),"Hybrid Working Environment with more than 15 days a month at office")</f>
        <v>Hybrid Working Environment with more than 15 days a month at office</v>
      </c>
      <c r="L402" s="1" t="str">
        <f ca="1">IFERROR(__xludf.DUMMYFUNCTION("""COMPUTED_VALUE"""),"Employer who pushes your limits by enabling an learning environment, and rewards you at the end")</f>
        <v>Employer who pushes your limits by enabling an learning environment, and rewards you at the end</v>
      </c>
      <c r="M40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N402" s="4" t="s">
        <v>50</v>
      </c>
      <c r="O402" s="1" t="str">
        <f ca="1">IFERROR(__xludf.DUMMYFUNCTION("""COMPUTED_VALUE"""),"Manager who explains what is expected, sets a goal and helps achieve it")</f>
        <v>Manager who explains what is expected, sets a goal and helps achieve it</v>
      </c>
      <c r="P402" s="1" t="str">
        <f ca="1">IFERROR(__xludf.DUMMYFUNCTION("""COMPUTED_VALUE"""),"Work Alone, &lt;67 people in team")</f>
        <v>Work Alone, &lt;67 people in team</v>
      </c>
      <c r="Q402" s="1" t="s">
        <v>43</v>
      </c>
      <c r="R402" s="1"/>
    </row>
    <row r="403" spans="1:18" x14ac:dyDescent="0.25">
      <c r="A403" s="2">
        <f ca="1">IFERROR(__xludf.DUMMYFUNCTION("""COMPUTED_VALUE"""),45021.0478929976)</f>
        <v>45021.047892997602</v>
      </c>
      <c r="B403" s="1" t="str">
        <f ca="1">IFERROR(__xludf.DUMMYFUNCTION("""COMPUTED_VALUE"""),"India")</f>
        <v>India</v>
      </c>
      <c r="C403" s="1">
        <f ca="1">IFERROR(__xludf.DUMMYFUNCTION("""COMPUTED_VALUE"""),530032)</f>
        <v>530032</v>
      </c>
      <c r="D403" s="1" t="str">
        <f ca="1">IFERROR(__xludf.DUMMYFUNCTION("""COMPUTED_VALUE"""),"Male")</f>
        <v>Male</v>
      </c>
      <c r="E403" s="1" t="str">
        <f ca="1">IFERROR(__xludf.DUMMYFUNCTION("""COMPUTED_VALUE"""),"People from my circle, but not family members")</f>
        <v>People from my circle, but not family members</v>
      </c>
      <c r="F403" s="1" t="str">
        <f ca="1">IFERROR(__xludf.DUMMYFUNCTION("""COMPUTED_VALUE"""),"No I would not be pursuing Higher Education outside of India")</f>
        <v>No I would not be pursuing Higher Education outside of India</v>
      </c>
      <c r="G403" s="1" t="str">
        <f ca="1">IFERROR(__xludf.DUMMYFUNCTION("""COMPUTED_VALUE"""),"This will be hard to do, but if it is the right company I would try")</f>
        <v>This will be hard to do, but if it is the right company I would try</v>
      </c>
      <c r="H403" s="1" t="str">
        <f ca="1">IFERROR(__xludf.DUMMYFUNCTION("""COMPUTED_VALUE"""),"No")</f>
        <v>No</v>
      </c>
      <c r="I403" s="1" t="str">
        <f ca="1">IFERROR(__xludf.DUMMYFUNCTION("""COMPUTED_VALUE"""),"Will work for them")</f>
        <v>Will work for them</v>
      </c>
      <c r="J403" s="1">
        <f ca="1">IFERROR(__xludf.DUMMYFUNCTION("""COMPUTED_VALUE"""),8)</f>
        <v>8</v>
      </c>
      <c r="K403" s="1" t="str">
        <f ca="1">IFERROR(__xludf.DUMMYFUNCTION("""COMPUTED_VALUE"""),"Fully Remote with Options to travel as and when needed")</f>
        <v>Fully Remote with Options to travel as and when needed</v>
      </c>
      <c r="L403" s="1" t="str">
        <f ca="1">IFERROR(__xludf.DUMMYFUNCTION("""COMPUTED_VALUE"""),"Employer who rewards learning and enables that environment")</f>
        <v>Employer who rewards learning and enables that environment</v>
      </c>
      <c r="M4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403" s="4" t="s">
        <v>51</v>
      </c>
      <c r="O403" s="1" t="str">
        <f ca="1">IFERROR(__xludf.DUMMYFUNCTION("""COMPUTED_VALUE"""),"Manager who clearly describes what she/he needs")</f>
        <v>Manager who clearly describes what she/he needs</v>
      </c>
      <c r="P403" s="1" t="str">
        <f ca="1">IFERROR(__xludf.DUMMYFUNCTION("""COMPUTED_VALUE"""),"Work Alone, &lt;=6 in team")</f>
        <v>Work Alone, &lt;=6 in team</v>
      </c>
      <c r="Q403" s="1" t="s">
        <v>43</v>
      </c>
      <c r="R403" s="1"/>
    </row>
    <row r="404" spans="1:18" x14ac:dyDescent="0.25">
      <c r="A404" s="2">
        <f ca="1">IFERROR(__xludf.DUMMYFUNCTION("""COMPUTED_VALUE"""),45021.0736379282)</f>
        <v>45021.073637928203</v>
      </c>
      <c r="B404" s="1" t="str">
        <f ca="1">IFERROR(__xludf.DUMMYFUNCTION("""COMPUTED_VALUE"""),"India")</f>
        <v>India</v>
      </c>
      <c r="C404" s="1">
        <f ca="1">IFERROR(__xludf.DUMMYFUNCTION("""COMPUTED_VALUE"""),412207)</f>
        <v>412207</v>
      </c>
      <c r="D404" s="1" t="str">
        <f ca="1">IFERROR(__xludf.DUMMYFUNCTION("""COMPUTED_VALUE"""),"Male")</f>
        <v>Male</v>
      </c>
      <c r="E404" s="1" t="str">
        <f ca="1">IFERROR(__xludf.DUMMYFUNCTION("""COMPUTED_VALUE"""),"People who have changed the world for better")</f>
        <v>People who have changed the world for better</v>
      </c>
      <c r="F404" s="1" t="str">
        <f ca="1">IFERROR(__xludf.DUMMYFUNCTION("""COMPUTED_VALUE"""),"No I would not be pursuing Higher Education outside of India")</f>
        <v>No I would not be pursuing Higher Education outside of India</v>
      </c>
      <c r="G404" s="1" t="str">
        <f ca="1">IFERROR(__xludf.DUMMYFUNCTION("""COMPUTED_VALUE"""),"This will be hard to do, but if it is the right company I would try")</f>
        <v>This will be hard to do, but if it is the right company I would try</v>
      </c>
      <c r="H404" s="1" t="str">
        <f ca="1">IFERROR(__xludf.DUMMYFUNCTION("""COMPUTED_VALUE"""),"Yes")</f>
        <v>Yes</v>
      </c>
      <c r="I404" s="1" t="str">
        <f ca="1">IFERROR(__xludf.DUMMYFUNCTION("""COMPUTED_VALUE"""),"Will NOT work for them")</f>
        <v>Will NOT work for them</v>
      </c>
      <c r="J404" s="1">
        <f ca="1">IFERROR(__xludf.DUMMYFUNCTION("""COMPUTED_VALUE"""),4)</f>
        <v>4</v>
      </c>
      <c r="K404" s="1" t="str">
        <f ca="1">IFERROR(__xludf.DUMMYFUNCTION("""COMPUTED_VALUE"""),"Every Day Office Environment")</f>
        <v>Every Day Office Environment</v>
      </c>
      <c r="L404" s="1" t="str">
        <f ca="1">IFERROR(__xludf.DUMMYFUNCTION("""COMPUTED_VALUE"""),"Employer who appreciates learning and enables that environment")</f>
        <v>Employer who appreciates learning and enables that environment</v>
      </c>
      <c r="M40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N404" s="4" t="s">
        <v>48</v>
      </c>
      <c r="O404" s="1" t="str">
        <f ca="1">IFERROR(__xludf.DUMMYFUNCTION("""COMPUTED_VALUE"""),"Manager who explains what is expected, sets a goal and helps achieve it")</f>
        <v>Manager who explains what is expected, sets a goal and helps achieve it</v>
      </c>
      <c r="P404" s="1" t="str">
        <f ca="1">IFERROR(__xludf.DUMMYFUNCTION("""COMPUTED_VALUE"""),"Work &lt;=6 People in the Team")</f>
        <v>Work &lt;=6 People in the Team</v>
      </c>
      <c r="Q404" s="1" t="s">
        <v>43</v>
      </c>
      <c r="R404" s="1"/>
    </row>
    <row r="405" spans="1:18" x14ac:dyDescent="0.25">
      <c r="A405" s="2">
        <f ca="1">IFERROR(__xludf.DUMMYFUNCTION("""COMPUTED_VALUE"""),45021.3045107754)</f>
        <v>45021.304510775401</v>
      </c>
      <c r="B405" s="1" t="str">
        <f ca="1">IFERROR(__xludf.DUMMYFUNCTION("""COMPUTED_VALUE"""),"India")</f>
        <v>India</v>
      </c>
      <c r="C405" s="1">
        <f ca="1">IFERROR(__xludf.DUMMYFUNCTION("""COMPUTED_VALUE"""),110059)</f>
        <v>110059</v>
      </c>
      <c r="D405" s="1" t="str">
        <f ca="1">IFERROR(__xludf.DUMMYFUNCTION("""COMPUTED_VALUE"""),"Male")</f>
        <v>Male</v>
      </c>
      <c r="E405" s="1" t="str">
        <f ca="1">IFERROR(__xludf.DUMMYFUNCTION("""COMPUTED_VALUE"""),"My Parents")</f>
        <v>My Parents</v>
      </c>
      <c r="F405" s="1" t="str">
        <f ca="1">IFERROR(__xludf.DUMMYFUNCTION("""COMPUTED_VALUE"""),"Yes, I will earn and do that")</f>
        <v>Yes, I will earn and do that</v>
      </c>
      <c r="G405" s="1" t="str">
        <f ca="1">IFERROR(__xludf.DUMMYFUNCTION("""COMPUTED_VALUE"""),"This will be hard to do, but if it is the right company I would try")</f>
        <v>This will be hard to do, but if it is the right company I would try</v>
      </c>
      <c r="H405" s="1" t="str">
        <f ca="1">IFERROR(__xludf.DUMMYFUNCTION("""COMPUTED_VALUE"""),"No")</f>
        <v>No</v>
      </c>
      <c r="I405" s="1" t="str">
        <f ca="1">IFERROR(__xludf.DUMMYFUNCTION("""COMPUTED_VALUE"""),"Will NOT work for them")</f>
        <v>Will NOT work for them</v>
      </c>
      <c r="J405" s="1">
        <f ca="1">IFERROR(__xludf.DUMMYFUNCTION("""COMPUTED_VALUE"""),8)</f>
        <v>8</v>
      </c>
      <c r="K405" s="1" t="str">
        <f ca="1">IFERROR(__xludf.DUMMYFUNCTION("""COMPUTED_VALUE"""),"Hybrid Working Environment with more than 15 days a month at office")</f>
        <v>Hybrid Working Environment with more than 15 days a month at office</v>
      </c>
      <c r="L405" s="1" t="str">
        <f ca="1">IFERROR(__xludf.DUMMYFUNCTION("""COMPUTED_VALUE"""),"Employer who appreciates learning and enables that environment")</f>
        <v>Employer who appreciates learning and enables that environment</v>
      </c>
      <c r="M405"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405" s="4" t="s">
        <v>51</v>
      </c>
      <c r="O405" s="1" t="str">
        <f ca="1">IFERROR(__xludf.DUMMYFUNCTION("""COMPUTED_VALUE"""),"Manager who sets goal and helps me achieve it")</f>
        <v>Manager who sets goal and helps me achieve it</v>
      </c>
      <c r="P405" s="1" t="str">
        <f ca="1">IFERROR(__xludf.DUMMYFUNCTION("""COMPUTED_VALUE"""),"Work &gt;=7 People in the Team")</f>
        <v>Work &gt;=7 People in the Team</v>
      </c>
      <c r="Q405" s="1" t="s">
        <v>40</v>
      </c>
      <c r="R405" s="1"/>
    </row>
    <row r="406" spans="1:18" x14ac:dyDescent="0.25">
      <c r="A406" s="2">
        <f ca="1">IFERROR(__xludf.DUMMYFUNCTION("""COMPUTED_VALUE"""),45021.3107257523)</f>
        <v>45021.310725752301</v>
      </c>
      <c r="B406" s="1" t="str">
        <f ca="1">IFERROR(__xludf.DUMMYFUNCTION("""COMPUTED_VALUE"""),"India")</f>
        <v>India</v>
      </c>
      <c r="C406" s="1">
        <f ca="1">IFERROR(__xludf.DUMMYFUNCTION("""COMPUTED_VALUE"""),627002)</f>
        <v>627002</v>
      </c>
      <c r="D406" s="1" t="str">
        <f ca="1">IFERROR(__xludf.DUMMYFUNCTION("""COMPUTED_VALUE"""),"Male")</f>
        <v>Male</v>
      </c>
      <c r="E406" s="1" t="str">
        <f ca="1">IFERROR(__xludf.DUMMYFUNCTION("""COMPUTED_VALUE"""),"My Parents")</f>
        <v>My Parents</v>
      </c>
      <c r="F406" s="1" t="str">
        <f ca="1">IFERROR(__xludf.DUMMYFUNCTION("""COMPUTED_VALUE"""),"No, But if someone could bare the cost I will")</f>
        <v>No, But if someone could bare the cost I will</v>
      </c>
      <c r="G406" s="1" t="str">
        <f ca="1">IFERROR(__xludf.DUMMYFUNCTION("""COMPUTED_VALUE"""),"Will work for 3 years or more")</f>
        <v>Will work for 3 years or more</v>
      </c>
      <c r="H406" s="1" t="str">
        <f ca="1">IFERROR(__xludf.DUMMYFUNCTION("""COMPUTED_VALUE"""),"No")</f>
        <v>No</v>
      </c>
      <c r="I406" s="1" t="str">
        <f ca="1">IFERROR(__xludf.DUMMYFUNCTION("""COMPUTED_VALUE"""),"Will NOT work for them")</f>
        <v>Will NOT work for them</v>
      </c>
      <c r="J406" s="1">
        <f ca="1">IFERROR(__xludf.DUMMYFUNCTION("""COMPUTED_VALUE"""),6)</f>
        <v>6</v>
      </c>
      <c r="K406" s="1" t="str">
        <f ca="1">IFERROR(__xludf.DUMMYFUNCTION("""COMPUTED_VALUE"""),"Hybrid Working Environment with more than 15 days a month at office")</f>
        <v>Hybrid Working Environment with more than 15 days a month at office</v>
      </c>
      <c r="L406" s="1" t="str">
        <f ca="1">IFERROR(__xludf.DUMMYFUNCTION("""COMPUTED_VALUE"""),"Employer who pushes your limits by enabling an learning environment, and rewards you at the end")</f>
        <v>Employer who pushes your limits by enabling an learning environment, and rewards you at the end</v>
      </c>
      <c r="M40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406" s="4" t="s">
        <v>50</v>
      </c>
      <c r="O406" s="1" t="str">
        <f ca="1">IFERROR(__xludf.DUMMYFUNCTION("""COMPUTED_VALUE"""),"Manager who explains what is expected, sets a goal and helps achieve it")</f>
        <v>Manager who explains what is expected, sets a goal and helps achieve it</v>
      </c>
      <c r="P406" s="1" t="str">
        <f ca="1">IFERROR(__xludf.DUMMYFUNCTION("""COMPUTED_VALUE"""),"Work &lt;=6 People in the Team")</f>
        <v>Work &lt;=6 People in the Team</v>
      </c>
      <c r="Q406" s="1" t="s">
        <v>43</v>
      </c>
      <c r="R406" s="1"/>
    </row>
    <row r="407" spans="1:18" x14ac:dyDescent="0.25">
      <c r="A407" s="2">
        <f ca="1">IFERROR(__xludf.DUMMYFUNCTION("""COMPUTED_VALUE"""),45021.3176421643)</f>
        <v>45021.3176421643</v>
      </c>
      <c r="B407" s="1" t="str">
        <f ca="1">IFERROR(__xludf.DUMMYFUNCTION("""COMPUTED_VALUE"""),"India")</f>
        <v>India</v>
      </c>
      <c r="C407" s="1">
        <f ca="1">IFERROR(__xludf.DUMMYFUNCTION("""COMPUTED_VALUE"""),250001)</f>
        <v>250001</v>
      </c>
      <c r="D407" s="1" t="str">
        <f ca="1">IFERROR(__xludf.DUMMYFUNCTION("""COMPUTED_VALUE"""),"Male")</f>
        <v>Male</v>
      </c>
      <c r="E407" s="1" t="str">
        <f ca="1">IFERROR(__xludf.DUMMYFUNCTION("""COMPUTED_VALUE"""),"People from my circle, but not family members")</f>
        <v>People from my circle, but not family members</v>
      </c>
      <c r="F407" s="1" t="str">
        <f ca="1">IFERROR(__xludf.DUMMYFUNCTION("""COMPUTED_VALUE"""),"Yes, I will earn and do that")</f>
        <v>Yes, I will earn and do that</v>
      </c>
      <c r="G407" s="1" t="str">
        <f ca="1">IFERROR(__xludf.DUMMYFUNCTION("""COMPUTED_VALUE"""),"This will be hard to do, but if it is the right company I would try")</f>
        <v>This will be hard to do, but if it is the right company I would try</v>
      </c>
      <c r="H407" s="1" t="str">
        <f ca="1">IFERROR(__xludf.DUMMYFUNCTION("""COMPUTED_VALUE"""),"No")</f>
        <v>No</v>
      </c>
      <c r="I407" s="1" t="str">
        <f ca="1">IFERROR(__xludf.DUMMYFUNCTION("""COMPUTED_VALUE"""),"Will NOT work for them")</f>
        <v>Will NOT work for them</v>
      </c>
      <c r="J407" s="1">
        <f ca="1">IFERROR(__xludf.DUMMYFUNCTION("""COMPUTED_VALUE"""),6)</f>
        <v>6</v>
      </c>
      <c r="K407" s="1" t="str">
        <f ca="1">IFERROR(__xludf.DUMMYFUNCTION("""COMPUTED_VALUE"""),"Fully Remote with Options to travel as and when needed")</f>
        <v>Fully Remote with Options to travel as and when needed</v>
      </c>
      <c r="L407" s="1" t="str">
        <f ca="1">IFERROR(__xludf.DUMMYFUNCTION("""COMPUTED_VALUE"""),"Employer who pushes your limits by enabling an learning environment, and rewards you at the end")</f>
        <v>Employer who pushes your limits by enabling an learning environment, and rewards you at the end</v>
      </c>
      <c r="M40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407" s="4" t="s">
        <v>51</v>
      </c>
      <c r="O407" s="1" t="str">
        <f ca="1">IFERROR(__xludf.DUMMYFUNCTION("""COMPUTED_VALUE"""),"Manager who clearly describes what she/he needs")</f>
        <v>Manager who clearly describes what she/he needs</v>
      </c>
      <c r="P407" s="1" t="str">
        <f ca="1">IFERROR(__xludf.DUMMYFUNCTION("""COMPUTED_VALUE"""),"Work Alone, &lt;=6 in team")</f>
        <v>Work Alone, &lt;=6 in team</v>
      </c>
      <c r="Q407" s="1" t="s">
        <v>43</v>
      </c>
      <c r="R407" s="1"/>
    </row>
    <row r="408" spans="1:18" x14ac:dyDescent="0.25">
      <c r="A408" s="2">
        <f ca="1">IFERROR(__xludf.DUMMYFUNCTION("""COMPUTED_VALUE"""),45021.3793198611)</f>
        <v>45021.379319861102</v>
      </c>
      <c r="B408" s="1" t="str">
        <f ca="1">IFERROR(__xludf.DUMMYFUNCTION("""COMPUTED_VALUE"""),"India")</f>
        <v>India</v>
      </c>
      <c r="C408" s="1">
        <f ca="1">IFERROR(__xludf.DUMMYFUNCTION("""COMPUTED_VALUE"""),721506)</f>
        <v>721506</v>
      </c>
      <c r="D408" s="1" t="str">
        <f ca="1">IFERROR(__xludf.DUMMYFUNCTION("""COMPUTED_VALUE"""),"Female")</f>
        <v>Female</v>
      </c>
      <c r="E408" s="1" t="str">
        <f ca="1">IFERROR(__xludf.DUMMYFUNCTION("""COMPUTED_VALUE"""),"Influencers who had successful careers")</f>
        <v>Influencers who had successful careers</v>
      </c>
      <c r="F408" s="1" t="str">
        <f ca="1">IFERROR(__xludf.DUMMYFUNCTION("""COMPUTED_VALUE"""),"Yes, I will earn and do that")</f>
        <v>Yes, I will earn and do that</v>
      </c>
      <c r="G408" s="1" t="str">
        <f ca="1">IFERROR(__xludf.DUMMYFUNCTION("""COMPUTED_VALUE"""),"Will work for 3 years or more")</f>
        <v>Will work for 3 years or more</v>
      </c>
      <c r="H408" s="1" t="str">
        <f ca="1">IFERROR(__xludf.DUMMYFUNCTION("""COMPUTED_VALUE"""),"Yes")</f>
        <v>Yes</v>
      </c>
      <c r="I408" s="1" t="str">
        <f ca="1">IFERROR(__xludf.DUMMYFUNCTION("""COMPUTED_VALUE"""),"Will NOT work for them")</f>
        <v>Will NOT work for them</v>
      </c>
      <c r="J408" s="1">
        <f ca="1">IFERROR(__xludf.DUMMYFUNCTION("""COMPUTED_VALUE"""),9)</f>
        <v>9</v>
      </c>
      <c r="K408" s="1" t="str">
        <f ca="1">IFERROR(__xludf.DUMMYFUNCTION("""COMPUTED_VALUE"""),"Every Day Office Environment")</f>
        <v>Every Day Office Environment</v>
      </c>
      <c r="L408" s="1" t="str">
        <f ca="1">IFERROR(__xludf.DUMMYFUNCTION("""COMPUTED_VALUE"""),"Employer who pushes your limits by enabling an learning environment, and rewards you at the end")</f>
        <v>Employer who pushes your limits by enabling an learning environment, and rewards you at the end</v>
      </c>
      <c r="M4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408" s="4" t="s">
        <v>50</v>
      </c>
      <c r="O408" s="1" t="str">
        <f ca="1">IFERROR(__xludf.DUMMYFUNCTION("""COMPUTED_VALUE"""),"Manager who explains what is expected, sets a goal and helps achieve it")</f>
        <v>Manager who explains what is expected, sets a goal and helps achieve it</v>
      </c>
      <c r="P408" s="1" t="str">
        <f ca="1">IFERROR(__xludf.DUMMYFUNCTION("""COMPUTED_VALUE"""),"Work &gt;10 people in Team")</f>
        <v>Work &gt;10 people in Team</v>
      </c>
      <c r="Q408" s="1" t="s">
        <v>43</v>
      </c>
      <c r="R408" s="1"/>
    </row>
    <row r="409" spans="1:18" x14ac:dyDescent="0.25">
      <c r="A409" s="2">
        <f ca="1">IFERROR(__xludf.DUMMYFUNCTION("""COMPUTED_VALUE"""),45021.3872363657)</f>
        <v>45021.387236365699</v>
      </c>
      <c r="B409" s="1" t="str">
        <f ca="1">IFERROR(__xludf.DUMMYFUNCTION("""COMPUTED_VALUE"""),"India")</f>
        <v>India</v>
      </c>
      <c r="C409" s="1">
        <f ca="1">IFERROR(__xludf.DUMMYFUNCTION("""COMPUTED_VALUE"""),600091)</f>
        <v>600091</v>
      </c>
      <c r="D409" s="1" t="str">
        <f ca="1">IFERROR(__xludf.DUMMYFUNCTION("""COMPUTED_VALUE"""),"Male")</f>
        <v>Male</v>
      </c>
      <c r="E409" s="1" t="str">
        <f ca="1">IFERROR(__xludf.DUMMYFUNCTION("""COMPUTED_VALUE"""),"Influencers who had successful careers")</f>
        <v>Influencers who had successful careers</v>
      </c>
      <c r="F409" s="1" t="str">
        <f ca="1">IFERROR(__xludf.DUMMYFUNCTION("""COMPUTED_VALUE"""),"Yes, I will earn and do that")</f>
        <v>Yes, I will earn and do that</v>
      </c>
      <c r="G409" s="1" t="str">
        <f ca="1">IFERROR(__xludf.DUMMYFUNCTION("""COMPUTED_VALUE"""),"This will be hard to do, but if it is the right company I would try")</f>
        <v>This will be hard to do, but if it is the right company I would try</v>
      </c>
      <c r="H409" s="1" t="str">
        <f ca="1">IFERROR(__xludf.DUMMYFUNCTION("""COMPUTED_VALUE"""),"No")</f>
        <v>No</v>
      </c>
      <c r="I409" s="1" t="str">
        <f ca="1">IFERROR(__xludf.DUMMYFUNCTION("""COMPUTED_VALUE"""),"Will NOT work for them")</f>
        <v>Will NOT work for them</v>
      </c>
      <c r="J409" s="1">
        <f ca="1">IFERROR(__xludf.DUMMYFUNCTION("""COMPUTED_VALUE"""),3)</f>
        <v>3</v>
      </c>
      <c r="K409" s="1" t="str">
        <f ca="1">IFERROR(__xludf.DUMMYFUNCTION("""COMPUTED_VALUE"""),"Fully Remote with Options to travel as and when needed")</f>
        <v>Fully Remote with Options to travel as and when needed</v>
      </c>
      <c r="L409" s="1" t="str">
        <f ca="1">IFERROR(__xludf.DUMMYFUNCTION("""COMPUTED_VALUE"""),"Employer who appreciates learning and enables that environment")</f>
        <v>Employer who appreciates learning and enables that environment</v>
      </c>
      <c r="M40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N409" s="4" t="s">
        <v>50</v>
      </c>
      <c r="O409" s="1" t="str">
        <f ca="1">IFERROR(__xludf.DUMMYFUNCTION("""COMPUTED_VALUE"""),"Manager who explains what is expected, sets a goal and helps achieve it")</f>
        <v>Manager who explains what is expected, sets a goal and helps achieve it</v>
      </c>
      <c r="P409" s="1" t="str">
        <f ca="1">IFERROR(__xludf.DUMMYFUNCTION("""COMPUTED_VALUE"""),"Work &gt;=7 People in the Team")</f>
        <v>Work &gt;=7 People in the Team</v>
      </c>
      <c r="Q409" s="1" t="s">
        <v>43</v>
      </c>
      <c r="R409" s="1"/>
    </row>
    <row r="410" spans="1:18" x14ac:dyDescent="0.25">
      <c r="A410" s="2">
        <f ca="1">IFERROR(__xludf.DUMMYFUNCTION("""COMPUTED_VALUE"""),45021.3966642592)</f>
        <v>45021.396664259199</v>
      </c>
      <c r="B410" s="1" t="str">
        <f ca="1">IFERROR(__xludf.DUMMYFUNCTION("""COMPUTED_VALUE"""),"India")</f>
        <v>India</v>
      </c>
      <c r="C410" s="1">
        <f ca="1">IFERROR(__xludf.DUMMYFUNCTION("""COMPUTED_VALUE"""),600129)</f>
        <v>600129</v>
      </c>
      <c r="D410" s="1" t="str">
        <f ca="1">IFERROR(__xludf.DUMMYFUNCTION("""COMPUTED_VALUE"""),"Male")</f>
        <v>Male</v>
      </c>
      <c r="E410" s="1" t="str">
        <f ca="1">IFERROR(__xludf.DUMMYFUNCTION("""COMPUTED_VALUE"""),"My Parents")</f>
        <v>My Parents</v>
      </c>
      <c r="F410" s="1" t="str">
        <f ca="1">IFERROR(__xludf.DUMMYFUNCTION("""COMPUTED_VALUE"""),"No I would not be pursuing Higher Education outside of India")</f>
        <v>No I would not be pursuing Higher Education outside of India</v>
      </c>
      <c r="G410" s="1" t="str">
        <f ca="1">IFERROR(__xludf.DUMMYFUNCTION("""COMPUTED_VALUE"""),"Will work for 3 years or more")</f>
        <v>Will work for 3 years or more</v>
      </c>
      <c r="H410" s="1" t="str">
        <f ca="1">IFERROR(__xludf.DUMMYFUNCTION("""COMPUTED_VALUE"""),"No")</f>
        <v>No</v>
      </c>
      <c r="I410" s="1" t="str">
        <f ca="1">IFERROR(__xludf.DUMMYFUNCTION("""COMPUTED_VALUE"""),"Will work for them")</f>
        <v>Will work for them</v>
      </c>
      <c r="J410" s="1">
        <f ca="1">IFERROR(__xludf.DUMMYFUNCTION("""COMPUTED_VALUE"""),7)</f>
        <v>7</v>
      </c>
      <c r="K410" s="1" t="str">
        <f ca="1">IFERROR(__xludf.DUMMYFUNCTION("""COMPUTED_VALUE"""),"Every Day Office Environment")</f>
        <v>Every Day Office Environment</v>
      </c>
      <c r="L410" s="1" t="str">
        <f ca="1">IFERROR(__xludf.DUMMYFUNCTION("""COMPUTED_VALUE"""),"Employer who appreciates learning and enables that environment")</f>
        <v>Employer who appreciates learning and enables that environment</v>
      </c>
      <c r="M410"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N410" s="4" t="s">
        <v>50</v>
      </c>
      <c r="O410" s="1" t="str">
        <f ca="1">IFERROR(__xludf.DUMMYFUNCTION("""COMPUTED_VALUE"""),"Manager who explains what is expected, sets a goal and helps achieve it")</f>
        <v>Manager who explains what is expected, sets a goal and helps achieve it</v>
      </c>
      <c r="P410" s="1" t="str">
        <f ca="1">IFERROR(__xludf.DUMMYFUNCTION("""COMPUTED_VALUE"""),"Work &lt;=6 People in the Team")</f>
        <v>Work &lt;=6 People in the Team</v>
      </c>
      <c r="Q410" s="1" t="s">
        <v>42</v>
      </c>
      <c r="R410" s="1"/>
    </row>
    <row r="411" spans="1:18" x14ac:dyDescent="0.25">
      <c r="A411" s="2">
        <f ca="1">IFERROR(__xludf.DUMMYFUNCTION("""COMPUTED_VALUE"""),45021.3985698148)</f>
        <v>45021.398569814803</v>
      </c>
      <c r="B411" s="1" t="str">
        <f ca="1">IFERROR(__xludf.DUMMYFUNCTION("""COMPUTED_VALUE"""),"India")</f>
        <v>India</v>
      </c>
      <c r="C411" s="1">
        <f ca="1">IFERROR(__xludf.DUMMYFUNCTION("""COMPUTED_VALUE"""),834001)</f>
        <v>834001</v>
      </c>
      <c r="D411" s="1" t="str">
        <f ca="1">IFERROR(__xludf.DUMMYFUNCTION("""COMPUTED_VALUE"""),"Female")</f>
        <v>Female</v>
      </c>
      <c r="E411" s="1" t="str">
        <f ca="1">IFERROR(__xludf.DUMMYFUNCTION("""COMPUTED_VALUE"""),"Social Media like LinkedIn")</f>
        <v>Social Media like LinkedIn</v>
      </c>
      <c r="F411" s="1" t="str">
        <f ca="1">IFERROR(__xludf.DUMMYFUNCTION("""COMPUTED_VALUE"""),"Yes, I will earn and do that")</f>
        <v>Yes, I will earn and do that</v>
      </c>
      <c r="G411" s="1" t="str">
        <f ca="1">IFERROR(__xludf.DUMMYFUNCTION("""COMPUTED_VALUE"""),"This will be hard to do, but if it is the right company I would try")</f>
        <v>This will be hard to do, but if it is the right company I would try</v>
      </c>
      <c r="H411" s="1" t="str">
        <f ca="1">IFERROR(__xludf.DUMMYFUNCTION("""COMPUTED_VALUE"""),"No")</f>
        <v>No</v>
      </c>
      <c r="I411" s="1" t="str">
        <f ca="1">IFERROR(__xludf.DUMMYFUNCTION("""COMPUTED_VALUE"""),"Will NOT work for them")</f>
        <v>Will NOT work for them</v>
      </c>
      <c r="J411" s="1">
        <f ca="1">IFERROR(__xludf.DUMMYFUNCTION("""COMPUTED_VALUE"""),2)</f>
        <v>2</v>
      </c>
      <c r="K411" s="1" t="str">
        <f ca="1">IFERROR(__xludf.DUMMYFUNCTION("""COMPUTED_VALUE"""),"Hybrid Working Environment with more than 15 days a month at office")</f>
        <v>Hybrid Working Environment with more than 15 days a month at office</v>
      </c>
      <c r="L411" s="1" t="str">
        <f ca="1">IFERROR(__xludf.DUMMYFUNCTION("""COMPUTED_VALUE"""),"Employer who pushes your limits by enabling an learning environment, and rewards you at the end")</f>
        <v>Employer who pushes your limits by enabling an learning environment, and rewards you at the end</v>
      </c>
      <c r="M411"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N411" s="4" t="s">
        <v>52</v>
      </c>
      <c r="O411" s="1" t="str">
        <f ca="1">IFERROR(__xludf.DUMMYFUNCTION("""COMPUTED_VALUE"""),"Manager who explains what is expected, sets a goal and helps achieve it")</f>
        <v>Manager who explains what is expected, sets a goal and helps achieve it</v>
      </c>
      <c r="P411" s="1" t="str">
        <f ca="1">IFERROR(__xludf.DUMMYFUNCTION("""COMPUTED_VALUE"""),"Work &lt;67 People in the Team")</f>
        <v>Work &lt;67 People in the Team</v>
      </c>
      <c r="Q411" s="1" t="s">
        <v>43</v>
      </c>
      <c r="R411" s="1"/>
    </row>
    <row r="412" spans="1:18" x14ac:dyDescent="0.25">
      <c r="A412" s="2">
        <f ca="1">IFERROR(__xludf.DUMMYFUNCTION("""COMPUTED_VALUE"""),45021.4005213194)</f>
        <v>45021.400521319403</v>
      </c>
      <c r="B412" s="1" t="str">
        <f ca="1">IFERROR(__xludf.DUMMYFUNCTION("""COMPUTED_VALUE"""),"India")</f>
        <v>India</v>
      </c>
      <c r="C412" s="1">
        <f ca="1">IFERROR(__xludf.DUMMYFUNCTION("""COMPUTED_VALUE"""),641028)</f>
        <v>641028</v>
      </c>
      <c r="D412" s="1" t="str">
        <f ca="1">IFERROR(__xludf.DUMMYFUNCTION("""COMPUTED_VALUE"""),"Male")</f>
        <v>Male</v>
      </c>
      <c r="E412" s="1" t="str">
        <f ca="1">IFERROR(__xludf.DUMMYFUNCTION("""COMPUTED_VALUE"""),"People who have changed the world for better")</f>
        <v>People who have changed the world for better</v>
      </c>
      <c r="F412" s="1" t="str">
        <f ca="1">IFERROR(__xludf.DUMMYFUNCTION("""COMPUTED_VALUE"""),"Yes, I will earn and do that")</f>
        <v>Yes, I will earn and do that</v>
      </c>
      <c r="G412" s="1" t="str">
        <f ca="1">IFERROR(__xludf.DUMMYFUNCTION("""COMPUTED_VALUE"""),"This will be hard to do, but if it is the right company I would try")</f>
        <v>This will be hard to do, but if it is the right company I would try</v>
      </c>
      <c r="H412" s="1" t="str">
        <f ca="1">IFERROR(__xludf.DUMMYFUNCTION("""COMPUTED_VALUE"""),"Yes")</f>
        <v>Yes</v>
      </c>
      <c r="I412" s="1" t="str">
        <f ca="1">IFERROR(__xludf.DUMMYFUNCTION("""COMPUTED_VALUE"""),"Will work for them")</f>
        <v>Will work for them</v>
      </c>
      <c r="J412" s="1">
        <f ca="1">IFERROR(__xludf.DUMMYFUNCTION("""COMPUTED_VALUE"""),6)</f>
        <v>6</v>
      </c>
      <c r="K412" s="1" t="str">
        <f ca="1">IFERROR(__xludf.DUMMYFUNCTION("""COMPUTED_VALUE"""),"Hybrid Working Environment with more than 15 days a month at office")</f>
        <v>Hybrid Working Environment with more than 15 days a month at office</v>
      </c>
      <c r="L412" s="1" t="str">
        <f ca="1">IFERROR(__xludf.DUMMYFUNCTION("""COMPUTED_VALUE"""),"Employer who pushes your limits by enabling an learning environment, and rewards you at the end")</f>
        <v>Employer who pushes your limits by enabling an learning environment, and rewards you at the end</v>
      </c>
      <c r="M41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412" s="4" t="s">
        <v>48</v>
      </c>
      <c r="O412" s="1" t="str">
        <f ca="1">IFERROR(__xludf.DUMMYFUNCTION("""COMPUTED_VALUE"""),"Manager who explains what is expected, sets a goal and helps achieve it")</f>
        <v>Manager who explains what is expected, sets a goal and helps achieve it</v>
      </c>
      <c r="P412" s="1" t="str">
        <f ca="1">IFERROR(__xludf.DUMMYFUNCTION("""COMPUTED_VALUE"""),"Work Alone, &lt;=6 in team")</f>
        <v>Work Alone, &lt;=6 in team</v>
      </c>
      <c r="Q412" s="1" t="s">
        <v>43</v>
      </c>
      <c r="R412" s="1"/>
    </row>
    <row r="413" spans="1:18" x14ac:dyDescent="0.25">
      <c r="A413" s="2">
        <f ca="1">IFERROR(__xludf.DUMMYFUNCTION("""COMPUTED_VALUE"""),45021.4065811921)</f>
        <v>45021.406581192103</v>
      </c>
      <c r="B413" s="1" t="str">
        <f ca="1">IFERROR(__xludf.DUMMYFUNCTION("""COMPUTED_VALUE"""),"India")</f>
        <v>India</v>
      </c>
      <c r="C413" s="1" t="str">
        <f ca="1">IFERROR(__xludf.DUMMYFUNCTION("""COMPUTED_VALUE"""),"+91")</f>
        <v>+91</v>
      </c>
      <c r="D413" s="1" t="str">
        <f ca="1">IFERROR(__xludf.DUMMYFUNCTION("""COMPUTED_VALUE"""),"Male")</f>
        <v>Male</v>
      </c>
      <c r="E413" s="1" t="str">
        <f ca="1">IFERROR(__xludf.DUMMYFUNCTION("""COMPUTED_VALUE"""),"Social Media like LinkedIn")</f>
        <v>Social Media like LinkedIn</v>
      </c>
      <c r="F413" s="1" t="str">
        <f ca="1">IFERROR(__xludf.DUMMYFUNCTION("""COMPUTED_VALUE"""),"Yes, I will earn and do that")</f>
        <v>Yes, I will earn and do that</v>
      </c>
      <c r="G413" s="1" t="str">
        <f ca="1">IFERROR(__xludf.DUMMYFUNCTION("""COMPUTED_VALUE"""),"Will work for 3 years or more")</f>
        <v>Will work for 3 years or more</v>
      </c>
      <c r="H413" s="1" t="str">
        <f ca="1">IFERROR(__xludf.DUMMYFUNCTION("""COMPUTED_VALUE"""),"Yes")</f>
        <v>Yes</v>
      </c>
      <c r="I413" s="1" t="str">
        <f ca="1">IFERROR(__xludf.DUMMYFUNCTION("""COMPUTED_VALUE"""),"Will NOT work for them")</f>
        <v>Will NOT work for them</v>
      </c>
      <c r="J413" s="1">
        <f ca="1">IFERROR(__xludf.DUMMYFUNCTION("""COMPUTED_VALUE"""),8)</f>
        <v>8</v>
      </c>
      <c r="K413" s="1" t="str">
        <f ca="1">IFERROR(__xludf.DUMMYFUNCTION("""COMPUTED_VALUE"""),"Hybrid Working Environment with more than 15 days a month at office")</f>
        <v>Hybrid Working Environment with more than 15 days a month at office</v>
      </c>
      <c r="L413" s="1" t="str">
        <f ca="1">IFERROR(__xludf.DUMMYFUNCTION("""COMPUTED_VALUE"""),"Employer who pushes your limits by enabling an learning environment, and rewards you at the end")</f>
        <v>Employer who pushes your limits by enabling an learning environment, and rewards you at the end</v>
      </c>
      <c r="M413"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N413" s="4" t="s">
        <v>48</v>
      </c>
      <c r="O413" s="1" t="str">
        <f ca="1">IFERROR(__xludf.DUMMYFUNCTION("""COMPUTED_VALUE"""),"Manager who clearly describes what she/he needs")</f>
        <v>Manager who clearly describes what she/he needs</v>
      </c>
      <c r="P413" s="1" t="str">
        <f ca="1">IFERROR(__xludf.DUMMYFUNCTION("""COMPUTED_VALUE"""),"Work &gt;10 people in Team")</f>
        <v>Work &gt;10 people in Team</v>
      </c>
      <c r="Q413" s="1" t="s">
        <v>40</v>
      </c>
      <c r="R413" s="1"/>
    </row>
    <row r="414" spans="1:18" x14ac:dyDescent="0.25">
      <c r="A414" s="2">
        <f ca="1">IFERROR(__xludf.DUMMYFUNCTION("""COMPUTED_VALUE"""),45021.4167827777)</f>
        <v>45021.416782777698</v>
      </c>
      <c r="B414" s="1" t="str">
        <f ca="1">IFERROR(__xludf.DUMMYFUNCTION("""COMPUTED_VALUE"""),"India")</f>
        <v>India</v>
      </c>
      <c r="C414" s="1">
        <f ca="1">IFERROR(__xludf.DUMMYFUNCTION("""COMPUTED_VALUE"""),600014)</f>
        <v>600014</v>
      </c>
      <c r="D414" s="1" t="str">
        <f ca="1">IFERROR(__xludf.DUMMYFUNCTION("""COMPUTED_VALUE"""),"Male")</f>
        <v>Male</v>
      </c>
      <c r="E414" s="1" t="str">
        <f ca="1">IFERROR(__xludf.DUMMYFUNCTION("""COMPUTED_VALUE"""),"Social Media like LinkedIn")</f>
        <v>Social Media like LinkedIn</v>
      </c>
      <c r="F414" s="1" t="str">
        <f ca="1">IFERROR(__xludf.DUMMYFUNCTION("""COMPUTED_VALUE"""),"No I would not be pursuing Higher Education outside of India")</f>
        <v>No I would not be pursuing Higher Education outside of India</v>
      </c>
      <c r="G414" s="1" t="str">
        <f ca="1">IFERROR(__xludf.DUMMYFUNCTION("""COMPUTED_VALUE"""),"This will be hard to do, but if it is the right company I would try")</f>
        <v>This will be hard to do, but if it is the right company I would try</v>
      </c>
      <c r="H414" s="1" t="str">
        <f ca="1">IFERROR(__xludf.DUMMYFUNCTION("""COMPUTED_VALUE"""),"No")</f>
        <v>No</v>
      </c>
      <c r="I414" s="1" t="str">
        <f ca="1">IFERROR(__xludf.DUMMYFUNCTION("""COMPUTED_VALUE"""),"Will NOT work for them")</f>
        <v>Will NOT work for them</v>
      </c>
      <c r="J414" s="1">
        <f ca="1">IFERROR(__xludf.DUMMYFUNCTION("""COMPUTED_VALUE"""),5)</f>
        <v>5</v>
      </c>
      <c r="K414" s="1" t="str">
        <f ca="1">IFERROR(__xludf.DUMMYFUNCTION("""COMPUTED_VALUE"""),"Hybrid Working Environment with less than 3 days a month at office")</f>
        <v>Hybrid Working Environment with less than 3 days a month at office</v>
      </c>
      <c r="L414" s="1" t="str">
        <f ca="1">IFERROR(__xludf.DUMMYFUNCTION("""COMPUTED_VALUE"""),"Employer who appreciates learning and enables that environment")</f>
        <v>Employer who appreciates learning and enables that environment</v>
      </c>
      <c r="M41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414" s="4" t="s">
        <v>29</v>
      </c>
      <c r="O414" s="1" t="str">
        <f ca="1">IFERROR(__xludf.DUMMYFUNCTION("""COMPUTED_VALUE"""),"Manager who explains what is expected, sets a goal and helps achieve it")</f>
        <v>Manager who explains what is expected, sets a goal and helps achieve it</v>
      </c>
      <c r="P414" s="1" t="str">
        <f ca="1">IFERROR(__xludf.DUMMYFUNCTION("""COMPUTED_VALUE"""),"Work &lt;=6 People in the Team")</f>
        <v>Work &lt;=6 People in the Team</v>
      </c>
      <c r="Q414" s="1" t="s">
        <v>43</v>
      </c>
      <c r="R414" s="1"/>
    </row>
    <row r="415" spans="1:18" x14ac:dyDescent="0.25">
      <c r="A415" s="2">
        <f ca="1">IFERROR(__xludf.DUMMYFUNCTION("""COMPUTED_VALUE"""),45021.4254258101)</f>
        <v>45021.425425810099</v>
      </c>
      <c r="B415" s="1" t="str">
        <f ca="1">IFERROR(__xludf.DUMMYFUNCTION("""COMPUTED_VALUE"""),"India")</f>
        <v>India</v>
      </c>
      <c r="C415" s="1">
        <f ca="1">IFERROR(__xludf.DUMMYFUNCTION("""COMPUTED_VALUE"""),671315)</f>
        <v>671315</v>
      </c>
      <c r="D415" s="1" t="str">
        <f ca="1">IFERROR(__xludf.DUMMYFUNCTION("""COMPUTED_VALUE"""),"Male")</f>
        <v>Male</v>
      </c>
      <c r="E415" s="1" t="str">
        <f ca="1">IFERROR(__xludf.DUMMYFUNCTION("""COMPUTED_VALUE"""),"Social Media like LinkedIn")</f>
        <v>Social Media like LinkedIn</v>
      </c>
      <c r="F415" s="1" t="str">
        <f ca="1">IFERROR(__xludf.DUMMYFUNCTION("""COMPUTED_VALUE"""),"No, But if someone could bare the cost I will")</f>
        <v>No, But if someone could bare the cost I will</v>
      </c>
      <c r="G415" s="1" t="str">
        <f ca="1">IFERROR(__xludf.DUMMYFUNCTION("""COMPUTED_VALUE"""),"This will be hard to do, but if it is the right company I would try")</f>
        <v>This will be hard to do, but if it is the right company I would try</v>
      </c>
      <c r="H415" s="1" t="str">
        <f ca="1">IFERROR(__xludf.DUMMYFUNCTION("""COMPUTED_VALUE"""),"Yes")</f>
        <v>Yes</v>
      </c>
      <c r="I415" s="1" t="str">
        <f ca="1">IFERROR(__xludf.DUMMYFUNCTION("""COMPUTED_VALUE"""),"Will work for them")</f>
        <v>Will work for them</v>
      </c>
      <c r="J415" s="1">
        <f ca="1">IFERROR(__xludf.DUMMYFUNCTION("""COMPUTED_VALUE"""),4)</f>
        <v>4</v>
      </c>
      <c r="K415" s="1" t="str">
        <f ca="1">IFERROR(__xludf.DUMMYFUNCTION("""COMPUTED_VALUE"""),"Hybrid Working Environment with less than 3 days a month at office")</f>
        <v>Hybrid Working Environment with less than 3 days a month at office</v>
      </c>
      <c r="L415" s="1" t="str">
        <f ca="1">IFERROR(__xludf.DUMMYFUNCTION("""COMPUTED_VALUE"""),"Employer who pushes your limits by enabling an learning environment, and rewards you at the end")</f>
        <v>Employer who pushes your limits by enabling an learning environment, and rewards you at the end</v>
      </c>
      <c r="M415"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N415" s="4" t="s">
        <v>48</v>
      </c>
      <c r="O415" s="1" t="str">
        <f ca="1">IFERROR(__xludf.DUMMYFUNCTION("""COMPUTED_VALUE"""),"Manager who explains what is expected, sets a goal and helps achieve it")</f>
        <v>Manager who explains what is expected, sets a goal and helps achieve it</v>
      </c>
      <c r="P415" s="1" t="str">
        <f ca="1">IFERROR(__xludf.DUMMYFUNCTION("""COMPUTED_VALUE"""),"Work &lt;=6 People in the Team")</f>
        <v>Work &lt;=6 People in the Team</v>
      </c>
      <c r="Q415" s="1" t="s">
        <v>43</v>
      </c>
      <c r="R415" s="1"/>
    </row>
    <row r="416" spans="1:18" x14ac:dyDescent="0.25">
      <c r="A416" s="2">
        <f ca="1">IFERROR(__xludf.DUMMYFUNCTION("""COMPUTED_VALUE"""),45021.4369009722)</f>
        <v>45021.4369009722</v>
      </c>
      <c r="B416" s="1" t="str">
        <f ca="1">IFERROR(__xludf.DUMMYFUNCTION("""COMPUTED_VALUE"""),"India")</f>
        <v>India</v>
      </c>
      <c r="C416" s="1">
        <f ca="1">IFERROR(__xludf.DUMMYFUNCTION("""COMPUTED_VALUE"""),500079)</f>
        <v>500079</v>
      </c>
      <c r="D416" s="1" t="str">
        <f ca="1">IFERROR(__xludf.DUMMYFUNCTION("""COMPUTED_VALUE"""),"Male")</f>
        <v>Male</v>
      </c>
      <c r="E416" s="1" t="str">
        <f ca="1">IFERROR(__xludf.DUMMYFUNCTION("""COMPUTED_VALUE"""),"Influencers who had successful careers")</f>
        <v>Influencers who had successful careers</v>
      </c>
      <c r="F416" s="1" t="str">
        <f ca="1">IFERROR(__xludf.DUMMYFUNCTION("""COMPUTED_VALUE"""),"Yes, I will earn and do that")</f>
        <v>Yes, I will earn and do that</v>
      </c>
      <c r="G416" s="1" t="str">
        <f ca="1">IFERROR(__xludf.DUMMYFUNCTION("""COMPUTED_VALUE"""),"This will be hard to do, but if it is the right company I would try")</f>
        <v>This will be hard to do, but if it is the right company I would try</v>
      </c>
      <c r="H416" s="1" t="str">
        <f ca="1">IFERROR(__xludf.DUMMYFUNCTION("""COMPUTED_VALUE"""),"No")</f>
        <v>No</v>
      </c>
      <c r="I416" s="1" t="str">
        <f ca="1">IFERROR(__xludf.DUMMYFUNCTION("""COMPUTED_VALUE"""),"Will NOT work for them")</f>
        <v>Will NOT work for them</v>
      </c>
      <c r="J416" s="1">
        <f ca="1">IFERROR(__xludf.DUMMYFUNCTION("""COMPUTED_VALUE"""),4)</f>
        <v>4</v>
      </c>
      <c r="K416" s="1" t="str">
        <f ca="1">IFERROR(__xludf.DUMMYFUNCTION("""COMPUTED_VALUE"""),"Fully Remote with Options to travel as and when needed")</f>
        <v>Fully Remote with Options to travel as and when needed</v>
      </c>
      <c r="L416" s="1" t="str">
        <f ca="1">IFERROR(__xludf.DUMMYFUNCTION("""COMPUTED_VALUE"""),"Employer who appreciates learning and enables that environment")</f>
        <v>Employer who appreciates learning and enables that environment</v>
      </c>
      <c r="M416"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N416" s="4" t="s">
        <v>48</v>
      </c>
      <c r="O416" s="1" t="str">
        <f ca="1">IFERROR(__xludf.DUMMYFUNCTION("""COMPUTED_VALUE"""),"Manager who explains what is expected, sets a goal and helps achieve it")</f>
        <v>Manager who explains what is expected, sets a goal and helps achieve it</v>
      </c>
      <c r="P416" s="1" t="str">
        <f ca="1">IFERROR(__xludf.DUMMYFUNCTION("""COMPUTED_VALUE"""),"Work &lt;=6 People in the Team")</f>
        <v>Work &lt;=6 People in the Team</v>
      </c>
      <c r="Q416" s="1" t="s">
        <v>40</v>
      </c>
      <c r="R416" s="1"/>
    </row>
    <row r="417" spans="1:18" x14ac:dyDescent="0.25">
      <c r="A417" s="2">
        <f ca="1">IFERROR(__xludf.DUMMYFUNCTION("""COMPUTED_VALUE"""),45021.4369750115)</f>
        <v>45021.4369750115</v>
      </c>
      <c r="B417" s="1" t="str">
        <f ca="1">IFERROR(__xludf.DUMMYFUNCTION("""COMPUTED_VALUE"""),"Others")</f>
        <v>Others</v>
      </c>
      <c r="C417" s="1">
        <f ca="1">IFERROR(__xludf.DUMMYFUNCTION("""COMPUTED_VALUE"""),2151)</f>
        <v>2151</v>
      </c>
      <c r="D417" s="1" t="str">
        <f ca="1">IFERROR(__xludf.DUMMYFUNCTION("""COMPUTED_VALUE"""),"Male")</f>
        <v>Male</v>
      </c>
      <c r="E417" s="1" t="str">
        <f ca="1">IFERROR(__xludf.DUMMYFUNCTION("""COMPUTED_VALUE"""),"People from my circle, but not family members")</f>
        <v>People from my circle, but not family members</v>
      </c>
      <c r="F417" s="1" t="str">
        <f ca="1">IFERROR(__xludf.DUMMYFUNCTION("""COMPUTED_VALUE"""),"Yes, I will earn and do that")</f>
        <v>Yes, I will earn and do that</v>
      </c>
      <c r="G417" s="1" t="str">
        <f ca="1">IFERROR(__xludf.DUMMYFUNCTION("""COMPUTED_VALUE"""),"Will work for 3 years or more")</f>
        <v>Will work for 3 years or more</v>
      </c>
      <c r="H417" s="1" t="str">
        <f ca="1">IFERROR(__xludf.DUMMYFUNCTION("""COMPUTED_VALUE"""),"Yes")</f>
        <v>Yes</v>
      </c>
      <c r="I417" s="1" t="str">
        <f ca="1">IFERROR(__xludf.DUMMYFUNCTION("""COMPUTED_VALUE"""),"Will work for them")</f>
        <v>Will work for them</v>
      </c>
      <c r="J417" s="1">
        <f ca="1">IFERROR(__xludf.DUMMYFUNCTION("""COMPUTED_VALUE"""),10)</f>
        <v>10</v>
      </c>
      <c r="K417" s="1" t="str">
        <f ca="1">IFERROR(__xludf.DUMMYFUNCTION("""COMPUTED_VALUE"""),"Every Day Office Environment")</f>
        <v>Every Day Office Environment</v>
      </c>
      <c r="L417" s="1" t="str">
        <f ca="1">IFERROR(__xludf.DUMMYFUNCTION("""COMPUTED_VALUE"""),"Employer who appreciates learning and enables that environment")</f>
        <v>Employer who appreciates learning and enables that environment</v>
      </c>
      <c r="M417"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N417" s="4" t="s">
        <v>48</v>
      </c>
      <c r="O417" s="1" t="str">
        <f ca="1">IFERROR(__xludf.DUMMYFUNCTION("""COMPUTED_VALUE"""),"Manager who explains what is expected, sets a goal and helps achieve it")</f>
        <v>Manager who explains what is expected, sets a goal and helps achieve it</v>
      </c>
      <c r="P417" s="1" t="str">
        <f ca="1">IFERROR(__xludf.DUMMYFUNCTION("""COMPUTED_VALUE"""),"Work &gt;10 people in Team")</f>
        <v>Work &gt;10 people in Team</v>
      </c>
      <c r="Q417" s="1" t="s">
        <v>42</v>
      </c>
      <c r="R417" s="1"/>
    </row>
    <row r="418" spans="1:18" x14ac:dyDescent="0.25">
      <c r="A418" s="2">
        <f ca="1">IFERROR(__xludf.DUMMYFUNCTION("""COMPUTED_VALUE"""),45021.4381428472)</f>
        <v>45021.438142847197</v>
      </c>
      <c r="B418" s="1" t="str">
        <f ca="1">IFERROR(__xludf.DUMMYFUNCTION("""COMPUTED_VALUE"""),"India")</f>
        <v>India</v>
      </c>
      <c r="C418" s="1">
        <f ca="1">IFERROR(__xludf.DUMMYFUNCTION("""COMPUTED_VALUE"""),670014)</f>
        <v>670014</v>
      </c>
      <c r="D418" s="1" t="str">
        <f ca="1">IFERROR(__xludf.DUMMYFUNCTION("""COMPUTED_VALUE"""),"Male")</f>
        <v>Male</v>
      </c>
      <c r="E418" s="1" t="str">
        <f ca="1">IFERROR(__xludf.DUMMYFUNCTION("""COMPUTED_VALUE"""),"People from my circle, but not family members")</f>
        <v>People from my circle, but not family members</v>
      </c>
      <c r="F418" s="1" t="str">
        <f ca="1">IFERROR(__xludf.DUMMYFUNCTION("""COMPUTED_VALUE"""),"Yes, I will earn and do that")</f>
        <v>Yes, I will earn and do that</v>
      </c>
      <c r="G418" s="1" t="str">
        <f ca="1">IFERROR(__xludf.DUMMYFUNCTION("""COMPUTED_VALUE"""),"Will work for 3 years or more")</f>
        <v>Will work for 3 years or more</v>
      </c>
      <c r="H418" s="1" t="str">
        <f ca="1">IFERROR(__xludf.DUMMYFUNCTION("""COMPUTED_VALUE"""),"Yes")</f>
        <v>Yes</v>
      </c>
      <c r="I418" s="1" t="str">
        <f ca="1">IFERROR(__xludf.DUMMYFUNCTION("""COMPUTED_VALUE"""),"Will work for them")</f>
        <v>Will work for them</v>
      </c>
      <c r="J418" s="1">
        <f ca="1">IFERROR(__xludf.DUMMYFUNCTION("""COMPUTED_VALUE"""),6)</f>
        <v>6</v>
      </c>
      <c r="K418" s="1" t="str">
        <f ca="1">IFERROR(__xludf.DUMMYFUNCTION("""COMPUTED_VALUE"""),"Hybrid Working Environment with more than 15 days a month at office")</f>
        <v>Hybrid Working Environment with more than 15 days a month at office</v>
      </c>
      <c r="L418" s="1" t="str">
        <f ca="1">IFERROR(__xludf.DUMMYFUNCTION("""COMPUTED_VALUE"""),"Employer who pushes your limits by enabling an learning environment, and rewards you at the end")</f>
        <v>Employer who pushes your limits by enabling an learning environment, and rewards you at the end</v>
      </c>
      <c r="M418"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N418" s="4" t="s">
        <v>52</v>
      </c>
      <c r="O418" s="1" t="str">
        <f ca="1">IFERROR(__xludf.DUMMYFUNCTION("""COMPUTED_VALUE"""),"Manager who explains what is expected, sets a goal and helps achieve it")</f>
        <v>Manager who explains what is expected, sets a goal and helps achieve it</v>
      </c>
      <c r="P418" s="1" t="str">
        <f ca="1">IFERROR(__xludf.DUMMYFUNCTION("""COMPUTED_VALUE"""),"Work &lt;=6 People in the Team")</f>
        <v>Work &lt;=6 People in the Team</v>
      </c>
      <c r="Q418" s="1" t="s">
        <v>43</v>
      </c>
      <c r="R418" s="1"/>
    </row>
    <row r="419" spans="1:18" x14ac:dyDescent="0.25">
      <c r="A419" s="2">
        <f ca="1">IFERROR(__xludf.DUMMYFUNCTION("""COMPUTED_VALUE"""),45021.4398118402)</f>
        <v>45021.439811840202</v>
      </c>
      <c r="B419" s="1" t="str">
        <f ca="1">IFERROR(__xludf.DUMMYFUNCTION("""COMPUTED_VALUE"""),"India")</f>
        <v>India</v>
      </c>
      <c r="C419" s="1">
        <f ca="1">IFERROR(__xludf.DUMMYFUNCTION("""COMPUTED_VALUE"""),390009)</f>
        <v>390009</v>
      </c>
      <c r="D419" s="1" t="str">
        <f ca="1">IFERROR(__xludf.DUMMYFUNCTION("""COMPUTED_VALUE"""),"Male")</f>
        <v>Male</v>
      </c>
      <c r="E419" s="1" t="str">
        <f ca="1">IFERROR(__xludf.DUMMYFUNCTION("""COMPUTED_VALUE"""),"Influencers who had successful careers")</f>
        <v>Influencers who had successful careers</v>
      </c>
      <c r="F419" s="1" t="str">
        <f ca="1">IFERROR(__xludf.DUMMYFUNCTION("""COMPUTED_VALUE"""),"Yes, I will earn and do that")</f>
        <v>Yes, I will earn and do that</v>
      </c>
      <c r="G419" s="1" t="str">
        <f ca="1">IFERROR(__xludf.DUMMYFUNCTION("""COMPUTED_VALUE"""),"This will be hard to do, but if it is the right company I would try")</f>
        <v>This will be hard to do, but if it is the right company I would try</v>
      </c>
      <c r="H419" s="1" t="str">
        <f ca="1">IFERROR(__xludf.DUMMYFUNCTION("""COMPUTED_VALUE"""),"No")</f>
        <v>No</v>
      </c>
      <c r="I419" s="1" t="str">
        <f ca="1">IFERROR(__xludf.DUMMYFUNCTION("""COMPUTED_VALUE"""),"Will NOT work for them")</f>
        <v>Will NOT work for them</v>
      </c>
      <c r="J419" s="1">
        <f ca="1">IFERROR(__xludf.DUMMYFUNCTION("""COMPUTED_VALUE"""),1)</f>
        <v>1</v>
      </c>
      <c r="K419" s="1" t="str">
        <f ca="1">IFERROR(__xludf.DUMMYFUNCTION("""COMPUTED_VALUE"""),"Every Day Office Environment")</f>
        <v>Every Day Office Environment</v>
      </c>
      <c r="L419" s="1" t="str">
        <f ca="1">IFERROR(__xludf.DUMMYFUNCTION("""COMPUTED_VALUE"""),"Employer who pushes your limits by enabling an learning environment, and rewards you at the end")</f>
        <v>Employer who pushes your limits by enabling an learning environment, and rewards you at the end</v>
      </c>
      <c r="M419"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419" s="4" t="s">
        <v>51</v>
      </c>
      <c r="O419" s="1" t="str">
        <f ca="1">IFERROR(__xludf.DUMMYFUNCTION("""COMPUTED_VALUE"""),"Manager who explains what is expected, sets a goal and helps achieve it")</f>
        <v>Manager who explains what is expected, sets a goal and helps achieve it</v>
      </c>
      <c r="P419" s="1" t="str">
        <f ca="1">IFERROR(__xludf.DUMMYFUNCTION("""COMPUTED_VALUE"""),"Work &gt;10 people in Team")</f>
        <v>Work &gt;10 people in Team</v>
      </c>
      <c r="Q419" s="1" t="s">
        <v>40</v>
      </c>
      <c r="R419" s="1"/>
    </row>
    <row r="420" spans="1:18" x14ac:dyDescent="0.25">
      <c r="A420" s="2">
        <f ca="1">IFERROR(__xludf.DUMMYFUNCTION("""COMPUTED_VALUE"""),45021.4426400578)</f>
        <v>45021.442640057801</v>
      </c>
      <c r="B420" s="1" t="str">
        <f ca="1">IFERROR(__xludf.DUMMYFUNCTION("""COMPUTED_VALUE"""),"India")</f>
        <v>India</v>
      </c>
      <c r="C420" s="1">
        <f ca="1">IFERROR(__xludf.DUMMYFUNCTION("""COMPUTED_VALUE"""),500079)</f>
        <v>500079</v>
      </c>
      <c r="D420" s="1" t="str">
        <f ca="1">IFERROR(__xludf.DUMMYFUNCTION("""COMPUTED_VALUE"""),"Male")</f>
        <v>Male</v>
      </c>
      <c r="E420" s="1" t="str">
        <f ca="1">IFERROR(__xludf.DUMMYFUNCTION("""COMPUTED_VALUE"""),"Influencers who had successful careers")</f>
        <v>Influencers who had successful careers</v>
      </c>
      <c r="F420" s="1" t="str">
        <f ca="1">IFERROR(__xludf.DUMMYFUNCTION("""COMPUTED_VALUE"""),"Yes, I will earn and do that")</f>
        <v>Yes, I will earn and do that</v>
      </c>
      <c r="G420" s="1" t="str">
        <f ca="1">IFERROR(__xludf.DUMMYFUNCTION("""COMPUTED_VALUE"""),"This will be hard to do, but if it is the right company I would try")</f>
        <v>This will be hard to do, but if it is the right company I would try</v>
      </c>
      <c r="H420" s="1" t="str">
        <f ca="1">IFERROR(__xludf.DUMMYFUNCTION("""COMPUTED_VALUE"""),"No")</f>
        <v>No</v>
      </c>
      <c r="I420" s="1" t="str">
        <f ca="1">IFERROR(__xludf.DUMMYFUNCTION("""COMPUTED_VALUE"""),"Will NOT work for them")</f>
        <v>Will NOT work for them</v>
      </c>
      <c r="J420" s="1">
        <f ca="1">IFERROR(__xludf.DUMMYFUNCTION("""COMPUTED_VALUE"""),2)</f>
        <v>2</v>
      </c>
      <c r="K420" s="1" t="str">
        <f ca="1">IFERROR(__xludf.DUMMYFUNCTION("""COMPUTED_VALUE"""),"Hybrid Working Environment with more than 15 days a month at office")</f>
        <v>Hybrid Working Environment with more than 15 days a month at office</v>
      </c>
      <c r="L420" s="1" t="str">
        <f ca="1">IFERROR(__xludf.DUMMYFUNCTION("""COMPUTED_VALUE"""),"Employer who pushes your limits by enabling an learning environment, and rewards you at the end")</f>
        <v>Employer who pushes your limits by enabling an learning environment, and rewards you at the end</v>
      </c>
      <c r="M420"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N420" s="4" t="s">
        <v>51</v>
      </c>
      <c r="O420" s="1" t="str">
        <f ca="1">IFERROR(__xludf.DUMMYFUNCTION("""COMPUTED_VALUE"""),"Manager who explains what is expected, sets a goal and helps achieve it")</f>
        <v>Manager who explains what is expected, sets a goal and helps achieve it</v>
      </c>
      <c r="P420" s="1" t="str">
        <f ca="1">IFERROR(__xludf.DUMMYFUNCTION("""COMPUTED_VALUE"""),"Work &lt;=6 People in the Team")</f>
        <v>Work &lt;=6 People in the Team</v>
      </c>
      <c r="Q420" s="1" t="s">
        <v>43</v>
      </c>
      <c r="R420" s="1"/>
    </row>
    <row r="421" spans="1:18" x14ac:dyDescent="0.25">
      <c r="A421" s="2">
        <f ca="1">IFERROR(__xludf.DUMMYFUNCTION("""COMPUTED_VALUE"""),45021.44284375)</f>
        <v>45021.442843750003</v>
      </c>
      <c r="B421" s="1" t="str">
        <f ca="1">IFERROR(__xludf.DUMMYFUNCTION("""COMPUTED_VALUE"""),"India")</f>
        <v>India</v>
      </c>
      <c r="C421" s="1">
        <f ca="1">IFERROR(__xludf.DUMMYFUNCTION("""COMPUTED_VALUE"""),560066)</f>
        <v>560066</v>
      </c>
      <c r="D421" s="1" t="str">
        <f ca="1">IFERROR(__xludf.DUMMYFUNCTION("""COMPUTED_VALUE"""),"Male")</f>
        <v>Male</v>
      </c>
      <c r="E421" s="1" t="str">
        <f ca="1">IFERROR(__xludf.DUMMYFUNCTION("""COMPUTED_VALUE"""),"People who have changed the world for better")</f>
        <v>People who have changed the world for better</v>
      </c>
      <c r="F421" s="1" t="str">
        <f ca="1">IFERROR(__xludf.DUMMYFUNCTION("""COMPUTED_VALUE"""),"Yes, I will earn and do that")</f>
        <v>Yes, I will earn and do that</v>
      </c>
      <c r="G421" s="1" t="str">
        <f ca="1">IFERROR(__xludf.DUMMYFUNCTION("""COMPUTED_VALUE"""),"Will work for 3 years or more")</f>
        <v>Will work for 3 years or more</v>
      </c>
      <c r="H421" s="1" t="str">
        <f ca="1">IFERROR(__xludf.DUMMYFUNCTION("""COMPUTED_VALUE"""),"Yes")</f>
        <v>Yes</v>
      </c>
      <c r="I421" s="1" t="str">
        <f ca="1">IFERROR(__xludf.DUMMYFUNCTION("""COMPUTED_VALUE"""),"Will NOT work for them")</f>
        <v>Will NOT work for them</v>
      </c>
      <c r="J421" s="1">
        <f ca="1">IFERROR(__xludf.DUMMYFUNCTION("""COMPUTED_VALUE"""),7)</f>
        <v>7</v>
      </c>
      <c r="K421" s="1" t="str">
        <f ca="1">IFERROR(__xludf.DUMMYFUNCTION("""COMPUTED_VALUE"""),"Hybrid Working Environment with more than 15 days a month at office")</f>
        <v>Hybrid Working Environment with more than 15 days a month at office</v>
      </c>
      <c r="L421" s="1" t="str">
        <f ca="1">IFERROR(__xludf.DUMMYFUNCTION("""COMPUTED_VALUE"""),"Employer who pushes your limits by enabling an learning environment, and rewards you at the end")</f>
        <v>Employer who pushes your limits by enabling an learning environment, and rewards you at the end</v>
      </c>
      <c r="M42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421" s="4" t="s">
        <v>51</v>
      </c>
      <c r="O421" s="1" t="str">
        <f ca="1">IFERROR(__xludf.DUMMYFUNCTION("""COMPUTED_VALUE"""),"Manager who explains what is expected, sets a goal and helps achieve it")</f>
        <v>Manager who explains what is expected, sets a goal and helps achieve it</v>
      </c>
      <c r="P421" s="1" t="str">
        <f ca="1">IFERROR(__xludf.DUMMYFUNCTION("""COMPUTED_VALUE"""),"Work Alone, &lt;=6 in team")</f>
        <v>Work Alone, &lt;=6 in team</v>
      </c>
      <c r="Q421" s="1" t="s">
        <v>43</v>
      </c>
      <c r="R421" s="1"/>
    </row>
    <row r="422" spans="1:18" x14ac:dyDescent="0.25">
      <c r="A422" s="2">
        <f ca="1">IFERROR(__xludf.DUMMYFUNCTION("""COMPUTED_VALUE"""),45021.4430277199)</f>
        <v>45021.443027719899</v>
      </c>
      <c r="B422" s="1" t="str">
        <f ca="1">IFERROR(__xludf.DUMMYFUNCTION("""COMPUTED_VALUE"""),"India")</f>
        <v>India</v>
      </c>
      <c r="C422" s="1">
        <f ca="1">IFERROR(__xludf.DUMMYFUNCTION("""COMPUTED_VALUE"""),421301)</f>
        <v>421301</v>
      </c>
      <c r="D422" s="1" t="str">
        <f ca="1">IFERROR(__xludf.DUMMYFUNCTION("""COMPUTED_VALUE"""),"Male")</f>
        <v>Male</v>
      </c>
      <c r="E422" s="1" t="str">
        <f ca="1">IFERROR(__xludf.DUMMYFUNCTION("""COMPUTED_VALUE"""),"People who have changed the world for better")</f>
        <v>People who have changed the world for better</v>
      </c>
      <c r="F422" s="1" t="str">
        <f ca="1">IFERROR(__xludf.DUMMYFUNCTION("""COMPUTED_VALUE"""),"No I would not be pursuing Higher Education outside of India")</f>
        <v>No I would not be pursuing Higher Education outside of India</v>
      </c>
      <c r="G422" s="1" t="str">
        <f ca="1">IFERROR(__xludf.DUMMYFUNCTION("""COMPUTED_VALUE"""),"Will work for 3 years or more")</f>
        <v>Will work for 3 years or more</v>
      </c>
      <c r="H422" s="1" t="str">
        <f ca="1">IFERROR(__xludf.DUMMYFUNCTION("""COMPUTED_VALUE"""),"Yes")</f>
        <v>Yes</v>
      </c>
      <c r="I422" s="1" t="str">
        <f ca="1">IFERROR(__xludf.DUMMYFUNCTION("""COMPUTED_VALUE"""),"Will NOT work for them")</f>
        <v>Will NOT work for them</v>
      </c>
      <c r="J422" s="1">
        <f ca="1">IFERROR(__xludf.DUMMYFUNCTION("""COMPUTED_VALUE"""),5)</f>
        <v>5</v>
      </c>
      <c r="K422" s="1" t="str">
        <f ca="1">IFERROR(__xludf.DUMMYFUNCTION("""COMPUTED_VALUE"""),"Fully Remote with Options to travel as and when needed")</f>
        <v>Fully Remote with Options to travel as and when needed</v>
      </c>
      <c r="L422" s="1" t="str">
        <f ca="1">IFERROR(__xludf.DUMMYFUNCTION("""COMPUTED_VALUE"""),"Employer who pushes your limits by enabling an learning environment, and rewards you at the end")</f>
        <v>Employer who pushes your limits by enabling an learning environment, and rewards you at the end</v>
      </c>
      <c r="M42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422" s="4" t="s">
        <v>55</v>
      </c>
      <c r="O422" s="1" t="str">
        <f ca="1">IFERROR(__xludf.DUMMYFUNCTION("""COMPUTED_VALUE"""),"Manager who clearly describes what she/he needs")</f>
        <v>Manager who clearly describes what she/he needs</v>
      </c>
      <c r="P422" s="1" t="str">
        <f ca="1">IFERROR(__xludf.DUMMYFUNCTION("""COMPUTED_VALUE"""),"Work &gt;=7 People in the Team")</f>
        <v>Work &gt;=7 People in the Team</v>
      </c>
      <c r="Q422" s="1" t="s">
        <v>43</v>
      </c>
      <c r="R422" s="1"/>
    </row>
    <row r="423" spans="1:18" x14ac:dyDescent="0.25">
      <c r="A423" s="2">
        <f ca="1">IFERROR(__xludf.DUMMYFUNCTION("""COMPUTED_VALUE"""),45021.4441805555)</f>
        <v>45021.444180555503</v>
      </c>
      <c r="B423" s="1" t="str">
        <f ca="1">IFERROR(__xludf.DUMMYFUNCTION("""COMPUTED_VALUE"""),"Others")</f>
        <v>Others</v>
      </c>
      <c r="C423" s="1" t="str">
        <f ca="1">IFERROR(__xludf.DUMMYFUNCTION("""COMPUTED_VALUE"""),"02-414")</f>
        <v>02-414</v>
      </c>
      <c r="D423" s="1" t="str">
        <f ca="1">IFERROR(__xludf.DUMMYFUNCTION("""COMPUTED_VALUE"""),"Male")</f>
        <v>Male</v>
      </c>
      <c r="E423" s="1" t="str">
        <f ca="1">IFERROR(__xludf.DUMMYFUNCTION("""COMPUTED_VALUE"""),"People from my circle, but not family members")</f>
        <v>People from my circle, but not family members</v>
      </c>
      <c r="F423" s="1" t="str">
        <f ca="1">IFERROR(__xludf.DUMMYFUNCTION("""COMPUTED_VALUE"""),"Yes, I will earn and do that")</f>
        <v>Yes, I will earn and do that</v>
      </c>
      <c r="G423" s="1" t="str">
        <f ca="1">IFERROR(__xludf.DUMMYFUNCTION("""COMPUTED_VALUE"""),"This will be hard to do, but if it is the right company I would try")</f>
        <v>This will be hard to do, but if it is the right company I would try</v>
      </c>
      <c r="H423" s="1" t="str">
        <f ca="1">IFERROR(__xludf.DUMMYFUNCTION("""COMPUTED_VALUE"""),"Yes")</f>
        <v>Yes</v>
      </c>
      <c r="I423" s="1" t="str">
        <f ca="1">IFERROR(__xludf.DUMMYFUNCTION("""COMPUTED_VALUE"""),"Will work for them")</f>
        <v>Will work for them</v>
      </c>
      <c r="J423" s="1">
        <f ca="1">IFERROR(__xludf.DUMMYFUNCTION("""COMPUTED_VALUE"""),6)</f>
        <v>6</v>
      </c>
      <c r="K423" s="1" t="str">
        <f ca="1">IFERROR(__xludf.DUMMYFUNCTION("""COMPUTED_VALUE"""),"Hybrid Working Environment with less than 3 days a month at office")</f>
        <v>Hybrid Working Environment with less than 3 days a month at office</v>
      </c>
      <c r="L423" s="1" t="str">
        <f ca="1">IFERROR(__xludf.DUMMYFUNCTION("""COMPUTED_VALUE"""),"Employer who pushes your limits by enabling an learning environment, and rewards you at the end")</f>
        <v>Employer who pushes your limits by enabling an learning environment, and rewards you at the end</v>
      </c>
      <c r="M42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N423" s="4" t="s">
        <v>51</v>
      </c>
      <c r="O423" s="1" t="str">
        <f ca="1">IFERROR(__xludf.DUMMYFUNCTION("""COMPUTED_VALUE"""),"Manager who explains what is expected, sets a goal and helps achieve it")</f>
        <v>Manager who explains what is expected, sets a goal and helps achieve it</v>
      </c>
      <c r="P423" s="1" t="str">
        <f ca="1">IFERROR(__xludf.DUMMYFUNCTION("""COMPUTED_VALUE"""),"Work &lt;=6 People in the Team")</f>
        <v>Work &lt;=6 People in the Team</v>
      </c>
      <c r="Q423" s="1" t="s">
        <v>43</v>
      </c>
      <c r="R423" s="1"/>
    </row>
    <row r="424" spans="1:18" x14ac:dyDescent="0.25">
      <c r="A424" s="2">
        <f ca="1">IFERROR(__xludf.DUMMYFUNCTION("""COMPUTED_VALUE"""),45021.4447393865)</f>
        <v>45021.444739386498</v>
      </c>
      <c r="B424" s="1" t="str">
        <f ca="1">IFERROR(__xludf.DUMMYFUNCTION("""COMPUTED_VALUE"""),"India")</f>
        <v>India</v>
      </c>
      <c r="C424" s="1">
        <f ca="1">IFERROR(__xludf.DUMMYFUNCTION("""COMPUTED_VALUE"""),500008)</f>
        <v>500008</v>
      </c>
      <c r="D424" s="1" t="str">
        <f ca="1">IFERROR(__xludf.DUMMYFUNCTION("""COMPUTED_VALUE"""),"Male")</f>
        <v>Male</v>
      </c>
      <c r="E424" s="1" t="str">
        <f ca="1">IFERROR(__xludf.DUMMYFUNCTION("""COMPUTED_VALUE"""),"People who have changed the world for better")</f>
        <v>People who have changed the world for better</v>
      </c>
      <c r="F424" s="1" t="str">
        <f ca="1">IFERROR(__xludf.DUMMYFUNCTION("""COMPUTED_VALUE"""),"No, But if someone could bare the cost I will")</f>
        <v>No, But if someone could bare the cost I will</v>
      </c>
      <c r="G424" s="1" t="str">
        <f ca="1">IFERROR(__xludf.DUMMYFUNCTION("""COMPUTED_VALUE"""),"This will be hard to do, but if it is the right company I would try")</f>
        <v>This will be hard to do, but if it is the right company I would try</v>
      </c>
      <c r="H424" s="1" t="str">
        <f ca="1">IFERROR(__xludf.DUMMYFUNCTION("""COMPUTED_VALUE"""),"Yes")</f>
        <v>Yes</v>
      </c>
      <c r="I424" s="1" t="str">
        <f ca="1">IFERROR(__xludf.DUMMYFUNCTION("""COMPUTED_VALUE"""),"Will work for them")</f>
        <v>Will work for them</v>
      </c>
      <c r="J424" s="1">
        <f ca="1">IFERROR(__xludf.DUMMYFUNCTION("""COMPUTED_VALUE"""),5)</f>
        <v>5</v>
      </c>
      <c r="K424" s="1" t="str">
        <f ca="1">IFERROR(__xludf.DUMMYFUNCTION("""COMPUTED_VALUE"""),"Fully Remote with Options to travel as and when needed")</f>
        <v>Fully Remote with Options to travel as and when needed</v>
      </c>
      <c r="L424" s="1" t="str">
        <f ca="1">IFERROR(__xludf.DUMMYFUNCTION("""COMPUTED_VALUE"""),"Employer who appreciates learning and enables that environment")</f>
        <v>Employer who appreciates learning and enables that environment</v>
      </c>
      <c r="M42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424" s="4" t="s">
        <v>48</v>
      </c>
      <c r="O424" s="1" t="str">
        <f ca="1">IFERROR(__xludf.DUMMYFUNCTION("""COMPUTED_VALUE"""),"Manager who sets goal and helps me achieve it")</f>
        <v>Manager who sets goal and helps me achieve it</v>
      </c>
      <c r="P424" s="1" t="str">
        <f ca="1">IFERROR(__xludf.DUMMYFUNCTION("""COMPUTED_VALUE"""),"Work alone")</f>
        <v>Work alone</v>
      </c>
      <c r="Q424" s="1" t="s">
        <v>43</v>
      </c>
      <c r="R424" s="1"/>
    </row>
    <row r="425" spans="1:18" x14ac:dyDescent="0.25">
      <c r="A425" s="2">
        <f ca="1">IFERROR(__xludf.DUMMYFUNCTION("""COMPUTED_VALUE"""),45021.4459127546)</f>
        <v>45021.4459127546</v>
      </c>
      <c r="B425" s="1" t="str">
        <f ca="1">IFERROR(__xludf.DUMMYFUNCTION("""COMPUTED_VALUE"""),"India")</f>
        <v>India</v>
      </c>
      <c r="C425" s="1">
        <f ca="1">IFERROR(__xludf.DUMMYFUNCTION("""COMPUTED_VALUE"""),400083)</f>
        <v>400083</v>
      </c>
      <c r="D425" s="1" t="str">
        <f ca="1">IFERROR(__xludf.DUMMYFUNCTION("""COMPUTED_VALUE"""),"Male")</f>
        <v>Male</v>
      </c>
      <c r="E425" s="1" t="str">
        <f ca="1">IFERROR(__xludf.DUMMYFUNCTION("""COMPUTED_VALUE"""),"Social Media like LinkedIn")</f>
        <v>Social Media like LinkedIn</v>
      </c>
      <c r="F425" s="1" t="str">
        <f ca="1">IFERROR(__xludf.DUMMYFUNCTION("""COMPUTED_VALUE"""),"No I would not be pursuing Higher Education outside of India")</f>
        <v>No I would not be pursuing Higher Education outside of India</v>
      </c>
      <c r="G425" s="1" t="str">
        <f ca="1">IFERROR(__xludf.DUMMYFUNCTION("""COMPUTED_VALUE"""),"This will be hard to do, but if it is the right company I would try")</f>
        <v>This will be hard to do, but if it is the right company I would try</v>
      </c>
      <c r="H425" s="1" t="str">
        <f ca="1">IFERROR(__xludf.DUMMYFUNCTION("""COMPUTED_VALUE"""),"Yes")</f>
        <v>Yes</v>
      </c>
      <c r="I425" s="1" t="str">
        <f ca="1">IFERROR(__xludf.DUMMYFUNCTION("""COMPUTED_VALUE"""),"Will work for them")</f>
        <v>Will work for them</v>
      </c>
      <c r="J425" s="1">
        <f ca="1">IFERROR(__xludf.DUMMYFUNCTION("""COMPUTED_VALUE"""),10)</f>
        <v>10</v>
      </c>
      <c r="K425" s="1" t="str">
        <f ca="1">IFERROR(__xludf.DUMMYFUNCTION("""COMPUTED_VALUE"""),"Hybrid Working Environment with less than 3 days a month at office")</f>
        <v>Hybrid Working Environment with less than 3 days a month at office</v>
      </c>
      <c r="L425" s="1" t="str">
        <f ca="1">IFERROR(__xludf.DUMMYFUNCTION("""COMPUTED_VALUE"""),"Employer who appreciates learning and enables that environment")</f>
        <v>Employer who appreciates learning and enables that environment</v>
      </c>
      <c r="M425"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N425" s="4" t="s">
        <v>51</v>
      </c>
      <c r="O425" s="1" t="str">
        <f ca="1">IFERROR(__xludf.DUMMYFUNCTION("""COMPUTED_VALUE"""),"Manager who clearly describes what she/he needs")</f>
        <v>Manager who clearly describes what she/he needs</v>
      </c>
      <c r="P425" s="1" t="str">
        <f ca="1">IFERROR(__xludf.DUMMYFUNCTION("""COMPUTED_VALUE"""),"Work &lt;=6 People in the Team")</f>
        <v>Work &lt;=6 People in the Team</v>
      </c>
      <c r="Q425" s="1" t="s">
        <v>40</v>
      </c>
      <c r="R425" s="1"/>
    </row>
    <row r="426" spans="1:18" x14ac:dyDescent="0.25">
      <c r="A426" s="2">
        <f ca="1">IFERROR(__xludf.DUMMYFUNCTION("""COMPUTED_VALUE"""),45021.4491116898)</f>
        <v>45021.449111689799</v>
      </c>
      <c r="B426" s="1" t="str">
        <f ca="1">IFERROR(__xludf.DUMMYFUNCTION("""COMPUTED_VALUE"""),"India")</f>
        <v>India</v>
      </c>
      <c r="C426" s="1">
        <f ca="1">IFERROR(__xludf.DUMMYFUNCTION("""COMPUTED_VALUE"""),627357)</f>
        <v>627357</v>
      </c>
      <c r="D426" s="1" t="str">
        <f ca="1">IFERROR(__xludf.DUMMYFUNCTION("""COMPUTED_VALUE"""),"Male")</f>
        <v>Male</v>
      </c>
      <c r="E426" s="1" t="str">
        <f ca="1">IFERROR(__xludf.DUMMYFUNCTION("""COMPUTED_VALUE"""),"People who have changed the world for better")</f>
        <v>People who have changed the world for better</v>
      </c>
      <c r="F426" s="1" t="str">
        <f ca="1">IFERROR(__xludf.DUMMYFUNCTION("""COMPUTED_VALUE"""),"Yes, I will earn and do that")</f>
        <v>Yes, I will earn and do that</v>
      </c>
      <c r="G426" s="1" t="str">
        <f ca="1">IFERROR(__xludf.DUMMYFUNCTION("""COMPUTED_VALUE"""),"This will be hard to do, but if it is the right company I would try")</f>
        <v>This will be hard to do, but if it is the right company I would try</v>
      </c>
      <c r="H426" s="1" t="str">
        <f ca="1">IFERROR(__xludf.DUMMYFUNCTION("""COMPUTED_VALUE"""),"Yes")</f>
        <v>Yes</v>
      </c>
      <c r="I426" s="1" t="str">
        <f ca="1">IFERROR(__xludf.DUMMYFUNCTION("""COMPUTED_VALUE"""),"Will work for them")</f>
        <v>Will work for them</v>
      </c>
      <c r="J426" s="1">
        <f ca="1">IFERROR(__xludf.DUMMYFUNCTION("""COMPUTED_VALUE"""),8)</f>
        <v>8</v>
      </c>
      <c r="K426" s="1" t="str">
        <f ca="1">IFERROR(__xludf.DUMMYFUNCTION("""COMPUTED_VALUE"""),"Every Day Office Environment")</f>
        <v>Every Day Office Environment</v>
      </c>
      <c r="L426" s="1" t="str">
        <f ca="1">IFERROR(__xludf.DUMMYFUNCTION("""COMPUTED_VALUE"""),"Employer who pushes your limits by enabling an learning environment, and rewards you at the end")</f>
        <v>Employer who pushes your limits by enabling an learning environment, and rewards you at the end</v>
      </c>
      <c r="M426"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N426" s="4" t="s">
        <v>52</v>
      </c>
      <c r="O426" s="1" t="str">
        <f ca="1">IFERROR(__xludf.DUMMYFUNCTION("""COMPUTED_VALUE"""),"Manager who explains what is expected, sets a goal and helps achieve it")</f>
        <v>Manager who explains what is expected, sets a goal and helps achieve it</v>
      </c>
      <c r="P426" s="1" t="str">
        <f ca="1">IFERROR(__xludf.DUMMYFUNCTION("""COMPUTED_VALUE"""),"Work &lt;=6 People in the Team")</f>
        <v>Work &lt;=6 People in the Team</v>
      </c>
      <c r="Q426" s="1" t="s">
        <v>40</v>
      </c>
      <c r="R426" s="1"/>
    </row>
    <row r="427" spans="1:18" x14ac:dyDescent="0.25">
      <c r="A427" s="2">
        <f ca="1">IFERROR(__xludf.DUMMYFUNCTION("""COMPUTED_VALUE"""),45021.4501617476)</f>
        <v>45021.450161747598</v>
      </c>
      <c r="B427" s="1" t="str">
        <f ca="1">IFERROR(__xludf.DUMMYFUNCTION("""COMPUTED_VALUE"""),"India")</f>
        <v>India</v>
      </c>
      <c r="C427" s="1">
        <f ca="1">IFERROR(__xludf.DUMMYFUNCTION("""COMPUTED_VALUE"""),500036)</f>
        <v>500036</v>
      </c>
      <c r="D427" s="1" t="str">
        <f ca="1">IFERROR(__xludf.DUMMYFUNCTION("""COMPUTED_VALUE"""),"Male")</f>
        <v>Male</v>
      </c>
      <c r="E427" s="1" t="str">
        <f ca="1">IFERROR(__xludf.DUMMYFUNCTION("""COMPUTED_VALUE"""),"My Parents")</f>
        <v>My Parents</v>
      </c>
      <c r="F427" s="1" t="str">
        <f ca="1">IFERROR(__xludf.DUMMYFUNCTION("""COMPUTED_VALUE"""),"Yes, I will earn and do that")</f>
        <v>Yes, I will earn and do that</v>
      </c>
      <c r="G427" s="1" t="str">
        <f ca="1">IFERROR(__xludf.DUMMYFUNCTION("""COMPUTED_VALUE"""),"This will be hard to do, but if it is the right company I would try")</f>
        <v>This will be hard to do, but if it is the right company I would try</v>
      </c>
      <c r="H427" s="1" t="str">
        <f ca="1">IFERROR(__xludf.DUMMYFUNCTION("""COMPUTED_VALUE"""),"No")</f>
        <v>No</v>
      </c>
      <c r="I427" s="1" t="str">
        <f ca="1">IFERROR(__xludf.DUMMYFUNCTION("""COMPUTED_VALUE"""),"Will NOT work for them")</f>
        <v>Will NOT work for them</v>
      </c>
      <c r="J427" s="1">
        <f ca="1">IFERROR(__xludf.DUMMYFUNCTION("""COMPUTED_VALUE"""),3)</f>
        <v>3</v>
      </c>
      <c r="K427" s="1" t="str">
        <f ca="1">IFERROR(__xludf.DUMMYFUNCTION("""COMPUTED_VALUE"""),"Hybrid Working Environment with more than 15 days a month at office")</f>
        <v>Hybrid Working Environment with more than 15 days a month at office</v>
      </c>
      <c r="L427" s="1" t="str">
        <f ca="1">IFERROR(__xludf.DUMMYFUNCTION("""COMPUTED_VALUE"""),"Employer who appreciates learning and enables that environment")</f>
        <v>Employer who appreciates learning and enables that environment</v>
      </c>
      <c r="M427"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N427" s="4" t="s">
        <v>51</v>
      </c>
      <c r="O427" s="1" t="str">
        <f ca="1">IFERROR(__xludf.DUMMYFUNCTION("""COMPUTED_VALUE"""),"Manager who clearly describes what she/he needs")</f>
        <v>Manager who clearly describes what she/he needs</v>
      </c>
      <c r="P427" s="1" t="str">
        <f ca="1">IFERROR(__xludf.DUMMYFUNCTION("""COMPUTED_VALUE"""),"Work &lt;=6 People in the Team")</f>
        <v>Work &lt;=6 People in the Team</v>
      </c>
      <c r="Q427" s="1" t="s">
        <v>43</v>
      </c>
      <c r="R427" s="1"/>
    </row>
    <row r="428" spans="1:18" x14ac:dyDescent="0.25">
      <c r="A428" s="2">
        <f ca="1">IFERROR(__xludf.DUMMYFUNCTION("""COMPUTED_VALUE"""),45021.4502098263)</f>
        <v>45021.450209826296</v>
      </c>
      <c r="B428" s="1" t="str">
        <f ca="1">IFERROR(__xludf.DUMMYFUNCTION("""COMPUTED_VALUE"""),"India")</f>
        <v>India</v>
      </c>
      <c r="C428" s="1">
        <f ca="1">IFERROR(__xludf.DUMMYFUNCTION("""COMPUTED_VALUE"""),500079)</f>
        <v>500079</v>
      </c>
      <c r="D428" s="1" t="str">
        <f ca="1">IFERROR(__xludf.DUMMYFUNCTION("""COMPUTED_VALUE"""),"Female")</f>
        <v>Female</v>
      </c>
      <c r="E428" s="1" t="str">
        <f ca="1">IFERROR(__xludf.DUMMYFUNCTION("""COMPUTED_VALUE"""),"People who have changed the world for better")</f>
        <v>People who have changed the world for better</v>
      </c>
      <c r="F428" s="1" t="str">
        <f ca="1">IFERROR(__xludf.DUMMYFUNCTION("""COMPUTED_VALUE"""),"No, But if someone could bare the cost I will")</f>
        <v>No, But if someone could bare the cost I will</v>
      </c>
      <c r="G428" s="1" t="str">
        <f ca="1">IFERROR(__xludf.DUMMYFUNCTION("""COMPUTED_VALUE"""),"This will be hard to do, but if it is the right company I would try")</f>
        <v>This will be hard to do, but if it is the right company I would try</v>
      </c>
      <c r="H428" s="1" t="str">
        <f ca="1">IFERROR(__xludf.DUMMYFUNCTION("""COMPUTED_VALUE"""),"No")</f>
        <v>No</v>
      </c>
      <c r="I428" s="1" t="str">
        <f ca="1">IFERROR(__xludf.DUMMYFUNCTION("""COMPUTED_VALUE"""),"Will NOT work for them")</f>
        <v>Will NOT work for them</v>
      </c>
      <c r="J428" s="1">
        <f ca="1">IFERROR(__xludf.DUMMYFUNCTION("""COMPUTED_VALUE"""),7)</f>
        <v>7</v>
      </c>
      <c r="K428" s="1" t="str">
        <f ca="1">IFERROR(__xludf.DUMMYFUNCTION("""COMPUTED_VALUE"""),"Fully Remote with Options to travel as and when needed")</f>
        <v>Fully Remote with Options to travel as and when needed</v>
      </c>
      <c r="L428" s="1" t="str">
        <f ca="1">IFERROR(__xludf.DUMMYFUNCTION("""COMPUTED_VALUE"""),"Employer who pushes your limits by enabling an learning environment, and rewards you at the end")</f>
        <v>Employer who pushes your limits by enabling an learning environment, and rewards you at the end</v>
      </c>
      <c r="M428"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428" s="4" t="s">
        <v>50</v>
      </c>
      <c r="O428" s="1" t="str">
        <f ca="1">IFERROR(__xludf.DUMMYFUNCTION("""COMPUTED_VALUE"""),"Manager who explains what is expected, sets a goal and helps achieve it")</f>
        <v>Manager who explains what is expected, sets a goal and helps achieve it</v>
      </c>
      <c r="P428" s="1" t="str">
        <f ca="1">IFERROR(__xludf.DUMMYFUNCTION("""COMPUTED_VALUE"""),"Work &gt;=7 People in the Team")</f>
        <v>Work &gt;=7 People in the Team</v>
      </c>
      <c r="Q428" s="1" t="s">
        <v>40</v>
      </c>
      <c r="R428" s="1"/>
    </row>
    <row r="429" spans="1:18" x14ac:dyDescent="0.25">
      <c r="A429" s="2">
        <f ca="1">IFERROR(__xludf.DUMMYFUNCTION("""COMPUTED_VALUE"""),45021.4513109838)</f>
        <v>45021.451310983801</v>
      </c>
      <c r="B429" s="1" t="str">
        <f ca="1">IFERROR(__xludf.DUMMYFUNCTION("""COMPUTED_VALUE"""),"India")</f>
        <v>India</v>
      </c>
      <c r="C429" s="1">
        <f ca="1">IFERROR(__xludf.DUMMYFUNCTION("""COMPUTED_VALUE"""),440036)</f>
        <v>440036</v>
      </c>
      <c r="D429" s="1" t="str">
        <f ca="1">IFERROR(__xludf.DUMMYFUNCTION("""COMPUTED_VALUE"""),"Female")</f>
        <v>Female</v>
      </c>
      <c r="E429" s="1" t="str">
        <f ca="1">IFERROR(__xludf.DUMMYFUNCTION("""COMPUTED_VALUE"""),"My Parents")</f>
        <v>My Parents</v>
      </c>
      <c r="F429" s="1" t="str">
        <f ca="1">IFERROR(__xludf.DUMMYFUNCTION("""COMPUTED_VALUE"""),"Yes, I will earn and do that")</f>
        <v>Yes, I will earn and do that</v>
      </c>
      <c r="G429" s="1" t="str">
        <f ca="1">IFERROR(__xludf.DUMMYFUNCTION("""COMPUTED_VALUE"""),"This will be hard to do, but if it is the right company I would try")</f>
        <v>This will be hard to do, but if it is the right company I would try</v>
      </c>
      <c r="H429" s="1" t="str">
        <f ca="1">IFERROR(__xludf.DUMMYFUNCTION("""COMPUTED_VALUE"""),"Yes")</f>
        <v>Yes</v>
      </c>
      <c r="I429" s="1" t="str">
        <f ca="1">IFERROR(__xludf.DUMMYFUNCTION("""COMPUTED_VALUE"""),"Will NOT work for them")</f>
        <v>Will NOT work for them</v>
      </c>
      <c r="J429" s="1">
        <f ca="1">IFERROR(__xludf.DUMMYFUNCTION("""COMPUTED_VALUE"""),3)</f>
        <v>3</v>
      </c>
      <c r="K429" s="1" t="str">
        <f ca="1">IFERROR(__xludf.DUMMYFUNCTION("""COMPUTED_VALUE"""),"Fully Remote with Options to travel as and when needed")</f>
        <v>Fully Remote with Options to travel as and when needed</v>
      </c>
      <c r="L429" s="1" t="str">
        <f ca="1">IFERROR(__xludf.DUMMYFUNCTION("""COMPUTED_VALUE"""),"Employer who pushes your limits by enabling an learning environment, and rewards you at the end")</f>
        <v>Employer who pushes your limits by enabling an learning environment, and rewards you at the end</v>
      </c>
      <c r="M429" s="1" t="str">
        <f ca="1">IFERROR(__xludf.DUMMYFUNCTION("""COMPUTED_VALUE"""),"Design and Creative strategy in any company, Teaching in any of the institutes/colleges/online or offline, An Artificial Intelligence Specialist / Talking to Robots, Manufacturing / Oil and Gas/ Construction / Hard Physical Work related")</f>
        <v>Design and Creative strategy in any company, Teaching in any of the institutes/colleges/online or offline, An Artificial Intelligence Specialist / Talking to Robots, Manufacturing / Oil and Gas/ Construction / Hard Physical Work related</v>
      </c>
      <c r="N429" s="4" t="s">
        <v>48</v>
      </c>
      <c r="O429" s="1" t="str">
        <f ca="1">IFERROR(__xludf.DUMMYFUNCTION("""COMPUTED_VALUE"""),"Manager who explains what is expected, sets a goal and helps achieve it")</f>
        <v>Manager who explains what is expected, sets a goal and helps achieve it</v>
      </c>
      <c r="P429" s="1" t="str">
        <f ca="1">IFERROR(__xludf.DUMMYFUNCTION("""COMPUTED_VALUE"""),"Work &lt;=6 People in the Team")</f>
        <v>Work &lt;=6 People in the Team</v>
      </c>
      <c r="Q429" s="1" t="s">
        <v>40</v>
      </c>
      <c r="R429" s="1"/>
    </row>
    <row r="430" spans="1:18" x14ac:dyDescent="0.25">
      <c r="A430" s="2">
        <f ca="1">IFERROR(__xludf.DUMMYFUNCTION("""COMPUTED_VALUE"""),45021.4521712615)</f>
        <v>45021.452171261502</v>
      </c>
      <c r="B430" s="1" t="str">
        <f ca="1">IFERROR(__xludf.DUMMYFUNCTION("""COMPUTED_VALUE"""),"India")</f>
        <v>India</v>
      </c>
      <c r="C430" s="1">
        <f ca="1">IFERROR(__xludf.DUMMYFUNCTION("""COMPUTED_VALUE"""),500060)</f>
        <v>500060</v>
      </c>
      <c r="D430" s="1" t="str">
        <f ca="1">IFERROR(__xludf.DUMMYFUNCTION("""COMPUTED_VALUE"""),"Male")</f>
        <v>Male</v>
      </c>
      <c r="E430" s="1" t="str">
        <f ca="1">IFERROR(__xludf.DUMMYFUNCTION("""COMPUTED_VALUE"""),"People who have changed the world for better")</f>
        <v>People who have changed the world for better</v>
      </c>
      <c r="F430" s="1" t="str">
        <f ca="1">IFERROR(__xludf.DUMMYFUNCTION("""COMPUTED_VALUE"""),"No I would not be pursuing Higher Education outside of India")</f>
        <v>No I would not be pursuing Higher Education outside of India</v>
      </c>
      <c r="G430" s="1" t="str">
        <f ca="1">IFERROR(__xludf.DUMMYFUNCTION("""COMPUTED_VALUE"""),"No way")</f>
        <v>No way</v>
      </c>
      <c r="H430" s="1" t="str">
        <f ca="1">IFERROR(__xludf.DUMMYFUNCTION("""COMPUTED_VALUE"""),"No")</f>
        <v>No</v>
      </c>
      <c r="I430" s="1" t="str">
        <f ca="1">IFERROR(__xludf.DUMMYFUNCTION("""COMPUTED_VALUE"""),"Will NOT work for them")</f>
        <v>Will NOT work for them</v>
      </c>
      <c r="J430" s="1">
        <f ca="1">IFERROR(__xludf.DUMMYFUNCTION("""COMPUTED_VALUE"""),1)</f>
        <v>1</v>
      </c>
      <c r="K430" s="1" t="str">
        <f ca="1">IFERROR(__xludf.DUMMYFUNCTION("""COMPUTED_VALUE"""),"Hybrid Working Environment with less than 3 days a month at office")</f>
        <v>Hybrid Working Environment with less than 3 days a month at office</v>
      </c>
      <c r="L430" s="1" t="str">
        <f ca="1">IFERROR(__xludf.DUMMYFUNCTION("""COMPUTED_VALUE"""),"Employer who pushes your limits and doesn't enables learning environment and never rewards you")</f>
        <v>Employer who pushes your limits and doesn't enables learning environment and never rewards you</v>
      </c>
      <c r="M430"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N430" s="4" t="s">
        <v>55</v>
      </c>
      <c r="O430" s="1" t="str">
        <f ca="1">IFERROR(__xludf.DUMMYFUNCTION("""COMPUTED_VALUE"""),"Manager who clearly describes what she/he needs")</f>
        <v>Manager who clearly describes what she/he needs</v>
      </c>
      <c r="P430" s="1" t="str">
        <f ca="1">IFERROR(__xludf.DUMMYFUNCTION("""COMPUTED_VALUE"""),"Work &lt;=6 People in the Team")</f>
        <v>Work &lt;=6 People in the Team</v>
      </c>
      <c r="Q430" s="1" t="s">
        <v>40</v>
      </c>
      <c r="R430" s="1"/>
    </row>
    <row r="431" spans="1:18" x14ac:dyDescent="0.25">
      <c r="A431" s="2">
        <f ca="1">IFERROR(__xludf.DUMMYFUNCTION("""COMPUTED_VALUE"""),45021.4536553125)</f>
        <v>45021.4536553125</v>
      </c>
      <c r="B431" s="1" t="str">
        <f ca="1">IFERROR(__xludf.DUMMYFUNCTION("""COMPUTED_VALUE"""),"India")</f>
        <v>India</v>
      </c>
      <c r="C431" s="1">
        <f ca="1">IFERROR(__xludf.DUMMYFUNCTION("""COMPUTED_VALUE"""),560076)</f>
        <v>560076</v>
      </c>
      <c r="D431" s="1" t="str">
        <f ca="1">IFERROR(__xludf.DUMMYFUNCTION("""COMPUTED_VALUE"""),"Male")</f>
        <v>Male</v>
      </c>
      <c r="E431" s="1" t="str">
        <f ca="1">IFERROR(__xludf.DUMMYFUNCTION("""COMPUTED_VALUE"""),"Influencers who had successful careers")</f>
        <v>Influencers who had successful careers</v>
      </c>
      <c r="F431" s="1" t="str">
        <f ca="1">IFERROR(__xludf.DUMMYFUNCTION("""COMPUTED_VALUE"""),"Yes, I will earn and do that")</f>
        <v>Yes, I will earn and do that</v>
      </c>
      <c r="G431" s="1" t="str">
        <f ca="1">IFERROR(__xludf.DUMMYFUNCTION("""COMPUTED_VALUE"""),"This will be hard to do, but if it is the right company I would try")</f>
        <v>This will be hard to do, but if it is the right company I would try</v>
      </c>
      <c r="H431" s="1" t="str">
        <f ca="1">IFERROR(__xludf.DUMMYFUNCTION("""COMPUTED_VALUE"""),"No")</f>
        <v>No</v>
      </c>
      <c r="I431" s="1" t="str">
        <f ca="1">IFERROR(__xludf.DUMMYFUNCTION("""COMPUTED_VALUE"""),"Will NOT work for them")</f>
        <v>Will NOT work for them</v>
      </c>
      <c r="J431" s="1">
        <f ca="1">IFERROR(__xludf.DUMMYFUNCTION("""COMPUTED_VALUE"""),2)</f>
        <v>2</v>
      </c>
      <c r="K431" s="1" t="str">
        <f ca="1">IFERROR(__xludf.DUMMYFUNCTION("""COMPUTED_VALUE"""),"Hybrid Working Environment with less than 3 days a month at office")</f>
        <v>Hybrid Working Environment with less than 3 days a month at office</v>
      </c>
      <c r="L431" s="1" t="str">
        <f ca="1">IFERROR(__xludf.DUMMYFUNCTION("""COMPUTED_VALUE"""),"Employer who pushes your limits by enabling an learning environment, and rewards you at the end")</f>
        <v>Employer who pushes your limits by enabling an learning environment, and rewards you at the end</v>
      </c>
      <c r="M431"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431" s="4" t="s">
        <v>48</v>
      </c>
      <c r="O431" s="1" t="str">
        <f ca="1">IFERROR(__xludf.DUMMYFUNCTION("""COMPUTED_VALUE"""),"Manager who explains what is expected, sets a goal and helps achieve it")</f>
        <v>Manager who explains what is expected, sets a goal and helps achieve it</v>
      </c>
      <c r="P431" s="1" t="str">
        <f ca="1">IFERROR(__xludf.DUMMYFUNCTION("""COMPUTED_VALUE"""),"Work Alone, &lt;=6 in team")</f>
        <v>Work Alone, &lt;=6 in team</v>
      </c>
      <c r="Q431" s="1" t="s">
        <v>43</v>
      </c>
      <c r="R431" s="1"/>
    </row>
    <row r="432" spans="1:18" x14ac:dyDescent="0.25">
      <c r="A432" s="2">
        <f ca="1">IFERROR(__xludf.DUMMYFUNCTION("""COMPUTED_VALUE"""),45021.4554504629)</f>
        <v>45021.455450462898</v>
      </c>
      <c r="B432" s="1" t="str">
        <f ca="1">IFERROR(__xludf.DUMMYFUNCTION("""COMPUTED_VALUE"""),"India")</f>
        <v>India</v>
      </c>
      <c r="C432" s="1">
        <f ca="1">IFERROR(__xludf.DUMMYFUNCTION("""COMPUTED_VALUE"""),500079)</f>
        <v>500079</v>
      </c>
      <c r="D432" s="1" t="str">
        <f ca="1">IFERROR(__xludf.DUMMYFUNCTION("""COMPUTED_VALUE"""),"Female")</f>
        <v>Female</v>
      </c>
      <c r="E432" s="1" t="str">
        <f ca="1">IFERROR(__xludf.DUMMYFUNCTION("""COMPUTED_VALUE"""),"Influencers who had successful careers")</f>
        <v>Influencers who had successful careers</v>
      </c>
      <c r="F432" s="1" t="str">
        <f ca="1">IFERROR(__xludf.DUMMYFUNCTION("""COMPUTED_VALUE"""),"No I would not be pursuing Higher Education outside of India")</f>
        <v>No I would not be pursuing Higher Education outside of India</v>
      </c>
      <c r="G432" s="1" t="str">
        <f ca="1">IFERROR(__xludf.DUMMYFUNCTION("""COMPUTED_VALUE"""),"Will work for 3 years or more")</f>
        <v>Will work for 3 years or more</v>
      </c>
      <c r="H432" s="1" t="str">
        <f ca="1">IFERROR(__xludf.DUMMYFUNCTION("""COMPUTED_VALUE"""),"No")</f>
        <v>No</v>
      </c>
      <c r="I432" s="1" t="str">
        <f ca="1">IFERROR(__xludf.DUMMYFUNCTION("""COMPUTED_VALUE"""),"Will NOT work for them")</f>
        <v>Will NOT work for them</v>
      </c>
      <c r="J432" s="1">
        <f ca="1">IFERROR(__xludf.DUMMYFUNCTION("""COMPUTED_VALUE"""),5)</f>
        <v>5</v>
      </c>
      <c r="K432" s="1" t="str">
        <f ca="1">IFERROR(__xludf.DUMMYFUNCTION("""COMPUTED_VALUE"""),"Hybrid Working Environment with more than 15 days a month at office")</f>
        <v>Hybrid Working Environment with more than 15 days a month at office</v>
      </c>
      <c r="L432" s="1" t="str">
        <f ca="1">IFERROR(__xludf.DUMMYFUNCTION("""COMPUTED_VALUE"""),"Employer who pushes your limits by enabling an learning environment, and rewards you at the end")</f>
        <v>Employer who pushes your limits by enabling an learning environment, and rewards you at the end</v>
      </c>
      <c r="M43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432" s="4" t="s">
        <v>55</v>
      </c>
      <c r="O432" s="1" t="str">
        <f ca="1">IFERROR(__xludf.DUMMYFUNCTION("""COMPUTED_VALUE"""),"Manager who sets goal and helps me achieve it")</f>
        <v>Manager who sets goal and helps me achieve it</v>
      </c>
      <c r="P432" s="1" t="str">
        <f ca="1">IFERROR(__xludf.DUMMYFUNCTION("""COMPUTED_VALUE"""),"Work &lt;=6 People in the Team")</f>
        <v>Work &lt;=6 People in the Team</v>
      </c>
      <c r="Q432" s="1" t="s">
        <v>43</v>
      </c>
      <c r="R432" s="1"/>
    </row>
    <row r="433" spans="1:18" x14ac:dyDescent="0.25">
      <c r="A433" s="2">
        <f ca="1">IFERROR(__xludf.DUMMYFUNCTION("""COMPUTED_VALUE"""),45021.4556394675)</f>
        <v>45021.455639467502</v>
      </c>
      <c r="B433" s="1" t="str">
        <f ca="1">IFERROR(__xludf.DUMMYFUNCTION("""COMPUTED_VALUE"""),"India")</f>
        <v>India</v>
      </c>
      <c r="C433" s="1">
        <f ca="1">IFERROR(__xludf.DUMMYFUNCTION("""COMPUTED_VALUE"""),560003)</f>
        <v>560003</v>
      </c>
      <c r="D433" s="1" t="str">
        <f ca="1">IFERROR(__xludf.DUMMYFUNCTION("""COMPUTED_VALUE"""),"Female")</f>
        <v>Female</v>
      </c>
      <c r="E433" s="1" t="str">
        <f ca="1">IFERROR(__xludf.DUMMYFUNCTION("""COMPUTED_VALUE"""),"People who have changed the world for better")</f>
        <v>People who have changed the world for better</v>
      </c>
      <c r="F433" s="1" t="str">
        <f ca="1">IFERROR(__xludf.DUMMYFUNCTION("""COMPUTED_VALUE"""),"No I would not be pursuing Higher Education outside of India")</f>
        <v>No I would not be pursuing Higher Education outside of India</v>
      </c>
      <c r="G433" s="1" t="str">
        <f ca="1">IFERROR(__xludf.DUMMYFUNCTION("""COMPUTED_VALUE"""),"Will work for 3 years or more")</f>
        <v>Will work for 3 years or more</v>
      </c>
      <c r="H433" s="1" t="str">
        <f ca="1">IFERROR(__xludf.DUMMYFUNCTION("""COMPUTED_VALUE"""),"No")</f>
        <v>No</v>
      </c>
      <c r="I433" s="1" t="str">
        <f ca="1">IFERROR(__xludf.DUMMYFUNCTION("""COMPUTED_VALUE"""),"Will NOT work for them")</f>
        <v>Will NOT work for them</v>
      </c>
      <c r="J433" s="1">
        <f ca="1">IFERROR(__xludf.DUMMYFUNCTION("""COMPUTED_VALUE"""),3)</f>
        <v>3</v>
      </c>
      <c r="K433" s="1" t="str">
        <f ca="1">IFERROR(__xludf.DUMMYFUNCTION("""COMPUTED_VALUE"""),"Hybrid Working Environment with less than 3 days a month at office")</f>
        <v>Hybrid Working Environment with less than 3 days a month at office</v>
      </c>
      <c r="L433" s="1" t="str">
        <f ca="1">IFERROR(__xludf.DUMMYFUNCTION("""COMPUTED_VALUE"""),"Employer who pushes your limits by enabling an learning environment, and rewards you at the end")</f>
        <v>Employer who pushes your limits by enabling an learning environment, and rewards you at the end</v>
      </c>
      <c r="M4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433" s="4" t="s">
        <v>50</v>
      </c>
      <c r="O433" s="1" t="str">
        <f ca="1">IFERROR(__xludf.DUMMYFUNCTION("""COMPUTED_VALUE"""),"Manager who explains what is expected, sets a goal and helps achieve it")</f>
        <v>Manager who explains what is expected, sets a goal and helps achieve it</v>
      </c>
      <c r="P433" s="1" t="str">
        <f ca="1">IFERROR(__xludf.DUMMYFUNCTION("""COMPUTED_VALUE"""),"Work &lt;=6 People in the Team")</f>
        <v>Work &lt;=6 People in the Team</v>
      </c>
      <c r="Q433" s="1" t="s">
        <v>43</v>
      </c>
      <c r="R433" s="1"/>
    </row>
    <row r="434" spans="1:18" x14ac:dyDescent="0.25">
      <c r="A434" s="2">
        <f ca="1">IFERROR(__xludf.DUMMYFUNCTION("""COMPUTED_VALUE"""),45021.4562984722)</f>
        <v>45021.4562984722</v>
      </c>
      <c r="B434" s="1" t="str">
        <f ca="1">IFERROR(__xludf.DUMMYFUNCTION("""COMPUTED_VALUE"""),"India")</f>
        <v>India</v>
      </c>
      <c r="C434" s="1">
        <f ca="1">IFERROR(__xludf.DUMMYFUNCTION("""COMPUTED_VALUE"""),560100)</f>
        <v>560100</v>
      </c>
      <c r="D434" s="1" t="str">
        <f ca="1">IFERROR(__xludf.DUMMYFUNCTION("""COMPUTED_VALUE"""),"Male")</f>
        <v>Male</v>
      </c>
      <c r="E434" s="1" t="str">
        <f ca="1">IFERROR(__xludf.DUMMYFUNCTION("""COMPUTED_VALUE"""),"People who have changed the world for better")</f>
        <v>People who have changed the world for better</v>
      </c>
      <c r="F434" s="1" t="str">
        <f ca="1">IFERROR(__xludf.DUMMYFUNCTION("""COMPUTED_VALUE"""),"No, But if someone could bare the cost I will")</f>
        <v>No, But if someone could bare the cost I will</v>
      </c>
      <c r="G434" s="1" t="str">
        <f ca="1">IFERROR(__xludf.DUMMYFUNCTION("""COMPUTED_VALUE"""),"This will be hard to do, but if it is the right company I would try")</f>
        <v>This will be hard to do, but if it is the right company I would try</v>
      </c>
      <c r="H434" s="1" t="str">
        <f ca="1">IFERROR(__xludf.DUMMYFUNCTION("""COMPUTED_VALUE"""),"No")</f>
        <v>No</v>
      </c>
      <c r="I434" s="1" t="str">
        <f ca="1">IFERROR(__xludf.DUMMYFUNCTION("""COMPUTED_VALUE"""),"Will NOT work for them")</f>
        <v>Will NOT work for them</v>
      </c>
      <c r="J434" s="1">
        <f ca="1">IFERROR(__xludf.DUMMYFUNCTION("""COMPUTED_VALUE"""),5)</f>
        <v>5</v>
      </c>
      <c r="K434" s="1" t="str">
        <f ca="1">IFERROR(__xludf.DUMMYFUNCTION("""COMPUTED_VALUE"""),"Fully Remote with Options to travel as and when needed")</f>
        <v>Fully Remote with Options to travel as and when needed</v>
      </c>
      <c r="L434" s="1" t="str">
        <f ca="1">IFERROR(__xludf.DUMMYFUNCTION("""COMPUTED_VALUE"""),"Employer who appreciates learning and enables that environment")</f>
        <v>Employer who appreciates learning and enables that environment</v>
      </c>
      <c r="M434" s="1" t="str">
        <f ca="1">IFERROR(__xludf.DUMMYFUNCTION("""COMPUTED_VALUE"""),"Design and Creative strategy in any company, Manage and drive End-to-End Projects or Products, Entrepreneur or Start Up, I Want to sell things/Sales")</f>
        <v>Design and Creative strategy in any company, Manage and drive End-to-End Projects or Products, Entrepreneur or Start Up, I Want to sell things/Sales</v>
      </c>
      <c r="N434" s="4" t="s">
        <v>48</v>
      </c>
      <c r="O434" s="1" t="str">
        <f ca="1">IFERROR(__xludf.DUMMYFUNCTION("""COMPUTED_VALUE"""),"Manager who clearly describes what she/he needs")</f>
        <v>Manager who clearly describes what she/he needs</v>
      </c>
      <c r="P434" s="1" t="str">
        <f ca="1">IFERROR(__xludf.DUMMYFUNCTION("""COMPUTED_VALUE"""),"Work &lt;=6 People in the Team")</f>
        <v>Work &lt;=6 People in the Team</v>
      </c>
      <c r="Q434" s="1" t="s">
        <v>43</v>
      </c>
      <c r="R434" s="1"/>
    </row>
    <row r="435" spans="1:18" x14ac:dyDescent="0.25">
      <c r="A435" s="2">
        <f ca="1">IFERROR(__xludf.DUMMYFUNCTION("""COMPUTED_VALUE"""),45021.4571275231)</f>
        <v>45021.457127523099</v>
      </c>
      <c r="B435" s="1" t="str">
        <f ca="1">IFERROR(__xludf.DUMMYFUNCTION("""COMPUTED_VALUE"""),"India")</f>
        <v>India</v>
      </c>
      <c r="C435" s="1">
        <f ca="1">IFERROR(__xludf.DUMMYFUNCTION("""COMPUTED_VALUE"""),400042)</f>
        <v>400042</v>
      </c>
      <c r="D435" s="1" t="str">
        <f ca="1">IFERROR(__xludf.DUMMYFUNCTION("""COMPUTED_VALUE"""),"Male")</f>
        <v>Male</v>
      </c>
      <c r="E435" s="1" t="str">
        <f ca="1">IFERROR(__xludf.DUMMYFUNCTION("""COMPUTED_VALUE"""),"Influencers who had successful careers")</f>
        <v>Influencers who had successful careers</v>
      </c>
      <c r="F435" s="1" t="str">
        <f ca="1">IFERROR(__xludf.DUMMYFUNCTION("""COMPUTED_VALUE"""),"Yes, I will earn and do that")</f>
        <v>Yes, I will earn and do that</v>
      </c>
      <c r="G435" s="1" t="str">
        <f ca="1">IFERROR(__xludf.DUMMYFUNCTION("""COMPUTED_VALUE"""),"This will be hard to do, but if it is the right company I would try")</f>
        <v>This will be hard to do, but if it is the right company I would try</v>
      </c>
      <c r="H435" s="1" t="str">
        <f ca="1">IFERROR(__xludf.DUMMYFUNCTION("""COMPUTED_VALUE"""),"No")</f>
        <v>No</v>
      </c>
      <c r="I435" s="1" t="str">
        <f ca="1">IFERROR(__xludf.DUMMYFUNCTION("""COMPUTED_VALUE"""),"Will NOT work for them")</f>
        <v>Will NOT work for them</v>
      </c>
      <c r="J435" s="1">
        <f ca="1">IFERROR(__xludf.DUMMYFUNCTION("""COMPUTED_VALUE"""),1)</f>
        <v>1</v>
      </c>
      <c r="K435" s="1" t="str">
        <f ca="1">IFERROR(__xludf.DUMMYFUNCTION("""COMPUTED_VALUE"""),"Every Day Office Environment")</f>
        <v>Every Day Office Environment</v>
      </c>
      <c r="L435" s="1" t="str">
        <f ca="1">IFERROR(__xludf.DUMMYFUNCTION("""COMPUTED_VALUE"""),"Employer who rewards learning and enables that environment")</f>
        <v>Employer who rewards learning and enables that environment</v>
      </c>
      <c r="M43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435" s="4" t="s">
        <v>50</v>
      </c>
      <c r="O435" s="1" t="str">
        <f ca="1">IFERROR(__xludf.DUMMYFUNCTION("""COMPUTED_VALUE"""),"Manager who explains what is expected, sets a goal and helps achieve it")</f>
        <v>Manager who explains what is expected, sets a goal and helps achieve it</v>
      </c>
      <c r="P435" s="1" t="str">
        <f ca="1">IFERROR(__xludf.DUMMYFUNCTION("""COMPUTED_VALUE"""),"Work  &lt;67 people in team")</f>
        <v>Work  &lt;67 people in team</v>
      </c>
      <c r="Q435" s="1" t="s">
        <v>40</v>
      </c>
      <c r="R435" s="1"/>
    </row>
    <row r="436" spans="1:18" x14ac:dyDescent="0.25">
      <c r="A436" s="2">
        <f ca="1">IFERROR(__xludf.DUMMYFUNCTION("""COMPUTED_VALUE"""),45021.4631790856)</f>
        <v>45021.4631790856</v>
      </c>
      <c r="B436" s="1" t="str">
        <f ca="1">IFERROR(__xludf.DUMMYFUNCTION("""COMPUTED_VALUE"""),"India")</f>
        <v>India</v>
      </c>
      <c r="C436" s="1">
        <f ca="1">IFERROR(__xludf.DUMMYFUNCTION("""COMPUTED_VALUE"""),500079)</f>
        <v>500079</v>
      </c>
      <c r="D436" s="1" t="str">
        <f ca="1">IFERROR(__xludf.DUMMYFUNCTION("""COMPUTED_VALUE"""),"Male")</f>
        <v>Male</v>
      </c>
      <c r="E436" s="1" t="str">
        <f ca="1">IFERROR(__xludf.DUMMYFUNCTION("""COMPUTED_VALUE"""),"Influencers who had successful careers")</f>
        <v>Influencers who had successful careers</v>
      </c>
      <c r="F436" s="1" t="str">
        <f ca="1">IFERROR(__xludf.DUMMYFUNCTION("""COMPUTED_VALUE"""),"Yes, I will earn and do that")</f>
        <v>Yes, I will earn and do that</v>
      </c>
      <c r="G436" s="1" t="str">
        <f ca="1">IFERROR(__xludf.DUMMYFUNCTION("""COMPUTED_VALUE"""),"This will be hard to do, but if it is the right company I would try")</f>
        <v>This will be hard to do, but if it is the right company I would try</v>
      </c>
      <c r="H436" s="1" t="str">
        <f ca="1">IFERROR(__xludf.DUMMYFUNCTION("""COMPUTED_VALUE"""),"No")</f>
        <v>No</v>
      </c>
      <c r="I436" s="1" t="str">
        <f ca="1">IFERROR(__xludf.DUMMYFUNCTION("""COMPUTED_VALUE"""),"Will NOT work for them")</f>
        <v>Will NOT work for them</v>
      </c>
      <c r="J436" s="1">
        <f ca="1">IFERROR(__xludf.DUMMYFUNCTION("""COMPUTED_VALUE"""),6)</f>
        <v>6</v>
      </c>
      <c r="K436" s="1" t="str">
        <f ca="1">IFERROR(__xludf.DUMMYFUNCTION("""COMPUTED_VALUE"""),"Hybrid Working Environment with more than 15 days a month at office")</f>
        <v>Hybrid Working Environment with more than 15 days a month at office</v>
      </c>
      <c r="L436" s="1" t="str">
        <f ca="1">IFERROR(__xludf.DUMMYFUNCTION("""COMPUTED_VALUE"""),"Employer who pushes your limits by enabling an learning environment, and rewards you at the end")</f>
        <v>Employer who pushes your limits by enabling an learning environment, and rewards you at the end</v>
      </c>
      <c r="M436"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N436" s="4" t="s">
        <v>48</v>
      </c>
      <c r="O436" s="1" t="str">
        <f ca="1">IFERROR(__xludf.DUMMYFUNCTION("""COMPUTED_VALUE"""),"Manager who sets goal and helps me achieve it")</f>
        <v>Manager who sets goal and helps me achieve it</v>
      </c>
      <c r="P436" s="1" t="str">
        <f ca="1">IFERROR(__xludf.DUMMYFUNCTION("""COMPUTED_VALUE"""),"Work &gt;10 people in Team")</f>
        <v>Work &gt;10 people in Team</v>
      </c>
      <c r="Q436" s="1" t="s">
        <v>43</v>
      </c>
      <c r="R436" s="1"/>
    </row>
    <row r="437" spans="1:18" x14ac:dyDescent="0.25">
      <c r="A437" s="2">
        <f ca="1">IFERROR(__xludf.DUMMYFUNCTION("""COMPUTED_VALUE"""),45021.4641477546)</f>
        <v>45021.464147754603</v>
      </c>
      <c r="B437" s="1" t="str">
        <f ca="1">IFERROR(__xludf.DUMMYFUNCTION("""COMPUTED_VALUE"""),"India")</f>
        <v>India</v>
      </c>
      <c r="C437" s="1">
        <f ca="1">IFERROR(__xludf.DUMMYFUNCTION("""COMPUTED_VALUE"""),641005)</f>
        <v>641005</v>
      </c>
      <c r="D437" s="1" t="str">
        <f ca="1">IFERROR(__xludf.DUMMYFUNCTION("""COMPUTED_VALUE"""),"Female")</f>
        <v>Female</v>
      </c>
      <c r="E437" s="1" t="str">
        <f ca="1">IFERROR(__xludf.DUMMYFUNCTION("""COMPUTED_VALUE"""),"People from my circle, but not family members")</f>
        <v>People from my circle, but not family members</v>
      </c>
      <c r="F437" s="1" t="str">
        <f ca="1">IFERROR(__xludf.DUMMYFUNCTION("""COMPUTED_VALUE"""),"No I would not be pursuing Higher Education outside of India")</f>
        <v>No I would not be pursuing Higher Education outside of India</v>
      </c>
      <c r="G437" s="1" t="str">
        <f ca="1">IFERROR(__xludf.DUMMYFUNCTION("""COMPUTED_VALUE"""),"This will be hard to do, but if it is the right company I would try")</f>
        <v>This will be hard to do, but if it is the right company I would try</v>
      </c>
      <c r="H437" s="1" t="str">
        <f ca="1">IFERROR(__xludf.DUMMYFUNCTION("""COMPUTED_VALUE"""),"No")</f>
        <v>No</v>
      </c>
      <c r="I437" s="1" t="str">
        <f ca="1">IFERROR(__xludf.DUMMYFUNCTION("""COMPUTED_VALUE"""),"Will NOT work for them")</f>
        <v>Will NOT work for them</v>
      </c>
      <c r="J437" s="1">
        <f ca="1">IFERROR(__xludf.DUMMYFUNCTION("""COMPUTED_VALUE"""),4)</f>
        <v>4</v>
      </c>
      <c r="K437" s="1" t="str">
        <f ca="1">IFERROR(__xludf.DUMMYFUNCTION("""COMPUTED_VALUE"""),"Fully Remote with No option to visit offices")</f>
        <v>Fully Remote with No option to visit offices</v>
      </c>
      <c r="L437" s="1" t="str">
        <f ca="1">IFERROR(__xludf.DUMMYFUNCTION("""COMPUTED_VALUE"""),"Employer who rewards learning and enables that environment")</f>
        <v>Employer who rewards learning and enables that environment</v>
      </c>
      <c r="M437" s="1" t="str">
        <f ca="1">IFERROR(__xludf.DUMMYFUNCTION("""COMPUTED_VALUE"""),"Design and Creative strategy in any company, Teaching in any of the institutes/colleges/online or offline, Look deeply into Data and generate insights, Entrepreneur or Start Up")</f>
        <v>Design and Creative strategy in any company, Teaching in any of the institutes/colleges/online or offline, Look deeply into Data and generate insights, Entrepreneur or Start Up</v>
      </c>
      <c r="N437" s="4" t="s">
        <v>48</v>
      </c>
      <c r="O437" s="1" t="str">
        <f ca="1">IFERROR(__xludf.DUMMYFUNCTION("""COMPUTED_VALUE"""),"Manager who explains what is expected, sets a goal and helps achieve it")</f>
        <v>Manager who explains what is expected, sets a goal and helps achieve it</v>
      </c>
      <c r="P437" s="1" t="str">
        <f ca="1">IFERROR(__xludf.DUMMYFUNCTION("""COMPUTED_VALUE"""),"Work &lt;=6 People in the Team")</f>
        <v>Work &lt;=6 People in the Team</v>
      </c>
      <c r="Q437" s="1" t="s">
        <v>40</v>
      </c>
      <c r="R437" s="1"/>
    </row>
    <row r="438" spans="1:18" x14ac:dyDescent="0.25">
      <c r="A438" s="2">
        <f ca="1">IFERROR(__xludf.DUMMYFUNCTION("""COMPUTED_VALUE"""),45021.4660854513)</f>
        <v>45021.466085451299</v>
      </c>
      <c r="B438" s="1" t="str">
        <f ca="1">IFERROR(__xludf.DUMMYFUNCTION("""COMPUTED_VALUE"""),"India")</f>
        <v>India</v>
      </c>
      <c r="C438" s="1">
        <f ca="1">IFERROR(__xludf.DUMMYFUNCTION("""COMPUTED_VALUE"""),201305)</f>
        <v>201305</v>
      </c>
      <c r="D438" s="1" t="str">
        <f ca="1">IFERROR(__xludf.DUMMYFUNCTION("""COMPUTED_VALUE"""),"Female")</f>
        <v>Female</v>
      </c>
      <c r="E438" s="1" t="str">
        <f ca="1">IFERROR(__xludf.DUMMYFUNCTION("""COMPUTED_VALUE"""),"My Parents")</f>
        <v>My Parents</v>
      </c>
      <c r="F438" s="1" t="str">
        <f ca="1">IFERROR(__xludf.DUMMYFUNCTION("""COMPUTED_VALUE"""),"Yes, I will earn and do that")</f>
        <v>Yes, I will earn and do that</v>
      </c>
      <c r="G438" s="1" t="str">
        <f ca="1">IFERROR(__xludf.DUMMYFUNCTION("""COMPUTED_VALUE"""),"Will work for 3 years or more")</f>
        <v>Will work for 3 years or more</v>
      </c>
      <c r="H438" s="1" t="str">
        <f ca="1">IFERROR(__xludf.DUMMYFUNCTION("""COMPUTED_VALUE"""),"No")</f>
        <v>No</v>
      </c>
      <c r="I438" s="1" t="str">
        <f ca="1">IFERROR(__xludf.DUMMYFUNCTION("""COMPUTED_VALUE"""),"Will NOT work for them")</f>
        <v>Will NOT work for them</v>
      </c>
      <c r="J438" s="1">
        <f ca="1">IFERROR(__xludf.DUMMYFUNCTION("""COMPUTED_VALUE"""),1)</f>
        <v>1</v>
      </c>
      <c r="K438" s="1" t="str">
        <f ca="1">IFERROR(__xludf.DUMMYFUNCTION("""COMPUTED_VALUE"""),"Every Day Office Environment")</f>
        <v>Every Day Office Environment</v>
      </c>
      <c r="L438" s="1" t="str">
        <f ca="1">IFERROR(__xludf.DUMMYFUNCTION("""COMPUTED_VALUE"""),"Employer who pushes your limits by enabling an learning environment, and rewards you at the end")</f>
        <v>Employer who pushes your limits by enabling an learning environment, and rewards you at the end</v>
      </c>
      <c r="M438" s="1" t="str">
        <f ca="1">IFERROR(__xludf.DUMMYFUNCTION("""COMPUTED_VALUE"""),"Manage and drive End-to-End Projects or Products, Work as a freelancer and do my thing my way, Become a content Creator in some platform, An Artificial Intelligence Specialist / Talking to Robots")</f>
        <v>Manage and drive End-to-End Projects or Products, Work as a freelancer and do my thing my way, Become a content Creator in some platform, An Artificial Intelligence Specialist / Talking to Robots</v>
      </c>
      <c r="N438" s="4" t="s">
        <v>50</v>
      </c>
      <c r="O438" s="1" t="str">
        <f ca="1">IFERROR(__xludf.DUMMYFUNCTION("""COMPUTED_VALUE"""),"Manager who clearly describes what she/he needs")</f>
        <v>Manager who clearly describes what she/he needs</v>
      </c>
      <c r="P438" s="1" t="str">
        <f ca="1">IFERROR(__xludf.DUMMYFUNCTION("""COMPUTED_VALUE"""),"Work &gt;10 people in Team")</f>
        <v>Work &gt;10 people in Team</v>
      </c>
      <c r="Q438" s="1" t="s">
        <v>40</v>
      </c>
      <c r="R438" s="1"/>
    </row>
    <row r="439" spans="1:18" x14ac:dyDescent="0.25">
      <c r="A439" s="2">
        <f ca="1">IFERROR(__xludf.DUMMYFUNCTION("""COMPUTED_VALUE"""),45021.468045324)</f>
        <v>45021.468045324</v>
      </c>
      <c r="B439" s="1" t="str">
        <f ca="1">IFERROR(__xludf.DUMMYFUNCTION("""COMPUTED_VALUE"""),"India")</f>
        <v>India</v>
      </c>
      <c r="C439" s="1">
        <f ca="1">IFERROR(__xludf.DUMMYFUNCTION("""COMPUTED_VALUE"""),509209)</f>
        <v>509209</v>
      </c>
      <c r="D439" s="1" t="str">
        <f ca="1">IFERROR(__xludf.DUMMYFUNCTION("""COMPUTED_VALUE"""),"Female")</f>
        <v>Female</v>
      </c>
      <c r="E439" s="1" t="str">
        <f ca="1">IFERROR(__xludf.DUMMYFUNCTION("""COMPUTED_VALUE"""),"My Parents")</f>
        <v>My Parents</v>
      </c>
      <c r="F439" s="1" t="str">
        <f ca="1">IFERROR(__xludf.DUMMYFUNCTION("""COMPUTED_VALUE"""),"Yes, I will earn and do that")</f>
        <v>Yes, I will earn and do that</v>
      </c>
      <c r="G439" s="1" t="str">
        <f ca="1">IFERROR(__xludf.DUMMYFUNCTION("""COMPUTED_VALUE"""),"This will be hard to do, but if it is the right company I would try")</f>
        <v>This will be hard to do, but if it is the right company I would try</v>
      </c>
      <c r="H439" s="1" t="str">
        <f ca="1">IFERROR(__xludf.DUMMYFUNCTION("""COMPUTED_VALUE"""),"No")</f>
        <v>No</v>
      </c>
      <c r="I439" s="1" t="str">
        <f ca="1">IFERROR(__xludf.DUMMYFUNCTION("""COMPUTED_VALUE"""),"Will NOT work for them")</f>
        <v>Will NOT work for them</v>
      </c>
      <c r="J439" s="1">
        <f ca="1">IFERROR(__xludf.DUMMYFUNCTION("""COMPUTED_VALUE"""),1)</f>
        <v>1</v>
      </c>
      <c r="K439" s="1" t="str">
        <f ca="1">IFERROR(__xludf.DUMMYFUNCTION("""COMPUTED_VALUE"""),"Fully Remote with Options to travel as and when needed")</f>
        <v>Fully Remote with Options to travel as and when needed</v>
      </c>
      <c r="L439" s="1" t="str">
        <f ca="1">IFERROR(__xludf.DUMMYFUNCTION("""COMPUTED_VALUE"""),"Employer who appreciates learning and enables that environment")</f>
        <v>Employer who appreciates learning and enables that environment</v>
      </c>
      <c r="M43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N439" s="4" t="s">
        <v>48</v>
      </c>
      <c r="O439" s="1" t="str">
        <f ca="1">IFERROR(__xludf.DUMMYFUNCTION("""COMPUTED_VALUE"""),"Manager who clearly describes what she/he needs")</f>
        <v>Manager who clearly describes what she/he needs</v>
      </c>
      <c r="P439" s="1" t="str">
        <f ca="1">IFERROR(__xludf.DUMMYFUNCTION("""COMPUTED_VALUE"""),"Work &lt;=6 People in the Team")</f>
        <v>Work &lt;=6 People in the Team</v>
      </c>
      <c r="Q439" s="1" t="s">
        <v>42</v>
      </c>
      <c r="R439" s="1"/>
    </row>
    <row r="440" spans="1:18" x14ac:dyDescent="0.25">
      <c r="A440" s="2">
        <f ca="1">IFERROR(__xludf.DUMMYFUNCTION("""COMPUTED_VALUE"""),45021.4698859606)</f>
        <v>45021.4698859606</v>
      </c>
      <c r="B440" s="1" t="str">
        <f ca="1">IFERROR(__xludf.DUMMYFUNCTION("""COMPUTED_VALUE"""),"India")</f>
        <v>India</v>
      </c>
      <c r="C440" s="1">
        <f ca="1">IFERROR(__xludf.DUMMYFUNCTION("""COMPUTED_VALUE"""),501505)</f>
        <v>501505</v>
      </c>
      <c r="D440" s="1" t="str">
        <f ca="1">IFERROR(__xludf.DUMMYFUNCTION("""COMPUTED_VALUE"""),"Male")</f>
        <v>Male</v>
      </c>
      <c r="E440" s="1" t="str">
        <f ca="1">IFERROR(__xludf.DUMMYFUNCTION("""COMPUTED_VALUE"""),"My Parents")</f>
        <v>My Parents</v>
      </c>
      <c r="F440" s="1" t="str">
        <f ca="1">IFERROR(__xludf.DUMMYFUNCTION("""COMPUTED_VALUE"""),"Yes, I will earn and do that")</f>
        <v>Yes, I will earn and do that</v>
      </c>
      <c r="G440" s="1" t="str">
        <f ca="1">IFERROR(__xludf.DUMMYFUNCTION("""COMPUTED_VALUE"""),"Will work for 3 years or more")</f>
        <v>Will work for 3 years or more</v>
      </c>
      <c r="H440" s="1" t="str">
        <f ca="1">IFERROR(__xludf.DUMMYFUNCTION("""COMPUTED_VALUE"""),"No")</f>
        <v>No</v>
      </c>
      <c r="I440" s="1" t="str">
        <f ca="1">IFERROR(__xludf.DUMMYFUNCTION("""COMPUTED_VALUE"""),"Will NOT work for them")</f>
        <v>Will NOT work for them</v>
      </c>
      <c r="J440" s="1">
        <f ca="1">IFERROR(__xludf.DUMMYFUNCTION("""COMPUTED_VALUE"""),5)</f>
        <v>5</v>
      </c>
      <c r="K440" s="1" t="str">
        <f ca="1">IFERROR(__xludf.DUMMYFUNCTION("""COMPUTED_VALUE"""),"Hybrid Working Environment with more than 15 days a month at office")</f>
        <v>Hybrid Working Environment with more than 15 days a month at office</v>
      </c>
      <c r="L440" s="1" t="str">
        <f ca="1">IFERROR(__xludf.DUMMYFUNCTION("""COMPUTED_VALUE"""),"Employer who pushes your limits by enabling an learning environment, and rewards you at the end")</f>
        <v>Employer who pushes your limits by enabling an learning environment, and rewards you at the end</v>
      </c>
      <c r="M44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440" s="4" t="s">
        <v>48</v>
      </c>
      <c r="O440" s="1" t="str">
        <f ca="1">IFERROR(__xludf.DUMMYFUNCTION("""COMPUTED_VALUE"""),"Manager who sets goal and helps me achieve it")</f>
        <v>Manager who sets goal and helps me achieve it</v>
      </c>
      <c r="P440" s="1" t="str">
        <f ca="1">IFERROR(__xludf.DUMMYFUNCTION("""COMPUTED_VALUE"""),"Work &lt;=6 People in the Team")</f>
        <v>Work &lt;=6 People in the Team</v>
      </c>
      <c r="Q440" s="1" t="s">
        <v>40</v>
      </c>
      <c r="R440" s="1"/>
    </row>
    <row r="441" spans="1:18" x14ac:dyDescent="0.25">
      <c r="A441" s="2">
        <f ca="1">IFERROR(__xludf.DUMMYFUNCTION("""COMPUTED_VALUE"""),45021.4727215277)</f>
        <v>45021.472721527702</v>
      </c>
      <c r="B441" s="1" t="str">
        <f ca="1">IFERROR(__xludf.DUMMYFUNCTION("""COMPUTED_VALUE"""),"India")</f>
        <v>India</v>
      </c>
      <c r="C441" s="1">
        <f ca="1">IFERROR(__xludf.DUMMYFUNCTION("""COMPUTED_VALUE"""),442906)</f>
        <v>442906</v>
      </c>
      <c r="D441" s="1" t="str">
        <f ca="1">IFERROR(__xludf.DUMMYFUNCTION("""COMPUTED_VALUE"""),"Male")</f>
        <v>Male</v>
      </c>
      <c r="E441" s="1" t="str">
        <f ca="1">IFERROR(__xludf.DUMMYFUNCTION("""COMPUTED_VALUE"""),"People from my circle, but not family members")</f>
        <v>People from my circle, but not family members</v>
      </c>
      <c r="F441" s="1" t="str">
        <f ca="1">IFERROR(__xludf.DUMMYFUNCTION("""COMPUTED_VALUE"""),"No, But if someone could bare the cost I will")</f>
        <v>No, But if someone could bare the cost I will</v>
      </c>
      <c r="G441" s="1" t="str">
        <f ca="1">IFERROR(__xludf.DUMMYFUNCTION("""COMPUTED_VALUE"""),"Will work for 3 years or more")</f>
        <v>Will work for 3 years or more</v>
      </c>
      <c r="H441" s="1" t="str">
        <f ca="1">IFERROR(__xludf.DUMMYFUNCTION("""COMPUTED_VALUE"""),"Yes")</f>
        <v>Yes</v>
      </c>
      <c r="I441" s="1" t="str">
        <f ca="1">IFERROR(__xludf.DUMMYFUNCTION("""COMPUTED_VALUE"""),"Will work for them")</f>
        <v>Will work for them</v>
      </c>
      <c r="J441" s="1">
        <f ca="1">IFERROR(__xludf.DUMMYFUNCTION("""COMPUTED_VALUE"""),4)</f>
        <v>4</v>
      </c>
      <c r="K441" s="1" t="str">
        <f ca="1">IFERROR(__xludf.DUMMYFUNCTION("""COMPUTED_VALUE"""),"Hybrid Working Environment with more than 15 days a month at office")</f>
        <v>Hybrid Working Environment with more than 15 days a month at office</v>
      </c>
      <c r="L441" s="1" t="str">
        <f ca="1">IFERROR(__xludf.DUMMYFUNCTION("""COMPUTED_VALUE"""),"Employer who pushes your limits by enabling an learning environment, and rewards you at the end")</f>
        <v>Employer who pushes your limits by enabling an learning environment, and rewards you at the end</v>
      </c>
      <c r="M44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441" s="4" t="s">
        <v>48</v>
      </c>
      <c r="O441" s="1" t="str">
        <f ca="1">IFERROR(__xludf.DUMMYFUNCTION("""COMPUTED_VALUE"""),"Manager who explains what is expected, sets a goal and helps achieve it")</f>
        <v>Manager who explains what is expected, sets a goal and helps achieve it</v>
      </c>
      <c r="P441" s="1" t="str">
        <f ca="1">IFERROR(__xludf.DUMMYFUNCTION("""COMPUTED_VALUE"""),"Work &lt;=6 People in the Team")</f>
        <v>Work &lt;=6 People in the Team</v>
      </c>
      <c r="Q441" s="1" t="s">
        <v>43</v>
      </c>
      <c r="R441" s="1"/>
    </row>
    <row r="442" spans="1:18" x14ac:dyDescent="0.25">
      <c r="A442" s="2">
        <f ca="1">IFERROR(__xludf.DUMMYFUNCTION("""COMPUTED_VALUE"""),45021.472915023)</f>
        <v>45021.472915022998</v>
      </c>
      <c r="B442" s="1" t="str">
        <f ca="1">IFERROR(__xludf.DUMMYFUNCTION("""COMPUTED_VALUE"""),"Canada")</f>
        <v>Canada</v>
      </c>
      <c r="C442" s="1">
        <f ca="1">IFERROR(__xludf.DUMMYFUNCTION("""COMPUTED_VALUE"""),508213)</f>
        <v>508213</v>
      </c>
      <c r="D442" s="1" t="str">
        <f ca="1">IFERROR(__xludf.DUMMYFUNCTION("""COMPUTED_VALUE"""),"Male")</f>
        <v>Male</v>
      </c>
      <c r="E442" s="1" t="str">
        <f ca="1">IFERROR(__xludf.DUMMYFUNCTION("""COMPUTED_VALUE"""),"Influencers who had successful careers")</f>
        <v>Influencers who had successful careers</v>
      </c>
      <c r="F442" s="1" t="str">
        <f ca="1">IFERROR(__xludf.DUMMYFUNCTION("""COMPUTED_VALUE"""),"Yes, I will earn and do that")</f>
        <v>Yes, I will earn and do that</v>
      </c>
      <c r="G442" s="1" t="str">
        <f ca="1">IFERROR(__xludf.DUMMYFUNCTION("""COMPUTED_VALUE"""),"Will work for 3 years or more")</f>
        <v>Will work for 3 years or more</v>
      </c>
      <c r="H442" s="1" t="str">
        <f ca="1">IFERROR(__xludf.DUMMYFUNCTION("""COMPUTED_VALUE"""),"Yes")</f>
        <v>Yes</v>
      </c>
      <c r="I442" s="1" t="str">
        <f ca="1">IFERROR(__xludf.DUMMYFUNCTION("""COMPUTED_VALUE"""),"Will work for them")</f>
        <v>Will work for them</v>
      </c>
      <c r="J442" s="1">
        <f ca="1">IFERROR(__xludf.DUMMYFUNCTION("""COMPUTED_VALUE"""),3)</f>
        <v>3</v>
      </c>
      <c r="K442" s="1" t="str">
        <f ca="1">IFERROR(__xludf.DUMMYFUNCTION("""COMPUTED_VALUE"""),"Fully Remote with Options to travel as and when needed")</f>
        <v>Fully Remote with Options to travel as and when needed</v>
      </c>
      <c r="L442" s="1" t="str">
        <f ca="1">IFERROR(__xludf.DUMMYFUNCTION("""COMPUTED_VALUE"""),"Employer who pushes your limits by enabling an learning environment, and rewards you at the end")</f>
        <v>Employer who pushes your limits by enabling an learning environment, and rewards you at the end</v>
      </c>
      <c r="M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442" s="4" t="s">
        <v>57</v>
      </c>
      <c r="O442" s="1" t="str">
        <f ca="1">IFERROR(__xludf.DUMMYFUNCTION("""COMPUTED_VALUE"""),"Manager who explains what is expected, sets a goal and helps achieve it")</f>
        <v>Manager who explains what is expected, sets a goal and helps achieve it</v>
      </c>
      <c r="P442" s="1" t="str">
        <f ca="1">IFERROR(__xludf.DUMMYFUNCTION("""COMPUTED_VALUE"""),"Work &lt;67 People in the Team")</f>
        <v>Work &lt;67 People in the Team</v>
      </c>
      <c r="Q442" s="1" t="s">
        <v>43</v>
      </c>
      <c r="R442" s="1"/>
    </row>
    <row r="443" spans="1:18" x14ac:dyDescent="0.25">
      <c r="A443" s="2">
        <f ca="1">IFERROR(__xludf.DUMMYFUNCTION("""COMPUTED_VALUE"""),45021.4729779976)</f>
        <v>45021.472977997597</v>
      </c>
      <c r="B443" s="1" t="str">
        <f ca="1">IFERROR(__xludf.DUMMYFUNCTION("""COMPUTED_VALUE"""),"India")</f>
        <v>India</v>
      </c>
      <c r="C443" s="1">
        <f ca="1">IFERROR(__xludf.DUMMYFUNCTION("""COMPUTED_VALUE"""),500079)</f>
        <v>500079</v>
      </c>
      <c r="D443" s="1" t="str">
        <f ca="1">IFERROR(__xludf.DUMMYFUNCTION("""COMPUTED_VALUE"""),"Female")</f>
        <v>Female</v>
      </c>
      <c r="E443" s="1" t="str">
        <f ca="1">IFERROR(__xludf.DUMMYFUNCTION("""COMPUTED_VALUE"""),"People who have changed the world for better")</f>
        <v>People who have changed the world for better</v>
      </c>
      <c r="F443" s="1" t="str">
        <f ca="1">IFERROR(__xludf.DUMMYFUNCTION("""COMPUTED_VALUE"""),"No I would not be pursuing Higher Education outside of India")</f>
        <v>No I would not be pursuing Higher Education outside of India</v>
      </c>
      <c r="G443" s="1" t="str">
        <f ca="1">IFERROR(__xludf.DUMMYFUNCTION("""COMPUTED_VALUE"""),"Will work for 3 years or more")</f>
        <v>Will work for 3 years or more</v>
      </c>
      <c r="H443" s="1" t="str">
        <f ca="1">IFERROR(__xludf.DUMMYFUNCTION("""COMPUTED_VALUE"""),"No")</f>
        <v>No</v>
      </c>
      <c r="I443" s="1" t="str">
        <f ca="1">IFERROR(__xludf.DUMMYFUNCTION("""COMPUTED_VALUE"""),"Will NOT work for them")</f>
        <v>Will NOT work for them</v>
      </c>
      <c r="J443" s="1">
        <f ca="1">IFERROR(__xludf.DUMMYFUNCTION("""COMPUTED_VALUE"""),1)</f>
        <v>1</v>
      </c>
      <c r="K443" s="1" t="str">
        <f ca="1">IFERROR(__xludf.DUMMYFUNCTION("""COMPUTED_VALUE"""),"Hybrid Working Environment with less than 3 days a month at office")</f>
        <v>Hybrid Working Environment with less than 3 days a month at office</v>
      </c>
      <c r="L443" s="1" t="str">
        <f ca="1">IFERROR(__xludf.DUMMYFUNCTION("""COMPUTED_VALUE"""),"Employer who appreciates learning and enables that environment")</f>
        <v>Employer who appreciates learning and enables that environment</v>
      </c>
      <c r="M44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443" s="4" t="s">
        <v>51</v>
      </c>
      <c r="O443" s="1" t="str">
        <f ca="1">IFERROR(__xludf.DUMMYFUNCTION("""COMPUTED_VALUE"""),"Manager who explains what is expected, sets a goal and helps achieve it")</f>
        <v>Manager who explains what is expected, sets a goal and helps achieve it</v>
      </c>
      <c r="P443" s="1" t="str">
        <f ca="1">IFERROR(__xludf.DUMMYFUNCTION("""COMPUTED_VALUE"""),"Work alone")</f>
        <v>Work alone</v>
      </c>
      <c r="Q443" s="1" t="s">
        <v>43</v>
      </c>
      <c r="R443" s="1"/>
    </row>
    <row r="444" spans="1:18" x14ac:dyDescent="0.25">
      <c r="A444" s="2">
        <f ca="1">IFERROR(__xludf.DUMMYFUNCTION("""COMPUTED_VALUE"""),45021.4731972453)</f>
        <v>45021.473197245301</v>
      </c>
      <c r="B444" s="1" t="str">
        <f ca="1">IFERROR(__xludf.DUMMYFUNCTION("""COMPUTED_VALUE"""),"India")</f>
        <v>India</v>
      </c>
      <c r="C444" s="1">
        <f ca="1">IFERROR(__xludf.DUMMYFUNCTION("""COMPUTED_VALUE"""),500070)</f>
        <v>500070</v>
      </c>
      <c r="D444" s="1" t="str">
        <f ca="1">IFERROR(__xludf.DUMMYFUNCTION("""COMPUTED_VALUE"""),"Female")</f>
        <v>Female</v>
      </c>
      <c r="E444" s="1" t="str">
        <f ca="1">IFERROR(__xludf.DUMMYFUNCTION("""COMPUTED_VALUE"""),"My Parents")</f>
        <v>My Parents</v>
      </c>
      <c r="F444" s="1" t="str">
        <f ca="1">IFERROR(__xludf.DUMMYFUNCTION("""COMPUTED_VALUE"""),"No, But if someone could bare the cost I will")</f>
        <v>No, But if someone could bare the cost I will</v>
      </c>
      <c r="G444" s="1" t="str">
        <f ca="1">IFERROR(__xludf.DUMMYFUNCTION("""COMPUTED_VALUE"""),"This will be hard to do, but if it is the right company I would try")</f>
        <v>This will be hard to do, but if it is the right company I would try</v>
      </c>
      <c r="H444" s="1" t="str">
        <f ca="1">IFERROR(__xludf.DUMMYFUNCTION("""COMPUTED_VALUE"""),"No")</f>
        <v>No</v>
      </c>
      <c r="I444" s="1" t="str">
        <f ca="1">IFERROR(__xludf.DUMMYFUNCTION("""COMPUTED_VALUE"""),"Will NOT work for them")</f>
        <v>Will NOT work for them</v>
      </c>
      <c r="J444" s="1">
        <f ca="1">IFERROR(__xludf.DUMMYFUNCTION("""COMPUTED_VALUE"""),2)</f>
        <v>2</v>
      </c>
      <c r="K444" s="1" t="str">
        <f ca="1">IFERROR(__xludf.DUMMYFUNCTION("""COMPUTED_VALUE"""),"Fully Remote with Options to travel as and when needed")</f>
        <v>Fully Remote with Options to travel as and when needed</v>
      </c>
      <c r="L444" s="1" t="str">
        <f ca="1">IFERROR(__xludf.DUMMYFUNCTION("""COMPUTED_VALUE"""),"Employer who appreciates learning and enables that environment")</f>
        <v>Employer who appreciates learning and enables that environment</v>
      </c>
      <c r="M44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N444" s="4" t="s">
        <v>57</v>
      </c>
      <c r="O444" s="1" t="str">
        <f ca="1">IFERROR(__xludf.DUMMYFUNCTION("""COMPUTED_VALUE"""),"Manager who explains what is expected, sets a goal and helps achieve it")</f>
        <v>Manager who explains what is expected, sets a goal and helps achieve it</v>
      </c>
      <c r="P444" s="1" t="str">
        <f ca="1">IFERROR(__xludf.DUMMYFUNCTION("""COMPUTED_VALUE"""),"Work &lt;=6 People in the Team")</f>
        <v>Work &lt;=6 People in the Team</v>
      </c>
      <c r="Q444" s="1" t="s">
        <v>40</v>
      </c>
      <c r="R444" s="1"/>
    </row>
    <row r="445" spans="1:18" x14ac:dyDescent="0.25">
      <c r="A445" s="2">
        <f ca="1">IFERROR(__xludf.DUMMYFUNCTION("""COMPUTED_VALUE"""),45021.473929618)</f>
        <v>45021.473929617998</v>
      </c>
      <c r="B445" s="1" t="str">
        <f ca="1">IFERROR(__xludf.DUMMYFUNCTION("""COMPUTED_VALUE"""),"India")</f>
        <v>India</v>
      </c>
      <c r="C445" s="1">
        <f ca="1">IFERROR(__xludf.DUMMYFUNCTION("""COMPUTED_VALUE"""),509209)</f>
        <v>509209</v>
      </c>
      <c r="D445" s="1" t="str">
        <f ca="1">IFERROR(__xludf.DUMMYFUNCTION("""COMPUTED_VALUE"""),"Female")</f>
        <v>Female</v>
      </c>
      <c r="E445" s="1" t="str">
        <f ca="1">IFERROR(__xludf.DUMMYFUNCTION("""COMPUTED_VALUE"""),"My Parents")</f>
        <v>My Parents</v>
      </c>
      <c r="F445" s="1" t="str">
        <f ca="1">IFERROR(__xludf.DUMMYFUNCTION("""COMPUTED_VALUE"""),"No I would not be pursuing Higher Education outside of India")</f>
        <v>No I would not be pursuing Higher Education outside of India</v>
      </c>
      <c r="G445" s="1" t="str">
        <f ca="1">IFERROR(__xludf.DUMMYFUNCTION("""COMPUTED_VALUE"""),"This will be hard to do, but if it is the right company I would try")</f>
        <v>This will be hard to do, but if it is the right company I would try</v>
      </c>
      <c r="H445" s="1" t="str">
        <f ca="1">IFERROR(__xludf.DUMMYFUNCTION("""COMPUTED_VALUE"""),"No")</f>
        <v>No</v>
      </c>
      <c r="I445" s="1" t="str">
        <f ca="1">IFERROR(__xludf.DUMMYFUNCTION("""COMPUTED_VALUE"""),"Will NOT work for them")</f>
        <v>Will NOT work for them</v>
      </c>
      <c r="J445" s="1">
        <f ca="1">IFERROR(__xludf.DUMMYFUNCTION("""COMPUTED_VALUE"""),6)</f>
        <v>6</v>
      </c>
      <c r="K445" s="1" t="str">
        <f ca="1">IFERROR(__xludf.DUMMYFUNCTION("""COMPUTED_VALUE"""),"Fully Remote with Options to travel as and when needed")</f>
        <v>Fully Remote with Options to travel as and when needed</v>
      </c>
      <c r="L445" s="1" t="str">
        <f ca="1">IFERROR(__xludf.DUMMYFUNCTION("""COMPUTED_VALUE"""),"Employer who pushes your limits by enabling an learning environment, and rewards you at the end")</f>
        <v>Employer who pushes your limits by enabling an learning environment, and rewards you at the end</v>
      </c>
      <c r="M445"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445" s="4" t="s">
        <v>51</v>
      </c>
      <c r="O445" s="1" t="str">
        <f ca="1">IFERROR(__xludf.DUMMYFUNCTION("""COMPUTED_VALUE"""),"Manager who explains what is expected, sets a goal and helps achieve it")</f>
        <v>Manager who explains what is expected, sets a goal and helps achieve it</v>
      </c>
      <c r="P445" s="1" t="str">
        <f ca="1">IFERROR(__xludf.DUMMYFUNCTION("""COMPUTED_VALUE"""),"Work &lt;=6 People in the Team")</f>
        <v>Work &lt;=6 People in the Team</v>
      </c>
      <c r="Q445" s="1" t="s">
        <v>43</v>
      </c>
      <c r="R445" s="1"/>
    </row>
    <row r="446" spans="1:18" x14ac:dyDescent="0.25">
      <c r="A446" s="2">
        <f ca="1">IFERROR(__xludf.DUMMYFUNCTION("""COMPUTED_VALUE"""),45021.4744186689)</f>
        <v>45021.474418668899</v>
      </c>
      <c r="B446" s="1" t="str">
        <f ca="1">IFERROR(__xludf.DUMMYFUNCTION("""COMPUTED_VALUE"""),"India")</f>
        <v>India</v>
      </c>
      <c r="C446" s="1">
        <f ca="1">IFERROR(__xludf.DUMMYFUNCTION("""COMPUTED_VALUE"""),600056)</f>
        <v>600056</v>
      </c>
      <c r="D446" s="1" t="str">
        <f ca="1">IFERROR(__xludf.DUMMYFUNCTION("""COMPUTED_VALUE"""),"Male")</f>
        <v>Male</v>
      </c>
      <c r="E446" s="1" t="str">
        <f ca="1">IFERROR(__xludf.DUMMYFUNCTION("""COMPUTED_VALUE"""),"My Parents")</f>
        <v>My Parents</v>
      </c>
      <c r="F446" s="1" t="str">
        <f ca="1">IFERROR(__xludf.DUMMYFUNCTION("""COMPUTED_VALUE"""),"No I would not be pursuing Higher Education outside of India")</f>
        <v>No I would not be pursuing Higher Education outside of India</v>
      </c>
      <c r="G446" s="1" t="str">
        <f ca="1">IFERROR(__xludf.DUMMYFUNCTION("""COMPUTED_VALUE"""),"Will work for 3 years or more")</f>
        <v>Will work for 3 years or more</v>
      </c>
      <c r="H446" s="1" t="str">
        <f ca="1">IFERROR(__xludf.DUMMYFUNCTION("""COMPUTED_VALUE"""),"No")</f>
        <v>No</v>
      </c>
      <c r="I446" s="1" t="str">
        <f ca="1">IFERROR(__xludf.DUMMYFUNCTION("""COMPUTED_VALUE"""),"Will NOT work for them")</f>
        <v>Will NOT work for them</v>
      </c>
      <c r="J446" s="1">
        <f ca="1">IFERROR(__xludf.DUMMYFUNCTION("""COMPUTED_VALUE"""),9)</f>
        <v>9</v>
      </c>
      <c r="K446" s="1" t="str">
        <f ca="1">IFERROR(__xludf.DUMMYFUNCTION("""COMPUTED_VALUE"""),"Hybrid Working Environment with more than 15 days a month at office")</f>
        <v>Hybrid Working Environment with more than 15 days a month at office</v>
      </c>
      <c r="L446" s="1" t="str">
        <f ca="1">IFERROR(__xludf.DUMMYFUNCTION("""COMPUTED_VALUE"""),"Employer who rewards learning and enables that environment")</f>
        <v>Employer who rewards learning and enables that environment</v>
      </c>
      <c r="M446"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N446" s="4" t="s">
        <v>57</v>
      </c>
      <c r="O446" s="1" t="str">
        <f ca="1">IFERROR(__xludf.DUMMYFUNCTION("""COMPUTED_VALUE"""),"Manager who clearly describes what she/he needs")</f>
        <v>Manager who clearly describes what she/he needs</v>
      </c>
      <c r="P446" s="1" t="str">
        <f ca="1">IFERROR(__xludf.DUMMYFUNCTION("""COMPUTED_VALUE"""),"Work &lt;=6 People in the Team")</f>
        <v>Work &lt;=6 People in the Team</v>
      </c>
      <c r="Q446" s="1" t="s">
        <v>43</v>
      </c>
      <c r="R446" s="1"/>
    </row>
    <row r="447" spans="1:18" x14ac:dyDescent="0.25">
      <c r="A447" s="2">
        <f ca="1">IFERROR(__xludf.DUMMYFUNCTION("""COMPUTED_VALUE"""),45021.4755988773)</f>
        <v>45021.475598877303</v>
      </c>
      <c r="B447" s="1" t="str">
        <f ca="1">IFERROR(__xludf.DUMMYFUNCTION("""COMPUTED_VALUE"""),"Others")</f>
        <v>Others</v>
      </c>
      <c r="C447" s="1">
        <f ca="1">IFERROR(__xludf.DUMMYFUNCTION("""COMPUTED_VALUE"""),312)</f>
        <v>312</v>
      </c>
      <c r="D447" s="1" t="str">
        <f ca="1">IFERROR(__xludf.DUMMYFUNCTION("""COMPUTED_VALUE"""),"Male")</f>
        <v>Male</v>
      </c>
      <c r="E447" s="1" t="str">
        <f ca="1">IFERROR(__xludf.DUMMYFUNCTION("""COMPUTED_VALUE"""),"People who have changed the world for better")</f>
        <v>People who have changed the world for better</v>
      </c>
      <c r="F447" s="1" t="str">
        <f ca="1">IFERROR(__xludf.DUMMYFUNCTION("""COMPUTED_VALUE"""),"No, But if someone could bare the cost I will")</f>
        <v>No, But if someone could bare the cost I will</v>
      </c>
      <c r="G447" s="1" t="str">
        <f ca="1">IFERROR(__xludf.DUMMYFUNCTION("""COMPUTED_VALUE"""),"This will be hard to do, but if it is the right company I would try")</f>
        <v>This will be hard to do, but if it is the right company I would try</v>
      </c>
      <c r="H447" s="1" t="str">
        <f ca="1">IFERROR(__xludf.DUMMYFUNCTION("""COMPUTED_VALUE"""),"No")</f>
        <v>No</v>
      </c>
      <c r="I447" s="1" t="str">
        <f ca="1">IFERROR(__xludf.DUMMYFUNCTION("""COMPUTED_VALUE"""),"Will NOT work for them")</f>
        <v>Will NOT work for them</v>
      </c>
      <c r="J447" s="1">
        <f ca="1">IFERROR(__xludf.DUMMYFUNCTION("""COMPUTED_VALUE"""),5)</f>
        <v>5</v>
      </c>
      <c r="K447" s="1" t="str">
        <f ca="1">IFERROR(__xludf.DUMMYFUNCTION("""COMPUTED_VALUE"""),"Hybrid Working Environment with less than 3 days a month at office")</f>
        <v>Hybrid Working Environment with less than 3 days a month at office</v>
      </c>
      <c r="L447" s="1" t="str">
        <f ca="1">IFERROR(__xludf.DUMMYFUNCTION("""COMPUTED_VALUE"""),"Employer who pushes your limits by enabling an learning environment, and rewards you at the end")</f>
        <v>Employer who pushes your limits by enabling an learning environment, and rewards you at the end</v>
      </c>
      <c r="M447" s="1" t="str">
        <f ca="1">IFERROR(__xludf.DUMMYFUNCTION("""COMPUTED_VALUE"""),"Design and Creative strategy in any company, Become a content Creator in some platform, Entrepreneur or Start Up, I Want to sell things/Sales")</f>
        <v>Design and Creative strategy in any company, Become a content Creator in some platform, Entrepreneur or Start Up, I Want to sell things/Sales</v>
      </c>
      <c r="N447" s="4" t="s">
        <v>48</v>
      </c>
      <c r="O447" s="1" t="str">
        <f ca="1">IFERROR(__xludf.DUMMYFUNCTION("""COMPUTED_VALUE"""),"Manager who sets goal and helps me achieve it")</f>
        <v>Manager who sets goal and helps me achieve it</v>
      </c>
      <c r="P447" s="1" t="str">
        <f ca="1">IFERROR(__xludf.DUMMYFUNCTION("""COMPUTED_VALUE"""),"Work &gt;10 people in Team")</f>
        <v>Work &gt;10 people in Team</v>
      </c>
      <c r="Q447" s="1" t="s">
        <v>43</v>
      </c>
      <c r="R447" s="1"/>
    </row>
    <row r="448" spans="1:18" x14ac:dyDescent="0.25">
      <c r="A448" s="2">
        <f ca="1">IFERROR(__xludf.DUMMYFUNCTION("""COMPUTED_VALUE"""),45021.4758880208)</f>
        <v>45021.475888020803</v>
      </c>
      <c r="B448" s="1" t="str">
        <f ca="1">IFERROR(__xludf.DUMMYFUNCTION("""COMPUTED_VALUE"""),"India")</f>
        <v>India</v>
      </c>
      <c r="C448" s="1">
        <f ca="1">IFERROR(__xludf.DUMMYFUNCTION("""COMPUTED_VALUE"""),500078)</f>
        <v>500078</v>
      </c>
      <c r="D448" s="1" t="str">
        <f ca="1">IFERROR(__xludf.DUMMYFUNCTION("""COMPUTED_VALUE"""),"Male")</f>
        <v>Male</v>
      </c>
      <c r="E448" s="1" t="str">
        <f ca="1">IFERROR(__xludf.DUMMYFUNCTION("""COMPUTED_VALUE"""),"People from my circle, but not family members")</f>
        <v>People from my circle, but not family members</v>
      </c>
      <c r="F448" s="1" t="str">
        <f ca="1">IFERROR(__xludf.DUMMYFUNCTION("""COMPUTED_VALUE"""),"No, But if someone could bare the cost I will")</f>
        <v>No, But if someone could bare the cost I will</v>
      </c>
      <c r="G448" s="1" t="str">
        <f ca="1">IFERROR(__xludf.DUMMYFUNCTION("""COMPUTED_VALUE"""),"This will be hard to do, but if it is the right company I would try")</f>
        <v>This will be hard to do, but if it is the right company I would try</v>
      </c>
      <c r="H448" s="1" t="str">
        <f ca="1">IFERROR(__xludf.DUMMYFUNCTION("""COMPUTED_VALUE"""),"No")</f>
        <v>No</v>
      </c>
      <c r="I448" s="1" t="str">
        <f ca="1">IFERROR(__xludf.DUMMYFUNCTION("""COMPUTED_VALUE"""),"Will NOT work for them")</f>
        <v>Will NOT work for them</v>
      </c>
      <c r="J448" s="1">
        <f ca="1">IFERROR(__xludf.DUMMYFUNCTION("""COMPUTED_VALUE"""),1)</f>
        <v>1</v>
      </c>
      <c r="K448" s="1" t="str">
        <f ca="1">IFERROR(__xludf.DUMMYFUNCTION("""COMPUTED_VALUE"""),"Hybrid Working Environment with more than 15 days a month at office")</f>
        <v>Hybrid Working Environment with more than 15 days a month at office</v>
      </c>
      <c r="L448" s="1" t="str">
        <f ca="1">IFERROR(__xludf.DUMMYFUNCTION("""COMPUTED_VALUE"""),"Employer who appreciates learning and enables that environment")</f>
        <v>Employer who appreciates learning and enables that environment</v>
      </c>
      <c r="M448"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N448" s="4" t="s">
        <v>59</v>
      </c>
      <c r="O448" s="1" t="str">
        <f ca="1">IFERROR(__xludf.DUMMYFUNCTION("""COMPUTED_VALUE"""),"Manager who sets goal and helps me achieve it")</f>
        <v>Manager who sets goal and helps me achieve it</v>
      </c>
      <c r="P448" s="1" t="str">
        <f ca="1">IFERROR(__xludf.DUMMYFUNCTION("""COMPUTED_VALUE"""),"Work &lt;=6 People in the Team")</f>
        <v>Work &lt;=6 People in the Team</v>
      </c>
      <c r="Q448" s="1" t="s">
        <v>40</v>
      </c>
      <c r="R448" s="1"/>
    </row>
    <row r="449" spans="1:18" x14ac:dyDescent="0.25">
      <c r="A449" s="2">
        <f ca="1">IFERROR(__xludf.DUMMYFUNCTION("""COMPUTED_VALUE"""),45021.4762895138)</f>
        <v>45021.476289513797</v>
      </c>
      <c r="B449" s="1" t="str">
        <f ca="1">IFERROR(__xludf.DUMMYFUNCTION("""COMPUTED_VALUE"""),"India")</f>
        <v>India</v>
      </c>
      <c r="C449" s="1">
        <f ca="1">IFERROR(__xludf.DUMMYFUNCTION("""COMPUTED_VALUE"""),500068)</f>
        <v>500068</v>
      </c>
      <c r="D449" s="1" t="str">
        <f ca="1">IFERROR(__xludf.DUMMYFUNCTION("""COMPUTED_VALUE"""),"Male")</f>
        <v>Male</v>
      </c>
      <c r="E449" s="1" t="str">
        <f ca="1">IFERROR(__xludf.DUMMYFUNCTION("""COMPUTED_VALUE"""),"My Parents")</f>
        <v>My Parents</v>
      </c>
      <c r="F449" s="1" t="str">
        <f ca="1">IFERROR(__xludf.DUMMYFUNCTION("""COMPUTED_VALUE"""),"Yes, I will earn and do that")</f>
        <v>Yes, I will earn and do that</v>
      </c>
      <c r="G449" s="1" t="str">
        <f ca="1">IFERROR(__xludf.DUMMYFUNCTION("""COMPUTED_VALUE"""),"This will be hard to do, but if it is the right company I would try")</f>
        <v>This will be hard to do, but if it is the right company I would try</v>
      </c>
      <c r="H449" s="1" t="str">
        <f ca="1">IFERROR(__xludf.DUMMYFUNCTION("""COMPUTED_VALUE"""),"No")</f>
        <v>No</v>
      </c>
      <c r="I449" s="1" t="str">
        <f ca="1">IFERROR(__xludf.DUMMYFUNCTION("""COMPUTED_VALUE"""),"Will work for them")</f>
        <v>Will work for them</v>
      </c>
      <c r="J449" s="1">
        <f ca="1">IFERROR(__xludf.DUMMYFUNCTION("""COMPUTED_VALUE"""),4)</f>
        <v>4</v>
      </c>
      <c r="K449" s="1" t="str">
        <f ca="1">IFERROR(__xludf.DUMMYFUNCTION("""COMPUTED_VALUE"""),"Fully Remote with Options to travel as and when needed")</f>
        <v>Fully Remote with Options to travel as and when needed</v>
      </c>
      <c r="L449" s="1" t="str">
        <f ca="1">IFERROR(__xludf.DUMMYFUNCTION("""COMPUTED_VALUE"""),"Employer who pushes your limits by enabling an learning environment, and rewards you at the end")</f>
        <v>Employer who pushes your limits by enabling an learning environment, and rewards you at the end</v>
      </c>
      <c r="M449"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N449" s="4" t="s">
        <v>48</v>
      </c>
      <c r="O449" s="1" t="str">
        <f ca="1">IFERROR(__xludf.DUMMYFUNCTION("""COMPUTED_VALUE"""),"Manager who explains what is expected, sets a goal and helps achieve it")</f>
        <v>Manager who explains what is expected, sets a goal and helps achieve it</v>
      </c>
      <c r="P449" s="1" t="str">
        <f ca="1">IFERROR(__xludf.DUMMYFUNCTION("""COMPUTED_VALUE"""),"Work &lt;=6 People in the Team")</f>
        <v>Work &lt;=6 People in the Team</v>
      </c>
      <c r="Q449" s="1" t="s">
        <v>42</v>
      </c>
      <c r="R449" s="1"/>
    </row>
    <row r="450" spans="1:18" x14ac:dyDescent="0.25">
      <c r="A450" s="2">
        <f ca="1">IFERROR(__xludf.DUMMYFUNCTION("""COMPUTED_VALUE"""),45021.4775208564)</f>
        <v>45021.477520856402</v>
      </c>
      <c r="B450" s="1" t="str">
        <f ca="1">IFERROR(__xludf.DUMMYFUNCTION("""COMPUTED_VALUE"""),"India")</f>
        <v>India</v>
      </c>
      <c r="C450" s="1">
        <f ca="1">IFERROR(__xludf.DUMMYFUNCTION("""COMPUTED_VALUE"""),500097)</f>
        <v>500097</v>
      </c>
      <c r="D450" s="1" t="str">
        <f ca="1">IFERROR(__xludf.DUMMYFUNCTION("""COMPUTED_VALUE"""),"Female")</f>
        <v>Female</v>
      </c>
      <c r="E450" s="1" t="str">
        <f ca="1">IFERROR(__xludf.DUMMYFUNCTION("""COMPUTED_VALUE"""),"Social Media like LinkedIn")</f>
        <v>Social Media like LinkedIn</v>
      </c>
      <c r="F450" s="1" t="str">
        <f ca="1">IFERROR(__xludf.DUMMYFUNCTION("""COMPUTED_VALUE"""),"No I would not be pursuing Higher Education outside of India")</f>
        <v>No I would not be pursuing Higher Education outside of India</v>
      </c>
      <c r="G450" s="1" t="str">
        <f ca="1">IFERROR(__xludf.DUMMYFUNCTION("""COMPUTED_VALUE"""),"Will work for 3 years or more")</f>
        <v>Will work for 3 years or more</v>
      </c>
      <c r="H450" s="1" t="str">
        <f ca="1">IFERROR(__xludf.DUMMYFUNCTION("""COMPUTED_VALUE"""),"Yes")</f>
        <v>Yes</v>
      </c>
      <c r="I450" s="1" t="str">
        <f ca="1">IFERROR(__xludf.DUMMYFUNCTION("""COMPUTED_VALUE"""),"Will NOT work for them")</f>
        <v>Will NOT work for them</v>
      </c>
      <c r="J450" s="1">
        <f ca="1">IFERROR(__xludf.DUMMYFUNCTION("""COMPUTED_VALUE"""),9)</f>
        <v>9</v>
      </c>
      <c r="K450" s="1" t="str">
        <f ca="1">IFERROR(__xludf.DUMMYFUNCTION("""COMPUTED_VALUE"""),"Every Day Office Environment")</f>
        <v>Every Day Office Environment</v>
      </c>
      <c r="L450" s="1" t="str">
        <f ca="1">IFERROR(__xludf.DUMMYFUNCTION("""COMPUTED_VALUE"""),"Employer who pushes your limits by enabling an learning environment, and rewards you at the end")</f>
        <v>Employer who pushes your limits by enabling an learning environment, and rewards you at the end</v>
      </c>
      <c r="M45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N450" s="4" t="s">
        <v>51</v>
      </c>
      <c r="O450" s="1" t="str">
        <f ca="1">IFERROR(__xludf.DUMMYFUNCTION("""COMPUTED_VALUE"""),"Manager who explains what is expected, sets a goal and helps achieve it")</f>
        <v>Manager who explains what is expected, sets a goal and helps achieve it</v>
      </c>
      <c r="P450" s="1" t="str">
        <f ca="1">IFERROR(__xludf.DUMMYFUNCTION("""COMPUTED_VALUE"""),"Work &lt;=6 People in the Team")</f>
        <v>Work &lt;=6 People in the Team</v>
      </c>
      <c r="Q450" s="1" t="s">
        <v>43</v>
      </c>
      <c r="R450" s="1"/>
    </row>
    <row r="451" spans="1:18" x14ac:dyDescent="0.25">
      <c r="A451" s="2">
        <f ca="1">IFERROR(__xludf.DUMMYFUNCTION("""COMPUTED_VALUE"""),45021.4805586805)</f>
        <v>45021.480558680501</v>
      </c>
      <c r="B451" s="1" t="str">
        <f ca="1">IFERROR(__xludf.DUMMYFUNCTION("""COMPUTED_VALUE"""),"India")</f>
        <v>India</v>
      </c>
      <c r="C451" s="1">
        <f ca="1">IFERROR(__xludf.DUMMYFUNCTION("""COMPUTED_VALUE"""),400043)</f>
        <v>400043</v>
      </c>
      <c r="D451" s="1" t="str">
        <f ca="1">IFERROR(__xludf.DUMMYFUNCTION("""COMPUTED_VALUE"""),"Female")</f>
        <v>Female</v>
      </c>
      <c r="E451" s="1" t="str">
        <f ca="1">IFERROR(__xludf.DUMMYFUNCTION("""COMPUTED_VALUE"""),"Influencers who had successful careers")</f>
        <v>Influencers who had successful careers</v>
      </c>
      <c r="F451" s="1" t="str">
        <f ca="1">IFERROR(__xludf.DUMMYFUNCTION("""COMPUTED_VALUE"""),"Yes, I will earn and do that")</f>
        <v>Yes, I will earn and do that</v>
      </c>
      <c r="G451" s="1" t="str">
        <f ca="1">IFERROR(__xludf.DUMMYFUNCTION("""COMPUTED_VALUE"""),"This will be hard to do, but if it is the right company I would try")</f>
        <v>This will be hard to do, but if it is the right company I would try</v>
      </c>
      <c r="H451" s="1" t="str">
        <f ca="1">IFERROR(__xludf.DUMMYFUNCTION("""COMPUTED_VALUE"""),"No")</f>
        <v>No</v>
      </c>
      <c r="I451" s="1" t="str">
        <f ca="1">IFERROR(__xludf.DUMMYFUNCTION("""COMPUTED_VALUE"""),"Will NOT work for them")</f>
        <v>Will NOT work for them</v>
      </c>
      <c r="J451" s="1">
        <f ca="1">IFERROR(__xludf.DUMMYFUNCTION("""COMPUTED_VALUE"""),8)</f>
        <v>8</v>
      </c>
      <c r="K451" s="1" t="str">
        <f ca="1">IFERROR(__xludf.DUMMYFUNCTION("""COMPUTED_VALUE"""),"Hybrid Working Environment with more than 15 days a month at office")</f>
        <v>Hybrid Working Environment with more than 15 days a month at office</v>
      </c>
      <c r="L451" s="1" t="str">
        <f ca="1">IFERROR(__xludf.DUMMYFUNCTION("""COMPUTED_VALUE"""),"Employer who rewards learning and enables that environment")</f>
        <v>Employer who rewards learning and enables that environment</v>
      </c>
      <c r="M45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N451" s="4" t="s">
        <v>51</v>
      </c>
      <c r="O451" s="1" t="str">
        <f ca="1">IFERROR(__xludf.DUMMYFUNCTION("""COMPUTED_VALUE"""),"Manager who explains what is expected, sets a goal and helps achieve it")</f>
        <v>Manager who explains what is expected, sets a goal and helps achieve it</v>
      </c>
      <c r="P451" s="1" t="str">
        <f ca="1">IFERROR(__xludf.DUMMYFUNCTION("""COMPUTED_VALUE"""),"Work &lt;=6 People in the Team")</f>
        <v>Work &lt;=6 People in the Team</v>
      </c>
      <c r="Q451" s="1" t="s">
        <v>43</v>
      </c>
      <c r="R451" s="1"/>
    </row>
    <row r="452" spans="1:18" x14ac:dyDescent="0.25">
      <c r="A452" s="2">
        <f ca="1">IFERROR(__xludf.DUMMYFUNCTION("""COMPUTED_VALUE"""),45021.4809725115)</f>
        <v>45021.480972511497</v>
      </c>
      <c r="B452" s="1" t="str">
        <f ca="1">IFERROR(__xludf.DUMMYFUNCTION("""COMPUTED_VALUE"""),"India")</f>
        <v>India</v>
      </c>
      <c r="C452" s="1">
        <f ca="1">IFERROR(__xludf.DUMMYFUNCTION("""COMPUTED_VALUE"""),500048)</f>
        <v>500048</v>
      </c>
      <c r="D452" s="1" t="str">
        <f ca="1">IFERROR(__xludf.DUMMYFUNCTION("""COMPUTED_VALUE"""),"Female")</f>
        <v>Female</v>
      </c>
      <c r="E452" s="1" t="str">
        <f ca="1">IFERROR(__xludf.DUMMYFUNCTION("""COMPUTED_VALUE"""),"People who have changed the world for better")</f>
        <v>People who have changed the world for better</v>
      </c>
      <c r="F452" s="1" t="str">
        <f ca="1">IFERROR(__xludf.DUMMYFUNCTION("""COMPUTED_VALUE"""),"Yes, I will earn and do that")</f>
        <v>Yes, I will earn and do that</v>
      </c>
      <c r="G452" s="1" t="str">
        <f ca="1">IFERROR(__xludf.DUMMYFUNCTION("""COMPUTED_VALUE"""),"Will work for 3 years or more")</f>
        <v>Will work for 3 years or more</v>
      </c>
      <c r="H452" s="1" t="str">
        <f ca="1">IFERROR(__xludf.DUMMYFUNCTION("""COMPUTED_VALUE"""),"No")</f>
        <v>No</v>
      </c>
      <c r="I452" s="1" t="str">
        <f ca="1">IFERROR(__xludf.DUMMYFUNCTION("""COMPUTED_VALUE"""),"Will NOT work for them")</f>
        <v>Will NOT work for them</v>
      </c>
      <c r="J452" s="1">
        <f ca="1">IFERROR(__xludf.DUMMYFUNCTION("""COMPUTED_VALUE"""),5)</f>
        <v>5</v>
      </c>
      <c r="K452" s="1" t="str">
        <f ca="1">IFERROR(__xludf.DUMMYFUNCTION("""COMPUTED_VALUE"""),"Every Day Office Environment")</f>
        <v>Every Day Office Environment</v>
      </c>
      <c r="L452" s="1" t="str">
        <f ca="1">IFERROR(__xludf.DUMMYFUNCTION("""COMPUTED_VALUE"""),"Employer who appreciates learning and enables that environment")</f>
        <v>Employer who appreciates learning and enables that environment</v>
      </c>
      <c r="M452"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452" s="4" t="s">
        <v>50</v>
      </c>
      <c r="O452" s="1" t="str">
        <f ca="1">IFERROR(__xludf.DUMMYFUNCTION("""COMPUTED_VALUE"""),"Manager who explains what is expected, sets a goal and helps achieve it")</f>
        <v>Manager who explains what is expected, sets a goal and helps achieve it</v>
      </c>
      <c r="P452" s="1" t="str">
        <f ca="1">IFERROR(__xludf.DUMMYFUNCTION("""COMPUTED_VALUE"""),"Work  &lt;67 people in team")</f>
        <v>Work  &lt;67 people in team</v>
      </c>
      <c r="Q452" s="1" t="s">
        <v>43</v>
      </c>
      <c r="R452" s="1"/>
    </row>
    <row r="453" spans="1:18" x14ac:dyDescent="0.25">
      <c r="A453" s="2">
        <f ca="1">IFERROR(__xludf.DUMMYFUNCTION("""COMPUTED_VALUE"""),45021.4821778587)</f>
        <v>45021.482177858699</v>
      </c>
      <c r="B453" s="1" t="str">
        <f ca="1">IFERROR(__xludf.DUMMYFUNCTION("""COMPUTED_VALUE"""),"India")</f>
        <v>India</v>
      </c>
      <c r="C453" s="1">
        <f ca="1">IFERROR(__xludf.DUMMYFUNCTION("""COMPUTED_VALUE"""),600125)</f>
        <v>600125</v>
      </c>
      <c r="D453" s="1" t="str">
        <f ca="1">IFERROR(__xludf.DUMMYFUNCTION("""COMPUTED_VALUE"""),"Male")</f>
        <v>Male</v>
      </c>
      <c r="E453" s="1" t="str">
        <f ca="1">IFERROR(__xludf.DUMMYFUNCTION("""COMPUTED_VALUE"""),"People who have changed the world for better")</f>
        <v>People who have changed the world for better</v>
      </c>
      <c r="F453" s="1" t="str">
        <f ca="1">IFERROR(__xludf.DUMMYFUNCTION("""COMPUTED_VALUE"""),"No I would not be pursuing Higher Education outside of India")</f>
        <v>No I would not be pursuing Higher Education outside of India</v>
      </c>
      <c r="G453" s="1" t="str">
        <f ca="1">IFERROR(__xludf.DUMMYFUNCTION("""COMPUTED_VALUE"""),"Will work for 3 years or more")</f>
        <v>Will work for 3 years or more</v>
      </c>
      <c r="H453" s="1" t="str">
        <f ca="1">IFERROR(__xludf.DUMMYFUNCTION("""COMPUTED_VALUE"""),"No")</f>
        <v>No</v>
      </c>
      <c r="I453" s="1" t="str">
        <f ca="1">IFERROR(__xludf.DUMMYFUNCTION("""COMPUTED_VALUE"""),"Will work for them")</f>
        <v>Will work for them</v>
      </c>
      <c r="J453" s="1">
        <f ca="1">IFERROR(__xludf.DUMMYFUNCTION("""COMPUTED_VALUE"""),9)</f>
        <v>9</v>
      </c>
      <c r="K453" s="1" t="str">
        <f ca="1">IFERROR(__xludf.DUMMYFUNCTION("""COMPUTED_VALUE"""),"Hybrid Working Environment with less than 3 days a month at office")</f>
        <v>Hybrid Working Environment with less than 3 days a month at office</v>
      </c>
      <c r="L453" s="1" t="str">
        <f ca="1">IFERROR(__xludf.DUMMYFUNCTION("""COMPUTED_VALUE"""),"Employer who pushes your limits by enabling an learning environment, and rewards you at the end")</f>
        <v>Employer who pushes your limits by enabling an learning environment, and rewards you at the end</v>
      </c>
      <c r="M45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N453" s="4" t="s">
        <v>48</v>
      </c>
      <c r="O453" s="1" t="str">
        <f ca="1">IFERROR(__xludf.DUMMYFUNCTION("""COMPUTED_VALUE"""),"Manager who clearly describes what she/he needs")</f>
        <v>Manager who clearly describes what she/he needs</v>
      </c>
      <c r="P453" s="1" t="str">
        <f ca="1">IFERROR(__xludf.DUMMYFUNCTION("""COMPUTED_VALUE"""),"Work &lt;=6 People in the Team")</f>
        <v>Work &lt;=6 People in the Team</v>
      </c>
      <c r="Q453" s="1" t="s">
        <v>43</v>
      </c>
      <c r="R453" s="1"/>
    </row>
    <row r="454" spans="1:18" x14ac:dyDescent="0.25">
      <c r="A454" s="2">
        <f ca="1">IFERROR(__xludf.DUMMYFUNCTION("""COMPUTED_VALUE"""),45021.4823019444)</f>
        <v>45021.482301944401</v>
      </c>
      <c r="B454" s="1" t="str">
        <f ca="1">IFERROR(__xludf.DUMMYFUNCTION("""COMPUTED_VALUE"""),"India")</f>
        <v>India</v>
      </c>
      <c r="C454" s="1">
        <f ca="1">IFERROR(__xludf.DUMMYFUNCTION("""COMPUTED_VALUE"""),131028)</f>
        <v>131028</v>
      </c>
      <c r="D454" s="1" t="str">
        <f ca="1">IFERROR(__xludf.DUMMYFUNCTION("""COMPUTED_VALUE"""),"Female")</f>
        <v>Female</v>
      </c>
      <c r="E454" s="1" t="str">
        <f ca="1">IFERROR(__xludf.DUMMYFUNCTION("""COMPUTED_VALUE"""),"People who have changed the world for better")</f>
        <v>People who have changed the world for better</v>
      </c>
      <c r="F454" s="1" t="str">
        <f ca="1">IFERROR(__xludf.DUMMYFUNCTION("""COMPUTED_VALUE"""),"No I would not be pursuing Higher Education outside of India")</f>
        <v>No I would not be pursuing Higher Education outside of India</v>
      </c>
      <c r="G454" s="1" t="str">
        <f ca="1">IFERROR(__xludf.DUMMYFUNCTION("""COMPUTED_VALUE"""),"Will work for 3 years or more")</f>
        <v>Will work for 3 years or more</v>
      </c>
      <c r="H454" s="1" t="str">
        <f ca="1">IFERROR(__xludf.DUMMYFUNCTION("""COMPUTED_VALUE"""),"No")</f>
        <v>No</v>
      </c>
      <c r="I454" s="1" t="str">
        <f ca="1">IFERROR(__xludf.DUMMYFUNCTION("""COMPUTED_VALUE"""),"Will NOT work for them")</f>
        <v>Will NOT work for them</v>
      </c>
      <c r="J454" s="1">
        <f ca="1">IFERROR(__xludf.DUMMYFUNCTION("""COMPUTED_VALUE"""),8)</f>
        <v>8</v>
      </c>
      <c r="K454" s="1" t="str">
        <f ca="1">IFERROR(__xludf.DUMMYFUNCTION("""COMPUTED_VALUE"""),"Hybrid Working Environment with more than 15 days a month at office")</f>
        <v>Hybrid Working Environment with more than 15 days a month at office</v>
      </c>
      <c r="L454" s="1" t="str">
        <f ca="1">IFERROR(__xludf.DUMMYFUNCTION("""COMPUTED_VALUE"""),"Employer who pushes your limits by enabling an learning environment, and rewards you at the end")</f>
        <v>Employer who pushes your limits by enabling an learning environment, and rewards you at the end</v>
      </c>
      <c r="M454"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N454" s="4" t="s">
        <v>48</v>
      </c>
      <c r="O454" s="1" t="str">
        <f ca="1">IFERROR(__xludf.DUMMYFUNCTION("""COMPUTED_VALUE"""),"Manager who clearly describes what she/he needs")</f>
        <v>Manager who clearly describes what she/he needs</v>
      </c>
      <c r="P454" s="1" t="str">
        <f ca="1">IFERROR(__xludf.DUMMYFUNCTION("""COMPUTED_VALUE"""),"Work &lt;=6 People in the Team")</f>
        <v>Work &lt;=6 People in the Team</v>
      </c>
      <c r="Q454" s="1" t="s">
        <v>43</v>
      </c>
      <c r="R454" s="1"/>
    </row>
    <row r="455" spans="1:18" x14ac:dyDescent="0.25">
      <c r="A455" s="2">
        <f ca="1">IFERROR(__xludf.DUMMYFUNCTION("""COMPUTED_VALUE"""),45021.4838892476)</f>
        <v>45021.483889247596</v>
      </c>
      <c r="B455" s="1" t="str">
        <f ca="1">IFERROR(__xludf.DUMMYFUNCTION("""COMPUTED_VALUE"""),"India")</f>
        <v>India</v>
      </c>
      <c r="C455" s="1">
        <f ca="1">IFERROR(__xludf.DUMMYFUNCTION("""COMPUTED_VALUE"""),560092)</f>
        <v>560092</v>
      </c>
      <c r="D455" s="1" t="str">
        <f ca="1">IFERROR(__xludf.DUMMYFUNCTION("""COMPUTED_VALUE"""),"Male")</f>
        <v>Male</v>
      </c>
      <c r="E455" s="1" t="str">
        <f ca="1">IFERROR(__xludf.DUMMYFUNCTION("""COMPUTED_VALUE"""),"People who have changed the world for better")</f>
        <v>People who have changed the world for better</v>
      </c>
      <c r="F455" s="1" t="str">
        <f ca="1">IFERROR(__xludf.DUMMYFUNCTION("""COMPUTED_VALUE"""),"Yes, I will earn and do that")</f>
        <v>Yes, I will earn and do that</v>
      </c>
      <c r="G455" s="1" t="str">
        <f ca="1">IFERROR(__xludf.DUMMYFUNCTION("""COMPUTED_VALUE"""),"This will be hard to do, but if it is the right company I would try")</f>
        <v>This will be hard to do, but if it is the right company I would try</v>
      </c>
      <c r="H455" s="1" t="str">
        <f ca="1">IFERROR(__xludf.DUMMYFUNCTION("""COMPUTED_VALUE"""),"No")</f>
        <v>No</v>
      </c>
      <c r="I455" s="1" t="str">
        <f ca="1">IFERROR(__xludf.DUMMYFUNCTION("""COMPUTED_VALUE"""),"Will NOT work for them")</f>
        <v>Will NOT work for them</v>
      </c>
      <c r="J455" s="1">
        <f ca="1">IFERROR(__xludf.DUMMYFUNCTION("""COMPUTED_VALUE"""),5)</f>
        <v>5</v>
      </c>
      <c r="K455" s="1" t="str">
        <f ca="1">IFERROR(__xludf.DUMMYFUNCTION("""COMPUTED_VALUE"""),"Hybrid Working Environment with less than 3 days a month at office")</f>
        <v>Hybrid Working Environment with less than 3 days a month at office</v>
      </c>
      <c r="L455" s="1" t="str">
        <f ca="1">IFERROR(__xludf.DUMMYFUNCTION("""COMPUTED_VALUE"""),"Employer who pushes your limits by enabling an learning environment, and rewards you at the end")</f>
        <v>Employer who pushes your limits by enabling an learning environment, and rewards you at the end</v>
      </c>
      <c r="M455" s="1" t="str">
        <f ca="1">IFERROR(__xludf.DUMMYFUNCTION("""COMPUTED_VALUE"""),"Business Operations in any organization, Entrepreneur or Start Up, An Artificial Intelligence Specialist / Talking to Robots, Manufacturing / Oil and Gas/ Construction / Hard Physical Work related")</f>
        <v>Business Operations in any organization, Entrepreneur or Start Up, An Artificial Intelligence Specialist / Talking to Robots, Manufacturing / Oil and Gas/ Construction / Hard Physical Work related</v>
      </c>
      <c r="N455" s="4" t="s">
        <v>48</v>
      </c>
      <c r="O455" s="1" t="str">
        <f ca="1">IFERROR(__xludf.DUMMYFUNCTION("""COMPUTED_VALUE"""),"Manager who sets goal and helps me achieve it")</f>
        <v>Manager who sets goal and helps me achieve it</v>
      </c>
      <c r="P455" s="1" t="str">
        <f ca="1">IFERROR(__xludf.DUMMYFUNCTION("""COMPUTED_VALUE"""),"Work &gt;10 people in Team")</f>
        <v>Work &gt;10 people in Team</v>
      </c>
      <c r="Q455" s="1" t="s">
        <v>42</v>
      </c>
      <c r="R455" s="1"/>
    </row>
    <row r="456" spans="1:18" x14ac:dyDescent="0.25">
      <c r="A456" s="2">
        <f ca="1">IFERROR(__xludf.DUMMYFUNCTION("""COMPUTED_VALUE"""),45021.4841858796)</f>
        <v>45021.484185879599</v>
      </c>
      <c r="B456" s="1" t="str">
        <f ca="1">IFERROR(__xludf.DUMMYFUNCTION("""COMPUTED_VALUE"""),"India")</f>
        <v>India</v>
      </c>
      <c r="C456" s="1">
        <f ca="1">IFERROR(__xludf.DUMMYFUNCTION("""COMPUTED_VALUE"""),500036)</f>
        <v>500036</v>
      </c>
      <c r="D456" s="1" t="str">
        <f ca="1">IFERROR(__xludf.DUMMYFUNCTION("""COMPUTED_VALUE"""),"Female")</f>
        <v>Female</v>
      </c>
      <c r="E456" s="1" t="str">
        <f ca="1">IFERROR(__xludf.DUMMYFUNCTION("""COMPUTED_VALUE"""),"Influencers who had successful careers")</f>
        <v>Influencers who had successful careers</v>
      </c>
      <c r="F456" s="1" t="str">
        <f ca="1">IFERROR(__xludf.DUMMYFUNCTION("""COMPUTED_VALUE"""),"Yes, I will earn and do that")</f>
        <v>Yes, I will earn and do that</v>
      </c>
      <c r="G456" s="1" t="str">
        <f ca="1">IFERROR(__xludf.DUMMYFUNCTION("""COMPUTED_VALUE"""),"Will work for 3 years or more")</f>
        <v>Will work for 3 years or more</v>
      </c>
      <c r="H456" s="1" t="str">
        <f ca="1">IFERROR(__xludf.DUMMYFUNCTION("""COMPUTED_VALUE"""),"Yes")</f>
        <v>Yes</v>
      </c>
      <c r="I456" s="1" t="str">
        <f ca="1">IFERROR(__xludf.DUMMYFUNCTION("""COMPUTED_VALUE"""),"Will NOT work for them")</f>
        <v>Will NOT work for them</v>
      </c>
      <c r="J456" s="1">
        <f ca="1">IFERROR(__xludf.DUMMYFUNCTION("""COMPUTED_VALUE"""),2)</f>
        <v>2</v>
      </c>
      <c r="K456" s="1" t="str">
        <f ca="1">IFERROR(__xludf.DUMMYFUNCTION("""COMPUTED_VALUE"""),"Fully Remote with Options to travel as and when needed")</f>
        <v>Fully Remote with Options to travel as and when needed</v>
      </c>
      <c r="L456" s="1" t="str">
        <f ca="1">IFERROR(__xludf.DUMMYFUNCTION("""COMPUTED_VALUE"""),"Employer who appreciates learning and enables that environment")</f>
        <v>Employer who appreciates learning and enables that environment</v>
      </c>
      <c r="M456" s="1" t="str">
        <f ca="1">IFERROR(__xludf.DUMMYFUNCTION("""COMPUTED_VALUE"""),"Design and Creative strategy in any company, Design and Develop amazing software, Become a content Creator in some platform, An Artificial Intelligence Specialist / Talking to Robots")</f>
        <v>Design and Creative strategy in any company, Design and Develop amazing software, Become a content Creator in some platform, An Artificial Intelligence Specialist / Talking to Robots</v>
      </c>
      <c r="N456" s="4" t="s">
        <v>48</v>
      </c>
      <c r="O456" s="1" t="str">
        <f ca="1">IFERROR(__xludf.DUMMYFUNCTION("""COMPUTED_VALUE"""),"Manager who sets targets and expects me to achieve it")</f>
        <v>Manager who sets targets and expects me to achieve it</v>
      </c>
      <c r="P456" s="1" t="str">
        <f ca="1">IFERROR(__xludf.DUMMYFUNCTION("""COMPUTED_VALUE"""),"Work &lt;=6 People in the Team")</f>
        <v>Work &lt;=6 People in the Team</v>
      </c>
      <c r="Q456" s="1" t="s">
        <v>43</v>
      </c>
      <c r="R456" s="1"/>
    </row>
    <row r="457" spans="1:18" x14ac:dyDescent="0.25">
      <c r="A457" s="2">
        <f ca="1">IFERROR(__xludf.DUMMYFUNCTION("""COMPUTED_VALUE"""),45021.4848845949)</f>
        <v>45021.484884594902</v>
      </c>
      <c r="B457" s="1" t="str">
        <f ca="1">IFERROR(__xludf.DUMMYFUNCTION("""COMPUTED_VALUE"""),"India")</f>
        <v>India</v>
      </c>
      <c r="C457" s="1">
        <f ca="1">IFERROR(__xludf.DUMMYFUNCTION("""COMPUTED_VALUE"""),603210)</f>
        <v>603210</v>
      </c>
      <c r="D457" s="1" t="str">
        <f ca="1">IFERROR(__xludf.DUMMYFUNCTION("""COMPUTED_VALUE"""),"Male")</f>
        <v>Male</v>
      </c>
      <c r="E457" s="1" t="str">
        <f ca="1">IFERROR(__xludf.DUMMYFUNCTION("""COMPUTED_VALUE"""),"People who have changed the world for better")</f>
        <v>People who have changed the world for better</v>
      </c>
      <c r="F457" s="1" t="str">
        <f ca="1">IFERROR(__xludf.DUMMYFUNCTION("""COMPUTED_VALUE"""),"Yes, I will earn and do that")</f>
        <v>Yes, I will earn and do that</v>
      </c>
      <c r="G457" s="1" t="str">
        <f ca="1">IFERROR(__xludf.DUMMYFUNCTION("""COMPUTED_VALUE"""),"This will be hard to do, but if it is the right company I would try")</f>
        <v>This will be hard to do, but if it is the right company I would try</v>
      </c>
      <c r="H457" s="1" t="str">
        <f ca="1">IFERROR(__xludf.DUMMYFUNCTION("""COMPUTED_VALUE"""),"Yes")</f>
        <v>Yes</v>
      </c>
      <c r="I457" s="1" t="str">
        <f ca="1">IFERROR(__xludf.DUMMYFUNCTION("""COMPUTED_VALUE"""),"Will NOT work for them")</f>
        <v>Will NOT work for them</v>
      </c>
      <c r="J457" s="1">
        <f ca="1">IFERROR(__xludf.DUMMYFUNCTION("""COMPUTED_VALUE"""),3)</f>
        <v>3</v>
      </c>
      <c r="K457" s="1" t="str">
        <f ca="1">IFERROR(__xludf.DUMMYFUNCTION("""COMPUTED_VALUE"""),"Hybrid Working Environment with less than 3 days a month at office")</f>
        <v>Hybrid Working Environment with less than 3 days a month at office</v>
      </c>
      <c r="L457" s="1" t="str">
        <f ca="1">IFERROR(__xludf.DUMMYFUNCTION("""COMPUTED_VALUE"""),"Employer who pushes your limits by enabling an learning environment, and rewards you at the end")</f>
        <v>Employer who pushes your limits by enabling an learning environment, and rewards you at the end</v>
      </c>
      <c r="M45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457" s="4" t="s">
        <v>49</v>
      </c>
      <c r="O457" s="1" t="str">
        <f ca="1">IFERROR(__xludf.DUMMYFUNCTION("""COMPUTED_VALUE"""),"Manager who clearly describes what she/he needs")</f>
        <v>Manager who clearly describes what she/he needs</v>
      </c>
      <c r="P457" s="1" t="str">
        <f ca="1">IFERROR(__xludf.DUMMYFUNCTION("""COMPUTED_VALUE"""),"Work &gt;10 people in Team")</f>
        <v>Work &gt;10 people in Team</v>
      </c>
      <c r="Q457" s="1" t="s">
        <v>43</v>
      </c>
      <c r="R457" s="1"/>
    </row>
    <row r="458" spans="1:18" x14ac:dyDescent="0.25">
      <c r="A458" s="2">
        <f ca="1">IFERROR(__xludf.DUMMYFUNCTION("""COMPUTED_VALUE"""),45021.485380243)</f>
        <v>45021.485380243001</v>
      </c>
      <c r="B458" s="1" t="str">
        <f ca="1">IFERROR(__xludf.DUMMYFUNCTION("""COMPUTED_VALUE"""),"India")</f>
        <v>India</v>
      </c>
      <c r="C458" s="1">
        <f ca="1">IFERROR(__xludf.DUMMYFUNCTION("""COMPUTED_VALUE"""),500079)</f>
        <v>500079</v>
      </c>
      <c r="D458" s="1" t="str">
        <f ca="1">IFERROR(__xludf.DUMMYFUNCTION("""COMPUTED_VALUE"""),"Male")</f>
        <v>Male</v>
      </c>
      <c r="E458" s="1" t="str">
        <f ca="1">IFERROR(__xludf.DUMMYFUNCTION("""COMPUTED_VALUE"""),"People who have changed the world for better")</f>
        <v>People who have changed the world for better</v>
      </c>
      <c r="F458" s="1" t="str">
        <f ca="1">IFERROR(__xludf.DUMMYFUNCTION("""COMPUTED_VALUE"""),"No, But if someone could bare the cost I will")</f>
        <v>No, But if someone could bare the cost I will</v>
      </c>
      <c r="G458" s="1" t="str">
        <f ca="1">IFERROR(__xludf.DUMMYFUNCTION("""COMPUTED_VALUE"""),"Will work for 3 years or more")</f>
        <v>Will work for 3 years or more</v>
      </c>
      <c r="H458" s="1" t="str">
        <f ca="1">IFERROR(__xludf.DUMMYFUNCTION("""COMPUTED_VALUE"""),"No")</f>
        <v>No</v>
      </c>
      <c r="I458" s="1" t="str">
        <f ca="1">IFERROR(__xludf.DUMMYFUNCTION("""COMPUTED_VALUE"""),"Will NOT work for them")</f>
        <v>Will NOT work for them</v>
      </c>
      <c r="J458" s="1">
        <f ca="1">IFERROR(__xludf.DUMMYFUNCTION("""COMPUTED_VALUE"""),5)</f>
        <v>5</v>
      </c>
      <c r="K458" s="1" t="str">
        <f ca="1">IFERROR(__xludf.DUMMYFUNCTION("""COMPUTED_VALUE"""),"Hybrid Working Environment with less than 3 days a month at office")</f>
        <v>Hybrid Working Environment with less than 3 days a month at office</v>
      </c>
      <c r="L458" s="1" t="str">
        <f ca="1">IFERROR(__xludf.DUMMYFUNCTION("""COMPUTED_VALUE"""),"Employer who pushes your limits by enabling an learning environment, and rewards you at the end")</f>
        <v>Employer who pushes your limits by enabling an learning environment, and rewards you at the end</v>
      </c>
      <c r="M458" s="1" t="str">
        <f ca="1">IFERROR(__xludf.DUMMYFUNCTION("""COMPUTED_VALUE"""),"Design and Creative strategy in any company, Design and Develop amazing software, Look deeply into Data and generate insights, Manufacturing / Oil and Gas/ Construction / Hard Physical Work related")</f>
        <v>Design and Creative strategy in any company, Design and Develop amazing software, Look deeply into Data and generate insights, Manufacturing / Oil and Gas/ Construction / Hard Physical Work related</v>
      </c>
      <c r="N458" s="4" t="s">
        <v>48</v>
      </c>
      <c r="O458" s="1" t="str">
        <f ca="1">IFERROR(__xludf.DUMMYFUNCTION("""COMPUTED_VALUE"""),"Manager who clearly describes what she/he needs")</f>
        <v>Manager who clearly describes what she/he needs</v>
      </c>
      <c r="P458" s="1" t="str">
        <f ca="1">IFERROR(__xludf.DUMMYFUNCTION("""COMPUTED_VALUE"""),"Work &lt;67 People in the Team")</f>
        <v>Work &lt;67 People in the Team</v>
      </c>
      <c r="Q458" s="1" t="s">
        <v>43</v>
      </c>
      <c r="R458" s="1"/>
    </row>
    <row r="459" spans="1:18" x14ac:dyDescent="0.25">
      <c r="A459" s="2">
        <f ca="1">IFERROR(__xludf.DUMMYFUNCTION("""COMPUTED_VALUE"""),45021.4857254629)</f>
        <v>45021.485725462902</v>
      </c>
      <c r="B459" s="1" t="str">
        <f ca="1">IFERROR(__xludf.DUMMYFUNCTION("""COMPUTED_VALUE"""),"India")</f>
        <v>India</v>
      </c>
      <c r="C459" s="1">
        <f ca="1">IFERROR(__xludf.DUMMYFUNCTION("""COMPUTED_VALUE"""),501510)</f>
        <v>501510</v>
      </c>
      <c r="D459" s="1" t="str">
        <f ca="1">IFERROR(__xludf.DUMMYFUNCTION("""COMPUTED_VALUE"""),"Male")</f>
        <v>Male</v>
      </c>
      <c r="E459" s="1" t="str">
        <f ca="1">IFERROR(__xludf.DUMMYFUNCTION("""COMPUTED_VALUE"""),"My Parents")</f>
        <v>My Parents</v>
      </c>
      <c r="F459" s="1" t="str">
        <f ca="1">IFERROR(__xludf.DUMMYFUNCTION("""COMPUTED_VALUE"""),"No, But if someone could bare the cost I will")</f>
        <v>No, But if someone could bare the cost I will</v>
      </c>
      <c r="G459" s="1" t="str">
        <f ca="1">IFERROR(__xludf.DUMMYFUNCTION("""COMPUTED_VALUE"""),"Will work for 3 years or more")</f>
        <v>Will work for 3 years or more</v>
      </c>
      <c r="H459" s="1" t="str">
        <f ca="1">IFERROR(__xludf.DUMMYFUNCTION("""COMPUTED_VALUE"""),"No")</f>
        <v>No</v>
      </c>
      <c r="I459" s="1" t="str">
        <f ca="1">IFERROR(__xludf.DUMMYFUNCTION("""COMPUTED_VALUE"""),"Will NOT work for them")</f>
        <v>Will NOT work for them</v>
      </c>
      <c r="J459" s="1">
        <f ca="1">IFERROR(__xludf.DUMMYFUNCTION("""COMPUTED_VALUE"""),5)</f>
        <v>5</v>
      </c>
      <c r="K459" s="1" t="str">
        <f ca="1">IFERROR(__xludf.DUMMYFUNCTION("""COMPUTED_VALUE"""),"Hybrid Working Environment with more than 15 days a month at office")</f>
        <v>Hybrid Working Environment with more than 15 days a month at office</v>
      </c>
      <c r="L459" s="1" t="str">
        <f ca="1">IFERROR(__xludf.DUMMYFUNCTION("""COMPUTED_VALUE"""),"Employer who rewards learning and enables that environment")</f>
        <v>Employer who rewards learning and enables that environment</v>
      </c>
      <c r="M459"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459" s="4" t="s">
        <v>49</v>
      </c>
      <c r="O459" s="1" t="str">
        <f ca="1">IFERROR(__xludf.DUMMYFUNCTION("""COMPUTED_VALUE"""),"Manager who sets goal and helps me achieve it")</f>
        <v>Manager who sets goal and helps me achieve it</v>
      </c>
      <c r="P459" s="1" t="str">
        <f ca="1">IFERROR(__xludf.DUMMYFUNCTION("""COMPUTED_VALUE"""),"Work &lt;=6 People in the Team")</f>
        <v>Work &lt;=6 People in the Team</v>
      </c>
      <c r="Q459" s="1" t="s">
        <v>43</v>
      </c>
      <c r="R459" s="1"/>
    </row>
    <row r="460" spans="1:18" x14ac:dyDescent="0.25">
      <c r="A460" s="2">
        <f ca="1">IFERROR(__xludf.DUMMYFUNCTION("""COMPUTED_VALUE"""),45021.4866372685)</f>
        <v>45021.486637268499</v>
      </c>
      <c r="B460" s="1" t="str">
        <f ca="1">IFERROR(__xludf.DUMMYFUNCTION("""COMPUTED_VALUE"""),"India")</f>
        <v>India</v>
      </c>
      <c r="C460" s="1">
        <f ca="1">IFERROR(__xludf.DUMMYFUNCTION("""COMPUTED_VALUE"""),641017)</f>
        <v>641017</v>
      </c>
      <c r="D460" s="1" t="str">
        <f ca="1">IFERROR(__xludf.DUMMYFUNCTION("""COMPUTED_VALUE"""),"Female")</f>
        <v>Female</v>
      </c>
      <c r="E460" s="1" t="str">
        <f ca="1">IFERROR(__xludf.DUMMYFUNCTION("""COMPUTED_VALUE"""),"Social Media like LinkedIn")</f>
        <v>Social Media like LinkedIn</v>
      </c>
      <c r="F460" s="1" t="str">
        <f ca="1">IFERROR(__xludf.DUMMYFUNCTION("""COMPUTED_VALUE"""),"No I would not be pursuing Higher Education outside of India")</f>
        <v>No I would not be pursuing Higher Education outside of India</v>
      </c>
      <c r="G460" s="1" t="str">
        <f ca="1">IFERROR(__xludf.DUMMYFUNCTION("""COMPUTED_VALUE"""),"This will be hard to do, but if it is the right company I would try")</f>
        <v>This will be hard to do, but if it is the right company I would try</v>
      </c>
      <c r="H460" s="1" t="str">
        <f ca="1">IFERROR(__xludf.DUMMYFUNCTION("""COMPUTED_VALUE"""),"No")</f>
        <v>No</v>
      </c>
      <c r="I460" s="1" t="str">
        <f ca="1">IFERROR(__xludf.DUMMYFUNCTION("""COMPUTED_VALUE"""),"Will NOT work for them")</f>
        <v>Will NOT work for them</v>
      </c>
      <c r="J460" s="1">
        <f ca="1">IFERROR(__xludf.DUMMYFUNCTION("""COMPUTED_VALUE"""),3)</f>
        <v>3</v>
      </c>
      <c r="K460" s="1" t="str">
        <f ca="1">IFERROR(__xludf.DUMMYFUNCTION("""COMPUTED_VALUE"""),"Hybrid Working Environment with more than 15 days a month at office")</f>
        <v>Hybrid Working Environment with more than 15 days a month at office</v>
      </c>
      <c r="L460" s="1" t="str">
        <f ca="1">IFERROR(__xludf.DUMMYFUNCTION("""COMPUTED_VALUE"""),"Employer who appreciates learning and enables that environment")</f>
        <v>Employer who appreciates learning and enables that environment</v>
      </c>
      <c r="M460"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460" s="4" t="s">
        <v>53</v>
      </c>
      <c r="O460" s="1" t="str">
        <f ca="1">IFERROR(__xludf.DUMMYFUNCTION("""COMPUTED_VALUE"""),"Manager who explains what is expected, sets a goal and helps achieve it")</f>
        <v>Manager who explains what is expected, sets a goal and helps achieve it</v>
      </c>
      <c r="P460" s="1" t="str">
        <f ca="1">IFERROR(__xludf.DUMMYFUNCTION("""COMPUTED_VALUE"""),"Work &gt;=7 People in the Team")</f>
        <v>Work &gt;=7 People in the Team</v>
      </c>
      <c r="Q460" s="1" t="s">
        <v>43</v>
      </c>
      <c r="R460" s="1"/>
    </row>
    <row r="461" spans="1:18" x14ac:dyDescent="0.25">
      <c r="A461" s="2">
        <f ca="1">IFERROR(__xludf.DUMMYFUNCTION("""COMPUTED_VALUE"""),45021.486660405)</f>
        <v>45021.486660404997</v>
      </c>
      <c r="B461" s="1" t="str">
        <f ca="1">IFERROR(__xludf.DUMMYFUNCTION("""COMPUTED_VALUE"""),"India")</f>
        <v>India</v>
      </c>
      <c r="C461" s="1">
        <f ca="1">IFERROR(__xludf.DUMMYFUNCTION("""COMPUTED_VALUE"""),400043)</f>
        <v>400043</v>
      </c>
      <c r="D461" s="1" t="str">
        <f ca="1">IFERROR(__xludf.DUMMYFUNCTION("""COMPUTED_VALUE"""),"Female")</f>
        <v>Female</v>
      </c>
      <c r="E461" s="1" t="str">
        <f ca="1">IFERROR(__xludf.DUMMYFUNCTION("""COMPUTED_VALUE"""),"Influencers who had successful careers")</f>
        <v>Influencers who had successful careers</v>
      </c>
      <c r="F461" s="1" t="str">
        <f ca="1">IFERROR(__xludf.DUMMYFUNCTION("""COMPUTED_VALUE"""),"Yes, I will earn and do that")</f>
        <v>Yes, I will earn and do that</v>
      </c>
      <c r="G461" s="1" t="str">
        <f ca="1">IFERROR(__xludf.DUMMYFUNCTION("""COMPUTED_VALUE"""),"No way")</f>
        <v>No way</v>
      </c>
      <c r="H461" s="1" t="str">
        <f ca="1">IFERROR(__xludf.DUMMYFUNCTION("""COMPUTED_VALUE"""),"No")</f>
        <v>No</v>
      </c>
      <c r="I461" s="1" t="str">
        <f ca="1">IFERROR(__xludf.DUMMYFUNCTION("""COMPUTED_VALUE"""),"Will NOT work for them")</f>
        <v>Will NOT work for them</v>
      </c>
      <c r="J461" s="1">
        <f ca="1">IFERROR(__xludf.DUMMYFUNCTION("""COMPUTED_VALUE"""),7)</f>
        <v>7</v>
      </c>
      <c r="K461" s="1" t="str">
        <f ca="1">IFERROR(__xludf.DUMMYFUNCTION("""COMPUTED_VALUE"""),"Fully Remote with Options to travel as and when needed")</f>
        <v>Fully Remote with Options to travel as and when needed</v>
      </c>
      <c r="L461" s="1" t="str">
        <f ca="1">IFERROR(__xludf.DUMMYFUNCTION("""COMPUTED_VALUE"""),"Employer who pushes your limits by enabling an learning environment, and rewards you at the end")</f>
        <v>Employer who pushes your limits by enabling an learning environment, and rewards you at the end</v>
      </c>
      <c r="M46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N461" s="4" t="s">
        <v>49</v>
      </c>
      <c r="O461" s="1" t="str">
        <f ca="1">IFERROR(__xludf.DUMMYFUNCTION("""COMPUTED_VALUE"""),"Manager who explains what is expected, sets a goal and helps achieve it")</f>
        <v>Manager who explains what is expected, sets a goal and helps achieve it</v>
      </c>
      <c r="P461" s="1" t="str">
        <f ca="1">IFERROR(__xludf.DUMMYFUNCTION("""COMPUTED_VALUE"""),"Work Alone, &lt;=6 in team")</f>
        <v>Work Alone, &lt;=6 in team</v>
      </c>
      <c r="Q461" s="1" t="s">
        <v>42</v>
      </c>
      <c r="R461" s="1"/>
    </row>
    <row r="462" spans="1:18" x14ac:dyDescent="0.25">
      <c r="A462" s="2">
        <f ca="1">IFERROR(__xludf.DUMMYFUNCTION("""COMPUTED_VALUE"""),45021.4872615277)</f>
        <v>45021.487261527698</v>
      </c>
      <c r="B462" s="1" t="str">
        <f ca="1">IFERROR(__xludf.DUMMYFUNCTION("""COMPUTED_VALUE"""),"India")</f>
        <v>India</v>
      </c>
      <c r="C462" s="1">
        <f ca="1">IFERROR(__xludf.DUMMYFUNCTION("""COMPUTED_VALUE"""),71)</f>
        <v>71</v>
      </c>
      <c r="D462" s="1" t="str">
        <f ca="1">IFERROR(__xludf.DUMMYFUNCTION("""COMPUTED_VALUE"""),"Male")</f>
        <v>Male</v>
      </c>
      <c r="E462" s="1" t="str">
        <f ca="1">IFERROR(__xludf.DUMMYFUNCTION("""COMPUTED_VALUE"""),"People who have changed the world for better")</f>
        <v>People who have changed the world for better</v>
      </c>
      <c r="F462" s="1" t="str">
        <f ca="1">IFERROR(__xludf.DUMMYFUNCTION("""COMPUTED_VALUE"""),"No I would not be pursuing Higher Education outside of India")</f>
        <v>No I would not be pursuing Higher Education outside of India</v>
      </c>
      <c r="G462" s="1" t="str">
        <f ca="1">IFERROR(__xludf.DUMMYFUNCTION("""COMPUTED_VALUE"""),"No way")</f>
        <v>No way</v>
      </c>
      <c r="H462" s="1" t="str">
        <f ca="1">IFERROR(__xludf.DUMMYFUNCTION("""COMPUTED_VALUE"""),"No")</f>
        <v>No</v>
      </c>
      <c r="I462" s="1" t="str">
        <f ca="1">IFERROR(__xludf.DUMMYFUNCTION("""COMPUTED_VALUE"""),"Will NOT work for them")</f>
        <v>Will NOT work for them</v>
      </c>
      <c r="J462" s="1">
        <f ca="1">IFERROR(__xludf.DUMMYFUNCTION("""COMPUTED_VALUE"""),1)</f>
        <v>1</v>
      </c>
      <c r="K462" s="1" t="str">
        <f ca="1">IFERROR(__xludf.DUMMYFUNCTION("""COMPUTED_VALUE"""),"Fully Remote with Options to travel as and when needed")</f>
        <v>Fully Remote with Options to travel as and when needed</v>
      </c>
      <c r="L462" s="1" t="str">
        <f ca="1">IFERROR(__xludf.DUMMYFUNCTION("""COMPUTED_VALUE"""),"Employer who appreciates learning and enables that environment")</f>
        <v>Employer who appreciates learning and enables that environment</v>
      </c>
      <c r="M462"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N462" s="4" t="s">
        <v>49</v>
      </c>
      <c r="O462" s="1" t="str">
        <f ca="1">IFERROR(__xludf.DUMMYFUNCTION("""COMPUTED_VALUE"""),"Manager who sets unrealistic targets")</f>
        <v>Manager who sets unrealistic targets</v>
      </c>
      <c r="P462" s="1" t="str">
        <f ca="1">IFERROR(__xludf.DUMMYFUNCTION("""COMPUTED_VALUE"""),"Work &lt;=6 People in the Team")</f>
        <v>Work &lt;=6 People in the Team</v>
      </c>
      <c r="Q462" s="1" t="s">
        <v>43</v>
      </c>
      <c r="R462" s="1"/>
    </row>
    <row r="463" spans="1:18" x14ac:dyDescent="0.25">
      <c r="A463" s="2">
        <f ca="1">IFERROR(__xludf.DUMMYFUNCTION("""COMPUTED_VALUE"""),45021.4881047569)</f>
        <v>45021.4881047569</v>
      </c>
      <c r="B463" s="1" t="str">
        <f ca="1">IFERROR(__xludf.DUMMYFUNCTION("""COMPUTED_VALUE"""),"India")</f>
        <v>India</v>
      </c>
      <c r="C463" s="1">
        <f ca="1">IFERROR(__xludf.DUMMYFUNCTION("""COMPUTED_VALUE"""),602105)</f>
        <v>602105</v>
      </c>
      <c r="D463" s="1" t="str">
        <f ca="1">IFERROR(__xludf.DUMMYFUNCTION("""COMPUTED_VALUE"""),"Male")</f>
        <v>Male</v>
      </c>
      <c r="E463" s="1" t="str">
        <f ca="1">IFERROR(__xludf.DUMMYFUNCTION("""COMPUTED_VALUE"""),"People from my circle, but not family members")</f>
        <v>People from my circle, but not family members</v>
      </c>
      <c r="F463" s="1" t="str">
        <f ca="1">IFERROR(__xludf.DUMMYFUNCTION("""COMPUTED_VALUE"""),"No I would not be pursuing Higher Education outside of India")</f>
        <v>No I would not be pursuing Higher Education outside of India</v>
      </c>
      <c r="G463" s="1" t="str">
        <f ca="1">IFERROR(__xludf.DUMMYFUNCTION("""COMPUTED_VALUE"""),"Will work for 3 years or more")</f>
        <v>Will work for 3 years or more</v>
      </c>
      <c r="H463" s="1" t="str">
        <f ca="1">IFERROR(__xludf.DUMMYFUNCTION("""COMPUTED_VALUE"""),"Yes")</f>
        <v>Yes</v>
      </c>
      <c r="I463" s="1" t="str">
        <f ca="1">IFERROR(__xludf.DUMMYFUNCTION("""COMPUTED_VALUE"""),"Will work for them")</f>
        <v>Will work for them</v>
      </c>
      <c r="J463" s="1">
        <f ca="1">IFERROR(__xludf.DUMMYFUNCTION("""COMPUTED_VALUE"""),8)</f>
        <v>8</v>
      </c>
      <c r="K463" s="1" t="str">
        <f ca="1">IFERROR(__xludf.DUMMYFUNCTION("""COMPUTED_VALUE"""),"Fully Remote with Options to travel as and when needed")</f>
        <v>Fully Remote with Options to travel as and when needed</v>
      </c>
      <c r="L463" s="1" t="str">
        <f ca="1">IFERROR(__xludf.DUMMYFUNCTION("""COMPUTED_VALUE"""),"Employer who appreciates learning and enables that environment")</f>
        <v>Employer who appreciates learning and enables that environment</v>
      </c>
      <c r="M463"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N463" s="4" t="s">
        <v>49</v>
      </c>
      <c r="O463" s="1" t="str">
        <f ca="1">IFERROR(__xludf.DUMMYFUNCTION("""COMPUTED_VALUE"""),"Manager who clearly describes what she/he needs")</f>
        <v>Manager who clearly describes what she/he needs</v>
      </c>
      <c r="P463" s="1" t="str">
        <f ca="1">IFERROR(__xludf.DUMMYFUNCTION("""COMPUTED_VALUE"""),"Work &gt;10 people in Team")</f>
        <v>Work &gt;10 people in Team</v>
      </c>
      <c r="Q463" s="1" t="s">
        <v>43</v>
      </c>
      <c r="R463" s="1"/>
    </row>
    <row r="464" spans="1:18" x14ac:dyDescent="0.25">
      <c r="A464" s="2">
        <f ca="1">IFERROR(__xludf.DUMMYFUNCTION("""COMPUTED_VALUE"""),45021.4882826504)</f>
        <v>45021.488282650404</v>
      </c>
      <c r="B464" s="1" t="str">
        <f ca="1">IFERROR(__xludf.DUMMYFUNCTION("""COMPUTED_VALUE"""),"India")</f>
        <v>India</v>
      </c>
      <c r="C464" s="1">
        <f ca="1">IFERROR(__xludf.DUMMYFUNCTION("""COMPUTED_VALUE"""),600056)</f>
        <v>600056</v>
      </c>
      <c r="D464" s="1" t="str">
        <f ca="1">IFERROR(__xludf.DUMMYFUNCTION("""COMPUTED_VALUE"""),"Male")</f>
        <v>Male</v>
      </c>
      <c r="E464" s="1" t="str">
        <f ca="1">IFERROR(__xludf.DUMMYFUNCTION("""COMPUTED_VALUE"""),"My Parents")</f>
        <v>My Parents</v>
      </c>
      <c r="F464" s="1" t="str">
        <f ca="1">IFERROR(__xludf.DUMMYFUNCTION("""COMPUTED_VALUE"""),"No I would not be pursuing Higher Education outside of India")</f>
        <v>No I would not be pursuing Higher Education outside of India</v>
      </c>
      <c r="G464" s="1" t="str">
        <f ca="1">IFERROR(__xludf.DUMMYFUNCTION("""COMPUTED_VALUE"""),"Will work for 3 years or more")</f>
        <v>Will work for 3 years or more</v>
      </c>
      <c r="H464" s="1" t="str">
        <f ca="1">IFERROR(__xludf.DUMMYFUNCTION("""COMPUTED_VALUE"""),"Yes")</f>
        <v>Yes</v>
      </c>
      <c r="I464" s="1" t="str">
        <f ca="1">IFERROR(__xludf.DUMMYFUNCTION("""COMPUTED_VALUE"""),"Will work for them")</f>
        <v>Will work for them</v>
      </c>
      <c r="J464" s="1">
        <f ca="1">IFERROR(__xludf.DUMMYFUNCTION("""COMPUTED_VALUE"""),3)</f>
        <v>3</v>
      </c>
      <c r="K464" s="1" t="str">
        <f ca="1">IFERROR(__xludf.DUMMYFUNCTION("""COMPUTED_VALUE"""),"Every Day Office Environment")</f>
        <v>Every Day Office Environment</v>
      </c>
      <c r="L464" s="1" t="str">
        <f ca="1">IFERROR(__xludf.DUMMYFUNCTION("""COMPUTED_VALUE"""),"Employer who appreciates learning and enables that environment")</f>
        <v>Employer who appreciates learning and enables that environment</v>
      </c>
      <c r="M464"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N464" s="4" t="s">
        <v>48</v>
      </c>
      <c r="O464" s="1" t="str">
        <f ca="1">IFERROR(__xludf.DUMMYFUNCTION("""COMPUTED_VALUE"""),"Manager who clearly describes what she/he needs")</f>
        <v>Manager who clearly describes what she/he needs</v>
      </c>
      <c r="P464" s="1" t="str">
        <f ca="1">IFERROR(__xludf.DUMMYFUNCTION("""COMPUTED_VALUE"""),"Work alone")</f>
        <v>Work alone</v>
      </c>
      <c r="Q464" s="1" t="s">
        <v>43</v>
      </c>
      <c r="R464" s="1"/>
    </row>
    <row r="465" spans="1:18" x14ac:dyDescent="0.25">
      <c r="A465" s="2">
        <f ca="1">IFERROR(__xludf.DUMMYFUNCTION("""COMPUTED_VALUE"""),45021.4884419559)</f>
        <v>45021.488441955902</v>
      </c>
      <c r="B465" s="1" t="str">
        <f ca="1">IFERROR(__xludf.DUMMYFUNCTION("""COMPUTED_VALUE"""),"India")</f>
        <v>India</v>
      </c>
      <c r="C465" s="1">
        <f ca="1">IFERROR(__xludf.DUMMYFUNCTION("""COMPUTED_VALUE"""),682027)</f>
        <v>682027</v>
      </c>
      <c r="D465" s="1" t="str">
        <f ca="1">IFERROR(__xludf.DUMMYFUNCTION("""COMPUTED_VALUE"""),"Male")</f>
        <v>Male</v>
      </c>
      <c r="E465" s="1" t="str">
        <f ca="1">IFERROR(__xludf.DUMMYFUNCTION("""COMPUTED_VALUE"""),"Influencers who had successful careers")</f>
        <v>Influencers who had successful careers</v>
      </c>
      <c r="F465" s="1" t="str">
        <f ca="1">IFERROR(__xludf.DUMMYFUNCTION("""COMPUTED_VALUE"""),"No, But if someone could bare the cost I will")</f>
        <v>No, But if someone could bare the cost I will</v>
      </c>
      <c r="G465" s="1" t="str">
        <f ca="1">IFERROR(__xludf.DUMMYFUNCTION("""COMPUTED_VALUE"""),"This will be hard to do, but if it is the right company I would try")</f>
        <v>This will be hard to do, but if it is the right company I would try</v>
      </c>
      <c r="H465" s="1" t="str">
        <f ca="1">IFERROR(__xludf.DUMMYFUNCTION("""COMPUTED_VALUE"""),"No")</f>
        <v>No</v>
      </c>
      <c r="I465" s="1" t="str">
        <f ca="1">IFERROR(__xludf.DUMMYFUNCTION("""COMPUTED_VALUE"""),"Will NOT work for them")</f>
        <v>Will NOT work for them</v>
      </c>
      <c r="J465" s="1">
        <f ca="1">IFERROR(__xludf.DUMMYFUNCTION("""COMPUTED_VALUE"""),7)</f>
        <v>7</v>
      </c>
      <c r="K465" s="1" t="str">
        <f ca="1">IFERROR(__xludf.DUMMYFUNCTION("""COMPUTED_VALUE"""),"Fully Remote with Options to travel as and when needed")</f>
        <v>Fully Remote with Options to travel as and when needed</v>
      </c>
      <c r="L465" s="1" t="str">
        <f ca="1">IFERROR(__xludf.DUMMYFUNCTION("""COMPUTED_VALUE"""),"Employer who pushes your limits by enabling an learning environment, and rewards you at the end")</f>
        <v>Employer who pushes your limits by enabling an learning environment, and rewards you at the end</v>
      </c>
      <c r="M465"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N465" s="4" t="s">
        <v>53</v>
      </c>
      <c r="O465" s="1" t="str">
        <f ca="1">IFERROR(__xludf.DUMMYFUNCTION("""COMPUTED_VALUE"""),"Manager who explains what is expected, sets a goal and helps achieve it")</f>
        <v>Manager who explains what is expected, sets a goal and helps achieve it</v>
      </c>
      <c r="P465" s="1" t="str">
        <f ca="1">IFERROR(__xludf.DUMMYFUNCTION("""COMPUTED_VALUE"""),"Work &lt;=6 People in the Team")</f>
        <v>Work &lt;=6 People in the Team</v>
      </c>
      <c r="Q465" s="1" t="s">
        <v>40</v>
      </c>
      <c r="R465" s="1"/>
    </row>
    <row r="466" spans="1:18" x14ac:dyDescent="0.25">
      <c r="A466" s="2">
        <f ca="1">IFERROR(__xludf.DUMMYFUNCTION("""COMPUTED_VALUE"""),45021.4898414004)</f>
        <v>45021.489841400398</v>
      </c>
      <c r="B466" s="1" t="str">
        <f ca="1">IFERROR(__xludf.DUMMYFUNCTION("""COMPUTED_VALUE"""),"India")</f>
        <v>India</v>
      </c>
      <c r="C466" s="1">
        <f ca="1">IFERROR(__xludf.DUMMYFUNCTION("""COMPUTED_VALUE"""),442902)</f>
        <v>442902</v>
      </c>
      <c r="D466" s="1" t="str">
        <f ca="1">IFERROR(__xludf.DUMMYFUNCTION("""COMPUTED_VALUE"""),"Female")</f>
        <v>Female</v>
      </c>
      <c r="E466" s="1" t="str">
        <f ca="1">IFERROR(__xludf.DUMMYFUNCTION("""COMPUTED_VALUE"""),"My Parents")</f>
        <v>My Parents</v>
      </c>
      <c r="F466" s="1" t="str">
        <f ca="1">IFERROR(__xludf.DUMMYFUNCTION("""COMPUTED_VALUE"""),"No, But if someone could bare the cost I will")</f>
        <v>No, But if someone could bare the cost I will</v>
      </c>
      <c r="G466" s="1" t="str">
        <f ca="1">IFERROR(__xludf.DUMMYFUNCTION("""COMPUTED_VALUE"""),"This will be hard to do, but if it is the right company I would try")</f>
        <v>This will be hard to do, but if it is the right company I would try</v>
      </c>
      <c r="H466" s="1" t="str">
        <f ca="1">IFERROR(__xludf.DUMMYFUNCTION("""COMPUTED_VALUE"""),"No")</f>
        <v>No</v>
      </c>
      <c r="I466" s="1" t="str">
        <f ca="1">IFERROR(__xludf.DUMMYFUNCTION("""COMPUTED_VALUE"""),"Will NOT work for them")</f>
        <v>Will NOT work for them</v>
      </c>
      <c r="J466" s="1">
        <f ca="1">IFERROR(__xludf.DUMMYFUNCTION("""COMPUTED_VALUE"""),4)</f>
        <v>4</v>
      </c>
      <c r="K466" s="1" t="str">
        <f ca="1">IFERROR(__xludf.DUMMYFUNCTION("""COMPUTED_VALUE"""),"Hybrid Working Environment with more than 15 days a month at office")</f>
        <v>Hybrid Working Environment with more than 15 days a month at office</v>
      </c>
      <c r="L466" s="1" t="str">
        <f ca="1">IFERROR(__xludf.DUMMYFUNCTION("""COMPUTED_VALUE"""),"Employer who pushes your limits by enabling an learning environment, and rewards you at the end")</f>
        <v>Employer who pushes your limits by enabling an learning environment, and rewards you at the end</v>
      </c>
      <c r="M466"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N466" s="4" t="s">
        <v>48</v>
      </c>
      <c r="O466" s="1" t="str">
        <f ca="1">IFERROR(__xludf.DUMMYFUNCTION("""COMPUTED_VALUE"""),"Manager who explains what is expected, sets a goal and helps achieve it")</f>
        <v>Manager who explains what is expected, sets a goal and helps achieve it</v>
      </c>
      <c r="P466" s="1" t="str">
        <f ca="1">IFERROR(__xludf.DUMMYFUNCTION("""COMPUTED_VALUE"""),"Work &lt;=6 People in the Team")</f>
        <v>Work &lt;=6 People in the Team</v>
      </c>
      <c r="Q466" s="1" t="s">
        <v>40</v>
      </c>
      <c r="R466" s="1"/>
    </row>
    <row r="467" spans="1:18" x14ac:dyDescent="0.25">
      <c r="A467" s="2">
        <f ca="1">IFERROR(__xludf.DUMMYFUNCTION("""COMPUTED_VALUE"""),45021.4908876851)</f>
        <v>45021.490887685097</v>
      </c>
      <c r="B467" s="1" t="str">
        <f ca="1">IFERROR(__xludf.DUMMYFUNCTION("""COMPUTED_VALUE"""),"India")</f>
        <v>India</v>
      </c>
      <c r="C467" s="1">
        <f ca="1">IFERROR(__xludf.DUMMYFUNCTION("""COMPUTED_VALUE"""),500078)</f>
        <v>500078</v>
      </c>
      <c r="D467" s="1" t="str">
        <f ca="1">IFERROR(__xludf.DUMMYFUNCTION("""COMPUTED_VALUE"""),"Female")</f>
        <v>Female</v>
      </c>
      <c r="E467" s="1" t="str">
        <f ca="1">IFERROR(__xludf.DUMMYFUNCTION("""COMPUTED_VALUE"""),"Influencers who had successful careers")</f>
        <v>Influencers who had successful careers</v>
      </c>
      <c r="F467" s="1" t="str">
        <f ca="1">IFERROR(__xludf.DUMMYFUNCTION("""COMPUTED_VALUE"""),"Yes, I will earn and do that")</f>
        <v>Yes, I will earn and do that</v>
      </c>
      <c r="G467" s="1" t="str">
        <f ca="1">IFERROR(__xludf.DUMMYFUNCTION("""COMPUTED_VALUE"""),"This will be hard to do, but if it is the right company I would try")</f>
        <v>This will be hard to do, but if it is the right company I would try</v>
      </c>
      <c r="H467" s="1" t="str">
        <f ca="1">IFERROR(__xludf.DUMMYFUNCTION("""COMPUTED_VALUE"""),"Yes")</f>
        <v>Yes</v>
      </c>
      <c r="I467" s="1" t="str">
        <f ca="1">IFERROR(__xludf.DUMMYFUNCTION("""COMPUTED_VALUE"""),"Will work for them")</f>
        <v>Will work for them</v>
      </c>
      <c r="J467" s="1">
        <f ca="1">IFERROR(__xludf.DUMMYFUNCTION("""COMPUTED_VALUE"""),8)</f>
        <v>8</v>
      </c>
      <c r="K467" s="1" t="str">
        <f ca="1">IFERROR(__xludf.DUMMYFUNCTION("""COMPUTED_VALUE"""),"Every Day Office Environment")</f>
        <v>Every Day Office Environment</v>
      </c>
      <c r="L467" s="1" t="str">
        <f ca="1">IFERROR(__xludf.DUMMYFUNCTION("""COMPUTED_VALUE"""),"Employer who appreciates learning and enables that environment")</f>
        <v>Employer who appreciates learning and enables that environment</v>
      </c>
      <c r="M467"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467" s="4" t="s">
        <v>48</v>
      </c>
      <c r="O467" s="1" t="str">
        <f ca="1">IFERROR(__xludf.DUMMYFUNCTION("""COMPUTED_VALUE"""),"Manager who sets goal and helps me achieve it")</f>
        <v>Manager who sets goal and helps me achieve it</v>
      </c>
      <c r="P467" s="1" t="str">
        <f ca="1">IFERROR(__xludf.DUMMYFUNCTION("""COMPUTED_VALUE"""),"Work &gt;=7 People in the Team")</f>
        <v>Work &gt;=7 People in the Team</v>
      </c>
      <c r="Q467" s="1" t="s">
        <v>42</v>
      </c>
      <c r="R467" s="1"/>
    </row>
    <row r="468" spans="1:18" x14ac:dyDescent="0.25">
      <c r="A468" s="2">
        <f ca="1">IFERROR(__xludf.DUMMYFUNCTION("""COMPUTED_VALUE"""),45021.4927)</f>
        <v>45021.492700000003</v>
      </c>
      <c r="B468" s="1" t="str">
        <f ca="1">IFERROR(__xludf.DUMMYFUNCTION("""COMPUTED_VALUE"""),"India")</f>
        <v>India</v>
      </c>
      <c r="C468" s="1">
        <f ca="1">IFERROR(__xludf.DUMMYFUNCTION("""COMPUTED_VALUE"""),500035)</f>
        <v>500035</v>
      </c>
      <c r="D468" s="1" t="str">
        <f ca="1">IFERROR(__xludf.DUMMYFUNCTION("""COMPUTED_VALUE"""),"Female")</f>
        <v>Female</v>
      </c>
      <c r="E468" s="1" t="str">
        <f ca="1">IFERROR(__xludf.DUMMYFUNCTION("""COMPUTED_VALUE"""),"My Parents")</f>
        <v>My Parents</v>
      </c>
      <c r="F468" s="1" t="str">
        <f ca="1">IFERROR(__xludf.DUMMYFUNCTION("""COMPUTED_VALUE"""),"No, But if someone could bare the cost I will")</f>
        <v>No, But if someone could bare the cost I will</v>
      </c>
      <c r="G468" s="1" t="str">
        <f ca="1">IFERROR(__xludf.DUMMYFUNCTION("""COMPUTED_VALUE"""),"Will work for 3 years or more")</f>
        <v>Will work for 3 years or more</v>
      </c>
      <c r="H468" s="1" t="str">
        <f ca="1">IFERROR(__xludf.DUMMYFUNCTION("""COMPUTED_VALUE"""),"No")</f>
        <v>No</v>
      </c>
      <c r="I468" s="1" t="str">
        <f ca="1">IFERROR(__xludf.DUMMYFUNCTION("""COMPUTED_VALUE"""),"Will NOT work for them")</f>
        <v>Will NOT work for them</v>
      </c>
      <c r="J468" s="1">
        <f ca="1">IFERROR(__xludf.DUMMYFUNCTION("""COMPUTED_VALUE"""),5)</f>
        <v>5</v>
      </c>
      <c r="K468" s="1" t="str">
        <f ca="1">IFERROR(__xludf.DUMMYFUNCTION("""COMPUTED_VALUE"""),"Hybrid Working Environment with more than 15 days a month at office")</f>
        <v>Hybrid Working Environment with more than 15 days a month at office</v>
      </c>
      <c r="L468" s="1" t="str">
        <f ca="1">IFERROR(__xludf.DUMMYFUNCTION("""COMPUTED_VALUE"""),"Employer who pushes your limits by enabling an learning environment, and rewards you at the end")</f>
        <v>Employer who pushes your limits by enabling an learning environment, and rewards you at the end</v>
      </c>
      <c r="M46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468" s="4" t="s">
        <v>48</v>
      </c>
      <c r="O468" s="1" t="str">
        <f ca="1">IFERROR(__xludf.DUMMYFUNCTION("""COMPUTED_VALUE"""),"Manager who explains what is expected, sets a goal and helps achieve it")</f>
        <v>Manager who explains what is expected, sets a goal and helps achieve it</v>
      </c>
      <c r="P468" s="1" t="str">
        <f ca="1">IFERROR(__xludf.DUMMYFUNCTION("""COMPUTED_VALUE"""),"Work Alone, &lt;67 people in team")</f>
        <v>Work Alone, &lt;67 people in team</v>
      </c>
      <c r="Q468" s="1" t="s">
        <v>43</v>
      </c>
      <c r="R468" s="1"/>
    </row>
    <row r="469" spans="1:18" x14ac:dyDescent="0.25">
      <c r="A469" s="2">
        <f ca="1">IFERROR(__xludf.DUMMYFUNCTION("""COMPUTED_VALUE"""),45021.4932447222)</f>
        <v>45021.493244722202</v>
      </c>
      <c r="B469" s="1" t="str">
        <f ca="1">IFERROR(__xludf.DUMMYFUNCTION("""COMPUTED_VALUE"""),"India")</f>
        <v>India</v>
      </c>
      <c r="C469" s="1">
        <f ca="1">IFERROR(__xludf.DUMMYFUNCTION("""COMPUTED_VALUE"""),500070)</f>
        <v>500070</v>
      </c>
      <c r="D469" s="1" t="str">
        <f ca="1">IFERROR(__xludf.DUMMYFUNCTION("""COMPUTED_VALUE"""),"Female")</f>
        <v>Female</v>
      </c>
      <c r="E469" s="1" t="str">
        <f ca="1">IFERROR(__xludf.DUMMYFUNCTION("""COMPUTED_VALUE"""),"My Parents")</f>
        <v>My Parents</v>
      </c>
      <c r="F469" s="1" t="str">
        <f ca="1">IFERROR(__xludf.DUMMYFUNCTION("""COMPUTED_VALUE"""),"Yes, I will earn and do that")</f>
        <v>Yes, I will earn and do that</v>
      </c>
      <c r="G469" s="1" t="str">
        <f ca="1">IFERROR(__xludf.DUMMYFUNCTION("""COMPUTED_VALUE"""),"This will be hard to do, but if it is the right company I would try")</f>
        <v>This will be hard to do, but if it is the right company I would try</v>
      </c>
      <c r="H469" s="1" t="str">
        <f ca="1">IFERROR(__xludf.DUMMYFUNCTION("""COMPUTED_VALUE"""),"Yes")</f>
        <v>Yes</v>
      </c>
      <c r="I469" s="1" t="str">
        <f ca="1">IFERROR(__xludf.DUMMYFUNCTION("""COMPUTED_VALUE"""),"Will NOT work for them")</f>
        <v>Will NOT work for them</v>
      </c>
      <c r="J469" s="1">
        <f ca="1">IFERROR(__xludf.DUMMYFUNCTION("""COMPUTED_VALUE"""),5)</f>
        <v>5</v>
      </c>
      <c r="K469" s="1" t="str">
        <f ca="1">IFERROR(__xludf.DUMMYFUNCTION("""COMPUTED_VALUE"""),"Hybrid Working Environment with more than 15 days a month at office")</f>
        <v>Hybrid Working Environment with more than 15 days a month at office</v>
      </c>
      <c r="L469" s="1" t="str">
        <f ca="1">IFERROR(__xludf.DUMMYFUNCTION("""COMPUTED_VALUE"""),"Employer who appreciates learning and enables that environment")</f>
        <v>Employer who appreciates learning and enables that environment</v>
      </c>
      <c r="M469" s="1" t="str">
        <f ca="1">IFERROR(__xludf.DUMMYFUNCTION("""COMPUTED_VALUE"""),"Design and Creative strategy in any company, Design and Develop amazing software, Entrepreneur or Start Up, I Want to sell things/Sales")</f>
        <v>Design and Creative strategy in any company, Design and Develop amazing software, Entrepreneur or Start Up, I Want to sell things/Sales</v>
      </c>
      <c r="N469" s="4" t="s">
        <v>49</v>
      </c>
      <c r="O469" s="1" t="str">
        <f ca="1">IFERROR(__xludf.DUMMYFUNCTION("""COMPUTED_VALUE"""),"Manager who explains what is expected, sets a goal and helps achieve it")</f>
        <v>Manager who explains what is expected, sets a goal and helps achieve it</v>
      </c>
      <c r="P469" s="1" t="str">
        <f ca="1">IFERROR(__xludf.DUMMYFUNCTION("""COMPUTED_VALUE"""),"Work &lt;=6 People in the Team")</f>
        <v>Work &lt;=6 People in the Team</v>
      </c>
      <c r="Q469" s="1" t="s">
        <v>43</v>
      </c>
      <c r="R469" s="1"/>
    </row>
    <row r="470" spans="1:18" x14ac:dyDescent="0.25">
      <c r="A470" s="2">
        <f ca="1">IFERROR(__xludf.DUMMYFUNCTION("""COMPUTED_VALUE"""),45021.4947570949)</f>
        <v>45021.494757094901</v>
      </c>
      <c r="B470" s="1" t="str">
        <f ca="1">IFERROR(__xludf.DUMMYFUNCTION("""COMPUTED_VALUE"""),"India")</f>
        <v>India</v>
      </c>
      <c r="C470" s="1">
        <f ca="1">IFERROR(__xludf.DUMMYFUNCTION("""COMPUTED_VALUE"""),500070)</f>
        <v>500070</v>
      </c>
      <c r="D470" s="1" t="str">
        <f ca="1">IFERROR(__xludf.DUMMYFUNCTION("""COMPUTED_VALUE"""),"Female")</f>
        <v>Female</v>
      </c>
      <c r="E470" s="1" t="str">
        <f ca="1">IFERROR(__xludf.DUMMYFUNCTION("""COMPUTED_VALUE"""),"My Parents")</f>
        <v>My Parents</v>
      </c>
      <c r="F470" s="1" t="str">
        <f ca="1">IFERROR(__xludf.DUMMYFUNCTION("""COMPUTED_VALUE"""),"No I would not be pursuing Higher Education outside of India")</f>
        <v>No I would not be pursuing Higher Education outside of India</v>
      </c>
      <c r="G470" s="1" t="str">
        <f ca="1">IFERROR(__xludf.DUMMYFUNCTION("""COMPUTED_VALUE"""),"This will be hard to do, but if it is the right company I would try")</f>
        <v>This will be hard to do, but if it is the right company I would try</v>
      </c>
      <c r="H470" s="1" t="str">
        <f ca="1">IFERROR(__xludf.DUMMYFUNCTION("""COMPUTED_VALUE"""),"No")</f>
        <v>No</v>
      </c>
      <c r="I470" s="1" t="str">
        <f ca="1">IFERROR(__xludf.DUMMYFUNCTION("""COMPUTED_VALUE"""),"Will NOT work for them")</f>
        <v>Will NOT work for them</v>
      </c>
      <c r="J470" s="1">
        <f ca="1">IFERROR(__xludf.DUMMYFUNCTION("""COMPUTED_VALUE"""),6)</f>
        <v>6</v>
      </c>
      <c r="K470" s="1" t="str">
        <f ca="1">IFERROR(__xludf.DUMMYFUNCTION("""COMPUTED_VALUE"""),"Fully Remote with No option to visit offices")</f>
        <v>Fully Remote with No option to visit offices</v>
      </c>
      <c r="L470" s="1" t="str">
        <f ca="1">IFERROR(__xludf.DUMMYFUNCTION("""COMPUTED_VALUE"""),"Employer who appreciates learning and enables that environment")</f>
        <v>Employer who appreciates learning and enables that environment</v>
      </c>
      <c r="M470"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470" s="4" t="s">
        <v>49</v>
      </c>
      <c r="O470" s="1" t="str">
        <f ca="1">IFERROR(__xludf.DUMMYFUNCTION("""COMPUTED_VALUE"""),"Manager who explains what is expected, sets a goal and helps achieve it")</f>
        <v>Manager who explains what is expected, sets a goal and helps achieve it</v>
      </c>
      <c r="P470" s="1" t="str">
        <f ca="1">IFERROR(__xludf.DUMMYFUNCTION("""COMPUTED_VALUE"""),"Work &lt;=6 People in the Team")</f>
        <v>Work &lt;=6 People in the Team</v>
      </c>
      <c r="Q470" s="1" t="s">
        <v>43</v>
      </c>
      <c r="R470" s="1"/>
    </row>
    <row r="471" spans="1:18" x14ac:dyDescent="0.25">
      <c r="A471" s="2">
        <f ca="1">IFERROR(__xludf.DUMMYFUNCTION("""COMPUTED_VALUE"""),45021.4947659375)</f>
        <v>45021.494765937503</v>
      </c>
      <c r="B471" s="1" t="str">
        <f ca="1">IFERROR(__xludf.DUMMYFUNCTION("""COMPUTED_VALUE"""),"India")</f>
        <v>India</v>
      </c>
      <c r="C471" s="1">
        <f ca="1">IFERROR(__xludf.DUMMYFUNCTION("""COMPUTED_VALUE"""),500070)</f>
        <v>500070</v>
      </c>
      <c r="D471" s="1" t="str">
        <f ca="1">IFERROR(__xludf.DUMMYFUNCTION("""COMPUTED_VALUE"""),"Female")</f>
        <v>Female</v>
      </c>
      <c r="E471" s="1" t="str">
        <f ca="1">IFERROR(__xludf.DUMMYFUNCTION("""COMPUTED_VALUE"""),"My Parents")</f>
        <v>My Parents</v>
      </c>
      <c r="F471" s="1" t="str">
        <f ca="1">IFERROR(__xludf.DUMMYFUNCTION("""COMPUTED_VALUE"""),"No I would not be pursuing Higher Education outside of India")</f>
        <v>No I would not be pursuing Higher Education outside of India</v>
      </c>
      <c r="G471" s="1" t="str">
        <f ca="1">IFERROR(__xludf.DUMMYFUNCTION("""COMPUTED_VALUE"""),"This will be hard to do, but if it is the right company I would try")</f>
        <v>This will be hard to do, but if it is the right company I would try</v>
      </c>
      <c r="H471" s="1" t="str">
        <f ca="1">IFERROR(__xludf.DUMMYFUNCTION("""COMPUTED_VALUE"""),"No")</f>
        <v>No</v>
      </c>
      <c r="I471" s="1" t="str">
        <f ca="1">IFERROR(__xludf.DUMMYFUNCTION("""COMPUTED_VALUE"""),"Will NOT work for them")</f>
        <v>Will NOT work for them</v>
      </c>
      <c r="J471" s="1">
        <f ca="1">IFERROR(__xludf.DUMMYFUNCTION("""COMPUTED_VALUE"""),6)</f>
        <v>6</v>
      </c>
      <c r="K471" s="1" t="str">
        <f ca="1">IFERROR(__xludf.DUMMYFUNCTION("""COMPUTED_VALUE"""),"Fully Remote with No option to visit offices")</f>
        <v>Fully Remote with No option to visit offices</v>
      </c>
      <c r="L471" s="1" t="str">
        <f ca="1">IFERROR(__xludf.DUMMYFUNCTION("""COMPUTED_VALUE"""),"Employer who appreciates learning and enables that environment")</f>
        <v>Employer who appreciates learning and enables that environment</v>
      </c>
      <c r="M471"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471" s="4" t="s">
        <v>48</v>
      </c>
      <c r="O471" s="1" t="str">
        <f ca="1">IFERROR(__xludf.DUMMYFUNCTION("""COMPUTED_VALUE"""),"Manager who explains what is expected, sets a goal and helps achieve it")</f>
        <v>Manager who explains what is expected, sets a goal and helps achieve it</v>
      </c>
      <c r="P471" s="1" t="str">
        <f ca="1">IFERROR(__xludf.DUMMYFUNCTION("""COMPUTED_VALUE"""),"Work &lt;=6 People in the Team")</f>
        <v>Work &lt;=6 People in the Team</v>
      </c>
      <c r="Q471" s="1" t="s">
        <v>43</v>
      </c>
      <c r="R471" s="1"/>
    </row>
    <row r="472" spans="1:18" x14ac:dyDescent="0.25">
      <c r="A472" s="2">
        <f ca="1">IFERROR(__xludf.DUMMYFUNCTION("""COMPUTED_VALUE"""),45021.4955930439)</f>
        <v>45021.495593043903</v>
      </c>
      <c r="B472" s="1" t="str">
        <f ca="1">IFERROR(__xludf.DUMMYFUNCTION("""COMPUTED_VALUE"""),"India")</f>
        <v>India</v>
      </c>
      <c r="C472" s="1">
        <f ca="1">IFERROR(__xludf.DUMMYFUNCTION("""COMPUTED_VALUE"""),624601)</f>
        <v>624601</v>
      </c>
      <c r="D472" s="1" t="str">
        <f ca="1">IFERROR(__xludf.DUMMYFUNCTION("""COMPUTED_VALUE"""),"Male")</f>
        <v>Male</v>
      </c>
      <c r="E472" s="1" t="str">
        <f ca="1">IFERROR(__xludf.DUMMYFUNCTION("""COMPUTED_VALUE"""),"People from my circle, but not family members")</f>
        <v>People from my circle, but not family members</v>
      </c>
      <c r="F472" s="1" t="str">
        <f ca="1">IFERROR(__xludf.DUMMYFUNCTION("""COMPUTED_VALUE"""),"No, But if someone could bare the cost I will")</f>
        <v>No, But if someone could bare the cost I will</v>
      </c>
      <c r="G472" s="1" t="str">
        <f ca="1">IFERROR(__xludf.DUMMYFUNCTION("""COMPUTED_VALUE"""),"Will work for 3 years or more")</f>
        <v>Will work for 3 years or more</v>
      </c>
      <c r="H472" s="1" t="str">
        <f ca="1">IFERROR(__xludf.DUMMYFUNCTION("""COMPUTED_VALUE"""),"Yes")</f>
        <v>Yes</v>
      </c>
      <c r="I472" s="1" t="str">
        <f ca="1">IFERROR(__xludf.DUMMYFUNCTION("""COMPUTED_VALUE"""),"Will work for them")</f>
        <v>Will work for them</v>
      </c>
      <c r="J472" s="1">
        <f ca="1">IFERROR(__xludf.DUMMYFUNCTION("""COMPUTED_VALUE"""),6)</f>
        <v>6</v>
      </c>
      <c r="K472" s="1" t="str">
        <f ca="1">IFERROR(__xludf.DUMMYFUNCTION("""COMPUTED_VALUE"""),"Fully Remote with No option to visit offices")</f>
        <v>Fully Remote with No option to visit offices</v>
      </c>
      <c r="L472" s="1" t="str">
        <f ca="1">IFERROR(__xludf.DUMMYFUNCTION("""COMPUTED_VALUE"""),"Employers who appreciates learning but doesn't enables an learning environment")</f>
        <v>Employers who appreciates learning but doesn't enables an learning environment</v>
      </c>
      <c r="M472"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N472" s="4" t="s">
        <v>48</v>
      </c>
      <c r="O472" s="1" t="str">
        <f ca="1">IFERROR(__xludf.DUMMYFUNCTION("""COMPUTED_VALUE"""),"Manager who clearly describes what she/he needs")</f>
        <v>Manager who clearly describes what she/he needs</v>
      </c>
      <c r="P472" s="1" t="str">
        <f ca="1">IFERROR(__xludf.DUMMYFUNCTION("""COMPUTED_VALUE"""),"Work Alone, &lt;=6 in team")</f>
        <v>Work Alone, &lt;=6 in team</v>
      </c>
      <c r="Q472" s="1" t="s">
        <v>43</v>
      </c>
      <c r="R472" s="1"/>
    </row>
    <row r="473" spans="1:18" x14ac:dyDescent="0.25">
      <c r="A473" s="2">
        <f ca="1">IFERROR(__xludf.DUMMYFUNCTION("""COMPUTED_VALUE"""),45021.4959984259)</f>
        <v>45021.495998425897</v>
      </c>
      <c r="B473" s="1" t="str">
        <f ca="1">IFERROR(__xludf.DUMMYFUNCTION("""COMPUTED_VALUE"""),"India")</f>
        <v>India</v>
      </c>
      <c r="C473" s="1">
        <f ca="1">IFERROR(__xludf.DUMMYFUNCTION("""COMPUTED_VALUE"""),516003)</f>
        <v>516003</v>
      </c>
      <c r="D473" s="1" t="str">
        <f ca="1">IFERROR(__xludf.DUMMYFUNCTION("""COMPUTED_VALUE"""),"Female")</f>
        <v>Female</v>
      </c>
      <c r="E473" s="1" t="str">
        <f ca="1">IFERROR(__xludf.DUMMYFUNCTION("""COMPUTED_VALUE"""),"My Parents")</f>
        <v>My Parents</v>
      </c>
      <c r="F473" s="1" t="str">
        <f ca="1">IFERROR(__xludf.DUMMYFUNCTION("""COMPUTED_VALUE"""),"No I would not be pursuing Higher Education outside of India")</f>
        <v>No I would not be pursuing Higher Education outside of India</v>
      </c>
      <c r="G473" s="1" t="str">
        <f ca="1">IFERROR(__xludf.DUMMYFUNCTION("""COMPUTED_VALUE"""),"Will work for 3 years or more")</f>
        <v>Will work for 3 years or more</v>
      </c>
      <c r="H473" s="1" t="str">
        <f ca="1">IFERROR(__xludf.DUMMYFUNCTION("""COMPUTED_VALUE"""),"Yes")</f>
        <v>Yes</v>
      </c>
      <c r="I473" s="1" t="str">
        <f ca="1">IFERROR(__xludf.DUMMYFUNCTION("""COMPUTED_VALUE"""),"Will work for them")</f>
        <v>Will work for them</v>
      </c>
      <c r="J473" s="1">
        <f ca="1">IFERROR(__xludf.DUMMYFUNCTION("""COMPUTED_VALUE"""),4)</f>
        <v>4</v>
      </c>
      <c r="K473" s="1" t="str">
        <f ca="1">IFERROR(__xludf.DUMMYFUNCTION("""COMPUTED_VALUE"""),"Hybrid Working Environment with less than 3 days a month at office")</f>
        <v>Hybrid Working Environment with less than 3 days a month at office</v>
      </c>
      <c r="L473" s="1" t="str">
        <f ca="1">IFERROR(__xludf.DUMMYFUNCTION("""COMPUTED_VALUE"""),"Employer who pushes your limits by enabling an learning environment, and rewards you at the end")</f>
        <v>Employer who pushes your limits by enabling an learning environment, and rewards you at the end</v>
      </c>
      <c r="M47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473" s="4" t="s">
        <v>48</v>
      </c>
      <c r="O473" s="1" t="str">
        <f ca="1">IFERROR(__xludf.DUMMYFUNCTION("""COMPUTED_VALUE"""),"Manager who sets targets and expects me to achieve it")</f>
        <v>Manager who sets targets and expects me to achieve it</v>
      </c>
      <c r="P473" s="1" t="str">
        <f ca="1">IFERROR(__xludf.DUMMYFUNCTION("""COMPUTED_VALUE"""),"Work &lt;=6 People in the Team")</f>
        <v>Work &lt;=6 People in the Team</v>
      </c>
      <c r="Q473" s="1" t="s">
        <v>44</v>
      </c>
      <c r="R473" s="1"/>
    </row>
    <row r="474" spans="1:18" x14ac:dyDescent="0.25">
      <c r="A474" s="2">
        <f ca="1">IFERROR(__xludf.DUMMYFUNCTION("""COMPUTED_VALUE"""),45021.4973548611)</f>
        <v>45021.497354861101</v>
      </c>
      <c r="B474" s="1" t="str">
        <f ca="1">IFERROR(__xludf.DUMMYFUNCTION("""COMPUTED_VALUE"""),"India")</f>
        <v>India</v>
      </c>
      <c r="C474" s="1">
        <f ca="1">IFERROR(__xludf.DUMMYFUNCTION("""COMPUTED_VALUE"""),500080)</f>
        <v>500080</v>
      </c>
      <c r="D474" s="1" t="str">
        <f ca="1">IFERROR(__xludf.DUMMYFUNCTION("""COMPUTED_VALUE"""),"Male")</f>
        <v>Male</v>
      </c>
      <c r="E474" s="1" t="str">
        <f ca="1">IFERROR(__xludf.DUMMYFUNCTION("""COMPUTED_VALUE"""),"People who have changed the world for better")</f>
        <v>People who have changed the world for better</v>
      </c>
      <c r="F474" s="1" t="str">
        <f ca="1">IFERROR(__xludf.DUMMYFUNCTION("""COMPUTED_VALUE"""),"Yes, I will earn and do that")</f>
        <v>Yes, I will earn and do that</v>
      </c>
      <c r="G474" s="1" t="str">
        <f ca="1">IFERROR(__xludf.DUMMYFUNCTION("""COMPUTED_VALUE"""),"Will work for 3 years or more")</f>
        <v>Will work for 3 years or more</v>
      </c>
      <c r="H474" s="1" t="str">
        <f ca="1">IFERROR(__xludf.DUMMYFUNCTION("""COMPUTED_VALUE"""),"No")</f>
        <v>No</v>
      </c>
      <c r="I474" s="1" t="str">
        <f ca="1">IFERROR(__xludf.DUMMYFUNCTION("""COMPUTED_VALUE"""),"Will NOT work for them")</f>
        <v>Will NOT work for them</v>
      </c>
      <c r="J474" s="1">
        <f ca="1">IFERROR(__xludf.DUMMYFUNCTION("""COMPUTED_VALUE"""),5)</f>
        <v>5</v>
      </c>
      <c r="K474" s="1" t="str">
        <f ca="1">IFERROR(__xludf.DUMMYFUNCTION("""COMPUTED_VALUE"""),"Hybrid Working Environment with more than 15 days a month at office")</f>
        <v>Hybrid Working Environment with more than 15 days a month at office</v>
      </c>
      <c r="L474" s="1" t="str">
        <f ca="1">IFERROR(__xludf.DUMMYFUNCTION("""COMPUTED_VALUE"""),"Employer who rewards learning and enables that environment")</f>
        <v>Employer who rewards learning and enables that environment</v>
      </c>
      <c r="M47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474" s="4" t="s">
        <v>49</v>
      </c>
      <c r="O474" s="1" t="str">
        <f ca="1">IFERROR(__xludf.DUMMYFUNCTION("""COMPUTED_VALUE"""),"Manager who explains what is expected, sets a goal and helps achieve it")</f>
        <v>Manager who explains what is expected, sets a goal and helps achieve it</v>
      </c>
      <c r="P474" s="1" t="str">
        <f ca="1">IFERROR(__xludf.DUMMYFUNCTION("""COMPUTED_VALUE"""),"Work &gt;=7 People in the Team")</f>
        <v>Work &gt;=7 People in the Team</v>
      </c>
      <c r="Q474" s="1" t="s">
        <v>43</v>
      </c>
      <c r="R474" s="1"/>
    </row>
    <row r="475" spans="1:18" x14ac:dyDescent="0.25">
      <c r="A475" s="2">
        <f ca="1">IFERROR(__xludf.DUMMYFUNCTION("""COMPUTED_VALUE"""),45021.4978105555)</f>
        <v>45021.497810555498</v>
      </c>
      <c r="B475" s="1" t="str">
        <f ca="1">IFERROR(__xludf.DUMMYFUNCTION("""COMPUTED_VALUE"""),"India")</f>
        <v>India</v>
      </c>
      <c r="C475" s="1">
        <f ca="1">IFERROR(__xludf.DUMMYFUNCTION("""COMPUTED_VALUE"""),516003)</f>
        <v>516003</v>
      </c>
      <c r="D475" s="1" t="str">
        <f ca="1">IFERROR(__xludf.DUMMYFUNCTION("""COMPUTED_VALUE"""),"Female")</f>
        <v>Female</v>
      </c>
      <c r="E475" s="1" t="str">
        <f ca="1">IFERROR(__xludf.DUMMYFUNCTION("""COMPUTED_VALUE"""),"My Parents")</f>
        <v>My Parents</v>
      </c>
      <c r="F475" s="1" t="str">
        <f ca="1">IFERROR(__xludf.DUMMYFUNCTION("""COMPUTED_VALUE"""),"Yes, I will earn and do that")</f>
        <v>Yes, I will earn and do that</v>
      </c>
      <c r="G475" s="1" t="str">
        <f ca="1">IFERROR(__xludf.DUMMYFUNCTION("""COMPUTED_VALUE"""),"Will work for 3 years or more")</f>
        <v>Will work for 3 years or more</v>
      </c>
      <c r="H475" s="1" t="str">
        <f ca="1">IFERROR(__xludf.DUMMYFUNCTION("""COMPUTED_VALUE"""),"Yes")</f>
        <v>Yes</v>
      </c>
      <c r="I475" s="1" t="str">
        <f ca="1">IFERROR(__xludf.DUMMYFUNCTION("""COMPUTED_VALUE"""),"Will NOT work for them")</f>
        <v>Will NOT work for them</v>
      </c>
      <c r="J475" s="1">
        <f ca="1">IFERROR(__xludf.DUMMYFUNCTION("""COMPUTED_VALUE"""),2)</f>
        <v>2</v>
      </c>
      <c r="K475" s="1" t="str">
        <f ca="1">IFERROR(__xludf.DUMMYFUNCTION("""COMPUTED_VALUE"""),"Every Day Office Environment")</f>
        <v>Every Day Office Environment</v>
      </c>
      <c r="L475" s="1" t="str">
        <f ca="1">IFERROR(__xludf.DUMMYFUNCTION("""COMPUTED_VALUE"""),"Employer who rewards learning and enables that environment")</f>
        <v>Employer who rewards learning and enables that environment</v>
      </c>
      <c r="M475" s="1" t="str">
        <f ca="1">IFERROR(__xludf.DUMMYFUNCTION("""COMPUTED_VALUE"""),"Design and Creative strategy in any company, Business Operations in any organization, Build and develop a Team, An Artificial Intelligence Specialist / Talking to Robots")</f>
        <v>Design and Creative strategy in any company, Business Operations in any organization, Build and develop a Team, An Artificial Intelligence Specialist / Talking to Robots</v>
      </c>
      <c r="N475" s="4" t="s">
        <v>48</v>
      </c>
      <c r="O475" s="1" t="str">
        <f ca="1">IFERROR(__xludf.DUMMYFUNCTION("""COMPUTED_VALUE"""),"Manager who sets targets and expects me to achieve it")</f>
        <v>Manager who sets targets and expects me to achieve it</v>
      </c>
      <c r="P475" s="1" t="str">
        <f ca="1">IFERROR(__xludf.DUMMYFUNCTION("""COMPUTED_VALUE"""),"Work &lt;=6 People in the Team")</f>
        <v>Work &lt;=6 People in the Team</v>
      </c>
      <c r="Q475" s="1" t="s">
        <v>43</v>
      </c>
      <c r="R475" s="1"/>
    </row>
    <row r="476" spans="1:18" x14ac:dyDescent="0.25">
      <c r="A476" s="2">
        <f ca="1">IFERROR(__xludf.DUMMYFUNCTION("""COMPUTED_VALUE"""),45021.5008572222)</f>
        <v>45021.5008572222</v>
      </c>
      <c r="B476" s="1" t="str">
        <f ca="1">IFERROR(__xludf.DUMMYFUNCTION("""COMPUTED_VALUE"""),"India")</f>
        <v>India</v>
      </c>
      <c r="C476" s="1">
        <f ca="1">IFERROR(__xludf.DUMMYFUNCTION("""COMPUTED_VALUE"""),500037)</f>
        <v>500037</v>
      </c>
      <c r="D476" s="1" t="str">
        <f ca="1">IFERROR(__xludf.DUMMYFUNCTION("""COMPUTED_VALUE"""),"Female")</f>
        <v>Female</v>
      </c>
      <c r="E476" s="1" t="str">
        <f ca="1">IFERROR(__xludf.DUMMYFUNCTION("""COMPUTED_VALUE"""),"My Parents")</f>
        <v>My Parents</v>
      </c>
      <c r="F476" s="1" t="str">
        <f ca="1">IFERROR(__xludf.DUMMYFUNCTION("""COMPUTED_VALUE"""),"No I would not be pursuing Higher Education outside of India")</f>
        <v>No I would not be pursuing Higher Education outside of India</v>
      </c>
      <c r="G476" s="1" t="str">
        <f ca="1">IFERROR(__xludf.DUMMYFUNCTION("""COMPUTED_VALUE"""),"Will work for 3 years or more")</f>
        <v>Will work for 3 years or more</v>
      </c>
      <c r="H476" s="1" t="str">
        <f ca="1">IFERROR(__xludf.DUMMYFUNCTION("""COMPUTED_VALUE"""),"Yes")</f>
        <v>Yes</v>
      </c>
      <c r="I476" s="1" t="str">
        <f ca="1">IFERROR(__xludf.DUMMYFUNCTION("""COMPUTED_VALUE"""),"Will NOT work for them")</f>
        <v>Will NOT work for them</v>
      </c>
      <c r="J476" s="1">
        <f ca="1">IFERROR(__xludf.DUMMYFUNCTION("""COMPUTED_VALUE"""),5)</f>
        <v>5</v>
      </c>
      <c r="K476" s="1" t="str">
        <f ca="1">IFERROR(__xludf.DUMMYFUNCTION("""COMPUTED_VALUE"""),"Every Day Office Environment")</f>
        <v>Every Day Office Environment</v>
      </c>
      <c r="L476" s="1" t="str">
        <f ca="1">IFERROR(__xludf.DUMMYFUNCTION("""COMPUTED_VALUE"""),"Employer who appreciates learning and enables that environment")</f>
        <v>Employer who appreciates learning and enables that environment</v>
      </c>
      <c r="M47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N476" s="4" t="s">
        <v>49</v>
      </c>
      <c r="O476" s="1" t="str">
        <f ca="1">IFERROR(__xludf.DUMMYFUNCTION("""COMPUTED_VALUE"""),"Manager who clearly describes what she/he needs")</f>
        <v>Manager who clearly describes what she/he needs</v>
      </c>
      <c r="P476" s="1" t="str">
        <f ca="1">IFERROR(__xludf.DUMMYFUNCTION("""COMPUTED_VALUE"""),"Work &lt;=6 People in the Team")</f>
        <v>Work &lt;=6 People in the Team</v>
      </c>
      <c r="Q476" s="1" t="s">
        <v>43</v>
      </c>
      <c r="R476" s="1"/>
    </row>
    <row r="477" spans="1:18" x14ac:dyDescent="0.25">
      <c r="A477" s="2">
        <f ca="1">IFERROR(__xludf.DUMMYFUNCTION("""COMPUTED_VALUE"""),45021.5012235878)</f>
        <v>45021.501223587802</v>
      </c>
      <c r="B477" s="1" t="str">
        <f ca="1">IFERROR(__xludf.DUMMYFUNCTION("""COMPUTED_VALUE"""),"India")</f>
        <v>India</v>
      </c>
      <c r="C477" s="1">
        <f ca="1">IFERROR(__xludf.DUMMYFUNCTION("""COMPUTED_VALUE"""),560064)</f>
        <v>560064</v>
      </c>
      <c r="D477" s="1" t="str">
        <f ca="1">IFERROR(__xludf.DUMMYFUNCTION("""COMPUTED_VALUE"""),"Male")</f>
        <v>Male</v>
      </c>
      <c r="E477" s="1" t="str">
        <f ca="1">IFERROR(__xludf.DUMMYFUNCTION("""COMPUTED_VALUE"""),"My Parents")</f>
        <v>My Parents</v>
      </c>
      <c r="F477" s="1" t="str">
        <f ca="1">IFERROR(__xludf.DUMMYFUNCTION("""COMPUTED_VALUE"""),"Yes, I will earn and do that")</f>
        <v>Yes, I will earn and do that</v>
      </c>
      <c r="G477" s="1" t="str">
        <f ca="1">IFERROR(__xludf.DUMMYFUNCTION("""COMPUTED_VALUE"""),"Will work for 3 years or more")</f>
        <v>Will work for 3 years or more</v>
      </c>
      <c r="H477" s="1" t="str">
        <f ca="1">IFERROR(__xludf.DUMMYFUNCTION("""COMPUTED_VALUE"""),"Yes")</f>
        <v>Yes</v>
      </c>
      <c r="I477" s="1" t="str">
        <f ca="1">IFERROR(__xludf.DUMMYFUNCTION("""COMPUTED_VALUE"""),"Will work for them")</f>
        <v>Will work for them</v>
      </c>
      <c r="J477" s="1">
        <f ca="1">IFERROR(__xludf.DUMMYFUNCTION("""COMPUTED_VALUE"""),8)</f>
        <v>8</v>
      </c>
      <c r="K477" s="1" t="str">
        <f ca="1">IFERROR(__xludf.DUMMYFUNCTION("""COMPUTED_VALUE"""),"Hybrid Working Environment with more than 15 days a month at office")</f>
        <v>Hybrid Working Environment with more than 15 days a month at office</v>
      </c>
      <c r="L477" s="1" t="str">
        <f ca="1">IFERROR(__xludf.DUMMYFUNCTION("""COMPUTED_VALUE"""),"Employer who rewards learning and enables that environment")</f>
        <v>Employer who rewards learning and enables that environment</v>
      </c>
      <c r="M477"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N477" s="4" t="s">
        <v>48</v>
      </c>
      <c r="O477" s="1" t="str">
        <f ca="1">IFERROR(__xludf.DUMMYFUNCTION("""COMPUTED_VALUE"""),"Manager who explains what is expected, sets a goal and helps achieve it")</f>
        <v>Manager who explains what is expected, sets a goal and helps achieve it</v>
      </c>
      <c r="P477" s="1" t="str">
        <f ca="1">IFERROR(__xludf.DUMMYFUNCTION("""COMPUTED_VALUE"""),"Work &lt;=6 People in the Team")</f>
        <v>Work &lt;=6 People in the Team</v>
      </c>
      <c r="Q477" s="1" t="s">
        <v>43</v>
      </c>
      <c r="R477" s="1"/>
    </row>
    <row r="478" spans="1:18" x14ac:dyDescent="0.25">
      <c r="A478" s="2">
        <f ca="1">IFERROR(__xludf.DUMMYFUNCTION("""COMPUTED_VALUE"""),45021.5058153009)</f>
        <v>45021.505815300901</v>
      </c>
      <c r="B478" s="1" t="str">
        <f ca="1">IFERROR(__xludf.DUMMYFUNCTION("""COMPUTED_VALUE"""),"India")</f>
        <v>India</v>
      </c>
      <c r="C478" s="1">
        <f ca="1">IFERROR(__xludf.DUMMYFUNCTION("""COMPUTED_VALUE"""),600014)</f>
        <v>600014</v>
      </c>
      <c r="D478" s="1" t="str">
        <f ca="1">IFERROR(__xludf.DUMMYFUNCTION("""COMPUTED_VALUE"""),"Male")</f>
        <v>Male</v>
      </c>
      <c r="E478" s="1" t="str">
        <f ca="1">IFERROR(__xludf.DUMMYFUNCTION("""COMPUTED_VALUE"""),"My Parents")</f>
        <v>My Parents</v>
      </c>
      <c r="F478" s="1" t="str">
        <f ca="1">IFERROR(__xludf.DUMMYFUNCTION("""COMPUTED_VALUE"""),"Yes, I will earn and do that")</f>
        <v>Yes, I will earn and do that</v>
      </c>
      <c r="G478" s="1" t="str">
        <f ca="1">IFERROR(__xludf.DUMMYFUNCTION("""COMPUTED_VALUE"""),"This will be hard to do, but if it is the right company I would try")</f>
        <v>This will be hard to do, but if it is the right company I would try</v>
      </c>
      <c r="H478" s="1" t="str">
        <f ca="1">IFERROR(__xludf.DUMMYFUNCTION("""COMPUTED_VALUE"""),"Yes")</f>
        <v>Yes</v>
      </c>
      <c r="I478" s="1" t="str">
        <f ca="1">IFERROR(__xludf.DUMMYFUNCTION("""COMPUTED_VALUE"""),"Will work for them")</f>
        <v>Will work for them</v>
      </c>
      <c r="J478" s="1">
        <f ca="1">IFERROR(__xludf.DUMMYFUNCTION("""COMPUTED_VALUE"""),7)</f>
        <v>7</v>
      </c>
      <c r="K478" s="1" t="str">
        <f ca="1">IFERROR(__xludf.DUMMYFUNCTION("""COMPUTED_VALUE"""),"Fully Remote with Options to travel as and when needed")</f>
        <v>Fully Remote with Options to travel as and when needed</v>
      </c>
      <c r="L478" s="1" t="str">
        <f ca="1">IFERROR(__xludf.DUMMYFUNCTION("""COMPUTED_VALUE"""),"Employer who pushes your limits and doesn't enables learning environment and never rewards you")</f>
        <v>Employer who pushes your limits and doesn't enables learning environment and never rewards you</v>
      </c>
      <c r="M47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478" s="4" t="s">
        <v>49</v>
      </c>
      <c r="O478" s="1" t="str">
        <f ca="1">IFERROR(__xludf.DUMMYFUNCTION("""COMPUTED_VALUE"""),"Manager who sets unrealistic targets")</f>
        <v>Manager who sets unrealistic targets</v>
      </c>
      <c r="P478" s="1" t="str">
        <f ca="1">IFERROR(__xludf.DUMMYFUNCTION("""COMPUTED_VALUE"""),"Work &lt;=6 People in the Team")</f>
        <v>Work &lt;=6 People in the Team</v>
      </c>
      <c r="Q478" s="1" t="s">
        <v>43</v>
      </c>
      <c r="R478" s="1"/>
    </row>
    <row r="479" spans="1:18" x14ac:dyDescent="0.25">
      <c r="A479" s="2">
        <f ca="1">IFERROR(__xludf.DUMMYFUNCTION("""COMPUTED_VALUE"""),45021.5093094676)</f>
        <v>45021.509309467598</v>
      </c>
      <c r="B479" s="1" t="str">
        <f ca="1">IFERROR(__xludf.DUMMYFUNCTION("""COMPUTED_VALUE"""),"India")</f>
        <v>India</v>
      </c>
      <c r="C479" s="1">
        <f ca="1">IFERROR(__xludf.DUMMYFUNCTION("""COMPUTED_VALUE"""),560064)</f>
        <v>560064</v>
      </c>
      <c r="D479" s="1" t="str">
        <f ca="1">IFERROR(__xludf.DUMMYFUNCTION("""COMPUTED_VALUE"""),"Male")</f>
        <v>Male</v>
      </c>
      <c r="E479" s="1" t="str">
        <f ca="1">IFERROR(__xludf.DUMMYFUNCTION("""COMPUTED_VALUE"""),"My Parents")</f>
        <v>My Parents</v>
      </c>
      <c r="F479" s="1" t="str">
        <f ca="1">IFERROR(__xludf.DUMMYFUNCTION("""COMPUTED_VALUE"""),"Yes, I will earn and do that")</f>
        <v>Yes, I will earn and do that</v>
      </c>
      <c r="G479" s="1" t="str">
        <f ca="1">IFERROR(__xludf.DUMMYFUNCTION("""COMPUTED_VALUE"""),"This will be hard to do, but if it is the right company I would try")</f>
        <v>This will be hard to do, but if it is the right company I would try</v>
      </c>
      <c r="H479" s="1" t="str">
        <f ca="1">IFERROR(__xludf.DUMMYFUNCTION("""COMPUTED_VALUE"""),"No")</f>
        <v>No</v>
      </c>
      <c r="I479" s="1" t="str">
        <f ca="1">IFERROR(__xludf.DUMMYFUNCTION("""COMPUTED_VALUE"""),"Will work for them")</f>
        <v>Will work for them</v>
      </c>
      <c r="J479" s="1">
        <f ca="1">IFERROR(__xludf.DUMMYFUNCTION("""COMPUTED_VALUE"""),8)</f>
        <v>8</v>
      </c>
      <c r="K479" s="1" t="str">
        <f ca="1">IFERROR(__xludf.DUMMYFUNCTION("""COMPUTED_VALUE"""),"Hybrid Working Environment with more than 15 days a month at office")</f>
        <v>Hybrid Working Environment with more than 15 days a month at office</v>
      </c>
      <c r="L479" s="1" t="str">
        <f ca="1">IFERROR(__xludf.DUMMYFUNCTION("""COMPUTED_VALUE"""),"Employer who pushes your limits by enabling an learning environment, and rewards you at the end")</f>
        <v>Employer who pushes your limits by enabling an learning environment, and rewards you at the end</v>
      </c>
      <c r="M479"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N479" s="4" t="s">
        <v>49</v>
      </c>
      <c r="O479" s="1" t="str">
        <f ca="1">IFERROR(__xludf.DUMMYFUNCTION("""COMPUTED_VALUE"""),"Manager who sets targets and expects me to achieve it")</f>
        <v>Manager who sets targets and expects me to achieve it</v>
      </c>
      <c r="P479" s="1" t="str">
        <f ca="1">IFERROR(__xludf.DUMMYFUNCTION("""COMPUTED_VALUE"""),"Work Alone, &lt;=6 in team")</f>
        <v>Work Alone, &lt;=6 in team</v>
      </c>
      <c r="Q479" s="1" t="s">
        <v>40</v>
      </c>
      <c r="R479" s="1"/>
    </row>
    <row r="480" spans="1:18" x14ac:dyDescent="0.25">
      <c r="A480" s="2">
        <f ca="1">IFERROR(__xludf.DUMMYFUNCTION("""COMPUTED_VALUE"""),45021.509843368)</f>
        <v>45021.509843368003</v>
      </c>
      <c r="B480" s="1" t="str">
        <f ca="1">IFERROR(__xludf.DUMMYFUNCTION("""COMPUTED_VALUE"""),"India")</f>
        <v>India</v>
      </c>
      <c r="C480" s="1">
        <f ca="1">IFERROR(__xludf.DUMMYFUNCTION("""COMPUTED_VALUE"""),516003)</f>
        <v>516003</v>
      </c>
      <c r="D480" s="1" t="str">
        <f ca="1">IFERROR(__xludf.DUMMYFUNCTION("""COMPUTED_VALUE"""),"Male")</f>
        <v>Male</v>
      </c>
      <c r="E480" s="1" t="str">
        <f ca="1">IFERROR(__xludf.DUMMYFUNCTION("""COMPUTED_VALUE"""),"Influencers who had successful careers")</f>
        <v>Influencers who had successful careers</v>
      </c>
      <c r="F480" s="1" t="str">
        <f ca="1">IFERROR(__xludf.DUMMYFUNCTION("""COMPUTED_VALUE"""),"Yes, I will earn and do that")</f>
        <v>Yes, I will earn and do that</v>
      </c>
      <c r="G480" s="1" t="str">
        <f ca="1">IFERROR(__xludf.DUMMYFUNCTION("""COMPUTED_VALUE"""),"Will work for 3 years or more")</f>
        <v>Will work for 3 years or more</v>
      </c>
      <c r="H480" s="1" t="str">
        <f ca="1">IFERROR(__xludf.DUMMYFUNCTION("""COMPUTED_VALUE"""),"Yes")</f>
        <v>Yes</v>
      </c>
      <c r="I480" s="1" t="str">
        <f ca="1">IFERROR(__xludf.DUMMYFUNCTION("""COMPUTED_VALUE"""),"Will work for them")</f>
        <v>Will work for them</v>
      </c>
      <c r="J480" s="1">
        <f ca="1">IFERROR(__xludf.DUMMYFUNCTION("""COMPUTED_VALUE"""),2)</f>
        <v>2</v>
      </c>
      <c r="K480" s="1" t="str">
        <f ca="1">IFERROR(__xludf.DUMMYFUNCTION("""COMPUTED_VALUE"""),"Every Day Office Environment")</f>
        <v>Every Day Office Environment</v>
      </c>
      <c r="L480" s="1" t="str">
        <f ca="1">IFERROR(__xludf.DUMMYFUNCTION("""COMPUTED_VALUE"""),"Employer who appreciates learning and enables that environment")</f>
        <v>Employer who appreciates learning and enables that environment</v>
      </c>
      <c r="M48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N480" s="4" t="s">
        <v>48</v>
      </c>
      <c r="O480" s="1" t="str">
        <f ca="1">IFERROR(__xludf.DUMMYFUNCTION("""COMPUTED_VALUE"""),"Manager who sets goal and helps me achieve it")</f>
        <v>Manager who sets goal and helps me achieve it</v>
      </c>
      <c r="P480" s="1" t="str">
        <f ca="1">IFERROR(__xludf.DUMMYFUNCTION("""COMPUTED_VALUE"""),"Work &lt;=6 People in the Team")</f>
        <v>Work &lt;=6 People in the Team</v>
      </c>
      <c r="Q480" s="1" t="s">
        <v>43</v>
      </c>
      <c r="R480" s="1"/>
    </row>
    <row r="481" spans="1:18" x14ac:dyDescent="0.25">
      <c r="A481" s="2">
        <f ca="1">IFERROR(__xludf.DUMMYFUNCTION("""COMPUTED_VALUE"""),45021.5109430902)</f>
        <v>45021.510943090201</v>
      </c>
      <c r="B481" s="1" t="str">
        <f ca="1">IFERROR(__xludf.DUMMYFUNCTION("""COMPUTED_VALUE"""),"India")</f>
        <v>India</v>
      </c>
      <c r="C481" s="1">
        <f ca="1">IFERROR(__xludf.DUMMYFUNCTION("""COMPUTED_VALUE"""),500070)</f>
        <v>500070</v>
      </c>
      <c r="D481" s="1" t="str">
        <f ca="1">IFERROR(__xludf.DUMMYFUNCTION("""COMPUTED_VALUE"""),"Female")</f>
        <v>Female</v>
      </c>
      <c r="E481" s="1" t="str">
        <f ca="1">IFERROR(__xludf.DUMMYFUNCTION("""COMPUTED_VALUE"""),"My Parents")</f>
        <v>My Parents</v>
      </c>
      <c r="F481" s="1" t="str">
        <f ca="1">IFERROR(__xludf.DUMMYFUNCTION("""COMPUTED_VALUE"""),"Yes, I will earn and do that")</f>
        <v>Yes, I will earn and do that</v>
      </c>
      <c r="G481" s="1" t="str">
        <f ca="1">IFERROR(__xludf.DUMMYFUNCTION("""COMPUTED_VALUE"""),"This will be hard to do, but if it is the right company I would try")</f>
        <v>This will be hard to do, but if it is the right company I would try</v>
      </c>
      <c r="H481" s="1" t="str">
        <f ca="1">IFERROR(__xludf.DUMMYFUNCTION("""COMPUTED_VALUE"""),"No")</f>
        <v>No</v>
      </c>
      <c r="I481" s="1" t="str">
        <f ca="1">IFERROR(__xludf.DUMMYFUNCTION("""COMPUTED_VALUE"""),"Will NOT work for them")</f>
        <v>Will NOT work for them</v>
      </c>
      <c r="J481" s="1">
        <f ca="1">IFERROR(__xludf.DUMMYFUNCTION("""COMPUTED_VALUE"""),5)</f>
        <v>5</v>
      </c>
      <c r="K481" s="1" t="str">
        <f ca="1">IFERROR(__xludf.DUMMYFUNCTION("""COMPUTED_VALUE"""),"Fully Remote with Options to travel as and when needed")</f>
        <v>Fully Remote with Options to travel as and when needed</v>
      </c>
      <c r="L481" s="1" t="str">
        <f ca="1">IFERROR(__xludf.DUMMYFUNCTION("""COMPUTED_VALUE"""),"Employer who appreciates learning and enables that environment")</f>
        <v>Employer who appreciates learning and enables that environment</v>
      </c>
      <c r="M481"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N481" s="4" t="s">
        <v>48</v>
      </c>
      <c r="O481" s="1" t="str">
        <f ca="1">IFERROR(__xludf.DUMMYFUNCTION("""COMPUTED_VALUE"""),"Manager who explains what is expected, sets a goal and helps achieve it")</f>
        <v>Manager who explains what is expected, sets a goal and helps achieve it</v>
      </c>
      <c r="P481" s="1" t="str">
        <f ca="1">IFERROR(__xludf.DUMMYFUNCTION("""COMPUTED_VALUE"""),"Work &lt;=6 People in the Team")</f>
        <v>Work &lt;=6 People in the Team</v>
      </c>
      <c r="Q481" s="1" t="s">
        <v>43</v>
      </c>
      <c r="R481" s="1"/>
    </row>
    <row r="482" spans="1:18" x14ac:dyDescent="0.25">
      <c r="A482" s="2">
        <f ca="1">IFERROR(__xludf.DUMMYFUNCTION("""COMPUTED_VALUE"""),45021.5132451157)</f>
        <v>45021.513245115697</v>
      </c>
      <c r="B482" s="1" t="str">
        <f ca="1">IFERROR(__xludf.DUMMYFUNCTION("""COMPUTED_VALUE"""),"India")</f>
        <v>India</v>
      </c>
      <c r="C482" s="1">
        <f ca="1">IFERROR(__xludf.DUMMYFUNCTION("""COMPUTED_VALUE"""),400067)</f>
        <v>400067</v>
      </c>
      <c r="D482" s="1" t="str">
        <f ca="1">IFERROR(__xludf.DUMMYFUNCTION("""COMPUTED_VALUE"""),"Male")</f>
        <v>Male</v>
      </c>
      <c r="E482" s="1" t="str">
        <f ca="1">IFERROR(__xludf.DUMMYFUNCTION("""COMPUTED_VALUE"""),"My Parents")</f>
        <v>My Parents</v>
      </c>
      <c r="F482" s="1" t="str">
        <f ca="1">IFERROR(__xludf.DUMMYFUNCTION("""COMPUTED_VALUE"""),"No I would not be pursuing Higher Education outside of India")</f>
        <v>No I would not be pursuing Higher Education outside of India</v>
      </c>
      <c r="G482" s="1" t="str">
        <f ca="1">IFERROR(__xludf.DUMMYFUNCTION("""COMPUTED_VALUE"""),"This will be hard to do, but if it is the right company I would try")</f>
        <v>This will be hard to do, but if it is the right company I would try</v>
      </c>
      <c r="H482" s="1" t="str">
        <f ca="1">IFERROR(__xludf.DUMMYFUNCTION("""COMPUTED_VALUE"""),"No")</f>
        <v>No</v>
      </c>
      <c r="I482" s="1" t="str">
        <f ca="1">IFERROR(__xludf.DUMMYFUNCTION("""COMPUTED_VALUE"""),"Will NOT work for them")</f>
        <v>Will NOT work for them</v>
      </c>
      <c r="J482" s="1">
        <f ca="1">IFERROR(__xludf.DUMMYFUNCTION("""COMPUTED_VALUE"""),10)</f>
        <v>10</v>
      </c>
      <c r="K482" s="1" t="str">
        <f ca="1">IFERROR(__xludf.DUMMYFUNCTION("""COMPUTED_VALUE"""),"Hybrid Working Environment with more than 15 days a month at office")</f>
        <v>Hybrid Working Environment with more than 15 days a month at office</v>
      </c>
      <c r="L482" s="1" t="str">
        <f ca="1">IFERROR(__xludf.DUMMYFUNCTION("""COMPUTED_VALUE"""),"Employer who rewards learning and enables that environment")</f>
        <v>Employer who rewards learning and enables that environment</v>
      </c>
      <c r="M482" s="1" t="str">
        <f ca="1">IFERROR(__xludf.DUMMYFUNCTION("""COMPUTED_VALUE"""),"Look deeply into Data and generate insights, Work as a freelancer and do my thing my way, Entrepreneur or Start Up, Manufacturing / Oil and Gas/ Construction / Hard Physical Work related")</f>
        <v>Look deeply into Data and generate insights, Work as a freelancer and do my thing my way, Entrepreneur or Start Up, Manufacturing / Oil and Gas/ Construction / Hard Physical Work related</v>
      </c>
      <c r="N482" s="4" t="s">
        <v>49</v>
      </c>
      <c r="O482" s="1" t="str">
        <f ca="1">IFERROR(__xludf.DUMMYFUNCTION("""COMPUTED_VALUE"""),"Manager who explains what is expected, sets a goal and helps achieve it")</f>
        <v>Manager who explains what is expected, sets a goal and helps achieve it</v>
      </c>
      <c r="P482" s="1" t="str">
        <f ca="1">IFERROR(__xludf.DUMMYFUNCTION("""COMPUTED_VALUE"""),"Work &gt;10 people in Team")</f>
        <v>Work &gt;10 people in Team</v>
      </c>
      <c r="Q482" s="1" t="s">
        <v>42</v>
      </c>
      <c r="R482" s="1"/>
    </row>
    <row r="483" spans="1:18" x14ac:dyDescent="0.25">
      <c r="A483" s="2">
        <f ca="1">IFERROR(__xludf.DUMMYFUNCTION("""COMPUTED_VALUE"""),45021.5150029282)</f>
        <v>45021.515002928201</v>
      </c>
      <c r="B483" s="1" t="str">
        <f ca="1">IFERROR(__xludf.DUMMYFUNCTION("""COMPUTED_VALUE"""),"India")</f>
        <v>India</v>
      </c>
      <c r="C483" s="1">
        <f ca="1">IFERROR(__xludf.DUMMYFUNCTION("""COMPUTED_VALUE"""),50090)</f>
        <v>50090</v>
      </c>
      <c r="D483" s="1" t="str">
        <f ca="1">IFERROR(__xludf.DUMMYFUNCTION("""COMPUTED_VALUE"""),"Female")</f>
        <v>Female</v>
      </c>
      <c r="E483" s="1" t="str">
        <f ca="1">IFERROR(__xludf.DUMMYFUNCTION("""COMPUTED_VALUE"""),"People from my circle, but not family members")</f>
        <v>People from my circle, but not family members</v>
      </c>
      <c r="F483" s="1" t="str">
        <f ca="1">IFERROR(__xludf.DUMMYFUNCTION("""COMPUTED_VALUE"""),"Yes, I will earn and do that")</f>
        <v>Yes, I will earn and do that</v>
      </c>
      <c r="G483" s="1" t="str">
        <f ca="1">IFERROR(__xludf.DUMMYFUNCTION("""COMPUTED_VALUE"""),"This will be hard to do, but if it is the right company I would try")</f>
        <v>This will be hard to do, but if it is the right company I would try</v>
      </c>
      <c r="H483" s="1" t="str">
        <f ca="1">IFERROR(__xludf.DUMMYFUNCTION("""COMPUTED_VALUE"""),"Yes")</f>
        <v>Yes</v>
      </c>
      <c r="I483" s="1" t="str">
        <f ca="1">IFERROR(__xludf.DUMMYFUNCTION("""COMPUTED_VALUE"""),"Will work for them")</f>
        <v>Will work for them</v>
      </c>
      <c r="J483" s="1">
        <f ca="1">IFERROR(__xludf.DUMMYFUNCTION("""COMPUTED_VALUE"""),7)</f>
        <v>7</v>
      </c>
      <c r="K483" s="1" t="str">
        <f ca="1">IFERROR(__xludf.DUMMYFUNCTION("""COMPUTED_VALUE"""),"Hybrid Working Environment with less than 3 days a month at office")</f>
        <v>Hybrid Working Environment with less than 3 days a month at office</v>
      </c>
      <c r="L483" s="1" t="str">
        <f ca="1">IFERROR(__xludf.DUMMYFUNCTION("""COMPUTED_VALUE"""),"Employer who pushes your limits by enabling an learning environment, and rewards you at the end")</f>
        <v>Employer who pushes your limits by enabling an learning environment, and rewards you at the end</v>
      </c>
      <c r="M48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N483" s="4" t="s">
        <v>48</v>
      </c>
      <c r="O483" s="1" t="str">
        <f ca="1">IFERROR(__xludf.DUMMYFUNCTION("""COMPUTED_VALUE"""),"Manager who sets targets and expects me to achieve it")</f>
        <v>Manager who sets targets and expects me to achieve it</v>
      </c>
      <c r="P483" s="1" t="str">
        <f ca="1">IFERROR(__xludf.DUMMYFUNCTION("""COMPUTED_VALUE"""),"Work &lt;=6 People in the Team")</f>
        <v>Work &lt;=6 People in the Team</v>
      </c>
      <c r="Q483" s="1" t="s">
        <v>40</v>
      </c>
      <c r="R483" s="1"/>
    </row>
    <row r="484" spans="1:18" x14ac:dyDescent="0.25">
      <c r="A484" s="2">
        <f ca="1">IFERROR(__xludf.DUMMYFUNCTION("""COMPUTED_VALUE"""),45021.5174107407)</f>
        <v>45021.5174107407</v>
      </c>
      <c r="B484" s="1" t="str">
        <f ca="1">IFERROR(__xludf.DUMMYFUNCTION("""COMPUTED_VALUE"""),"India")</f>
        <v>India</v>
      </c>
      <c r="C484" s="1">
        <f ca="1">IFERROR(__xludf.DUMMYFUNCTION("""COMPUTED_VALUE"""),500045)</f>
        <v>500045</v>
      </c>
      <c r="D484" s="1" t="str">
        <f ca="1">IFERROR(__xludf.DUMMYFUNCTION("""COMPUTED_VALUE"""),"Female")</f>
        <v>Female</v>
      </c>
      <c r="E484" s="1" t="str">
        <f ca="1">IFERROR(__xludf.DUMMYFUNCTION("""COMPUTED_VALUE"""),"Influencers who had successful careers")</f>
        <v>Influencers who had successful careers</v>
      </c>
      <c r="F484" s="1" t="str">
        <f ca="1">IFERROR(__xludf.DUMMYFUNCTION("""COMPUTED_VALUE"""),"No, But if someone could bare the cost I will")</f>
        <v>No, But if someone could bare the cost I will</v>
      </c>
      <c r="G484" s="1" t="str">
        <f ca="1">IFERROR(__xludf.DUMMYFUNCTION("""COMPUTED_VALUE"""),"This will be hard to do, but if it is the right company I would try")</f>
        <v>This will be hard to do, but if it is the right company I would try</v>
      </c>
      <c r="H484" s="1" t="str">
        <f ca="1">IFERROR(__xludf.DUMMYFUNCTION("""COMPUTED_VALUE"""),"Yes")</f>
        <v>Yes</v>
      </c>
      <c r="I484" s="1" t="str">
        <f ca="1">IFERROR(__xludf.DUMMYFUNCTION("""COMPUTED_VALUE"""),"Will NOT work for them")</f>
        <v>Will NOT work for them</v>
      </c>
      <c r="J484" s="1">
        <f ca="1">IFERROR(__xludf.DUMMYFUNCTION("""COMPUTED_VALUE"""),6)</f>
        <v>6</v>
      </c>
      <c r="K484" s="1" t="str">
        <f ca="1">IFERROR(__xludf.DUMMYFUNCTION("""COMPUTED_VALUE"""),"Fully Remote with Options to travel as and when needed")</f>
        <v>Fully Remote with Options to travel as and when needed</v>
      </c>
      <c r="L484" s="1" t="str">
        <f ca="1">IFERROR(__xludf.DUMMYFUNCTION("""COMPUTED_VALUE"""),"Employer who appreciates learning and enables that environment")</f>
        <v>Employer who appreciates learning and enables that environment</v>
      </c>
      <c r="M484"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N484" s="4" t="s">
        <v>48</v>
      </c>
      <c r="O484" s="1" t="str">
        <f ca="1">IFERROR(__xludf.DUMMYFUNCTION("""COMPUTED_VALUE"""),"Manager who sets goal and helps me achieve it")</f>
        <v>Manager who sets goal and helps me achieve it</v>
      </c>
      <c r="P484" s="1" t="str">
        <f ca="1">IFERROR(__xludf.DUMMYFUNCTION("""COMPUTED_VALUE"""),"Work Alone, &lt;67 people in team")</f>
        <v>Work Alone, &lt;67 people in team</v>
      </c>
      <c r="Q484" s="1" t="s">
        <v>43</v>
      </c>
      <c r="R484" s="1"/>
    </row>
    <row r="485" spans="1:18" x14ac:dyDescent="0.25">
      <c r="A485" s="2">
        <f ca="1">IFERROR(__xludf.DUMMYFUNCTION("""COMPUTED_VALUE"""),45021.5186577429)</f>
        <v>45021.518657742898</v>
      </c>
      <c r="B485" s="1" t="str">
        <f ca="1">IFERROR(__xludf.DUMMYFUNCTION("""COMPUTED_VALUE"""),"India")</f>
        <v>India</v>
      </c>
      <c r="C485" s="1">
        <f ca="1">IFERROR(__xludf.DUMMYFUNCTION("""COMPUTED_VALUE"""),400037)</f>
        <v>400037</v>
      </c>
      <c r="D485" s="1" t="str">
        <f ca="1">IFERROR(__xludf.DUMMYFUNCTION("""COMPUTED_VALUE"""),"Male")</f>
        <v>Male</v>
      </c>
      <c r="E485" s="1" t="str">
        <f ca="1">IFERROR(__xludf.DUMMYFUNCTION("""COMPUTED_VALUE"""),"Influencers who had successful careers")</f>
        <v>Influencers who had successful careers</v>
      </c>
      <c r="F485" s="1" t="str">
        <f ca="1">IFERROR(__xludf.DUMMYFUNCTION("""COMPUTED_VALUE"""),"No, But if someone could bare the cost I will")</f>
        <v>No, But if someone could bare the cost I will</v>
      </c>
      <c r="G485" s="1" t="str">
        <f ca="1">IFERROR(__xludf.DUMMYFUNCTION("""COMPUTED_VALUE"""),"No way")</f>
        <v>No way</v>
      </c>
      <c r="H485" s="1" t="str">
        <f ca="1">IFERROR(__xludf.DUMMYFUNCTION("""COMPUTED_VALUE"""),"No")</f>
        <v>No</v>
      </c>
      <c r="I485" s="1" t="str">
        <f ca="1">IFERROR(__xludf.DUMMYFUNCTION("""COMPUTED_VALUE"""),"Will NOT work for them")</f>
        <v>Will NOT work for them</v>
      </c>
      <c r="J485" s="1">
        <f ca="1">IFERROR(__xludf.DUMMYFUNCTION("""COMPUTED_VALUE"""),3)</f>
        <v>3</v>
      </c>
      <c r="K485" s="1" t="str">
        <f ca="1">IFERROR(__xludf.DUMMYFUNCTION("""COMPUTED_VALUE"""),"Fully Remote with Options to travel as and when needed")</f>
        <v>Fully Remote with Options to travel as and when needed</v>
      </c>
      <c r="L485" s="1" t="str">
        <f ca="1">IFERROR(__xludf.DUMMYFUNCTION("""COMPUTED_VALUE"""),"Employer who pushes your limits by enabling an learning environment, and rewards you at the end")</f>
        <v>Employer who pushes your limits by enabling an learning environment, and rewards you at the end</v>
      </c>
      <c r="M485"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N485" s="4" t="s">
        <v>49</v>
      </c>
      <c r="O485" s="1" t="str">
        <f ca="1">IFERROR(__xludf.DUMMYFUNCTION("""COMPUTED_VALUE"""),"Manager who explains what is expected, sets a goal and helps achieve it")</f>
        <v>Manager who explains what is expected, sets a goal and helps achieve it</v>
      </c>
      <c r="P485" s="1" t="str">
        <f ca="1">IFERROR(__xludf.DUMMYFUNCTION("""COMPUTED_VALUE"""),"Work &gt;10 people in Team")</f>
        <v>Work &gt;10 people in Team</v>
      </c>
      <c r="Q485" s="1" t="s">
        <v>43</v>
      </c>
      <c r="R485" s="1"/>
    </row>
    <row r="486" spans="1:18" x14ac:dyDescent="0.25">
      <c r="A486" s="2">
        <f ca="1">IFERROR(__xludf.DUMMYFUNCTION("""COMPUTED_VALUE"""),45021.5186981481)</f>
        <v>45021.518698148102</v>
      </c>
      <c r="B486" s="1" t="str">
        <f ca="1">IFERROR(__xludf.DUMMYFUNCTION("""COMPUTED_VALUE"""),"India")</f>
        <v>India</v>
      </c>
      <c r="C486" s="1">
        <f ca="1">IFERROR(__xludf.DUMMYFUNCTION("""COMPUTED_VALUE"""),500052)</f>
        <v>500052</v>
      </c>
      <c r="D486" s="1" t="str">
        <f ca="1">IFERROR(__xludf.DUMMYFUNCTION("""COMPUTED_VALUE"""),"Female")</f>
        <v>Female</v>
      </c>
      <c r="E486" s="1" t="str">
        <f ca="1">IFERROR(__xludf.DUMMYFUNCTION("""COMPUTED_VALUE"""),"My Parents")</f>
        <v>My Parents</v>
      </c>
      <c r="F486" s="1" t="str">
        <f ca="1">IFERROR(__xludf.DUMMYFUNCTION("""COMPUTED_VALUE"""),"No I would not be pursuing Higher Education outside of India")</f>
        <v>No I would not be pursuing Higher Education outside of India</v>
      </c>
      <c r="G486" s="1" t="str">
        <f ca="1">IFERROR(__xludf.DUMMYFUNCTION("""COMPUTED_VALUE"""),"Will work for 3 years or more")</f>
        <v>Will work for 3 years or more</v>
      </c>
      <c r="H486" s="1" t="str">
        <f ca="1">IFERROR(__xludf.DUMMYFUNCTION("""COMPUTED_VALUE"""),"No")</f>
        <v>No</v>
      </c>
      <c r="I486" s="1" t="str">
        <f ca="1">IFERROR(__xludf.DUMMYFUNCTION("""COMPUTED_VALUE"""),"Will NOT work for them")</f>
        <v>Will NOT work for them</v>
      </c>
      <c r="J486" s="1">
        <f ca="1">IFERROR(__xludf.DUMMYFUNCTION("""COMPUTED_VALUE"""),1)</f>
        <v>1</v>
      </c>
      <c r="K486" s="1" t="str">
        <f ca="1">IFERROR(__xludf.DUMMYFUNCTION("""COMPUTED_VALUE"""),"Fully Remote with Options to travel as and when needed")</f>
        <v>Fully Remote with Options to travel as and when needed</v>
      </c>
      <c r="L486" s="1" t="str">
        <f ca="1">IFERROR(__xludf.DUMMYFUNCTION("""COMPUTED_VALUE"""),"Employer who pushes your limits by enabling an learning environment, and rewards you at the end")</f>
        <v>Employer who pushes your limits by enabling an learning environment, and rewards you at the end</v>
      </c>
      <c r="M486"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N486" s="4" t="s">
        <v>49</v>
      </c>
      <c r="O486" s="1" t="str">
        <f ca="1">IFERROR(__xludf.DUMMYFUNCTION("""COMPUTED_VALUE"""),"Manager who sets targets and expects me to achieve it")</f>
        <v>Manager who sets targets and expects me to achieve it</v>
      </c>
      <c r="P486" s="1" t="str">
        <f ca="1">IFERROR(__xludf.DUMMYFUNCTION("""COMPUTED_VALUE"""),"Work &lt;=6 People in the Team")</f>
        <v>Work &lt;=6 People in the Team</v>
      </c>
      <c r="Q486" s="1" t="s">
        <v>40</v>
      </c>
      <c r="R486" s="1"/>
    </row>
    <row r="487" spans="1:18" x14ac:dyDescent="0.25">
      <c r="A487" s="2">
        <f ca="1">IFERROR(__xludf.DUMMYFUNCTION("""COMPUTED_VALUE"""),45021.5199579051)</f>
        <v>45021.519957905097</v>
      </c>
      <c r="B487" s="1" t="str">
        <f ca="1">IFERROR(__xludf.DUMMYFUNCTION("""COMPUTED_VALUE"""),"India")</f>
        <v>India</v>
      </c>
      <c r="C487" s="1">
        <f ca="1">IFERROR(__xludf.DUMMYFUNCTION("""COMPUTED_VALUE"""),500090)</f>
        <v>500090</v>
      </c>
      <c r="D487" s="1" t="str">
        <f ca="1">IFERROR(__xludf.DUMMYFUNCTION("""COMPUTED_VALUE"""),"Female")</f>
        <v>Female</v>
      </c>
      <c r="E487" s="1" t="str">
        <f ca="1">IFERROR(__xludf.DUMMYFUNCTION("""COMPUTED_VALUE"""),"People who have changed the world for better")</f>
        <v>People who have changed the world for better</v>
      </c>
      <c r="F487" s="1" t="str">
        <f ca="1">IFERROR(__xludf.DUMMYFUNCTION("""COMPUTED_VALUE"""),"No, But if someone could bare the cost I will")</f>
        <v>No, But if someone could bare the cost I will</v>
      </c>
      <c r="G487" s="1" t="str">
        <f ca="1">IFERROR(__xludf.DUMMYFUNCTION("""COMPUTED_VALUE"""),"This will be hard to do, but if it is the right company I would try")</f>
        <v>This will be hard to do, but if it is the right company I would try</v>
      </c>
      <c r="H487" s="1" t="str">
        <f ca="1">IFERROR(__xludf.DUMMYFUNCTION("""COMPUTED_VALUE"""),"No")</f>
        <v>No</v>
      </c>
      <c r="I487" s="1" t="str">
        <f ca="1">IFERROR(__xludf.DUMMYFUNCTION("""COMPUTED_VALUE"""),"Will NOT work for them")</f>
        <v>Will NOT work for them</v>
      </c>
      <c r="J487" s="1">
        <f ca="1">IFERROR(__xludf.DUMMYFUNCTION("""COMPUTED_VALUE"""),1)</f>
        <v>1</v>
      </c>
      <c r="K487" s="1" t="str">
        <f ca="1">IFERROR(__xludf.DUMMYFUNCTION("""COMPUTED_VALUE"""),"Hybrid Working Environment with more than 15 days a month at office")</f>
        <v>Hybrid Working Environment with more than 15 days a month at office</v>
      </c>
      <c r="L487" s="1" t="str">
        <f ca="1">IFERROR(__xludf.DUMMYFUNCTION("""COMPUTED_VALUE"""),"Employer who pushes your limits by enabling an learning environment, and rewards you at the end")</f>
        <v>Employer who pushes your limits by enabling an learning environment, and rewards you at the end</v>
      </c>
      <c r="M487"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N487" s="4" t="s">
        <v>49</v>
      </c>
      <c r="O487" s="1" t="str">
        <f ca="1">IFERROR(__xludf.DUMMYFUNCTION("""COMPUTED_VALUE"""),"Manager who explains what is expected, sets a goal and helps achieve it")</f>
        <v>Manager who explains what is expected, sets a goal and helps achieve it</v>
      </c>
      <c r="P487" s="1" t="str">
        <f ca="1">IFERROR(__xludf.DUMMYFUNCTION("""COMPUTED_VALUE"""),"Work &lt;=6 People in the Team")</f>
        <v>Work &lt;=6 People in the Team</v>
      </c>
      <c r="Q487" s="1" t="s">
        <v>43</v>
      </c>
      <c r="R487" s="1"/>
    </row>
    <row r="488" spans="1:18" x14ac:dyDescent="0.25">
      <c r="A488" s="2">
        <f ca="1">IFERROR(__xludf.DUMMYFUNCTION("""COMPUTED_VALUE"""),45021.5216522222)</f>
        <v>45021.521652222204</v>
      </c>
      <c r="B488" s="1" t="str">
        <f ca="1">IFERROR(__xludf.DUMMYFUNCTION("""COMPUTED_VALUE"""),"India")</f>
        <v>India</v>
      </c>
      <c r="C488" s="1">
        <f ca="1">IFERROR(__xludf.DUMMYFUNCTION("""COMPUTED_VALUE"""),400077)</f>
        <v>400077</v>
      </c>
      <c r="D488" s="1" t="str">
        <f ca="1">IFERROR(__xludf.DUMMYFUNCTION("""COMPUTED_VALUE"""),"Male")</f>
        <v>Male</v>
      </c>
      <c r="E488" s="1" t="str">
        <f ca="1">IFERROR(__xludf.DUMMYFUNCTION("""COMPUTED_VALUE"""),"My Parents")</f>
        <v>My Parents</v>
      </c>
      <c r="F488" s="1" t="str">
        <f ca="1">IFERROR(__xludf.DUMMYFUNCTION("""COMPUTED_VALUE"""),"No I would not be pursuing Higher Education outside of India")</f>
        <v>No I would not be pursuing Higher Education outside of India</v>
      </c>
      <c r="G488" s="1" t="str">
        <f ca="1">IFERROR(__xludf.DUMMYFUNCTION("""COMPUTED_VALUE"""),"This will be hard to do, but if it is the right company I would try")</f>
        <v>This will be hard to do, but if it is the right company I would try</v>
      </c>
      <c r="H488" s="1" t="str">
        <f ca="1">IFERROR(__xludf.DUMMYFUNCTION("""COMPUTED_VALUE"""),"No")</f>
        <v>No</v>
      </c>
      <c r="I488" s="1" t="str">
        <f ca="1">IFERROR(__xludf.DUMMYFUNCTION("""COMPUTED_VALUE"""),"Will NOT work for them")</f>
        <v>Will NOT work for them</v>
      </c>
      <c r="J488" s="1">
        <f ca="1">IFERROR(__xludf.DUMMYFUNCTION("""COMPUTED_VALUE"""),5)</f>
        <v>5</v>
      </c>
      <c r="K488" s="1" t="str">
        <f ca="1">IFERROR(__xludf.DUMMYFUNCTION("""COMPUTED_VALUE"""),"Every Day Office Environment")</f>
        <v>Every Day Office Environment</v>
      </c>
      <c r="L488" s="1" t="str">
        <f ca="1">IFERROR(__xludf.DUMMYFUNCTION("""COMPUTED_VALUE"""),"Employer who pushes your limits by enabling an learning environment, and rewards you at the end")</f>
        <v>Employer who pushes your limits by enabling an learning environment, and rewards you at the end</v>
      </c>
      <c r="M4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488" s="4" t="s">
        <v>53</v>
      </c>
      <c r="O488" s="1" t="str">
        <f ca="1">IFERROR(__xludf.DUMMYFUNCTION("""COMPUTED_VALUE"""),"Manager who sets goal and helps me achieve it")</f>
        <v>Manager who sets goal and helps me achieve it</v>
      </c>
      <c r="P488" s="1" t="str">
        <f ca="1">IFERROR(__xludf.DUMMYFUNCTION("""COMPUTED_VALUE"""),"Work &lt;=6 People in the Team")</f>
        <v>Work &lt;=6 People in the Team</v>
      </c>
      <c r="Q488" s="1" t="s">
        <v>43</v>
      </c>
      <c r="R488" s="1"/>
    </row>
    <row r="489" spans="1:18" x14ac:dyDescent="0.25">
      <c r="A489" s="2">
        <f ca="1">IFERROR(__xludf.DUMMYFUNCTION("""COMPUTED_VALUE"""),45021.522170787)</f>
        <v>45021.522170787001</v>
      </c>
      <c r="B489" s="1" t="str">
        <f ca="1">IFERROR(__xludf.DUMMYFUNCTION("""COMPUTED_VALUE"""),"India")</f>
        <v>India</v>
      </c>
      <c r="C489" s="1">
        <f ca="1">IFERROR(__xludf.DUMMYFUNCTION("""COMPUTED_VALUE"""),600123)</f>
        <v>600123</v>
      </c>
      <c r="D489" s="1" t="str">
        <f ca="1">IFERROR(__xludf.DUMMYFUNCTION("""COMPUTED_VALUE"""),"Male")</f>
        <v>Male</v>
      </c>
      <c r="E489" s="1" t="str">
        <f ca="1">IFERROR(__xludf.DUMMYFUNCTION("""COMPUTED_VALUE"""),"People from my circle, but not family members")</f>
        <v>People from my circle, but not family members</v>
      </c>
      <c r="F489" s="1" t="str">
        <f ca="1">IFERROR(__xludf.DUMMYFUNCTION("""COMPUTED_VALUE"""),"No I would not be pursuing Higher Education outside of India")</f>
        <v>No I would not be pursuing Higher Education outside of India</v>
      </c>
      <c r="G489" s="1" t="str">
        <f ca="1">IFERROR(__xludf.DUMMYFUNCTION("""COMPUTED_VALUE"""),"Will work for 3 years or more")</f>
        <v>Will work for 3 years or more</v>
      </c>
      <c r="H489" s="1" t="str">
        <f ca="1">IFERROR(__xludf.DUMMYFUNCTION("""COMPUTED_VALUE"""),"Yes")</f>
        <v>Yes</v>
      </c>
      <c r="I489" s="1" t="str">
        <f ca="1">IFERROR(__xludf.DUMMYFUNCTION("""COMPUTED_VALUE"""),"Will work for them")</f>
        <v>Will work for them</v>
      </c>
      <c r="J489" s="1">
        <f ca="1">IFERROR(__xludf.DUMMYFUNCTION("""COMPUTED_VALUE"""),7)</f>
        <v>7</v>
      </c>
      <c r="K489" s="1" t="str">
        <f ca="1">IFERROR(__xludf.DUMMYFUNCTION("""COMPUTED_VALUE"""),"Every Day Office Environment")</f>
        <v>Every Day Office Environment</v>
      </c>
      <c r="L489" s="1" t="str">
        <f ca="1">IFERROR(__xludf.DUMMYFUNCTION("""COMPUTED_VALUE"""),"Employer who pushes your limits by enabling an learning environment, and rewards you at the end")</f>
        <v>Employer who pushes your limits by enabling an learning environment, and rewards you at the end</v>
      </c>
      <c r="M489" s="1" t="str">
        <f ca="1">IFERROR(__xludf.DUMMYFUNCTION("""COMPUTED_VALUE"""),"Build and develop a Team, Work as a freelancer and do my thing my way, Entrepreneur or Start Up, I Want to sell things/Sales")</f>
        <v>Build and develop a Team, Work as a freelancer and do my thing my way, Entrepreneur or Start Up, I Want to sell things/Sales</v>
      </c>
      <c r="N489" s="4" t="s">
        <v>49</v>
      </c>
      <c r="O489" s="1" t="str">
        <f ca="1">IFERROR(__xludf.DUMMYFUNCTION("""COMPUTED_VALUE"""),"Manager who sets targets and expects me to achieve it")</f>
        <v>Manager who sets targets and expects me to achieve it</v>
      </c>
      <c r="P489" s="1" t="str">
        <f ca="1">IFERROR(__xludf.DUMMYFUNCTION("""COMPUTED_VALUE"""),"Work alone")</f>
        <v>Work alone</v>
      </c>
      <c r="Q489" s="1" t="s">
        <v>42</v>
      </c>
      <c r="R489" s="1"/>
    </row>
    <row r="490" spans="1:18" x14ac:dyDescent="0.25">
      <c r="A490" s="2">
        <f ca="1">IFERROR(__xludf.DUMMYFUNCTION("""COMPUTED_VALUE"""),45021.5238048263)</f>
        <v>45021.523804826298</v>
      </c>
      <c r="B490" s="1" t="str">
        <f ca="1">IFERROR(__xludf.DUMMYFUNCTION("""COMPUTED_VALUE"""),"India")</f>
        <v>India</v>
      </c>
      <c r="C490" s="1">
        <f ca="1">IFERROR(__xludf.DUMMYFUNCTION("""COMPUTED_VALUE"""),500070)</f>
        <v>500070</v>
      </c>
      <c r="D490" s="1" t="str">
        <f ca="1">IFERROR(__xludf.DUMMYFUNCTION("""COMPUTED_VALUE"""),"Female")</f>
        <v>Female</v>
      </c>
      <c r="E490" s="1" t="str">
        <f ca="1">IFERROR(__xludf.DUMMYFUNCTION("""COMPUTED_VALUE"""),"Influencers who had successful careers")</f>
        <v>Influencers who had successful careers</v>
      </c>
      <c r="F490" s="1" t="str">
        <f ca="1">IFERROR(__xludf.DUMMYFUNCTION("""COMPUTED_VALUE"""),"No I would not be pursuing Higher Education outside of India")</f>
        <v>No I would not be pursuing Higher Education outside of India</v>
      </c>
      <c r="G490" s="1" t="str">
        <f ca="1">IFERROR(__xludf.DUMMYFUNCTION("""COMPUTED_VALUE"""),"This will be hard to do, but if it is the right company I would try")</f>
        <v>This will be hard to do, but if it is the right company I would try</v>
      </c>
      <c r="H490" s="1" t="str">
        <f ca="1">IFERROR(__xludf.DUMMYFUNCTION("""COMPUTED_VALUE"""),"Yes")</f>
        <v>Yes</v>
      </c>
      <c r="I490" s="1" t="str">
        <f ca="1">IFERROR(__xludf.DUMMYFUNCTION("""COMPUTED_VALUE"""),"Will work for them")</f>
        <v>Will work for them</v>
      </c>
      <c r="J490" s="1">
        <f ca="1">IFERROR(__xludf.DUMMYFUNCTION("""COMPUTED_VALUE"""),9)</f>
        <v>9</v>
      </c>
      <c r="K490" s="1" t="str">
        <f ca="1">IFERROR(__xludf.DUMMYFUNCTION("""COMPUTED_VALUE"""),"Fully Remote with No option to visit offices")</f>
        <v>Fully Remote with No option to visit offices</v>
      </c>
      <c r="L490" s="1" t="str">
        <f ca="1">IFERROR(__xludf.DUMMYFUNCTION("""COMPUTED_VALUE"""),"Employer who rewards learning and enables that environment")</f>
        <v>Employer who rewards learning and enables that environment</v>
      </c>
      <c r="M490"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N490" s="4" t="s">
        <v>49</v>
      </c>
      <c r="O490" s="1" t="str">
        <f ca="1">IFERROR(__xludf.DUMMYFUNCTION("""COMPUTED_VALUE"""),"Manager who clearly describes what she/he needs")</f>
        <v>Manager who clearly describes what she/he needs</v>
      </c>
      <c r="P490" s="1" t="str">
        <f ca="1">IFERROR(__xludf.DUMMYFUNCTION("""COMPUTED_VALUE"""),"Work &lt;=6 People in the Team")</f>
        <v>Work &lt;=6 People in the Team</v>
      </c>
      <c r="Q490" s="1" t="s">
        <v>43</v>
      </c>
      <c r="R490" s="1"/>
    </row>
    <row r="491" spans="1:18" x14ac:dyDescent="0.25">
      <c r="A491" s="2">
        <f ca="1">IFERROR(__xludf.DUMMYFUNCTION("""COMPUTED_VALUE"""),45021.5240334953)</f>
        <v>45021.524033495298</v>
      </c>
      <c r="B491" s="1" t="str">
        <f ca="1">IFERROR(__xludf.DUMMYFUNCTION("""COMPUTED_VALUE"""),"India")</f>
        <v>India</v>
      </c>
      <c r="C491" s="1">
        <f ca="1">IFERROR(__xludf.DUMMYFUNCTION("""COMPUTED_VALUE"""),580031)</f>
        <v>580031</v>
      </c>
      <c r="D491" s="1" t="str">
        <f ca="1">IFERROR(__xludf.DUMMYFUNCTION("""COMPUTED_VALUE"""),"Male")</f>
        <v>Male</v>
      </c>
      <c r="E491" s="1" t="str">
        <f ca="1">IFERROR(__xludf.DUMMYFUNCTION("""COMPUTED_VALUE"""),"My Parents")</f>
        <v>My Parents</v>
      </c>
      <c r="F491" s="1" t="str">
        <f ca="1">IFERROR(__xludf.DUMMYFUNCTION("""COMPUTED_VALUE"""),"No I would not be pursuing Higher Education outside of India")</f>
        <v>No I would not be pursuing Higher Education outside of India</v>
      </c>
      <c r="G491" s="1" t="str">
        <f ca="1">IFERROR(__xludf.DUMMYFUNCTION("""COMPUTED_VALUE"""),"This will be hard to do, but if it is the right company I would try")</f>
        <v>This will be hard to do, but if it is the right company I would try</v>
      </c>
      <c r="H491" s="1" t="str">
        <f ca="1">IFERROR(__xludf.DUMMYFUNCTION("""COMPUTED_VALUE"""),"Yes")</f>
        <v>Yes</v>
      </c>
      <c r="I491" s="1" t="str">
        <f ca="1">IFERROR(__xludf.DUMMYFUNCTION("""COMPUTED_VALUE"""),"Will work for them")</f>
        <v>Will work for them</v>
      </c>
      <c r="J491" s="1">
        <f ca="1">IFERROR(__xludf.DUMMYFUNCTION("""COMPUTED_VALUE"""),5)</f>
        <v>5</v>
      </c>
      <c r="K491" s="1" t="str">
        <f ca="1">IFERROR(__xludf.DUMMYFUNCTION("""COMPUTED_VALUE"""),"Hybrid Working Environment with less than 3 days a month at office")</f>
        <v>Hybrid Working Environment with less than 3 days a month at office</v>
      </c>
      <c r="L491" s="1" t="str">
        <f ca="1">IFERROR(__xludf.DUMMYFUNCTION("""COMPUTED_VALUE"""),"Employer who pushes your limits by enabling an learning environment, and rewards you at the end")</f>
        <v>Employer who pushes your limits by enabling an learning environment, and rewards you at the end</v>
      </c>
      <c r="M491" s="1" t="str">
        <f ca="1">IFERROR(__xludf.DUMMYFUNCTION("""COMPUTED_VALUE"""),"Teaching in any of the institutes/colleges/online or offline, Manage and drive End-to-End Projects or Products, Design and Develop amazing software, Work as a freelancer and do my thing my way")</f>
        <v>Teaching in any of the institutes/colleges/online or offline, Manage and drive End-to-End Projects or Products, Design and Develop amazing software, Work as a freelancer and do my thing my way</v>
      </c>
      <c r="N491" s="4" t="s">
        <v>48</v>
      </c>
      <c r="O491" s="1" t="str">
        <f ca="1">IFERROR(__xludf.DUMMYFUNCTION("""COMPUTED_VALUE"""),"Manager who explains what is expected, sets a goal and helps achieve it")</f>
        <v>Manager who explains what is expected, sets a goal and helps achieve it</v>
      </c>
      <c r="P491" s="1" t="str">
        <f ca="1">IFERROR(__xludf.DUMMYFUNCTION("""COMPUTED_VALUE"""),"Work &lt;=6 People in the Team")</f>
        <v>Work &lt;=6 People in the Team</v>
      </c>
      <c r="Q491" s="1" t="s">
        <v>43</v>
      </c>
      <c r="R491" s="1"/>
    </row>
    <row r="492" spans="1:18" x14ac:dyDescent="0.25">
      <c r="A492" s="2">
        <f ca="1">IFERROR(__xludf.DUMMYFUNCTION("""COMPUTED_VALUE"""),45021.5275958333)</f>
        <v>45021.5275958333</v>
      </c>
      <c r="B492" s="1" t="str">
        <f ca="1">IFERROR(__xludf.DUMMYFUNCTION("""COMPUTED_VALUE"""),"India")</f>
        <v>India</v>
      </c>
      <c r="C492" s="1">
        <f ca="1">IFERROR(__xludf.DUMMYFUNCTION("""COMPUTED_VALUE"""),400067)</f>
        <v>400067</v>
      </c>
      <c r="D492" s="1" t="str">
        <f ca="1">IFERROR(__xludf.DUMMYFUNCTION("""COMPUTED_VALUE"""),"Female")</f>
        <v>Female</v>
      </c>
      <c r="E492" s="1" t="str">
        <f ca="1">IFERROR(__xludf.DUMMYFUNCTION("""COMPUTED_VALUE"""),"My Parents")</f>
        <v>My Parents</v>
      </c>
      <c r="F492" s="1" t="str">
        <f ca="1">IFERROR(__xludf.DUMMYFUNCTION("""COMPUTED_VALUE"""),"No I would not be pursuing Higher Education outside of India")</f>
        <v>No I would not be pursuing Higher Education outside of India</v>
      </c>
      <c r="G492" s="1" t="str">
        <f ca="1">IFERROR(__xludf.DUMMYFUNCTION("""COMPUTED_VALUE"""),"This will be hard to do, but if it is the right company I would try")</f>
        <v>This will be hard to do, but if it is the right company I would try</v>
      </c>
      <c r="H492" s="1" t="str">
        <f ca="1">IFERROR(__xludf.DUMMYFUNCTION("""COMPUTED_VALUE"""),"No")</f>
        <v>No</v>
      </c>
      <c r="I492" s="1" t="str">
        <f ca="1">IFERROR(__xludf.DUMMYFUNCTION("""COMPUTED_VALUE"""),"Will NOT work for them")</f>
        <v>Will NOT work for them</v>
      </c>
      <c r="J492" s="1">
        <f ca="1">IFERROR(__xludf.DUMMYFUNCTION("""COMPUTED_VALUE"""),7)</f>
        <v>7</v>
      </c>
      <c r="K492" s="1" t="str">
        <f ca="1">IFERROR(__xludf.DUMMYFUNCTION("""COMPUTED_VALUE"""),"Hybrid Working Environment with less than 3 days a month at office")</f>
        <v>Hybrid Working Environment with less than 3 days a month at office</v>
      </c>
      <c r="L492" s="1" t="str">
        <f ca="1">IFERROR(__xludf.DUMMYFUNCTION("""COMPUTED_VALUE"""),"Employer who pushes your limits by enabling an learning environment, and rewards you at the end")</f>
        <v>Employer who pushes your limits by enabling an learning environment, and rewards you at the end</v>
      </c>
      <c r="M492"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N492" s="4" t="s">
        <v>53</v>
      </c>
      <c r="O492" s="1" t="str">
        <f ca="1">IFERROR(__xludf.DUMMYFUNCTION("""COMPUTED_VALUE"""),"Manager who explains what is expected, sets a goal and helps achieve it")</f>
        <v>Manager who explains what is expected, sets a goal and helps achieve it</v>
      </c>
      <c r="P492" s="1" t="str">
        <f ca="1">IFERROR(__xludf.DUMMYFUNCTION("""COMPUTED_VALUE"""),"Work &gt;10 people in Team")</f>
        <v>Work &gt;10 people in Team</v>
      </c>
      <c r="Q492" s="1" t="s">
        <v>43</v>
      </c>
      <c r="R492" s="1"/>
    </row>
    <row r="493" spans="1:18" x14ac:dyDescent="0.25">
      <c r="A493" s="2">
        <f ca="1">IFERROR(__xludf.DUMMYFUNCTION("""COMPUTED_VALUE"""),45021.5285830787)</f>
        <v>45021.528583078703</v>
      </c>
      <c r="B493" s="1" t="str">
        <f ca="1">IFERROR(__xludf.DUMMYFUNCTION("""COMPUTED_VALUE"""),"India")</f>
        <v>India</v>
      </c>
      <c r="C493" s="1">
        <f ca="1">IFERROR(__xludf.DUMMYFUNCTION("""COMPUTED_VALUE"""),560018)</f>
        <v>560018</v>
      </c>
      <c r="D493" s="1" t="str">
        <f ca="1">IFERROR(__xludf.DUMMYFUNCTION("""COMPUTED_VALUE"""),"Female")</f>
        <v>Female</v>
      </c>
      <c r="E493" s="1" t="str">
        <f ca="1">IFERROR(__xludf.DUMMYFUNCTION("""COMPUTED_VALUE"""),"My Parents")</f>
        <v>My Parents</v>
      </c>
      <c r="F493" s="1" t="str">
        <f ca="1">IFERROR(__xludf.DUMMYFUNCTION("""COMPUTED_VALUE"""),"No, But if someone could bare the cost I will")</f>
        <v>No, But if someone could bare the cost I will</v>
      </c>
      <c r="G493" s="1" t="str">
        <f ca="1">IFERROR(__xludf.DUMMYFUNCTION("""COMPUTED_VALUE"""),"This will be hard to do, but if it is the right company I would try")</f>
        <v>This will be hard to do, but if it is the right company I would try</v>
      </c>
      <c r="H493" s="1" t="str">
        <f ca="1">IFERROR(__xludf.DUMMYFUNCTION("""COMPUTED_VALUE"""),"No")</f>
        <v>No</v>
      </c>
      <c r="I493" s="1" t="str">
        <f ca="1">IFERROR(__xludf.DUMMYFUNCTION("""COMPUTED_VALUE"""),"Will work for them")</f>
        <v>Will work for them</v>
      </c>
      <c r="J493" s="1">
        <f ca="1">IFERROR(__xludf.DUMMYFUNCTION("""COMPUTED_VALUE"""),7)</f>
        <v>7</v>
      </c>
      <c r="K493" s="1" t="str">
        <f ca="1">IFERROR(__xludf.DUMMYFUNCTION("""COMPUTED_VALUE"""),"Hybrid Working Environment with more than 15 days a month at office")</f>
        <v>Hybrid Working Environment with more than 15 days a month at office</v>
      </c>
      <c r="L493" s="1" t="str">
        <f ca="1">IFERROR(__xludf.DUMMYFUNCTION("""COMPUTED_VALUE"""),"Employer who pushes your limits by enabling an learning environment, and rewards you at the end")</f>
        <v>Employer who pushes your limits by enabling an learning environment, and rewards you at the end</v>
      </c>
      <c r="M49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493" s="4" t="s">
        <v>48</v>
      </c>
      <c r="O493" s="1" t="str">
        <f ca="1">IFERROR(__xludf.DUMMYFUNCTION("""COMPUTED_VALUE"""),"Manager who sets targets and expects me to achieve it")</f>
        <v>Manager who sets targets and expects me to achieve it</v>
      </c>
      <c r="P493" s="1" t="str">
        <f ca="1">IFERROR(__xludf.DUMMYFUNCTION("""COMPUTED_VALUE"""),"Work &gt;=7 People in the Team")</f>
        <v>Work &gt;=7 People in the Team</v>
      </c>
      <c r="Q493" s="1" t="s">
        <v>43</v>
      </c>
      <c r="R493" s="1"/>
    </row>
    <row r="494" spans="1:18" x14ac:dyDescent="0.25">
      <c r="A494" s="2">
        <f ca="1">IFERROR(__xludf.DUMMYFUNCTION("""COMPUTED_VALUE"""),45021.533145949)</f>
        <v>45021.533145948997</v>
      </c>
      <c r="B494" s="1" t="str">
        <f ca="1">IFERROR(__xludf.DUMMYFUNCTION("""COMPUTED_VALUE"""),"India")</f>
        <v>India</v>
      </c>
      <c r="C494" s="1">
        <f ca="1">IFERROR(__xludf.DUMMYFUNCTION("""COMPUTED_VALUE"""),641011)</f>
        <v>641011</v>
      </c>
      <c r="D494" s="1" t="str">
        <f ca="1">IFERROR(__xludf.DUMMYFUNCTION("""COMPUTED_VALUE"""),"Male")</f>
        <v>Male</v>
      </c>
      <c r="E494" s="1" t="str">
        <f ca="1">IFERROR(__xludf.DUMMYFUNCTION("""COMPUTED_VALUE"""),"My Parents")</f>
        <v>My Parents</v>
      </c>
      <c r="F494" s="1" t="str">
        <f ca="1">IFERROR(__xludf.DUMMYFUNCTION("""COMPUTED_VALUE"""),"No, But if someone could bare the cost I will")</f>
        <v>No, But if someone could bare the cost I will</v>
      </c>
      <c r="G494" s="1" t="str">
        <f ca="1">IFERROR(__xludf.DUMMYFUNCTION("""COMPUTED_VALUE"""),"Will work for 3 years or more")</f>
        <v>Will work for 3 years or more</v>
      </c>
      <c r="H494" s="1" t="str">
        <f ca="1">IFERROR(__xludf.DUMMYFUNCTION("""COMPUTED_VALUE"""),"Yes")</f>
        <v>Yes</v>
      </c>
      <c r="I494" s="1" t="str">
        <f ca="1">IFERROR(__xludf.DUMMYFUNCTION("""COMPUTED_VALUE"""),"Will work for them")</f>
        <v>Will work for them</v>
      </c>
      <c r="J494" s="1">
        <f ca="1">IFERROR(__xludf.DUMMYFUNCTION("""COMPUTED_VALUE"""),7)</f>
        <v>7</v>
      </c>
      <c r="K494" s="1" t="str">
        <f ca="1">IFERROR(__xludf.DUMMYFUNCTION("""COMPUTED_VALUE"""),"Hybrid Working Environment with less than 3 days a month at office")</f>
        <v>Hybrid Working Environment with less than 3 days a month at office</v>
      </c>
      <c r="L494" s="1" t="str">
        <f ca="1">IFERROR(__xludf.DUMMYFUNCTION("""COMPUTED_VALUE"""),"Employer who appreciates learning and enables that environment")</f>
        <v>Employer who appreciates learning and enables that environment</v>
      </c>
      <c r="M49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494" s="4" t="s">
        <v>49</v>
      </c>
      <c r="O494" s="1" t="str">
        <f ca="1">IFERROR(__xludf.DUMMYFUNCTION("""COMPUTED_VALUE"""),"Manager who clearly describes what she/he needs")</f>
        <v>Manager who clearly describes what she/he needs</v>
      </c>
      <c r="P494" s="1" t="str">
        <f ca="1">IFERROR(__xludf.DUMMYFUNCTION("""COMPUTED_VALUE"""),"Work &lt;=6 People in the Team")</f>
        <v>Work &lt;=6 People in the Team</v>
      </c>
      <c r="Q494" s="1" t="s">
        <v>44</v>
      </c>
      <c r="R494" s="1"/>
    </row>
    <row r="495" spans="1:18" x14ac:dyDescent="0.25">
      <c r="A495" s="2">
        <f ca="1">IFERROR(__xludf.DUMMYFUNCTION("""COMPUTED_VALUE"""),45021.5339742013)</f>
        <v>45021.533974201302</v>
      </c>
      <c r="B495" s="1" t="str">
        <f ca="1">IFERROR(__xludf.DUMMYFUNCTION("""COMPUTED_VALUE"""),"India")</f>
        <v>India</v>
      </c>
      <c r="C495" s="1">
        <f ca="1">IFERROR(__xludf.DUMMYFUNCTION("""COMPUTED_VALUE"""),500085)</f>
        <v>500085</v>
      </c>
      <c r="D495" s="1" t="str">
        <f ca="1">IFERROR(__xludf.DUMMYFUNCTION("""COMPUTED_VALUE"""),"Female")</f>
        <v>Female</v>
      </c>
      <c r="E495" s="1" t="str">
        <f ca="1">IFERROR(__xludf.DUMMYFUNCTION("""COMPUTED_VALUE"""),"My Parents")</f>
        <v>My Parents</v>
      </c>
      <c r="F495" s="1" t="str">
        <f ca="1">IFERROR(__xludf.DUMMYFUNCTION("""COMPUTED_VALUE"""),"Yes, I will earn and do that")</f>
        <v>Yes, I will earn and do that</v>
      </c>
      <c r="G495" s="1" t="str">
        <f ca="1">IFERROR(__xludf.DUMMYFUNCTION("""COMPUTED_VALUE"""),"This will be hard to do, but if it is the right company I would try")</f>
        <v>This will be hard to do, but if it is the right company I would try</v>
      </c>
      <c r="H495" s="1" t="str">
        <f ca="1">IFERROR(__xludf.DUMMYFUNCTION("""COMPUTED_VALUE"""),"No")</f>
        <v>No</v>
      </c>
      <c r="I495" s="1" t="str">
        <f ca="1">IFERROR(__xludf.DUMMYFUNCTION("""COMPUTED_VALUE"""),"Will NOT work for them")</f>
        <v>Will NOT work for them</v>
      </c>
      <c r="J495" s="1">
        <f ca="1">IFERROR(__xludf.DUMMYFUNCTION("""COMPUTED_VALUE"""),1)</f>
        <v>1</v>
      </c>
      <c r="K495" s="1" t="str">
        <f ca="1">IFERROR(__xludf.DUMMYFUNCTION("""COMPUTED_VALUE"""),"Fully Remote with Options to travel as and when needed")</f>
        <v>Fully Remote with Options to travel as and when needed</v>
      </c>
      <c r="L495" s="1" t="str">
        <f ca="1">IFERROR(__xludf.DUMMYFUNCTION("""COMPUTED_VALUE"""),"Employer who appreciates learning and enables that environment")</f>
        <v>Employer who appreciates learning and enables that environment</v>
      </c>
      <c r="M49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N495" s="4" t="s">
        <v>48</v>
      </c>
      <c r="O495" s="1" t="str">
        <f ca="1">IFERROR(__xludf.DUMMYFUNCTION("""COMPUTED_VALUE"""),"Manager who sets goal and helps me achieve it")</f>
        <v>Manager who sets goal and helps me achieve it</v>
      </c>
      <c r="P495" s="1" t="str">
        <f ca="1">IFERROR(__xludf.DUMMYFUNCTION("""COMPUTED_VALUE"""),"Work &lt;=6 People in the Team")</f>
        <v>Work &lt;=6 People in the Team</v>
      </c>
      <c r="Q495" s="1" t="s">
        <v>43</v>
      </c>
      <c r="R495" s="1"/>
    </row>
    <row r="496" spans="1:18" x14ac:dyDescent="0.25">
      <c r="A496" s="2">
        <f ca="1">IFERROR(__xludf.DUMMYFUNCTION("""COMPUTED_VALUE"""),45021.5366809606)</f>
        <v>45021.536680960598</v>
      </c>
      <c r="B496" s="1" t="str">
        <f ca="1">IFERROR(__xludf.DUMMYFUNCTION("""COMPUTED_VALUE"""),"India")</f>
        <v>India</v>
      </c>
      <c r="C496" s="1">
        <f ca="1">IFERROR(__xludf.DUMMYFUNCTION("""COMPUTED_VALUE"""),121012)</f>
        <v>121012</v>
      </c>
      <c r="D496" s="1" t="str">
        <f ca="1">IFERROR(__xludf.DUMMYFUNCTION("""COMPUTED_VALUE"""),"Female")</f>
        <v>Female</v>
      </c>
      <c r="E496" s="1" t="str">
        <f ca="1">IFERROR(__xludf.DUMMYFUNCTION("""COMPUTED_VALUE"""),"Influencers who had successful careers")</f>
        <v>Influencers who had successful careers</v>
      </c>
      <c r="F496" s="1" t="str">
        <f ca="1">IFERROR(__xludf.DUMMYFUNCTION("""COMPUTED_VALUE"""),"Yes, I will earn and do that")</f>
        <v>Yes, I will earn and do that</v>
      </c>
      <c r="G496" s="1" t="str">
        <f ca="1">IFERROR(__xludf.DUMMYFUNCTION("""COMPUTED_VALUE"""),"This will be hard to do, but if it is the right company I would try")</f>
        <v>This will be hard to do, but if it is the right company I would try</v>
      </c>
      <c r="H496" s="1" t="str">
        <f ca="1">IFERROR(__xludf.DUMMYFUNCTION("""COMPUTED_VALUE"""),"No")</f>
        <v>No</v>
      </c>
      <c r="I496" s="1" t="str">
        <f ca="1">IFERROR(__xludf.DUMMYFUNCTION("""COMPUTED_VALUE"""),"Will NOT work for them")</f>
        <v>Will NOT work for them</v>
      </c>
      <c r="J496" s="1">
        <f ca="1">IFERROR(__xludf.DUMMYFUNCTION("""COMPUTED_VALUE"""),3)</f>
        <v>3</v>
      </c>
      <c r="K496" s="1" t="str">
        <f ca="1">IFERROR(__xludf.DUMMYFUNCTION("""COMPUTED_VALUE"""),"Hybrid Working Environment with more than 15 days a month at office")</f>
        <v>Hybrid Working Environment with more than 15 days a month at office</v>
      </c>
      <c r="L496" s="1" t="str">
        <f ca="1">IFERROR(__xludf.DUMMYFUNCTION("""COMPUTED_VALUE"""),"Employer who pushes your limits by enabling an learning environment, and rewards you at the end")</f>
        <v>Employer who pushes your limits by enabling an learning environment, and rewards you at the end</v>
      </c>
      <c r="M4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496" s="4" t="s">
        <v>49</v>
      </c>
      <c r="O496" s="1" t="str">
        <f ca="1">IFERROR(__xludf.DUMMYFUNCTION("""COMPUTED_VALUE"""),"Manager who explains what is expected, sets a goal and helps achieve it")</f>
        <v>Manager who explains what is expected, sets a goal and helps achieve it</v>
      </c>
      <c r="P496" s="1" t="str">
        <f ca="1">IFERROR(__xludf.DUMMYFUNCTION("""COMPUTED_VALUE"""),"Work &lt;=6 People in the Team")</f>
        <v>Work &lt;=6 People in the Team</v>
      </c>
      <c r="Q496" s="1" t="s">
        <v>40</v>
      </c>
      <c r="R496" s="1"/>
    </row>
    <row r="497" spans="1:18" x14ac:dyDescent="0.25">
      <c r="A497" s="2">
        <f ca="1">IFERROR(__xludf.DUMMYFUNCTION("""COMPUTED_VALUE"""),45021.5373294444)</f>
        <v>45021.5373294444</v>
      </c>
      <c r="B497" s="1" t="str">
        <f ca="1">IFERROR(__xludf.DUMMYFUNCTION("""COMPUTED_VALUE"""),"India")</f>
        <v>India</v>
      </c>
      <c r="C497" s="1">
        <f ca="1">IFERROR(__xludf.DUMMYFUNCTION("""COMPUTED_VALUE"""),400097)</f>
        <v>400097</v>
      </c>
      <c r="D497" s="1" t="str">
        <f ca="1">IFERROR(__xludf.DUMMYFUNCTION("""COMPUTED_VALUE"""),"Male")</f>
        <v>Male</v>
      </c>
      <c r="E497" s="1" t="str">
        <f ca="1">IFERROR(__xludf.DUMMYFUNCTION("""COMPUTED_VALUE"""),"My Parents")</f>
        <v>My Parents</v>
      </c>
      <c r="F497" s="1" t="str">
        <f ca="1">IFERROR(__xludf.DUMMYFUNCTION("""COMPUTED_VALUE"""),"No, But if someone could bare the cost I will")</f>
        <v>No, But if someone could bare the cost I will</v>
      </c>
      <c r="G497" s="1" t="str">
        <f ca="1">IFERROR(__xludf.DUMMYFUNCTION("""COMPUTED_VALUE"""),"Will work for 3 years or more")</f>
        <v>Will work for 3 years or more</v>
      </c>
      <c r="H497" s="1" t="str">
        <f ca="1">IFERROR(__xludf.DUMMYFUNCTION("""COMPUTED_VALUE"""),"Yes")</f>
        <v>Yes</v>
      </c>
      <c r="I497" s="1" t="str">
        <f ca="1">IFERROR(__xludf.DUMMYFUNCTION("""COMPUTED_VALUE"""),"Will NOT work for them")</f>
        <v>Will NOT work for them</v>
      </c>
      <c r="J497" s="1">
        <f ca="1">IFERROR(__xludf.DUMMYFUNCTION("""COMPUTED_VALUE"""),8)</f>
        <v>8</v>
      </c>
      <c r="K497" s="1" t="str">
        <f ca="1">IFERROR(__xludf.DUMMYFUNCTION("""COMPUTED_VALUE"""),"Fully Remote with Options to travel as and when needed")</f>
        <v>Fully Remote with Options to travel as and when needed</v>
      </c>
      <c r="L497" s="1" t="str">
        <f ca="1">IFERROR(__xludf.DUMMYFUNCTION("""COMPUTED_VALUE"""),"Employer who pushes your limits by enabling an learning environment, and rewards you at the end")</f>
        <v>Employer who pushes your limits by enabling an learning environment, and rewards you at the end</v>
      </c>
      <c r="M497"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N497" s="4" t="s">
        <v>49</v>
      </c>
      <c r="O497" s="1" t="str">
        <f ca="1">IFERROR(__xludf.DUMMYFUNCTION("""COMPUTED_VALUE"""),"Manager who explains what is expected, sets a goal and helps achieve it")</f>
        <v>Manager who explains what is expected, sets a goal and helps achieve it</v>
      </c>
      <c r="P497" s="1" t="str">
        <f ca="1">IFERROR(__xludf.DUMMYFUNCTION("""COMPUTED_VALUE"""),"Work  &lt;67 people in team")</f>
        <v>Work  &lt;67 people in team</v>
      </c>
      <c r="Q497" s="1" t="s">
        <v>42</v>
      </c>
      <c r="R497" s="1"/>
    </row>
    <row r="498" spans="1:18" x14ac:dyDescent="0.25">
      <c r="A498" s="2">
        <f ca="1">IFERROR(__xludf.DUMMYFUNCTION("""COMPUTED_VALUE"""),45021.5405184259)</f>
        <v>45021.5405184259</v>
      </c>
      <c r="B498" s="1" t="str">
        <f ca="1">IFERROR(__xludf.DUMMYFUNCTION("""COMPUTED_VALUE"""),"India")</f>
        <v>India</v>
      </c>
      <c r="C498" s="1">
        <f ca="1">IFERROR(__xludf.DUMMYFUNCTION("""COMPUTED_VALUE"""),201306)</f>
        <v>201306</v>
      </c>
      <c r="D498" s="1" t="str">
        <f ca="1">IFERROR(__xludf.DUMMYFUNCTION("""COMPUTED_VALUE"""),"Male")</f>
        <v>Male</v>
      </c>
      <c r="E498" s="1" t="str">
        <f ca="1">IFERROR(__xludf.DUMMYFUNCTION("""COMPUTED_VALUE"""),"My Parents")</f>
        <v>My Parents</v>
      </c>
      <c r="F498" s="1" t="str">
        <f ca="1">IFERROR(__xludf.DUMMYFUNCTION("""COMPUTED_VALUE"""),"No I would not be pursuing Higher Education outside of India")</f>
        <v>No I would not be pursuing Higher Education outside of India</v>
      </c>
      <c r="G498" s="1" t="str">
        <f ca="1">IFERROR(__xludf.DUMMYFUNCTION("""COMPUTED_VALUE"""),"This will be hard to do, but if it is the right company I would try")</f>
        <v>This will be hard to do, but if it is the right company I would try</v>
      </c>
      <c r="H498" s="1" t="str">
        <f ca="1">IFERROR(__xludf.DUMMYFUNCTION("""COMPUTED_VALUE"""),"No")</f>
        <v>No</v>
      </c>
      <c r="I498" s="1" t="str">
        <f ca="1">IFERROR(__xludf.DUMMYFUNCTION("""COMPUTED_VALUE"""),"Will NOT work for them")</f>
        <v>Will NOT work for them</v>
      </c>
      <c r="J498" s="1">
        <f ca="1">IFERROR(__xludf.DUMMYFUNCTION("""COMPUTED_VALUE"""),5)</f>
        <v>5</v>
      </c>
      <c r="K498" s="1" t="str">
        <f ca="1">IFERROR(__xludf.DUMMYFUNCTION("""COMPUTED_VALUE"""),"Fully Remote with Options to travel as and when needed")</f>
        <v>Fully Remote with Options to travel as and when needed</v>
      </c>
      <c r="L498" s="1" t="str">
        <f ca="1">IFERROR(__xludf.DUMMYFUNCTION("""COMPUTED_VALUE"""),"Employer who appreciates learning and enables that environment")</f>
        <v>Employer who appreciates learning and enables that environment</v>
      </c>
      <c r="M49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N498" s="4" t="s">
        <v>53</v>
      </c>
      <c r="O498" s="1" t="str">
        <f ca="1">IFERROR(__xludf.DUMMYFUNCTION("""COMPUTED_VALUE"""),"Manager who clearly describes what she/he needs")</f>
        <v>Manager who clearly describes what she/he needs</v>
      </c>
      <c r="P498" s="1" t="str">
        <f ca="1">IFERROR(__xludf.DUMMYFUNCTION("""COMPUTED_VALUE"""),"Work alone")</f>
        <v>Work alone</v>
      </c>
      <c r="Q498" s="1" t="s">
        <v>40</v>
      </c>
      <c r="R498" s="1"/>
    </row>
    <row r="499" spans="1:18" x14ac:dyDescent="0.25">
      <c r="A499" s="2">
        <f ca="1">IFERROR(__xludf.DUMMYFUNCTION("""COMPUTED_VALUE"""),45021.5412948842)</f>
        <v>45021.541294884199</v>
      </c>
      <c r="B499" s="1" t="str">
        <f ca="1">IFERROR(__xludf.DUMMYFUNCTION("""COMPUTED_VALUE"""),"India")</f>
        <v>India</v>
      </c>
      <c r="C499" s="1">
        <f ca="1">IFERROR(__xludf.DUMMYFUNCTION("""COMPUTED_VALUE"""),501023)</f>
        <v>501023</v>
      </c>
      <c r="D499" s="1" t="str">
        <f ca="1">IFERROR(__xludf.DUMMYFUNCTION("""COMPUTED_VALUE"""),"Female")</f>
        <v>Female</v>
      </c>
      <c r="E499" s="1" t="str">
        <f ca="1">IFERROR(__xludf.DUMMYFUNCTION("""COMPUTED_VALUE"""),"People who have changed the world for better")</f>
        <v>People who have changed the world for better</v>
      </c>
      <c r="F499" s="1" t="str">
        <f ca="1">IFERROR(__xludf.DUMMYFUNCTION("""COMPUTED_VALUE"""),"Yes, I will earn and do that")</f>
        <v>Yes, I will earn and do that</v>
      </c>
      <c r="G499" s="1" t="str">
        <f ca="1">IFERROR(__xludf.DUMMYFUNCTION("""COMPUTED_VALUE"""),"Will work for 3 years or more")</f>
        <v>Will work for 3 years or more</v>
      </c>
      <c r="H499" s="1" t="str">
        <f ca="1">IFERROR(__xludf.DUMMYFUNCTION("""COMPUTED_VALUE"""),"No")</f>
        <v>No</v>
      </c>
      <c r="I499" s="1" t="str">
        <f ca="1">IFERROR(__xludf.DUMMYFUNCTION("""COMPUTED_VALUE"""),"Will NOT work for them")</f>
        <v>Will NOT work for them</v>
      </c>
      <c r="J499" s="1">
        <f ca="1">IFERROR(__xludf.DUMMYFUNCTION("""COMPUTED_VALUE"""),7)</f>
        <v>7</v>
      </c>
      <c r="K499" s="1" t="str">
        <f ca="1">IFERROR(__xludf.DUMMYFUNCTION("""COMPUTED_VALUE"""),"Hybrid Working Environment with more than 15 days a month at office")</f>
        <v>Hybrid Working Environment with more than 15 days a month at office</v>
      </c>
      <c r="L499" s="1" t="str">
        <f ca="1">IFERROR(__xludf.DUMMYFUNCTION("""COMPUTED_VALUE"""),"Employer who pushes your limits by enabling an learning environment, and rewards you at the end")</f>
        <v>Employer who pushes your limits by enabling an learning environment, and rewards you at the end</v>
      </c>
      <c r="M499" s="1" t="str">
        <f ca="1">IFERROR(__xludf.DUMMYFUNCTION("""COMPUTED_VALUE"""),"Design and Creative strategy in any company, Design and Develop amazing software, Work in a BPO setup for some well known client, Become a content Creator in some platform")</f>
        <v>Design and Creative strategy in any company, Design and Develop amazing software, Work in a BPO setup for some well known client, Become a content Creator in some platform</v>
      </c>
      <c r="N499" s="4" t="s">
        <v>49</v>
      </c>
      <c r="O499" s="1" t="str">
        <f ca="1">IFERROR(__xludf.DUMMYFUNCTION("""COMPUTED_VALUE"""),"Manager who sets goal and helps me achieve it")</f>
        <v>Manager who sets goal and helps me achieve it</v>
      </c>
      <c r="P499" s="1" t="str">
        <f ca="1">IFERROR(__xludf.DUMMYFUNCTION("""COMPUTED_VALUE"""),"Work &lt;=6 People in the Team")</f>
        <v>Work &lt;=6 People in the Team</v>
      </c>
      <c r="Q499" s="1" t="s">
        <v>43</v>
      </c>
      <c r="R499" s="1"/>
    </row>
    <row r="500" spans="1:18" x14ac:dyDescent="0.25">
      <c r="A500" s="2">
        <f ca="1">IFERROR(__xludf.DUMMYFUNCTION("""COMPUTED_VALUE"""),45021.5425700115)</f>
        <v>45021.542570011501</v>
      </c>
      <c r="B500" s="1" t="str">
        <f ca="1">IFERROR(__xludf.DUMMYFUNCTION("""COMPUTED_VALUE"""),"India")</f>
        <v>India</v>
      </c>
      <c r="C500" s="1">
        <f ca="1">IFERROR(__xludf.DUMMYFUNCTION("""COMPUTED_VALUE"""),400067)</f>
        <v>400067</v>
      </c>
      <c r="D500" s="1" t="str">
        <f ca="1">IFERROR(__xludf.DUMMYFUNCTION("""COMPUTED_VALUE"""),"Male")</f>
        <v>Male</v>
      </c>
      <c r="E500" s="1" t="str">
        <f ca="1">IFERROR(__xludf.DUMMYFUNCTION("""COMPUTED_VALUE"""),"Influencers who had successful careers")</f>
        <v>Influencers who had successful careers</v>
      </c>
      <c r="F500" s="1" t="str">
        <f ca="1">IFERROR(__xludf.DUMMYFUNCTION("""COMPUTED_VALUE"""),"No I would not be pursuing Higher Education outside of India")</f>
        <v>No I would not be pursuing Higher Education outside of India</v>
      </c>
      <c r="G500" s="1" t="str">
        <f ca="1">IFERROR(__xludf.DUMMYFUNCTION("""COMPUTED_VALUE"""),"This will be hard to do, but if it is the right company I would try")</f>
        <v>This will be hard to do, but if it is the right company I would try</v>
      </c>
      <c r="H500" s="1" t="str">
        <f ca="1">IFERROR(__xludf.DUMMYFUNCTION("""COMPUTED_VALUE"""),"No")</f>
        <v>No</v>
      </c>
      <c r="I500" s="1" t="str">
        <f ca="1">IFERROR(__xludf.DUMMYFUNCTION("""COMPUTED_VALUE"""),"Will NOT work for them")</f>
        <v>Will NOT work for them</v>
      </c>
      <c r="J500" s="1">
        <f ca="1">IFERROR(__xludf.DUMMYFUNCTION("""COMPUTED_VALUE"""),7)</f>
        <v>7</v>
      </c>
      <c r="K500" s="1" t="str">
        <f ca="1">IFERROR(__xludf.DUMMYFUNCTION("""COMPUTED_VALUE"""),"Hybrid Working Environment with more than 15 days a month at office")</f>
        <v>Hybrid Working Environment with more than 15 days a month at office</v>
      </c>
      <c r="L500" s="1" t="str">
        <f ca="1">IFERROR(__xludf.DUMMYFUNCTION("""COMPUTED_VALUE"""),"Employer who pushes your limits by enabling an learning environment, and rewards you at the end")</f>
        <v>Employer who pushes your limits by enabling an learning environment, and rewards you at the end</v>
      </c>
      <c r="M500" s="1" t="str">
        <f ca="1">IFERROR(__xludf.DUMMYFUNCTION("""COMPUTED_VALUE"""),"Teaching in any of the institutes/colleges/online or offline, Design and Develop amazing software, Work as a freelancer and do my thing my way, Entrepreneur or Start Up")</f>
        <v>Teaching in any of the institutes/colleges/online or offline, Design and Develop amazing software, Work as a freelancer and do my thing my way, Entrepreneur or Start Up</v>
      </c>
      <c r="N500" s="4" t="s">
        <v>53</v>
      </c>
      <c r="O500" s="1" t="str">
        <f ca="1">IFERROR(__xludf.DUMMYFUNCTION("""COMPUTED_VALUE"""),"Manager who explains what is expected, sets a goal and helps achieve it")</f>
        <v>Manager who explains what is expected, sets a goal and helps achieve it</v>
      </c>
      <c r="P500" s="1" t="str">
        <f ca="1">IFERROR(__xludf.DUMMYFUNCTION("""COMPUTED_VALUE"""),"Work &gt;=7 People in the Team")</f>
        <v>Work &gt;=7 People in the Team</v>
      </c>
      <c r="Q500" s="1" t="s">
        <v>42</v>
      </c>
      <c r="R500" s="1"/>
    </row>
    <row r="501" spans="1:18" x14ac:dyDescent="0.25">
      <c r="A501" s="2">
        <f ca="1">IFERROR(__xludf.DUMMYFUNCTION("""COMPUTED_VALUE"""),45021.5449826736)</f>
        <v>45021.5449826736</v>
      </c>
      <c r="B501" s="1" t="str">
        <f ca="1">IFERROR(__xludf.DUMMYFUNCTION("""COMPUTED_VALUE"""),"India")</f>
        <v>India</v>
      </c>
      <c r="C501" s="1">
        <f ca="1">IFERROR(__xludf.DUMMYFUNCTION("""COMPUTED_VALUE"""),500090)</f>
        <v>500090</v>
      </c>
      <c r="D501" s="1" t="str">
        <f ca="1">IFERROR(__xludf.DUMMYFUNCTION("""COMPUTED_VALUE"""),"Female")</f>
        <v>Female</v>
      </c>
      <c r="E501" s="1" t="str">
        <f ca="1">IFERROR(__xludf.DUMMYFUNCTION("""COMPUTED_VALUE"""),"Influencers who had successful careers")</f>
        <v>Influencers who had successful careers</v>
      </c>
      <c r="F501" s="1" t="str">
        <f ca="1">IFERROR(__xludf.DUMMYFUNCTION("""COMPUTED_VALUE"""),"Yes, I will earn and do that")</f>
        <v>Yes, I will earn and do that</v>
      </c>
      <c r="G501" s="1" t="str">
        <f ca="1">IFERROR(__xludf.DUMMYFUNCTION("""COMPUTED_VALUE"""),"Will work for 3 years or more")</f>
        <v>Will work for 3 years or more</v>
      </c>
      <c r="H501" s="1" t="str">
        <f ca="1">IFERROR(__xludf.DUMMYFUNCTION("""COMPUTED_VALUE"""),"No")</f>
        <v>No</v>
      </c>
      <c r="I501" s="1" t="str">
        <f ca="1">IFERROR(__xludf.DUMMYFUNCTION("""COMPUTED_VALUE"""),"Will NOT work for them")</f>
        <v>Will NOT work for them</v>
      </c>
      <c r="J501" s="1">
        <f ca="1">IFERROR(__xludf.DUMMYFUNCTION("""COMPUTED_VALUE"""),4)</f>
        <v>4</v>
      </c>
      <c r="K501" s="1" t="str">
        <f ca="1">IFERROR(__xludf.DUMMYFUNCTION("""COMPUTED_VALUE"""),"Every Day Office Environment")</f>
        <v>Every Day Office Environment</v>
      </c>
      <c r="L501" s="1" t="str">
        <f ca="1">IFERROR(__xludf.DUMMYFUNCTION("""COMPUTED_VALUE"""),"Employer who pushes your limits by enabling an learning environment, and rewards you at the end")</f>
        <v>Employer who pushes your limits by enabling an learning environment, and rewards you at the end</v>
      </c>
      <c r="M501"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N501" s="4" t="s">
        <v>49</v>
      </c>
      <c r="O501" s="1" t="str">
        <f ca="1">IFERROR(__xludf.DUMMYFUNCTION("""COMPUTED_VALUE"""),"Manager who explains what is expected, sets a goal and helps achieve it")</f>
        <v>Manager who explains what is expected, sets a goal and helps achieve it</v>
      </c>
      <c r="P501" s="1" t="str">
        <f ca="1">IFERROR(__xludf.DUMMYFUNCTION("""COMPUTED_VALUE"""),"Work &gt;10 people in Team")</f>
        <v>Work &gt;10 people in Team</v>
      </c>
      <c r="Q501" s="1" t="s">
        <v>40</v>
      </c>
      <c r="R501" s="1"/>
    </row>
    <row r="502" spans="1:18" x14ac:dyDescent="0.25">
      <c r="A502" s="2">
        <f ca="1">IFERROR(__xludf.DUMMYFUNCTION("""COMPUTED_VALUE"""),45021.5467826273)</f>
        <v>45021.546782627302</v>
      </c>
      <c r="B502" s="1" t="str">
        <f ca="1">IFERROR(__xludf.DUMMYFUNCTION("""COMPUTED_VALUE"""),"India")</f>
        <v>India</v>
      </c>
      <c r="C502" s="1">
        <f ca="1">IFERROR(__xludf.DUMMYFUNCTION("""COMPUTED_VALUE"""),500048)</f>
        <v>500048</v>
      </c>
      <c r="D502" s="1" t="str">
        <f ca="1">IFERROR(__xludf.DUMMYFUNCTION("""COMPUTED_VALUE"""),"Female")</f>
        <v>Female</v>
      </c>
      <c r="E502" s="1" t="str">
        <f ca="1">IFERROR(__xludf.DUMMYFUNCTION("""COMPUTED_VALUE"""),"My Parents")</f>
        <v>My Parents</v>
      </c>
      <c r="F502" s="1" t="str">
        <f ca="1">IFERROR(__xludf.DUMMYFUNCTION("""COMPUTED_VALUE"""),"Yes, I will earn and do that")</f>
        <v>Yes, I will earn and do that</v>
      </c>
      <c r="G502" s="1" t="str">
        <f ca="1">IFERROR(__xludf.DUMMYFUNCTION("""COMPUTED_VALUE"""),"This will be hard to do, but if it is the right company I would try")</f>
        <v>This will be hard to do, but if it is the right company I would try</v>
      </c>
      <c r="H502" s="1" t="str">
        <f ca="1">IFERROR(__xludf.DUMMYFUNCTION("""COMPUTED_VALUE"""),"No")</f>
        <v>No</v>
      </c>
      <c r="I502" s="1" t="str">
        <f ca="1">IFERROR(__xludf.DUMMYFUNCTION("""COMPUTED_VALUE"""),"Will NOT work for them")</f>
        <v>Will NOT work for them</v>
      </c>
      <c r="J502" s="1">
        <f ca="1">IFERROR(__xludf.DUMMYFUNCTION("""COMPUTED_VALUE"""),7)</f>
        <v>7</v>
      </c>
      <c r="K502" s="1" t="str">
        <f ca="1">IFERROR(__xludf.DUMMYFUNCTION("""COMPUTED_VALUE"""),"Fully Remote with Options to travel as and when needed")</f>
        <v>Fully Remote with Options to travel as and when needed</v>
      </c>
      <c r="L502" s="1" t="str">
        <f ca="1">IFERROR(__xludf.DUMMYFUNCTION("""COMPUTED_VALUE"""),"Employer who pushes your limits by enabling an learning environment, and rewards you at the end")</f>
        <v>Employer who pushes your limits by enabling an learning environment, and rewards you at the end</v>
      </c>
      <c r="M502"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N502" s="4" t="s">
        <v>53</v>
      </c>
      <c r="O502" s="1" t="str">
        <f ca="1">IFERROR(__xludf.DUMMYFUNCTION("""COMPUTED_VALUE"""),"Manager who explains what is expected, sets a goal and helps achieve it")</f>
        <v>Manager who explains what is expected, sets a goal and helps achieve it</v>
      </c>
      <c r="P502" s="1" t="str">
        <f ca="1">IFERROR(__xludf.DUMMYFUNCTION("""COMPUTED_VALUE"""),"Work &lt;=6 People in the Team")</f>
        <v>Work &lt;=6 People in the Team</v>
      </c>
      <c r="Q502" s="1" t="s">
        <v>40</v>
      </c>
      <c r="R502" s="1"/>
    </row>
    <row r="503" spans="1:18" x14ac:dyDescent="0.25">
      <c r="A503" s="2">
        <f ca="1">IFERROR(__xludf.DUMMYFUNCTION("""COMPUTED_VALUE"""),45021.5468664814)</f>
        <v>45021.546866481403</v>
      </c>
      <c r="B503" s="1" t="str">
        <f ca="1">IFERROR(__xludf.DUMMYFUNCTION("""COMPUTED_VALUE"""),"India")</f>
        <v>India</v>
      </c>
      <c r="C503" s="1">
        <f ca="1">IFERROR(__xludf.DUMMYFUNCTION("""COMPUTED_VALUE"""),110077)</f>
        <v>110077</v>
      </c>
      <c r="D503" s="1" t="str">
        <f ca="1">IFERROR(__xludf.DUMMYFUNCTION("""COMPUTED_VALUE"""),"Female")</f>
        <v>Female</v>
      </c>
      <c r="E503" s="1" t="str">
        <f ca="1">IFERROR(__xludf.DUMMYFUNCTION("""COMPUTED_VALUE"""),"My Parents")</f>
        <v>My Parents</v>
      </c>
      <c r="F503" s="1" t="str">
        <f ca="1">IFERROR(__xludf.DUMMYFUNCTION("""COMPUTED_VALUE"""),"No I would not be pursuing Higher Education outside of India")</f>
        <v>No I would not be pursuing Higher Education outside of India</v>
      </c>
      <c r="G503" s="1" t="str">
        <f ca="1">IFERROR(__xludf.DUMMYFUNCTION("""COMPUTED_VALUE"""),"Will work for 3 years or more")</f>
        <v>Will work for 3 years or more</v>
      </c>
      <c r="H503" s="1" t="str">
        <f ca="1">IFERROR(__xludf.DUMMYFUNCTION("""COMPUTED_VALUE"""),"Yes")</f>
        <v>Yes</v>
      </c>
      <c r="I503" s="1" t="str">
        <f ca="1">IFERROR(__xludf.DUMMYFUNCTION("""COMPUTED_VALUE"""),"Will NOT work for them")</f>
        <v>Will NOT work for them</v>
      </c>
      <c r="J503" s="1">
        <f ca="1">IFERROR(__xludf.DUMMYFUNCTION("""COMPUTED_VALUE"""),5)</f>
        <v>5</v>
      </c>
      <c r="K503" s="1" t="str">
        <f ca="1">IFERROR(__xludf.DUMMYFUNCTION("""COMPUTED_VALUE"""),"Every Day Office Environment")</f>
        <v>Every Day Office Environment</v>
      </c>
      <c r="L503" s="1" t="str">
        <f ca="1">IFERROR(__xludf.DUMMYFUNCTION("""COMPUTED_VALUE"""),"Employer who appreciates learning and enables that environment")</f>
        <v>Employer who appreciates learning and enables that environment</v>
      </c>
      <c r="M50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503" s="4" t="s">
        <v>48</v>
      </c>
      <c r="O503" s="1" t="str">
        <f ca="1">IFERROR(__xludf.DUMMYFUNCTION("""COMPUTED_VALUE"""),"Manager who sets goal and helps me achieve it")</f>
        <v>Manager who sets goal and helps me achieve it</v>
      </c>
      <c r="P503" s="1" t="str">
        <f ca="1">IFERROR(__xludf.DUMMYFUNCTION("""COMPUTED_VALUE"""),"Work &lt;=6 People in the Team")</f>
        <v>Work &lt;=6 People in the Team</v>
      </c>
      <c r="Q503" s="1" t="s">
        <v>43</v>
      </c>
      <c r="R503" s="1"/>
    </row>
    <row r="504" spans="1:18" x14ac:dyDescent="0.25">
      <c r="A504" s="2">
        <f ca="1">IFERROR(__xludf.DUMMYFUNCTION("""COMPUTED_VALUE"""),45021.5502395833)</f>
        <v>45021.550239583303</v>
      </c>
      <c r="B504" s="1" t="str">
        <f ca="1">IFERROR(__xludf.DUMMYFUNCTION("""COMPUTED_VALUE"""),"India")</f>
        <v>India</v>
      </c>
      <c r="C504" s="1">
        <f ca="1">IFERROR(__xludf.DUMMYFUNCTION("""COMPUTED_VALUE"""),209305)</f>
        <v>209305</v>
      </c>
      <c r="D504" s="1" t="str">
        <f ca="1">IFERROR(__xludf.DUMMYFUNCTION("""COMPUTED_VALUE"""),"Male")</f>
        <v>Male</v>
      </c>
      <c r="E504" s="1" t="str">
        <f ca="1">IFERROR(__xludf.DUMMYFUNCTION("""COMPUTED_VALUE"""),"Social Media like LinkedIn")</f>
        <v>Social Media like LinkedIn</v>
      </c>
      <c r="F504" s="1" t="str">
        <f ca="1">IFERROR(__xludf.DUMMYFUNCTION("""COMPUTED_VALUE"""),"Yes, I will earn and do that")</f>
        <v>Yes, I will earn and do that</v>
      </c>
      <c r="G504" s="1" t="str">
        <f ca="1">IFERROR(__xludf.DUMMYFUNCTION("""COMPUTED_VALUE"""),"This will be hard to do, but if it is the right company I would try")</f>
        <v>This will be hard to do, but if it is the right company I would try</v>
      </c>
      <c r="H504" s="1" t="str">
        <f ca="1">IFERROR(__xludf.DUMMYFUNCTION("""COMPUTED_VALUE"""),"Yes")</f>
        <v>Yes</v>
      </c>
      <c r="I504" s="1" t="str">
        <f ca="1">IFERROR(__xludf.DUMMYFUNCTION("""COMPUTED_VALUE"""),"Will work for them")</f>
        <v>Will work for them</v>
      </c>
      <c r="J504" s="1">
        <f ca="1">IFERROR(__xludf.DUMMYFUNCTION("""COMPUTED_VALUE"""),9)</f>
        <v>9</v>
      </c>
      <c r="K504" s="1" t="str">
        <f ca="1">IFERROR(__xludf.DUMMYFUNCTION("""COMPUTED_VALUE"""),"Fully Remote with Options to travel as and when needed")</f>
        <v>Fully Remote with Options to travel as and when needed</v>
      </c>
      <c r="L504" s="1" t="str">
        <f ca="1">IFERROR(__xludf.DUMMYFUNCTION("""COMPUTED_VALUE"""),"Employer who pushes your limits by enabling an learning environment, and rewards you at the end")</f>
        <v>Employer who pushes your limits by enabling an learning environment, and rewards you at the end</v>
      </c>
      <c r="M504" s="1" t="str">
        <f ca="1">IFERROR(__xludf.DUMMYFUNCTION("""COMPUTED_VALUE"""),"Build and develop a Team, Design and Develop amazing software, Look deeply into Data and generate insights, Work as a freelancer and do my thing my way")</f>
        <v>Build and develop a Team, Design and Develop amazing software, Look deeply into Data and generate insights, Work as a freelancer and do my thing my way</v>
      </c>
      <c r="N504" s="4" t="s">
        <v>53</v>
      </c>
      <c r="O504" s="1" t="str">
        <f ca="1">IFERROR(__xludf.DUMMYFUNCTION("""COMPUTED_VALUE"""),"Manager who sets targets and expects me to achieve it")</f>
        <v>Manager who sets targets and expects me to achieve it</v>
      </c>
      <c r="P504" s="1" t="str">
        <f ca="1">IFERROR(__xludf.DUMMYFUNCTION("""COMPUTED_VALUE"""),"Work  &lt;67 people in team")</f>
        <v>Work  &lt;67 people in team</v>
      </c>
      <c r="Q504" s="1" t="s">
        <v>42</v>
      </c>
      <c r="R504" s="1"/>
    </row>
    <row r="505" spans="1:18" x14ac:dyDescent="0.25">
      <c r="A505" s="2">
        <f ca="1">IFERROR(__xludf.DUMMYFUNCTION("""COMPUTED_VALUE"""),45021.5505609953)</f>
        <v>45021.550560995303</v>
      </c>
      <c r="B505" s="1" t="str">
        <f ca="1">IFERROR(__xludf.DUMMYFUNCTION("""COMPUTED_VALUE"""),"India")</f>
        <v>India</v>
      </c>
      <c r="C505" s="1">
        <f ca="1">IFERROR(__xludf.DUMMYFUNCTION("""COMPUTED_VALUE"""),400067)</f>
        <v>400067</v>
      </c>
      <c r="D505" s="1" t="str">
        <f ca="1">IFERROR(__xludf.DUMMYFUNCTION("""COMPUTED_VALUE"""),"Male")</f>
        <v>Male</v>
      </c>
      <c r="E505" s="1" t="str">
        <f ca="1">IFERROR(__xludf.DUMMYFUNCTION("""COMPUTED_VALUE"""),"People who have changed the world for better")</f>
        <v>People who have changed the world for better</v>
      </c>
      <c r="F505" s="1" t="str">
        <f ca="1">IFERROR(__xludf.DUMMYFUNCTION("""COMPUTED_VALUE"""),"Yes, I will earn and do that")</f>
        <v>Yes, I will earn and do that</v>
      </c>
      <c r="G505" s="1" t="str">
        <f ca="1">IFERROR(__xludf.DUMMYFUNCTION("""COMPUTED_VALUE"""),"This will be hard to do, but if it is the right company I would try")</f>
        <v>This will be hard to do, but if it is the right company I would try</v>
      </c>
      <c r="H505" s="1" t="str">
        <f ca="1">IFERROR(__xludf.DUMMYFUNCTION("""COMPUTED_VALUE"""),"No")</f>
        <v>No</v>
      </c>
      <c r="I505" s="1" t="str">
        <f ca="1">IFERROR(__xludf.DUMMYFUNCTION("""COMPUTED_VALUE"""),"Will NOT work for them")</f>
        <v>Will NOT work for them</v>
      </c>
      <c r="J505" s="1">
        <f ca="1">IFERROR(__xludf.DUMMYFUNCTION("""COMPUTED_VALUE"""),3)</f>
        <v>3</v>
      </c>
      <c r="K505" s="1" t="str">
        <f ca="1">IFERROR(__xludf.DUMMYFUNCTION("""COMPUTED_VALUE"""),"Fully Remote with Options to travel as and when needed")</f>
        <v>Fully Remote with Options to travel as and when needed</v>
      </c>
      <c r="L505" s="1" t="str">
        <f ca="1">IFERROR(__xludf.DUMMYFUNCTION("""COMPUTED_VALUE"""),"Employer who rewards learning and enables that environment")</f>
        <v>Employer who rewards learning and enables that environment</v>
      </c>
      <c r="M50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N505" s="4" t="s">
        <v>48</v>
      </c>
      <c r="O505" s="1" t="str">
        <f ca="1">IFERROR(__xludf.DUMMYFUNCTION("""COMPUTED_VALUE"""),"Manager who sets goal and helps me achieve it")</f>
        <v>Manager who sets goal and helps me achieve it</v>
      </c>
      <c r="P505" s="1" t="str">
        <f ca="1">IFERROR(__xludf.DUMMYFUNCTION("""COMPUTED_VALUE"""),"Work &lt;=6 People in the Team")</f>
        <v>Work &lt;=6 People in the Team</v>
      </c>
      <c r="Q505" s="1" t="s">
        <v>42</v>
      </c>
      <c r="R505" s="1"/>
    </row>
    <row r="506" spans="1:18" x14ac:dyDescent="0.25">
      <c r="A506" s="2">
        <f ca="1">IFERROR(__xludf.DUMMYFUNCTION("""COMPUTED_VALUE"""),45021.5517604398)</f>
        <v>45021.551760439797</v>
      </c>
      <c r="B506" s="1" t="str">
        <f ca="1">IFERROR(__xludf.DUMMYFUNCTION("""COMPUTED_VALUE"""),"India")</f>
        <v>India</v>
      </c>
      <c r="C506" s="1">
        <f ca="1">IFERROR(__xludf.DUMMYFUNCTION("""COMPUTED_VALUE"""),249407)</f>
        <v>249407</v>
      </c>
      <c r="D506" s="1" t="str">
        <f ca="1">IFERROR(__xludf.DUMMYFUNCTION("""COMPUTED_VALUE"""),"Male")</f>
        <v>Male</v>
      </c>
      <c r="E506" s="1" t="str">
        <f ca="1">IFERROR(__xludf.DUMMYFUNCTION("""COMPUTED_VALUE"""),"People who have changed the world for better")</f>
        <v>People who have changed the world for better</v>
      </c>
      <c r="F506" s="1" t="str">
        <f ca="1">IFERROR(__xludf.DUMMYFUNCTION("""COMPUTED_VALUE"""),"No, But if someone could bare the cost I will")</f>
        <v>No, But if someone could bare the cost I will</v>
      </c>
      <c r="G506" s="1" t="str">
        <f ca="1">IFERROR(__xludf.DUMMYFUNCTION("""COMPUTED_VALUE"""),"This will be hard to do, but if it is the right company I would try")</f>
        <v>This will be hard to do, but if it is the right company I would try</v>
      </c>
      <c r="H506" s="1" t="str">
        <f ca="1">IFERROR(__xludf.DUMMYFUNCTION("""COMPUTED_VALUE"""),"No")</f>
        <v>No</v>
      </c>
      <c r="I506" s="1" t="str">
        <f ca="1">IFERROR(__xludf.DUMMYFUNCTION("""COMPUTED_VALUE"""),"Will NOT work for them")</f>
        <v>Will NOT work for them</v>
      </c>
      <c r="J506" s="1">
        <f ca="1">IFERROR(__xludf.DUMMYFUNCTION("""COMPUTED_VALUE"""),1)</f>
        <v>1</v>
      </c>
      <c r="K506" s="1" t="str">
        <f ca="1">IFERROR(__xludf.DUMMYFUNCTION("""COMPUTED_VALUE"""),"Fully Remote with Options to travel as and when needed")</f>
        <v>Fully Remote with Options to travel as and when needed</v>
      </c>
      <c r="L506" s="1" t="str">
        <f ca="1">IFERROR(__xludf.DUMMYFUNCTION("""COMPUTED_VALUE"""),"Employer who pushes your limits by enabling an learning environment, and rewards you at the end")</f>
        <v>Employer who pushes your limits by enabling an learning environment, and rewards you at the end</v>
      </c>
      <c r="M506" s="1" t="str">
        <f ca="1">IFERROR(__xludf.DUMMYFUNCTION("""COMPUTED_VALUE"""),"Design and Creative strategy in any company, Teaching in any of the institutes/colleges/online or offline, Manage and drive End-to-End Projects or Products, Entrepreneur or Start Up")</f>
        <v>Design and Creative strategy in any company, Teaching in any of the institutes/colleges/online or offline, Manage and drive End-to-End Projects or Products, Entrepreneur or Start Up</v>
      </c>
      <c r="N506" s="4" t="s">
        <v>49</v>
      </c>
      <c r="O506" s="1" t="str">
        <f ca="1">IFERROR(__xludf.DUMMYFUNCTION("""COMPUTED_VALUE"""),"Manager who sets targets and expects me to achieve it")</f>
        <v>Manager who sets targets and expects me to achieve it</v>
      </c>
      <c r="P506" s="1" t="str">
        <f ca="1">IFERROR(__xludf.DUMMYFUNCTION("""COMPUTED_VALUE"""),"Work &gt;10 people in Team")</f>
        <v>Work &gt;10 people in Team</v>
      </c>
      <c r="Q506" s="1" t="s">
        <v>43</v>
      </c>
      <c r="R506" s="1"/>
    </row>
    <row r="507" spans="1:18" x14ac:dyDescent="0.25">
      <c r="A507" s="2">
        <f ca="1">IFERROR(__xludf.DUMMYFUNCTION("""COMPUTED_VALUE"""),45021.5536518981)</f>
        <v>45021.553651898103</v>
      </c>
      <c r="B507" s="1" t="str">
        <f ca="1">IFERROR(__xludf.DUMMYFUNCTION("""COMPUTED_VALUE"""),"India")</f>
        <v>India</v>
      </c>
      <c r="C507" s="1">
        <f ca="1">IFERROR(__xludf.DUMMYFUNCTION("""COMPUTED_VALUE"""),500060)</f>
        <v>500060</v>
      </c>
      <c r="D507" s="1" t="str">
        <f ca="1">IFERROR(__xludf.DUMMYFUNCTION("""COMPUTED_VALUE"""),"Male")</f>
        <v>Male</v>
      </c>
      <c r="E507" s="1" t="str">
        <f ca="1">IFERROR(__xludf.DUMMYFUNCTION("""COMPUTED_VALUE"""),"Influencers who had successful careers")</f>
        <v>Influencers who had successful careers</v>
      </c>
      <c r="F507" s="1" t="str">
        <f ca="1">IFERROR(__xludf.DUMMYFUNCTION("""COMPUTED_VALUE"""),"Yes, I will earn and do that")</f>
        <v>Yes, I will earn and do that</v>
      </c>
      <c r="G507" s="1" t="str">
        <f ca="1">IFERROR(__xludf.DUMMYFUNCTION("""COMPUTED_VALUE"""),"Will work for 3 years or more")</f>
        <v>Will work for 3 years or more</v>
      </c>
      <c r="H507" s="1" t="str">
        <f ca="1">IFERROR(__xludf.DUMMYFUNCTION("""COMPUTED_VALUE"""),"No")</f>
        <v>No</v>
      </c>
      <c r="I507" s="1" t="str">
        <f ca="1">IFERROR(__xludf.DUMMYFUNCTION("""COMPUTED_VALUE"""),"Will NOT work for them")</f>
        <v>Will NOT work for them</v>
      </c>
      <c r="J507" s="1">
        <f ca="1">IFERROR(__xludf.DUMMYFUNCTION("""COMPUTED_VALUE"""),5)</f>
        <v>5</v>
      </c>
      <c r="K507" s="1" t="str">
        <f ca="1">IFERROR(__xludf.DUMMYFUNCTION("""COMPUTED_VALUE"""),"Hybrid Working Environment with less than 3 days a month at office")</f>
        <v>Hybrid Working Environment with less than 3 days a month at office</v>
      </c>
      <c r="L507" s="1" t="str">
        <f ca="1">IFERROR(__xludf.DUMMYFUNCTION("""COMPUTED_VALUE"""),"Employer who pushes your limits by enabling an learning environment, and rewards you at the end")</f>
        <v>Employer who pushes your limits by enabling an learning environment, and rewards you at the end</v>
      </c>
      <c r="M507"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507" s="4" t="s">
        <v>48</v>
      </c>
      <c r="O507" s="1" t="str">
        <f ca="1">IFERROR(__xludf.DUMMYFUNCTION("""COMPUTED_VALUE"""),"Manager who explains what is expected, sets a goal and helps achieve it")</f>
        <v>Manager who explains what is expected, sets a goal and helps achieve it</v>
      </c>
      <c r="P507" s="1" t="str">
        <f ca="1">IFERROR(__xludf.DUMMYFUNCTION("""COMPUTED_VALUE"""),"Work Alone, &lt;67 people in team")</f>
        <v>Work Alone, &lt;67 people in team</v>
      </c>
      <c r="Q507" s="1" t="s">
        <v>43</v>
      </c>
      <c r="R507" s="1"/>
    </row>
    <row r="508" spans="1:18" x14ac:dyDescent="0.25">
      <c r="A508" s="2">
        <f ca="1">IFERROR(__xludf.DUMMYFUNCTION("""COMPUTED_VALUE"""),45021.5548445486)</f>
        <v>45021.554844548598</v>
      </c>
      <c r="B508" s="1" t="str">
        <f ca="1">IFERROR(__xludf.DUMMYFUNCTION("""COMPUTED_VALUE"""),"India")</f>
        <v>India</v>
      </c>
      <c r="C508" s="1">
        <f ca="1">IFERROR(__xludf.DUMMYFUNCTION("""COMPUTED_VALUE"""),500019)</f>
        <v>500019</v>
      </c>
      <c r="D508" s="1" t="str">
        <f ca="1">IFERROR(__xludf.DUMMYFUNCTION("""COMPUTED_VALUE"""),"Female")</f>
        <v>Female</v>
      </c>
      <c r="E508" s="1" t="str">
        <f ca="1">IFERROR(__xludf.DUMMYFUNCTION("""COMPUTED_VALUE"""),"My Parents")</f>
        <v>My Parents</v>
      </c>
      <c r="F508" s="1" t="str">
        <f ca="1">IFERROR(__xludf.DUMMYFUNCTION("""COMPUTED_VALUE"""),"Yes, I will earn and do that")</f>
        <v>Yes, I will earn and do that</v>
      </c>
      <c r="G508" s="1" t="str">
        <f ca="1">IFERROR(__xludf.DUMMYFUNCTION("""COMPUTED_VALUE"""),"This will be hard to do, but if it is the right company I would try")</f>
        <v>This will be hard to do, but if it is the right company I would try</v>
      </c>
      <c r="H508" s="1" t="str">
        <f ca="1">IFERROR(__xludf.DUMMYFUNCTION("""COMPUTED_VALUE"""),"No")</f>
        <v>No</v>
      </c>
      <c r="I508" s="1" t="str">
        <f ca="1">IFERROR(__xludf.DUMMYFUNCTION("""COMPUTED_VALUE"""),"Will NOT work for them")</f>
        <v>Will NOT work for them</v>
      </c>
      <c r="J508" s="1">
        <f ca="1">IFERROR(__xludf.DUMMYFUNCTION("""COMPUTED_VALUE"""),5)</f>
        <v>5</v>
      </c>
      <c r="K508" s="1" t="str">
        <f ca="1">IFERROR(__xludf.DUMMYFUNCTION("""COMPUTED_VALUE"""),"Hybrid Working Environment with more than 15 days a month at office")</f>
        <v>Hybrid Working Environment with more than 15 days a month at office</v>
      </c>
      <c r="L508" s="1" t="str">
        <f ca="1">IFERROR(__xludf.DUMMYFUNCTION("""COMPUTED_VALUE"""),"Employer who appreciates learning and enables that environment")</f>
        <v>Employer who appreciates learning and enables that environment</v>
      </c>
      <c r="M508"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N508" s="4" t="s">
        <v>49</v>
      </c>
      <c r="O508" s="1" t="str">
        <f ca="1">IFERROR(__xludf.DUMMYFUNCTION("""COMPUTED_VALUE"""),"Manager who explains what is expected, sets a goal and helps achieve it")</f>
        <v>Manager who explains what is expected, sets a goal and helps achieve it</v>
      </c>
      <c r="P508" s="1" t="str">
        <f ca="1">IFERROR(__xludf.DUMMYFUNCTION("""COMPUTED_VALUE"""),"Work Alone, &lt;=6 in team")</f>
        <v>Work Alone, &lt;=6 in team</v>
      </c>
      <c r="Q508" s="1" t="s">
        <v>43</v>
      </c>
      <c r="R508" s="1"/>
    </row>
    <row r="509" spans="1:18" x14ac:dyDescent="0.25">
      <c r="A509" s="2">
        <f ca="1">IFERROR(__xludf.DUMMYFUNCTION("""COMPUTED_VALUE"""),45021.5572697453)</f>
        <v>45021.557269745303</v>
      </c>
      <c r="B509" s="1" t="str">
        <f ca="1">IFERROR(__xludf.DUMMYFUNCTION("""COMPUTED_VALUE"""),"India")</f>
        <v>India</v>
      </c>
      <c r="C509" s="1">
        <f ca="1">IFERROR(__xludf.DUMMYFUNCTION("""COMPUTED_VALUE"""),509375)</f>
        <v>509375</v>
      </c>
      <c r="D509" s="1" t="str">
        <f ca="1">IFERROR(__xludf.DUMMYFUNCTION("""COMPUTED_VALUE"""),"Female")</f>
        <v>Female</v>
      </c>
      <c r="E509" s="1" t="str">
        <f ca="1">IFERROR(__xludf.DUMMYFUNCTION("""COMPUTED_VALUE"""),"Influencers who had successful careers")</f>
        <v>Influencers who had successful careers</v>
      </c>
      <c r="F509" s="1" t="str">
        <f ca="1">IFERROR(__xludf.DUMMYFUNCTION("""COMPUTED_VALUE"""),"No I would not be pursuing Higher Education outside of India")</f>
        <v>No I would not be pursuing Higher Education outside of India</v>
      </c>
      <c r="G509" s="1" t="str">
        <f ca="1">IFERROR(__xludf.DUMMYFUNCTION("""COMPUTED_VALUE"""),"This will be hard to do, but if it is the right company I would try")</f>
        <v>This will be hard to do, but if it is the right company I would try</v>
      </c>
      <c r="H509" s="1" t="str">
        <f ca="1">IFERROR(__xludf.DUMMYFUNCTION("""COMPUTED_VALUE"""),"Yes")</f>
        <v>Yes</v>
      </c>
      <c r="I509" s="1" t="str">
        <f ca="1">IFERROR(__xludf.DUMMYFUNCTION("""COMPUTED_VALUE"""),"Will NOT work for them")</f>
        <v>Will NOT work for them</v>
      </c>
      <c r="J509" s="1">
        <f ca="1">IFERROR(__xludf.DUMMYFUNCTION("""COMPUTED_VALUE"""),6)</f>
        <v>6</v>
      </c>
      <c r="K509" s="1" t="str">
        <f ca="1">IFERROR(__xludf.DUMMYFUNCTION("""COMPUTED_VALUE"""),"Fully Remote with Options to travel as and when needed")</f>
        <v>Fully Remote with Options to travel as and when needed</v>
      </c>
      <c r="L509" s="1" t="str">
        <f ca="1">IFERROR(__xludf.DUMMYFUNCTION("""COMPUTED_VALUE"""),"Employer who appreciates learning and enables that environment")</f>
        <v>Employer who appreciates learning and enables that environment</v>
      </c>
      <c r="M509"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509" s="4" t="s">
        <v>48</v>
      </c>
      <c r="O509" s="1" t="str">
        <f ca="1">IFERROR(__xludf.DUMMYFUNCTION("""COMPUTED_VALUE"""),"Manager who explains what is expected, sets a goal and helps achieve it")</f>
        <v>Manager who explains what is expected, sets a goal and helps achieve it</v>
      </c>
      <c r="P509" s="1" t="str">
        <f ca="1">IFERROR(__xludf.DUMMYFUNCTION("""COMPUTED_VALUE"""),"Work &lt;=6 People in the Team")</f>
        <v>Work &lt;=6 People in the Team</v>
      </c>
      <c r="Q509" s="1" t="s">
        <v>43</v>
      </c>
      <c r="R509" s="1"/>
    </row>
    <row r="510" spans="1:18" x14ac:dyDescent="0.25">
      <c r="A510" s="2">
        <f ca="1">IFERROR(__xludf.DUMMYFUNCTION("""COMPUTED_VALUE"""),45021.5612691087)</f>
        <v>45021.561269108701</v>
      </c>
      <c r="B510" s="1" t="str">
        <f ca="1">IFERROR(__xludf.DUMMYFUNCTION("""COMPUTED_VALUE"""),"India")</f>
        <v>India</v>
      </c>
      <c r="C510" s="1">
        <f ca="1">IFERROR(__xludf.DUMMYFUNCTION("""COMPUTED_VALUE"""),641659)</f>
        <v>641659</v>
      </c>
      <c r="D510" s="1" t="str">
        <f ca="1">IFERROR(__xludf.DUMMYFUNCTION("""COMPUTED_VALUE"""),"Male")</f>
        <v>Male</v>
      </c>
      <c r="E510" s="1" t="str">
        <f ca="1">IFERROR(__xludf.DUMMYFUNCTION("""COMPUTED_VALUE"""),"Social Media like LinkedIn")</f>
        <v>Social Media like LinkedIn</v>
      </c>
      <c r="F510" s="1" t="str">
        <f ca="1">IFERROR(__xludf.DUMMYFUNCTION("""COMPUTED_VALUE"""),"No I would not be pursuing Higher Education outside of India")</f>
        <v>No I would not be pursuing Higher Education outside of India</v>
      </c>
      <c r="G510" s="1" t="str">
        <f ca="1">IFERROR(__xludf.DUMMYFUNCTION("""COMPUTED_VALUE"""),"This will be hard to do, but if it is the right company I would try")</f>
        <v>This will be hard to do, but if it is the right company I would try</v>
      </c>
      <c r="H510" s="1" t="str">
        <f ca="1">IFERROR(__xludf.DUMMYFUNCTION("""COMPUTED_VALUE"""),"No")</f>
        <v>No</v>
      </c>
      <c r="I510" s="1" t="str">
        <f ca="1">IFERROR(__xludf.DUMMYFUNCTION("""COMPUTED_VALUE"""),"Will NOT work for them")</f>
        <v>Will NOT work for them</v>
      </c>
      <c r="J510" s="1">
        <f ca="1">IFERROR(__xludf.DUMMYFUNCTION("""COMPUTED_VALUE"""),7)</f>
        <v>7</v>
      </c>
      <c r="K510" s="1" t="str">
        <f ca="1">IFERROR(__xludf.DUMMYFUNCTION("""COMPUTED_VALUE"""),"Fully Remote with Options to travel as and when needed")</f>
        <v>Fully Remote with Options to travel as and when needed</v>
      </c>
      <c r="L510" s="1" t="str">
        <f ca="1">IFERROR(__xludf.DUMMYFUNCTION("""COMPUTED_VALUE"""),"Employer who pushes your limits by enabling an learning environment, and rewards you at the end")</f>
        <v>Employer who pushes your limits by enabling an learning environment, and rewards you at the end</v>
      </c>
      <c r="M510"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N510" s="4" t="s">
        <v>53</v>
      </c>
      <c r="O510" s="1" t="str">
        <f ca="1">IFERROR(__xludf.DUMMYFUNCTION("""COMPUTED_VALUE"""),"Manager who explains what is expected, sets a goal and helps achieve it")</f>
        <v>Manager who explains what is expected, sets a goal and helps achieve it</v>
      </c>
      <c r="P510" s="1" t="str">
        <f ca="1">IFERROR(__xludf.DUMMYFUNCTION("""COMPUTED_VALUE"""),"Work &lt;67 People in the Team")</f>
        <v>Work &lt;67 People in the Team</v>
      </c>
      <c r="Q510" s="1" t="s">
        <v>43</v>
      </c>
      <c r="R510" s="1"/>
    </row>
    <row r="511" spans="1:18" x14ac:dyDescent="0.25">
      <c r="A511" s="2">
        <f ca="1">IFERROR(__xludf.DUMMYFUNCTION("""COMPUTED_VALUE"""),45021.5650900115)</f>
        <v>45021.5650900115</v>
      </c>
      <c r="B511" s="1" t="str">
        <f ca="1">IFERROR(__xludf.DUMMYFUNCTION("""COMPUTED_VALUE"""),"India")</f>
        <v>India</v>
      </c>
      <c r="C511" s="1">
        <f ca="1">IFERROR(__xludf.DUMMYFUNCTION("""COMPUTED_VALUE"""),50006)</f>
        <v>50006</v>
      </c>
      <c r="D511" s="1" t="str">
        <f ca="1">IFERROR(__xludf.DUMMYFUNCTION("""COMPUTED_VALUE"""),"Male")</f>
        <v>Male</v>
      </c>
      <c r="E511" s="1" t="str">
        <f ca="1">IFERROR(__xludf.DUMMYFUNCTION("""COMPUTED_VALUE"""),"Social Media like LinkedIn")</f>
        <v>Social Media like LinkedIn</v>
      </c>
      <c r="F511" s="1" t="str">
        <f ca="1">IFERROR(__xludf.DUMMYFUNCTION("""COMPUTED_VALUE"""),"No, But if someone could bare the cost I will")</f>
        <v>No, But if someone could bare the cost I will</v>
      </c>
      <c r="G511" s="1" t="str">
        <f ca="1">IFERROR(__xludf.DUMMYFUNCTION("""COMPUTED_VALUE"""),"Will work for 3 years or more")</f>
        <v>Will work for 3 years or more</v>
      </c>
      <c r="H511" s="1" t="str">
        <f ca="1">IFERROR(__xludf.DUMMYFUNCTION("""COMPUTED_VALUE"""),"Yes")</f>
        <v>Yes</v>
      </c>
      <c r="I511" s="1" t="str">
        <f ca="1">IFERROR(__xludf.DUMMYFUNCTION("""COMPUTED_VALUE"""),"Will work for them")</f>
        <v>Will work for them</v>
      </c>
      <c r="J511" s="1">
        <f ca="1">IFERROR(__xludf.DUMMYFUNCTION("""COMPUTED_VALUE"""),4)</f>
        <v>4</v>
      </c>
      <c r="K511" s="1" t="str">
        <f ca="1">IFERROR(__xludf.DUMMYFUNCTION("""COMPUTED_VALUE"""),"Hybrid Working Environment with less than 3 days a month at office")</f>
        <v>Hybrid Working Environment with less than 3 days a month at office</v>
      </c>
      <c r="L511" s="1" t="str">
        <f ca="1">IFERROR(__xludf.DUMMYFUNCTION("""COMPUTED_VALUE"""),"Employer who rewards learning and enables that environment")</f>
        <v>Employer who rewards learning and enables that environment</v>
      </c>
      <c r="M51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511" s="4" t="s">
        <v>48</v>
      </c>
      <c r="O511" s="1" t="str">
        <f ca="1">IFERROR(__xludf.DUMMYFUNCTION("""COMPUTED_VALUE"""),"Manager who sets targets and expects me to achieve it")</f>
        <v>Manager who sets targets and expects me to achieve it</v>
      </c>
      <c r="P511" s="1" t="str">
        <f ca="1">IFERROR(__xludf.DUMMYFUNCTION("""COMPUTED_VALUE"""),"Work &lt;=6 People in the Team")</f>
        <v>Work &lt;=6 People in the Team</v>
      </c>
      <c r="Q511" s="1" t="s">
        <v>43</v>
      </c>
      <c r="R511" s="1"/>
    </row>
    <row r="512" spans="1:18" x14ac:dyDescent="0.25">
      <c r="A512" s="2">
        <f ca="1">IFERROR(__xludf.DUMMYFUNCTION("""COMPUTED_VALUE"""),45021.5662572338)</f>
        <v>45021.566257233797</v>
      </c>
      <c r="B512" s="1" t="str">
        <f ca="1">IFERROR(__xludf.DUMMYFUNCTION("""COMPUTED_VALUE"""),"India")</f>
        <v>India</v>
      </c>
      <c r="C512" s="1">
        <f ca="1">IFERROR(__xludf.DUMMYFUNCTION("""COMPUTED_VALUE"""),110059)</f>
        <v>110059</v>
      </c>
      <c r="D512" s="1" t="str">
        <f ca="1">IFERROR(__xludf.DUMMYFUNCTION("""COMPUTED_VALUE"""),"Female")</f>
        <v>Female</v>
      </c>
      <c r="E512" s="1" t="str">
        <f ca="1">IFERROR(__xludf.DUMMYFUNCTION("""COMPUTED_VALUE"""),"My Parents")</f>
        <v>My Parents</v>
      </c>
      <c r="F512" s="1" t="str">
        <f ca="1">IFERROR(__xludf.DUMMYFUNCTION("""COMPUTED_VALUE"""),"No I would not be pursuing Higher Education outside of India")</f>
        <v>No I would not be pursuing Higher Education outside of India</v>
      </c>
      <c r="G512" s="1" t="str">
        <f ca="1">IFERROR(__xludf.DUMMYFUNCTION("""COMPUTED_VALUE"""),"Will work for 3 years or more")</f>
        <v>Will work for 3 years or more</v>
      </c>
      <c r="H512" s="1" t="str">
        <f ca="1">IFERROR(__xludf.DUMMYFUNCTION("""COMPUTED_VALUE"""),"Yes")</f>
        <v>Yes</v>
      </c>
      <c r="I512" s="1" t="str">
        <f ca="1">IFERROR(__xludf.DUMMYFUNCTION("""COMPUTED_VALUE"""),"Will NOT work for them")</f>
        <v>Will NOT work for them</v>
      </c>
      <c r="J512" s="1">
        <f ca="1">IFERROR(__xludf.DUMMYFUNCTION("""COMPUTED_VALUE"""),6)</f>
        <v>6</v>
      </c>
      <c r="K512" s="1" t="str">
        <f ca="1">IFERROR(__xludf.DUMMYFUNCTION("""COMPUTED_VALUE"""),"Fully Remote with Options to travel as and when needed")</f>
        <v>Fully Remote with Options to travel as and when needed</v>
      </c>
      <c r="L512" s="1" t="str">
        <f ca="1">IFERROR(__xludf.DUMMYFUNCTION("""COMPUTED_VALUE"""),"Employer who pushes your limits by enabling an learning environment, and rewards you at the end")</f>
        <v>Employer who pushes your limits by enabling an learning environment, and rewards you at the end</v>
      </c>
      <c r="M51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512" s="4" t="s">
        <v>49</v>
      </c>
      <c r="O512" s="1" t="str">
        <f ca="1">IFERROR(__xludf.DUMMYFUNCTION("""COMPUTED_VALUE"""),"Manager who explains what is expected, sets a goal and helps achieve it")</f>
        <v>Manager who explains what is expected, sets a goal and helps achieve it</v>
      </c>
      <c r="P512" s="1" t="str">
        <f ca="1">IFERROR(__xludf.DUMMYFUNCTION("""COMPUTED_VALUE"""),"Work &lt;=6 People in the Team")</f>
        <v>Work &lt;=6 People in the Team</v>
      </c>
      <c r="Q512" s="1" t="s">
        <v>43</v>
      </c>
      <c r="R512" s="1"/>
    </row>
    <row r="513" spans="1:18" x14ac:dyDescent="0.25">
      <c r="A513" s="2">
        <f ca="1">IFERROR(__xludf.DUMMYFUNCTION("""COMPUTED_VALUE"""),45021.5675880092)</f>
        <v>45021.567588009202</v>
      </c>
      <c r="B513" s="1" t="str">
        <f ca="1">IFERROR(__xludf.DUMMYFUNCTION("""COMPUTED_VALUE"""),"India")</f>
        <v>India</v>
      </c>
      <c r="C513" s="1">
        <f ca="1">IFERROR(__xludf.DUMMYFUNCTION("""COMPUTED_VALUE"""),201009)</f>
        <v>201009</v>
      </c>
      <c r="D513" s="1" t="str">
        <f ca="1">IFERROR(__xludf.DUMMYFUNCTION("""COMPUTED_VALUE"""),"Male")</f>
        <v>Male</v>
      </c>
      <c r="E513" s="1" t="str">
        <f ca="1">IFERROR(__xludf.DUMMYFUNCTION("""COMPUTED_VALUE"""),"People who have changed the world for better")</f>
        <v>People who have changed the world for better</v>
      </c>
      <c r="F513" s="1" t="str">
        <f ca="1">IFERROR(__xludf.DUMMYFUNCTION("""COMPUTED_VALUE"""),"Yes, I will earn and do that")</f>
        <v>Yes, I will earn and do that</v>
      </c>
      <c r="G513" s="1" t="str">
        <f ca="1">IFERROR(__xludf.DUMMYFUNCTION("""COMPUTED_VALUE"""),"Will work for 3 years or more")</f>
        <v>Will work for 3 years or more</v>
      </c>
      <c r="H513" s="1" t="str">
        <f ca="1">IFERROR(__xludf.DUMMYFUNCTION("""COMPUTED_VALUE"""),"Yes")</f>
        <v>Yes</v>
      </c>
      <c r="I513" s="1" t="str">
        <f ca="1">IFERROR(__xludf.DUMMYFUNCTION("""COMPUTED_VALUE"""),"Will work for them")</f>
        <v>Will work for them</v>
      </c>
      <c r="J513" s="1">
        <f ca="1">IFERROR(__xludf.DUMMYFUNCTION("""COMPUTED_VALUE"""),9)</f>
        <v>9</v>
      </c>
      <c r="K513" s="1" t="str">
        <f ca="1">IFERROR(__xludf.DUMMYFUNCTION("""COMPUTED_VALUE"""),"Hybrid Working Environment with more than 15 days a month at office")</f>
        <v>Hybrid Working Environment with more than 15 days a month at office</v>
      </c>
      <c r="L513" s="1" t="str">
        <f ca="1">IFERROR(__xludf.DUMMYFUNCTION("""COMPUTED_VALUE"""),"Employer who pushes your limits by enabling an learning environment, and rewards you at the end")</f>
        <v>Employer who pushes your limits by enabling an learning environment, and rewards you at the end</v>
      </c>
      <c r="M513"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N513" s="4" t="s">
        <v>53</v>
      </c>
      <c r="O513" s="1" t="str">
        <f ca="1">IFERROR(__xludf.DUMMYFUNCTION("""COMPUTED_VALUE"""),"Manager who explains what is expected, sets a goal and helps achieve it")</f>
        <v>Manager who explains what is expected, sets a goal and helps achieve it</v>
      </c>
      <c r="P513" s="1" t="str">
        <f ca="1">IFERROR(__xludf.DUMMYFUNCTION("""COMPUTED_VALUE"""),"Work &gt;10 people in Team")</f>
        <v>Work &gt;10 people in Team</v>
      </c>
      <c r="Q513" s="1" t="s">
        <v>44</v>
      </c>
      <c r="R513" s="1"/>
    </row>
    <row r="514" spans="1:18" x14ac:dyDescent="0.25">
      <c r="A514" s="2">
        <f ca="1">IFERROR(__xludf.DUMMYFUNCTION("""COMPUTED_VALUE"""),45021.5700628935)</f>
        <v>45021.570062893501</v>
      </c>
      <c r="B514" s="1" t="str">
        <f ca="1">IFERROR(__xludf.DUMMYFUNCTION("""COMPUTED_VALUE"""),"India")</f>
        <v>India</v>
      </c>
      <c r="C514" s="1">
        <f ca="1">IFERROR(__xludf.DUMMYFUNCTION("""COMPUTED_VALUE"""),517101)</f>
        <v>517101</v>
      </c>
      <c r="D514" s="1" t="str">
        <f ca="1">IFERROR(__xludf.DUMMYFUNCTION("""COMPUTED_VALUE"""),"Male")</f>
        <v>Male</v>
      </c>
      <c r="E514" s="1" t="str">
        <f ca="1">IFERROR(__xludf.DUMMYFUNCTION("""COMPUTED_VALUE"""),"Social Media like LinkedIn")</f>
        <v>Social Media like LinkedIn</v>
      </c>
      <c r="F514" s="1" t="str">
        <f ca="1">IFERROR(__xludf.DUMMYFUNCTION("""COMPUTED_VALUE"""),"No I would not be pursuing Higher Education outside of India")</f>
        <v>No I would not be pursuing Higher Education outside of India</v>
      </c>
      <c r="G514" s="1" t="str">
        <f ca="1">IFERROR(__xludf.DUMMYFUNCTION("""COMPUTED_VALUE"""),"This will be hard to do, but if it is the right company I would try")</f>
        <v>This will be hard to do, but if it is the right company I would try</v>
      </c>
      <c r="H514" s="1" t="str">
        <f ca="1">IFERROR(__xludf.DUMMYFUNCTION("""COMPUTED_VALUE"""),"No")</f>
        <v>No</v>
      </c>
      <c r="I514" s="1" t="str">
        <f ca="1">IFERROR(__xludf.DUMMYFUNCTION("""COMPUTED_VALUE"""),"Will NOT work for them")</f>
        <v>Will NOT work for them</v>
      </c>
      <c r="J514" s="1">
        <f ca="1">IFERROR(__xludf.DUMMYFUNCTION("""COMPUTED_VALUE"""),2)</f>
        <v>2</v>
      </c>
      <c r="K514" s="1" t="str">
        <f ca="1">IFERROR(__xludf.DUMMYFUNCTION("""COMPUTED_VALUE"""),"Hybrid Working Environment with more than 15 days a month at office")</f>
        <v>Hybrid Working Environment with more than 15 days a month at office</v>
      </c>
      <c r="L514" s="1" t="str">
        <f ca="1">IFERROR(__xludf.DUMMYFUNCTION("""COMPUTED_VALUE"""),"Employer who pushes your limits by enabling an learning environment, and rewards you at the end")</f>
        <v>Employer who pushes your limits by enabling an learning environment, and rewards you at the end</v>
      </c>
      <c r="M514"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N514" s="4" t="s">
        <v>49</v>
      </c>
      <c r="O514" s="1" t="str">
        <f ca="1">IFERROR(__xludf.DUMMYFUNCTION("""COMPUTED_VALUE"""),"Manager who explains what is expected, sets a goal and helps achieve it")</f>
        <v>Manager who explains what is expected, sets a goal and helps achieve it</v>
      </c>
      <c r="P514" s="1" t="str">
        <f ca="1">IFERROR(__xludf.DUMMYFUNCTION("""COMPUTED_VALUE"""),"Work Alone, &lt;=6 in team")</f>
        <v>Work Alone, &lt;=6 in team</v>
      </c>
      <c r="Q514" s="1" t="s">
        <v>43</v>
      </c>
      <c r="R514" s="1"/>
    </row>
    <row r="515" spans="1:18" x14ac:dyDescent="0.25">
      <c r="A515" s="2">
        <f ca="1">IFERROR(__xludf.DUMMYFUNCTION("""COMPUTED_VALUE"""),45021.5699186689)</f>
        <v>45021.569918668902</v>
      </c>
      <c r="B515" s="1" t="str">
        <f ca="1">IFERROR(__xludf.DUMMYFUNCTION("""COMPUTED_VALUE"""),"India")</f>
        <v>India</v>
      </c>
      <c r="C515" s="1">
        <f ca="1">IFERROR(__xludf.DUMMYFUNCTION("""COMPUTED_VALUE"""),679101)</f>
        <v>679101</v>
      </c>
      <c r="D515" s="1" t="str">
        <f ca="1">IFERROR(__xludf.DUMMYFUNCTION("""COMPUTED_VALUE"""),"Male")</f>
        <v>Male</v>
      </c>
      <c r="E515" s="1" t="str">
        <f ca="1">IFERROR(__xludf.DUMMYFUNCTION("""COMPUTED_VALUE"""),"People who have changed the world for better")</f>
        <v>People who have changed the world for better</v>
      </c>
      <c r="F515" s="1" t="str">
        <f ca="1">IFERROR(__xludf.DUMMYFUNCTION("""COMPUTED_VALUE"""),"Yes, I will earn and do that")</f>
        <v>Yes, I will earn and do that</v>
      </c>
      <c r="G515" s="1" t="str">
        <f ca="1">IFERROR(__xludf.DUMMYFUNCTION("""COMPUTED_VALUE"""),"This will be hard to do, but if it is the right company I would try")</f>
        <v>This will be hard to do, but if it is the right company I would try</v>
      </c>
      <c r="H515" s="1" t="str">
        <f ca="1">IFERROR(__xludf.DUMMYFUNCTION("""COMPUTED_VALUE"""),"No")</f>
        <v>No</v>
      </c>
      <c r="I515" s="1" t="str">
        <f ca="1">IFERROR(__xludf.DUMMYFUNCTION("""COMPUTED_VALUE"""),"Will NOT work for them")</f>
        <v>Will NOT work for them</v>
      </c>
      <c r="J515" s="1">
        <f ca="1">IFERROR(__xludf.DUMMYFUNCTION("""COMPUTED_VALUE"""),9)</f>
        <v>9</v>
      </c>
      <c r="K515" s="1" t="str">
        <f ca="1">IFERROR(__xludf.DUMMYFUNCTION("""COMPUTED_VALUE"""),"Hybrid Working Environment with more than 15 days a month at office")</f>
        <v>Hybrid Working Environment with more than 15 days a month at office</v>
      </c>
      <c r="L515" s="1" t="str">
        <f ca="1">IFERROR(__xludf.DUMMYFUNCTION("""COMPUTED_VALUE"""),"Employer who pushes your limits by enabling an learning environment, and rewards you at the end")</f>
        <v>Employer who pushes your limits by enabling an learning environment, and rewards you at the end</v>
      </c>
      <c r="M515"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N515" s="4" t="s">
        <v>53</v>
      </c>
      <c r="O515" s="1" t="str">
        <f ca="1">IFERROR(__xludf.DUMMYFUNCTION("""COMPUTED_VALUE"""),"Manager who explains what is expected, sets a goal and helps achieve it")</f>
        <v>Manager who explains what is expected, sets a goal and helps achieve it</v>
      </c>
      <c r="P515" s="1" t="str">
        <f ca="1">IFERROR(__xludf.DUMMYFUNCTION("""COMPUTED_VALUE"""),"Work &lt;=6 People in the Team")</f>
        <v>Work &lt;=6 People in the Team</v>
      </c>
      <c r="Q515" s="1" t="s">
        <v>43</v>
      </c>
      <c r="R515" s="1"/>
    </row>
    <row r="516" spans="1:18" x14ac:dyDescent="0.25">
      <c r="A516" s="2">
        <f ca="1">IFERROR(__xludf.DUMMYFUNCTION("""COMPUTED_VALUE"""),45021.5745660879)</f>
        <v>45021.574566087897</v>
      </c>
      <c r="B516" s="1" t="str">
        <f ca="1">IFERROR(__xludf.DUMMYFUNCTION("""COMPUTED_VALUE"""),"India")</f>
        <v>India</v>
      </c>
      <c r="C516" s="1">
        <f ca="1">IFERROR(__xludf.DUMMYFUNCTION("""COMPUTED_VALUE"""),517501)</f>
        <v>517501</v>
      </c>
      <c r="D516" s="1" t="str">
        <f ca="1">IFERROR(__xludf.DUMMYFUNCTION("""COMPUTED_VALUE"""),"Female")</f>
        <v>Female</v>
      </c>
      <c r="E516" s="1" t="str">
        <f ca="1">IFERROR(__xludf.DUMMYFUNCTION("""COMPUTED_VALUE"""),"People who have changed the world for better")</f>
        <v>People who have changed the world for better</v>
      </c>
      <c r="F516" s="1" t="str">
        <f ca="1">IFERROR(__xludf.DUMMYFUNCTION("""COMPUTED_VALUE"""),"No, But if someone could bare the cost I will")</f>
        <v>No, But if someone could bare the cost I will</v>
      </c>
      <c r="G516" s="1" t="str">
        <f ca="1">IFERROR(__xludf.DUMMYFUNCTION("""COMPUTED_VALUE"""),"This will be hard to do, but if it is the right company I would try")</f>
        <v>This will be hard to do, but if it is the right company I would try</v>
      </c>
      <c r="H516" s="1" t="str">
        <f ca="1">IFERROR(__xludf.DUMMYFUNCTION("""COMPUTED_VALUE"""),"No")</f>
        <v>No</v>
      </c>
      <c r="I516" s="1" t="str">
        <f ca="1">IFERROR(__xludf.DUMMYFUNCTION("""COMPUTED_VALUE"""),"Will NOT work for them")</f>
        <v>Will NOT work for them</v>
      </c>
      <c r="J516" s="1">
        <f ca="1">IFERROR(__xludf.DUMMYFUNCTION("""COMPUTED_VALUE"""),1)</f>
        <v>1</v>
      </c>
      <c r="K516" s="1" t="str">
        <f ca="1">IFERROR(__xludf.DUMMYFUNCTION("""COMPUTED_VALUE"""),"Hybrid Working Environment with less than 3 days a month at office")</f>
        <v>Hybrid Working Environment with less than 3 days a month at office</v>
      </c>
      <c r="L516" s="1" t="str">
        <f ca="1">IFERROR(__xludf.DUMMYFUNCTION("""COMPUTED_VALUE"""),"Employer who pushes your limits by enabling an learning environment, and rewards you at the end")</f>
        <v>Employer who pushes your limits by enabling an learning environment, and rewards you at the end</v>
      </c>
      <c r="M516"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N516" s="4" t="s">
        <v>53</v>
      </c>
      <c r="O516" s="1" t="str">
        <f ca="1">IFERROR(__xludf.DUMMYFUNCTION("""COMPUTED_VALUE"""),"Manager who explains what is expected, sets a goal and helps achieve it")</f>
        <v>Manager who explains what is expected, sets a goal and helps achieve it</v>
      </c>
      <c r="P516" s="1" t="str">
        <f ca="1">IFERROR(__xludf.DUMMYFUNCTION("""COMPUTED_VALUE"""),"Work &lt;=6 People in the Team")</f>
        <v>Work &lt;=6 People in the Team</v>
      </c>
      <c r="Q516" s="1" t="s">
        <v>43</v>
      </c>
      <c r="R516" s="1"/>
    </row>
    <row r="517" spans="1:18" x14ac:dyDescent="0.25">
      <c r="A517" s="2">
        <f ca="1">IFERROR(__xludf.DUMMYFUNCTION("""COMPUTED_VALUE"""),45021.5825291666)</f>
        <v>45021.582529166597</v>
      </c>
      <c r="B517" s="1" t="str">
        <f ca="1">IFERROR(__xludf.DUMMYFUNCTION("""COMPUTED_VALUE"""),"India")</f>
        <v>India</v>
      </c>
      <c r="C517" s="1">
        <f ca="1">IFERROR(__xludf.DUMMYFUNCTION("""COMPUTED_VALUE"""),517501)</f>
        <v>517501</v>
      </c>
      <c r="D517" s="1" t="str">
        <f ca="1">IFERROR(__xludf.DUMMYFUNCTION("""COMPUTED_VALUE"""),"Male")</f>
        <v>Male</v>
      </c>
      <c r="E517" s="1" t="str">
        <f ca="1">IFERROR(__xludf.DUMMYFUNCTION("""COMPUTED_VALUE"""),"My Parents")</f>
        <v>My Parents</v>
      </c>
      <c r="F517" s="1" t="str">
        <f ca="1">IFERROR(__xludf.DUMMYFUNCTION("""COMPUTED_VALUE"""),"No I would not be pursuing Higher Education outside of India")</f>
        <v>No I would not be pursuing Higher Education outside of India</v>
      </c>
      <c r="G517" s="1" t="str">
        <f ca="1">IFERROR(__xludf.DUMMYFUNCTION("""COMPUTED_VALUE"""),"Will work for 3 years or more")</f>
        <v>Will work for 3 years or more</v>
      </c>
      <c r="H517" s="1" t="str">
        <f ca="1">IFERROR(__xludf.DUMMYFUNCTION("""COMPUTED_VALUE"""),"Yes")</f>
        <v>Yes</v>
      </c>
      <c r="I517" s="1" t="str">
        <f ca="1">IFERROR(__xludf.DUMMYFUNCTION("""COMPUTED_VALUE"""),"Will work for them")</f>
        <v>Will work for them</v>
      </c>
      <c r="J517" s="1">
        <f ca="1">IFERROR(__xludf.DUMMYFUNCTION("""COMPUTED_VALUE"""),10)</f>
        <v>10</v>
      </c>
      <c r="K517" s="1" t="str">
        <f ca="1">IFERROR(__xludf.DUMMYFUNCTION("""COMPUTED_VALUE"""),"Every Day Office Environment")</f>
        <v>Every Day Office Environment</v>
      </c>
      <c r="L517" s="1" t="str">
        <f ca="1">IFERROR(__xludf.DUMMYFUNCTION("""COMPUTED_VALUE"""),"Employer who pushes your limits by enabling an learning environment, and rewards you at the end")</f>
        <v>Employer who pushes your limits by enabling an learning environment, and rewards you at the end</v>
      </c>
      <c r="M5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517" s="4" t="s">
        <v>49</v>
      </c>
      <c r="O517" s="1" t="str">
        <f ca="1">IFERROR(__xludf.DUMMYFUNCTION("""COMPUTED_VALUE"""),"Manager who sets goal and helps me achieve it")</f>
        <v>Manager who sets goal and helps me achieve it</v>
      </c>
      <c r="P517" s="1" t="str">
        <f ca="1">IFERROR(__xludf.DUMMYFUNCTION("""COMPUTED_VALUE"""),"Work &lt;67 People in the Team")</f>
        <v>Work &lt;67 People in the Team</v>
      </c>
      <c r="Q517" s="1" t="s">
        <v>43</v>
      </c>
      <c r="R517" s="1"/>
    </row>
    <row r="518" spans="1:18" x14ac:dyDescent="0.25">
      <c r="A518" s="2">
        <f ca="1">IFERROR(__xludf.DUMMYFUNCTION("""COMPUTED_VALUE"""),45021.5832041203)</f>
        <v>45021.583204120303</v>
      </c>
      <c r="B518" s="1" t="str">
        <f ca="1">IFERROR(__xludf.DUMMYFUNCTION("""COMPUTED_VALUE"""),"India")</f>
        <v>India</v>
      </c>
      <c r="C518" s="1" t="str">
        <f ca="1">IFERROR(__xludf.DUMMYFUNCTION("""COMPUTED_VALUE"""),"Bts ")</f>
        <v xml:space="preserve">Bts </v>
      </c>
      <c r="D518" s="1" t="str">
        <f ca="1">IFERROR(__xludf.DUMMYFUNCTION("""COMPUTED_VALUE"""),"Female")</f>
        <v>Female</v>
      </c>
      <c r="E518" s="1" t="str">
        <f ca="1">IFERROR(__xludf.DUMMYFUNCTION("""COMPUTED_VALUE"""),"Influencers who had successful careers")</f>
        <v>Influencers who had successful careers</v>
      </c>
      <c r="F518" s="1" t="str">
        <f ca="1">IFERROR(__xludf.DUMMYFUNCTION("""COMPUTED_VALUE"""),"Yes, I will earn and do that")</f>
        <v>Yes, I will earn and do that</v>
      </c>
      <c r="G518" s="1" t="str">
        <f ca="1">IFERROR(__xludf.DUMMYFUNCTION("""COMPUTED_VALUE"""),"This will be hard to do, but if it is the right company I would try")</f>
        <v>This will be hard to do, but if it is the right company I would try</v>
      </c>
      <c r="H518" s="1" t="str">
        <f ca="1">IFERROR(__xludf.DUMMYFUNCTION("""COMPUTED_VALUE"""),"No")</f>
        <v>No</v>
      </c>
      <c r="I518" s="1" t="str">
        <f ca="1">IFERROR(__xludf.DUMMYFUNCTION("""COMPUTED_VALUE"""),"Will work for them")</f>
        <v>Will work for them</v>
      </c>
      <c r="J518" s="1">
        <f ca="1">IFERROR(__xludf.DUMMYFUNCTION("""COMPUTED_VALUE"""),6)</f>
        <v>6</v>
      </c>
      <c r="K518" s="1" t="str">
        <f ca="1">IFERROR(__xludf.DUMMYFUNCTION("""COMPUTED_VALUE"""),"Fully Remote with Options to travel as and when needed")</f>
        <v>Fully Remote with Options to travel as and when needed</v>
      </c>
      <c r="L518" s="1" t="str">
        <f ca="1">IFERROR(__xludf.DUMMYFUNCTION("""COMPUTED_VALUE"""),"Employer who appreciates learning and enables that environment")</f>
        <v>Employer who appreciates learning and enables that environment</v>
      </c>
      <c r="M51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518" s="4" t="s">
        <v>49</v>
      </c>
      <c r="O518" s="1" t="str">
        <f ca="1">IFERROR(__xludf.DUMMYFUNCTION("""COMPUTED_VALUE"""),"Manager who sets goal and helps me achieve it")</f>
        <v>Manager who sets goal and helps me achieve it</v>
      </c>
      <c r="P518" s="1" t="str">
        <f ca="1">IFERROR(__xludf.DUMMYFUNCTION("""COMPUTED_VALUE"""),"Work &lt;=6 People in the Team")</f>
        <v>Work &lt;=6 People in the Team</v>
      </c>
      <c r="Q518" s="1" t="s">
        <v>40</v>
      </c>
      <c r="R518" s="1"/>
    </row>
    <row r="519" spans="1:18" x14ac:dyDescent="0.25">
      <c r="A519" s="2">
        <f ca="1">IFERROR(__xludf.DUMMYFUNCTION("""COMPUTED_VALUE"""),45021.592912581)</f>
        <v>45021.592912581</v>
      </c>
      <c r="B519" s="1" t="str">
        <f ca="1">IFERROR(__xludf.DUMMYFUNCTION("""COMPUTED_VALUE"""),"India")</f>
        <v>India</v>
      </c>
      <c r="C519" s="1">
        <f ca="1">IFERROR(__xludf.DUMMYFUNCTION("""COMPUTED_VALUE"""),518563)</f>
        <v>518563</v>
      </c>
      <c r="D519" s="1" t="str">
        <f ca="1">IFERROR(__xludf.DUMMYFUNCTION("""COMPUTED_VALUE"""),"Male")</f>
        <v>Male</v>
      </c>
      <c r="E519" s="1" t="str">
        <f ca="1">IFERROR(__xludf.DUMMYFUNCTION("""COMPUTED_VALUE"""),"People from my circle, but not family members")</f>
        <v>People from my circle, but not family members</v>
      </c>
      <c r="F519" s="1" t="str">
        <f ca="1">IFERROR(__xludf.DUMMYFUNCTION("""COMPUTED_VALUE"""),"No I would not be pursuing Higher Education outside of India")</f>
        <v>No I would not be pursuing Higher Education outside of India</v>
      </c>
      <c r="G519" s="1" t="str">
        <f ca="1">IFERROR(__xludf.DUMMYFUNCTION("""COMPUTED_VALUE"""),"This will be hard to do, but if it is the right company I would try")</f>
        <v>This will be hard to do, but if it is the right company I would try</v>
      </c>
      <c r="H519" s="1" t="str">
        <f ca="1">IFERROR(__xludf.DUMMYFUNCTION("""COMPUTED_VALUE"""),"No")</f>
        <v>No</v>
      </c>
      <c r="I519" s="1" t="str">
        <f ca="1">IFERROR(__xludf.DUMMYFUNCTION("""COMPUTED_VALUE"""),"Will NOT work for them")</f>
        <v>Will NOT work for them</v>
      </c>
      <c r="J519" s="1">
        <f ca="1">IFERROR(__xludf.DUMMYFUNCTION("""COMPUTED_VALUE"""),5)</f>
        <v>5</v>
      </c>
      <c r="K519" s="1" t="str">
        <f ca="1">IFERROR(__xludf.DUMMYFUNCTION("""COMPUTED_VALUE"""),"Fully Remote with Options to travel as and when needed")</f>
        <v>Fully Remote with Options to travel as and when needed</v>
      </c>
      <c r="L519" s="1" t="str">
        <f ca="1">IFERROR(__xludf.DUMMYFUNCTION("""COMPUTED_VALUE"""),"Employer who rewards learning and enables that environment")</f>
        <v>Employer who rewards learning and enables that environment</v>
      </c>
      <c r="M51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519" s="4" t="s">
        <v>53</v>
      </c>
      <c r="O519" s="1" t="str">
        <f ca="1">IFERROR(__xludf.DUMMYFUNCTION("""COMPUTED_VALUE"""),"Manager who explains what is expected, sets a goal and helps achieve it")</f>
        <v>Manager who explains what is expected, sets a goal and helps achieve it</v>
      </c>
      <c r="P519" s="1" t="str">
        <f ca="1">IFERROR(__xludf.DUMMYFUNCTION("""COMPUTED_VALUE"""),"Work &lt;=6 People in the Team")</f>
        <v>Work &lt;=6 People in the Team</v>
      </c>
      <c r="Q519" s="1" t="s">
        <v>43</v>
      </c>
      <c r="R519" s="1"/>
    </row>
    <row r="520" spans="1:18" x14ac:dyDescent="0.25">
      <c r="A520" s="2">
        <f ca="1">IFERROR(__xludf.DUMMYFUNCTION("""COMPUTED_VALUE"""),45021.5931179051)</f>
        <v>45021.593117905097</v>
      </c>
      <c r="B520" s="1" t="str">
        <f ca="1">IFERROR(__xludf.DUMMYFUNCTION("""COMPUTED_VALUE"""),"India")</f>
        <v>India</v>
      </c>
      <c r="C520" s="1">
        <f ca="1">IFERROR(__xludf.DUMMYFUNCTION("""COMPUTED_VALUE"""),600092)</f>
        <v>600092</v>
      </c>
      <c r="D520" s="1" t="str">
        <f ca="1">IFERROR(__xludf.DUMMYFUNCTION("""COMPUTED_VALUE"""),"Male")</f>
        <v>Male</v>
      </c>
      <c r="E520" s="1" t="str">
        <f ca="1">IFERROR(__xludf.DUMMYFUNCTION("""COMPUTED_VALUE"""),"Influencers who had successful careers")</f>
        <v>Influencers who had successful careers</v>
      </c>
      <c r="F520" s="1" t="str">
        <f ca="1">IFERROR(__xludf.DUMMYFUNCTION("""COMPUTED_VALUE"""),"No, But if someone could bare the cost I will")</f>
        <v>No, But if someone could bare the cost I will</v>
      </c>
      <c r="G520" s="1" t="str">
        <f ca="1">IFERROR(__xludf.DUMMYFUNCTION("""COMPUTED_VALUE"""),"Will work for 3 years or more")</f>
        <v>Will work for 3 years or more</v>
      </c>
      <c r="H520" s="1" t="str">
        <f ca="1">IFERROR(__xludf.DUMMYFUNCTION("""COMPUTED_VALUE"""),"No")</f>
        <v>No</v>
      </c>
      <c r="I520" s="1" t="str">
        <f ca="1">IFERROR(__xludf.DUMMYFUNCTION("""COMPUTED_VALUE"""),"Will NOT work for them")</f>
        <v>Will NOT work for them</v>
      </c>
      <c r="J520" s="1">
        <f ca="1">IFERROR(__xludf.DUMMYFUNCTION("""COMPUTED_VALUE"""),6)</f>
        <v>6</v>
      </c>
      <c r="K520" s="1" t="str">
        <f ca="1">IFERROR(__xludf.DUMMYFUNCTION("""COMPUTED_VALUE"""),"Every Day Office Environment")</f>
        <v>Every Day Office Environment</v>
      </c>
      <c r="L520" s="1" t="str">
        <f ca="1">IFERROR(__xludf.DUMMYFUNCTION("""COMPUTED_VALUE"""),"Employer who appreciates learning and enables that environment")</f>
        <v>Employer who appreciates learning and enables that environment</v>
      </c>
      <c r="M52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520" s="4" t="s">
        <v>49</v>
      </c>
      <c r="O520" s="1" t="str">
        <f ca="1">IFERROR(__xludf.DUMMYFUNCTION("""COMPUTED_VALUE"""),"Manager who clearly describes what she/he needs")</f>
        <v>Manager who clearly describes what she/he needs</v>
      </c>
      <c r="P520" s="1" t="str">
        <f ca="1">IFERROR(__xludf.DUMMYFUNCTION("""COMPUTED_VALUE"""),"Work &gt;=7 People in the Team")</f>
        <v>Work &gt;=7 People in the Team</v>
      </c>
      <c r="Q520" s="1" t="s">
        <v>43</v>
      </c>
      <c r="R520" s="1"/>
    </row>
    <row r="521" spans="1:18" x14ac:dyDescent="0.25">
      <c r="A521" s="2">
        <f ca="1">IFERROR(__xludf.DUMMYFUNCTION("""COMPUTED_VALUE"""),45021.5980847685)</f>
        <v>45021.598084768499</v>
      </c>
      <c r="B521" s="1" t="str">
        <f ca="1">IFERROR(__xludf.DUMMYFUNCTION("""COMPUTED_VALUE"""),"India")</f>
        <v>India</v>
      </c>
      <c r="C521" s="1">
        <f ca="1">IFERROR(__xludf.DUMMYFUNCTION("""COMPUTED_VALUE"""),600056)</f>
        <v>600056</v>
      </c>
      <c r="D521" s="1" t="str">
        <f ca="1">IFERROR(__xludf.DUMMYFUNCTION("""COMPUTED_VALUE"""),"Male")</f>
        <v>Male</v>
      </c>
      <c r="E521" s="1" t="str">
        <f ca="1">IFERROR(__xludf.DUMMYFUNCTION("""COMPUTED_VALUE"""),"My Parents")</f>
        <v>My Parents</v>
      </c>
      <c r="F521" s="1" t="str">
        <f ca="1">IFERROR(__xludf.DUMMYFUNCTION("""COMPUTED_VALUE"""),"No I would not be pursuing Higher Education outside of India")</f>
        <v>No I would not be pursuing Higher Education outside of India</v>
      </c>
      <c r="G521" s="1" t="str">
        <f ca="1">IFERROR(__xludf.DUMMYFUNCTION("""COMPUTED_VALUE"""),"Will work for 3 years or more")</f>
        <v>Will work for 3 years or more</v>
      </c>
      <c r="H521" s="1" t="str">
        <f ca="1">IFERROR(__xludf.DUMMYFUNCTION("""COMPUTED_VALUE"""),"Yes")</f>
        <v>Yes</v>
      </c>
      <c r="I521" s="1" t="str">
        <f ca="1">IFERROR(__xludf.DUMMYFUNCTION("""COMPUTED_VALUE"""),"Will work for them")</f>
        <v>Will work for them</v>
      </c>
      <c r="J521" s="1">
        <f ca="1">IFERROR(__xludf.DUMMYFUNCTION("""COMPUTED_VALUE"""),6)</f>
        <v>6</v>
      </c>
      <c r="K521" s="1" t="str">
        <f ca="1">IFERROR(__xludf.DUMMYFUNCTION("""COMPUTED_VALUE"""),"Hybrid Working Environment with more than 15 days a month at office")</f>
        <v>Hybrid Working Environment with more than 15 days a month at office</v>
      </c>
      <c r="L521" s="1" t="str">
        <f ca="1">IFERROR(__xludf.DUMMYFUNCTION("""COMPUTED_VALUE"""),"Employer who pushes your limits by enabling an learning environment, and rewards you at the end")</f>
        <v>Employer who pushes your limits by enabling an learning environment, and rewards you at the end</v>
      </c>
      <c r="M521"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N521" s="4" t="s">
        <v>48</v>
      </c>
      <c r="O521" s="1" t="str">
        <f ca="1">IFERROR(__xludf.DUMMYFUNCTION("""COMPUTED_VALUE"""),"Manager who sets goal and helps me achieve it")</f>
        <v>Manager who sets goal and helps me achieve it</v>
      </c>
      <c r="P521" s="1" t="str">
        <f ca="1">IFERROR(__xludf.DUMMYFUNCTION("""COMPUTED_VALUE"""),"Work alone")</f>
        <v>Work alone</v>
      </c>
      <c r="Q521" s="1" t="s">
        <v>43</v>
      </c>
      <c r="R521" s="1"/>
    </row>
    <row r="522" spans="1:18" x14ac:dyDescent="0.25">
      <c r="A522" s="2">
        <f ca="1">IFERROR(__xludf.DUMMYFUNCTION("""COMPUTED_VALUE"""),45021.601288449)</f>
        <v>45021.601288448997</v>
      </c>
      <c r="B522" s="1" t="str">
        <f ca="1">IFERROR(__xludf.DUMMYFUNCTION("""COMPUTED_VALUE"""),"India")</f>
        <v>India</v>
      </c>
      <c r="C522" s="1">
        <f ca="1">IFERROR(__xludf.DUMMYFUNCTION("""COMPUTED_VALUE"""),453331)</f>
        <v>453331</v>
      </c>
      <c r="D522" s="1" t="str">
        <f ca="1">IFERROR(__xludf.DUMMYFUNCTION("""COMPUTED_VALUE"""),"Female")</f>
        <v>Female</v>
      </c>
      <c r="E522" s="1" t="str">
        <f ca="1">IFERROR(__xludf.DUMMYFUNCTION("""COMPUTED_VALUE"""),"Social Media like LinkedIn")</f>
        <v>Social Media like LinkedIn</v>
      </c>
      <c r="F522" s="1" t="str">
        <f ca="1">IFERROR(__xludf.DUMMYFUNCTION("""COMPUTED_VALUE"""),"No, But if someone could bare the cost I will")</f>
        <v>No, But if someone could bare the cost I will</v>
      </c>
      <c r="G522" s="1" t="str">
        <f ca="1">IFERROR(__xludf.DUMMYFUNCTION("""COMPUTED_VALUE"""),"No way")</f>
        <v>No way</v>
      </c>
      <c r="H522" s="1" t="str">
        <f ca="1">IFERROR(__xludf.DUMMYFUNCTION("""COMPUTED_VALUE"""),"No")</f>
        <v>No</v>
      </c>
      <c r="I522" s="1" t="str">
        <f ca="1">IFERROR(__xludf.DUMMYFUNCTION("""COMPUTED_VALUE"""),"Will NOT work for them")</f>
        <v>Will NOT work for them</v>
      </c>
      <c r="J522" s="1">
        <f ca="1">IFERROR(__xludf.DUMMYFUNCTION("""COMPUTED_VALUE"""),7)</f>
        <v>7</v>
      </c>
      <c r="K522" s="1" t="str">
        <f ca="1">IFERROR(__xludf.DUMMYFUNCTION("""COMPUTED_VALUE"""),"Fully Remote with Options to travel as and when needed")</f>
        <v>Fully Remote with Options to travel as and when needed</v>
      </c>
      <c r="L522" s="1" t="str">
        <f ca="1">IFERROR(__xludf.DUMMYFUNCTION("""COMPUTED_VALUE"""),"Employer who rewards learning and enables that environment")</f>
        <v>Employer who rewards learning and enables that environment</v>
      </c>
      <c r="M52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N522" s="4" t="s">
        <v>48</v>
      </c>
      <c r="O522" s="1" t="str">
        <f ca="1">IFERROR(__xludf.DUMMYFUNCTION("""COMPUTED_VALUE"""),"Manager who explains what is expected, sets a goal and helps achieve it")</f>
        <v>Manager who explains what is expected, sets a goal and helps achieve it</v>
      </c>
      <c r="P522" s="1" t="str">
        <f ca="1">IFERROR(__xludf.DUMMYFUNCTION("""COMPUTED_VALUE"""),"Work Alone, &lt;=6 in team")</f>
        <v>Work Alone, &lt;=6 in team</v>
      </c>
      <c r="Q522" s="1" t="s">
        <v>43</v>
      </c>
      <c r="R522" s="1"/>
    </row>
    <row r="523" spans="1:18" x14ac:dyDescent="0.25">
      <c r="A523" s="2">
        <f ca="1">IFERROR(__xludf.DUMMYFUNCTION("""COMPUTED_VALUE"""),45021.6088619328)</f>
        <v>45021.6088619328</v>
      </c>
      <c r="B523" s="1" t="str">
        <f ca="1">IFERROR(__xludf.DUMMYFUNCTION("""COMPUTED_VALUE"""),"India")</f>
        <v>India</v>
      </c>
      <c r="C523" s="1">
        <f ca="1">IFERROR(__xludf.DUMMYFUNCTION("""COMPUTED_VALUE"""),600127)</f>
        <v>600127</v>
      </c>
      <c r="D523" s="1" t="str">
        <f ca="1">IFERROR(__xludf.DUMMYFUNCTION("""COMPUTED_VALUE"""),"Female")</f>
        <v>Female</v>
      </c>
      <c r="E523" s="1" t="str">
        <f ca="1">IFERROR(__xludf.DUMMYFUNCTION("""COMPUTED_VALUE"""),"People from my circle, but not family members")</f>
        <v>People from my circle, but not family members</v>
      </c>
      <c r="F523" s="1" t="str">
        <f ca="1">IFERROR(__xludf.DUMMYFUNCTION("""COMPUTED_VALUE"""),"No, But if someone could bare the cost I will")</f>
        <v>No, But if someone could bare the cost I will</v>
      </c>
      <c r="G523" s="1" t="str">
        <f ca="1">IFERROR(__xludf.DUMMYFUNCTION("""COMPUTED_VALUE"""),"Will work for 3 years or more")</f>
        <v>Will work for 3 years or more</v>
      </c>
      <c r="H523" s="1" t="str">
        <f ca="1">IFERROR(__xludf.DUMMYFUNCTION("""COMPUTED_VALUE"""),"No")</f>
        <v>No</v>
      </c>
      <c r="I523" s="1" t="str">
        <f ca="1">IFERROR(__xludf.DUMMYFUNCTION("""COMPUTED_VALUE"""),"Will NOT work for them")</f>
        <v>Will NOT work for them</v>
      </c>
      <c r="J523" s="1">
        <f ca="1">IFERROR(__xludf.DUMMYFUNCTION("""COMPUTED_VALUE"""),8)</f>
        <v>8</v>
      </c>
      <c r="K523" s="1" t="str">
        <f ca="1">IFERROR(__xludf.DUMMYFUNCTION("""COMPUTED_VALUE"""),"Hybrid Working Environment with more than 15 days a month at office")</f>
        <v>Hybrid Working Environment with more than 15 days a month at office</v>
      </c>
      <c r="L523" s="1" t="str">
        <f ca="1">IFERROR(__xludf.DUMMYFUNCTION("""COMPUTED_VALUE"""),"Employer who pushes your limits by enabling an learning environment, and rewards you at the end")</f>
        <v>Employer who pushes your limits by enabling an learning environment, and rewards you at the end</v>
      </c>
      <c r="M5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523" s="4" t="s">
        <v>48</v>
      </c>
      <c r="O523" s="1" t="str">
        <f ca="1">IFERROR(__xludf.DUMMYFUNCTION("""COMPUTED_VALUE"""),"Manager who explains what is expected, sets a goal and helps achieve it")</f>
        <v>Manager who explains what is expected, sets a goal and helps achieve it</v>
      </c>
      <c r="P523" s="1" t="str">
        <f ca="1">IFERROR(__xludf.DUMMYFUNCTION("""COMPUTED_VALUE"""),"Work &lt;=6 People in the Team")</f>
        <v>Work &lt;=6 People in the Team</v>
      </c>
      <c r="Q523" s="1" t="s">
        <v>40</v>
      </c>
      <c r="R523" s="1"/>
    </row>
    <row r="524" spans="1:18" x14ac:dyDescent="0.25">
      <c r="A524" s="2">
        <f ca="1">IFERROR(__xludf.DUMMYFUNCTION("""COMPUTED_VALUE"""),45021.6133955787)</f>
        <v>45021.613395578701</v>
      </c>
      <c r="B524" s="1" t="str">
        <f ca="1">IFERROR(__xludf.DUMMYFUNCTION("""COMPUTED_VALUE"""),"India")</f>
        <v>India</v>
      </c>
      <c r="C524" s="1">
        <f ca="1">IFERROR(__xludf.DUMMYFUNCTION("""COMPUTED_VALUE"""),560034)</f>
        <v>560034</v>
      </c>
      <c r="D524" s="1" t="str">
        <f ca="1">IFERROR(__xludf.DUMMYFUNCTION("""COMPUTED_VALUE"""),"Male")</f>
        <v>Male</v>
      </c>
      <c r="E524" s="1" t="str">
        <f ca="1">IFERROR(__xludf.DUMMYFUNCTION("""COMPUTED_VALUE"""),"People from my circle, but not family members")</f>
        <v>People from my circle, but not family members</v>
      </c>
      <c r="F524" s="1" t="str">
        <f ca="1">IFERROR(__xludf.DUMMYFUNCTION("""COMPUTED_VALUE"""),"No, But if someone could bare the cost I will")</f>
        <v>No, But if someone could bare the cost I will</v>
      </c>
      <c r="G524" s="1" t="str">
        <f ca="1">IFERROR(__xludf.DUMMYFUNCTION("""COMPUTED_VALUE"""),"This will be hard to do, but if it is the right company I would try")</f>
        <v>This will be hard to do, but if it is the right company I would try</v>
      </c>
      <c r="H524" s="1" t="str">
        <f ca="1">IFERROR(__xludf.DUMMYFUNCTION("""COMPUTED_VALUE"""),"No")</f>
        <v>No</v>
      </c>
      <c r="I524" s="1" t="str">
        <f ca="1">IFERROR(__xludf.DUMMYFUNCTION("""COMPUTED_VALUE"""),"Will work for them")</f>
        <v>Will work for them</v>
      </c>
      <c r="J524" s="1">
        <f ca="1">IFERROR(__xludf.DUMMYFUNCTION("""COMPUTED_VALUE"""),5)</f>
        <v>5</v>
      </c>
      <c r="K524" s="1" t="str">
        <f ca="1">IFERROR(__xludf.DUMMYFUNCTION("""COMPUTED_VALUE"""),"Every Day Office Environment")</f>
        <v>Every Day Office Environment</v>
      </c>
      <c r="L524" s="1" t="str">
        <f ca="1">IFERROR(__xludf.DUMMYFUNCTION("""COMPUTED_VALUE"""),"Employer who pushes your limits by enabling an learning environment, and rewards you at the end")</f>
        <v>Employer who pushes your limits by enabling an learning environment, and rewards you at the end</v>
      </c>
      <c r="M52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524" s="4" t="s">
        <v>48</v>
      </c>
      <c r="O524" s="1" t="str">
        <f ca="1">IFERROR(__xludf.DUMMYFUNCTION("""COMPUTED_VALUE"""),"Manager who explains what is expected, sets a goal and helps achieve it")</f>
        <v>Manager who explains what is expected, sets a goal and helps achieve it</v>
      </c>
      <c r="P524" s="1" t="str">
        <f ca="1">IFERROR(__xludf.DUMMYFUNCTION("""COMPUTED_VALUE"""),"Work &lt;=6 People in the Team")</f>
        <v>Work &lt;=6 People in the Team</v>
      </c>
      <c r="Q524" s="1" t="s">
        <v>43</v>
      </c>
      <c r="R524" s="1"/>
    </row>
    <row r="525" spans="1:18" x14ac:dyDescent="0.25">
      <c r="A525" s="2">
        <f ca="1">IFERROR(__xludf.DUMMYFUNCTION("""COMPUTED_VALUE"""),45021.6146762847)</f>
        <v>45021.614676284698</v>
      </c>
      <c r="B525" s="1" t="str">
        <f ca="1">IFERROR(__xludf.DUMMYFUNCTION("""COMPUTED_VALUE"""),"India")</f>
        <v>India</v>
      </c>
      <c r="C525" s="1">
        <f ca="1">IFERROR(__xludf.DUMMYFUNCTION("""COMPUTED_VALUE"""),470002)</f>
        <v>470002</v>
      </c>
      <c r="D525" s="1" t="str">
        <f ca="1">IFERROR(__xludf.DUMMYFUNCTION("""COMPUTED_VALUE"""),"Male")</f>
        <v>Male</v>
      </c>
      <c r="E525" s="1" t="str">
        <f ca="1">IFERROR(__xludf.DUMMYFUNCTION("""COMPUTED_VALUE"""),"My Parents")</f>
        <v>My Parents</v>
      </c>
      <c r="F525" s="1" t="str">
        <f ca="1">IFERROR(__xludf.DUMMYFUNCTION("""COMPUTED_VALUE"""),"Yes, I will earn and do that")</f>
        <v>Yes, I will earn and do that</v>
      </c>
      <c r="G525" s="1" t="str">
        <f ca="1">IFERROR(__xludf.DUMMYFUNCTION("""COMPUTED_VALUE"""),"This will be hard to do, but if it is the right company I would try")</f>
        <v>This will be hard to do, but if it is the right company I would try</v>
      </c>
      <c r="H525" s="1" t="str">
        <f ca="1">IFERROR(__xludf.DUMMYFUNCTION("""COMPUTED_VALUE"""),"No")</f>
        <v>No</v>
      </c>
      <c r="I525" s="1" t="str">
        <f ca="1">IFERROR(__xludf.DUMMYFUNCTION("""COMPUTED_VALUE"""),"Will NOT work for them")</f>
        <v>Will NOT work for them</v>
      </c>
      <c r="J525" s="1">
        <f ca="1">IFERROR(__xludf.DUMMYFUNCTION("""COMPUTED_VALUE"""),7)</f>
        <v>7</v>
      </c>
      <c r="K525" s="1" t="str">
        <f ca="1">IFERROR(__xludf.DUMMYFUNCTION("""COMPUTED_VALUE"""),"Hybrid Working Environment with more than 15 days a month at office")</f>
        <v>Hybrid Working Environment with more than 15 days a month at office</v>
      </c>
      <c r="L525" s="1" t="str">
        <f ca="1">IFERROR(__xludf.DUMMYFUNCTION("""COMPUTED_VALUE"""),"Employer who pushes your limits by enabling an learning environment, and rewards you at the end")</f>
        <v>Employer who pushes your limits by enabling an learning environment, and rewards you at the end</v>
      </c>
      <c r="M52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525" s="4" t="s">
        <v>48</v>
      </c>
      <c r="O525" s="1" t="str">
        <f ca="1">IFERROR(__xludf.DUMMYFUNCTION("""COMPUTED_VALUE"""),"Manager who explains what is expected, sets a goal and helps achieve it")</f>
        <v>Manager who explains what is expected, sets a goal and helps achieve it</v>
      </c>
      <c r="P525" s="1" t="str">
        <f ca="1">IFERROR(__xludf.DUMMYFUNCTION("""COMPUTED_VALUE"""),"Work &lt;=6 People in the Team")</f>
        <v>Work &lt;=6 People in the Team</v>
      </c>
      <c r="Q525" s="1" t="s">
        <v>43</v>
      </c>
      <c r="R525" s="1"/>
    </row>
    <row r="526" spans="1:18" x14ac:dyDescent="0.25">
      <c r="A526" s="2">
        <f ca="1">IFERROR(__xludf.DUMMYFUNCTION("""COMPUTED_VALUE"""),45021.6176571759)</f>
        <v>45021.617657175899</v>
      </c>
      <c r="B526" s="1" t="str">
        <f ca="1">IFERROR(__xludf.DUMMYFUNCTION("""COMPUTED_VALUE"""),"India")</f>
        <v>India</v>
      </c>
      <c r="C526" s="1">
        <f ca="1">IFERROR(__xludf.DUMMYFUNCTION("""COMPUTED_VALUE"""),560100)</f>
        <v>560100</v>
      </c>
      <c r="D526" s="1" t="str">
        <f ca="1">IFERROR(__xludf.DUMMYFUNCTION("""COMPUTED_VALUE"""),"Female")</f>
        <v>Female</v>
      </c>
      <c r="E526" s="1" t="str">
        <f ca="1">IFERROR(__xludf.DUMMYFUNCTION("""COMPUTED_VALUE"""),"People from my circle, but not family members")</f>
        <v>People from my circle, but not family members</v>
      </c>
      <c r="F526" s="1" t="str">
        <f ca="1">IFERROR(__xludf.DUMMYFUNCTION("""COMPUTED_VALUE"""),"No, But if someone could bare the cost I will")</f>
        <v>No, But if someone could bare the cost I will</v>
      </c>
      <c r="G526" s="1" t="str">
        <f ca="1">IFERROR(__xludf.DUMMYFUNCTION("""COMPUTED_VALUE"""),"This will be hard to do, but if it is the right company I would try")</f>
        <v>This will be hard to do, but if it is the right company I would try</v>
      </c>
      <c r="H526" s="1" t="str">
        <f ca="1">IFERROR(__xludf.DUMMYFUNCTION("""COMPUTED_VALUE"""),"No")</f>
        <v>No</v>
      </c>
      <c r="I526" s="1" t="str">
        <f ca="1">IFERROR(__xludf.DUMMYFUNCTION("""COMPUTED_VALUE"""),"Will NOT work for them")</f>
        <v>Will NOT work for them</v>
      </c>
      <c r="J526" s="1">
        <f ca="1">IFERROR(__xludf.DUMMYFUNCTION("""COMPUTED_VALUE"""),7)</f>
        <v>7</v>
      </c>
      <c r="K526" s="1" t="str">
        <f ca="1">IFERROR(__xludf.DUMMYFUNCTION("""COMPUTED_VALUE"""),"Every Day Office Environment")</f>
        <v>Every Day Office Environment</v>
      </c>
      <c r="L526" s="1" t="str">
        <f ca="1">IFERROR(__xludf.DUMMYFUNCTION("""COMPUTED_VALUE"""),"Employer who appreciates learning and enables that environment")</f>
        <v>Employer who appreciates learning and enables that environment</v>
      </c>
      <c r="M52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526" s="4" t="s">
        <v>53</v>
      </c>
      <c r="O526" s="1" t="str">
        <f ca="1">IFERROR(__xludf.DUMMYFUNCTION("""COMPUTED_VALUE"""),"Manager who explains what is expected, sets a goal and helps achieve it")</f>
        <v>Manager who explains what is expected, sets a goal and helps achieve it</v>
      </c>
      <c r="P526" s="1" t="str">
        <f ca="1">IFERROR(__xludf.DUMMYFUNCTION("""COMPUTED_VALUE"""),"Work &lt;=6 People in the Team")</f>
        <v>Work &lt;=6 People in the Team</v>
      </c>
      <c r="Q526" s="1" t="s">
        <v>43</v>
      </c>
      <c r="R526" s="1"/>
    </row>
    <row r="527" spans="1:18" x14ac:dyDescent="0.25">
      <c r="A527" s="2">
        <f ca="1">IFERROR(__xludf.DUMMYFUNCTION("""COMPUTED_VALUE"""),45021.6184615856)</f>
        <v>45021.618461585596</v>
      </c>
      <c r="B527" s="1" t="str">
        <f ca="1">IFERROR(__xludf.DUMMYFUNCTION("""COMPUTED_VALUE"""),"India")</f>
        <v>India</v>
      </c>
      <c r="C527" s="1">
        <f ca="1">IFERROR(__xludf.DUMMYFUNCTION("""COMPUTED_VALUE"""),560078)</f>
        <v>560078</v>
      </c>
      <c r="D527" s="1" t="str">
        <f ca="1">IFERROR(__xludf.DUMMYFUNCTION("""COMPUTED_VALUE"""),"Male")</f>
        <v>Male</v>
      </c>
      <c r="E527" s="1" t="str">
        <f ca="1">IFERROR(__xludf.DUMMYFUNCTION("""COMPUTED_VALUE"""),"Social Media like LinkedIn")</f>
        <v>Social Media like LinkedIn</v>
      </c>
      <c r="F527" s="1" t="str">
        <f ca="1">IFERROR(__xludf.DUMMYFUNCTION("""COMPUTED_VALUE"""),"No, But if someone could bare the cost I will")</f>
        <v>No, But if someone could bare the cost I will</v>
      </c>
      <c r="G527" s="1" t="str">
        <f ca="1">IFERROR(__xludf.DUMMYFUNCTION("""COMPUTED_VALUE"""),"This will be hard to do, but if it is the right company I would try")</f>
        <v>This will be hard to do, but if it is the right company I would try</v>
      </c>
      <c r="H527" s="1" t="str">
        <f ca="1">IFERROR(__xludf.DUMMYFUNCTION("""COMPUTED_VALUE"""),"No")</f>
        <v>No</v>
      </c>
      <c r="I527" s="1" t="str">
        <f ca="1">IFERROR(__xludf.DUMMYFUNCTION("""COMPUTED_VALUE"""),"Will NOT work for them")</f>
        <v>Will NOT work for them</v>
      </c>
      <c r="J527" s="1">
        <f ca="1">IFERROR(__xludf.DUMMYFUNCTION("""COMPUTED_VALUE"""),7)</f>
        <v>7</v>
      </c>
      <c r="K527" s="1" t="str">
        <f ca="1">IFERROR(__xludf.DUMMYFUNCTION("""COMPUTED_VALUE"""),"Hybrid Working Environment with less than 3 days a month at office")</f>
        <v>Hybrid Working Environment with less than 3 days a month at office</v>
      </c>
      <c r="L527" s="1" t="str">
        <f ca="1">IFERROR(__xludf.DUMMYFUNCTION("""COMPUTED_VALUE"""),"Employer who pushes your limits by enabling an learning environment, and rewards you at the end")</f>
        <v>Employer who pushes your limits by enabling an learning environment, and rewards you at the end</v>
      </c>
      <c r="M52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527" s="4" t="s">
        <v>48</v>
      </c>
      <c r="O527" s="1" t="str">
        <f ca="1">IFERROR(__xludf.DUMMYFUNCTION("""COMPUTED_VALUE"""),"Manager who explains what is expected, sets a goal and helps achieve it")</f>
        <v>Manager who explains what is expected, sets a goal and helps achieve it</v>
      </c>
      <c r="P527" s="1" t="str">
        <f ca="1">IFERROR(__xludf.DUMMYFUNCTION("""COMPUTED_VALUE"""),"Work &lt;=6 People in the Team")</f>
        <v>Work &lt;=6 People in the Team</v>
      </c>
      <c r="Q527" s="1" t="s">
        <v>42</v>
      </c>
      <c r="R527" s="1"/>
    </row>
    <row r="528" spans="1:18" x14ac:dyDescent="0.25">
      <c r="A528" s="2">
        <f ca="1">IFERROR(__xludf.DUMMYFUNCTION("""COMPUTED_VALUE"""),45021.6192261458)</f>
        <v>45021.619226145798</v>
      </c>
      <c r="B528" s="1" t="str">
        <f ca="1">IFERROR(__xludf.DUMMYFUNCTION("""COMPUTED_VALUE"""),"Others")</f>
        <v>Others</v>
      </c>
      <c r="C528" s="1">
        <f ca="1">IFERROR(__xludf.DUMMYFUNCTION("""COMPUTED_VALUE"""),122001)</f>
        <v>122001</v>
      </c>
      <c r="D528" s="1" t="str">
        <f ca="1">IFERROR(__xludf.DUMMYFUNCTION("""COMPUTED_VALUE"""),"Male")</f>
        <v>Male</v>
      </c>
      <c r="E528" s="1" t="str">
        <f ca="1">IFERROR(__xludf.DUMMYFUNCTION("""COMPUTED_VALUE"""),"People who have changed the world for better")</f>
        <v>People who have changed the world for better</v>
      </c>
      <c r="F528" s="1" t="str">
        <f ca="1">IFERROR(__xludf.DUMMYFUNCTION("""COMPUTED_VALUE"""),"No, But if someone could bare the cost I will")</f>
        <v>No, But if someone could bare the cost I will</v>
      </c>
      <c r="G528" s="1" t="str">
        <f ca="1">IFERROR(__xludf.DUMMYFUNCTION("""COMPUTED_VALUE"""),"This will be hard to do, but if it is the right company I would try")</f>
        <v>This will be hard to do, but if it is the right company I would try</v>
      </c>
      <c r="H528" s="1" t="str">
        <f ca="1">IFERROR(__xludf.DUMMYFUNCTION("""COMPUTED_VALUE"""),"No")</f>
        <v>No</v>
      </c>
      <c r="I528" s="1" t="str">
        <f ca="1">IFERROR(__xludf.DUMMYFUNCTION("""COMPUTED_VALUE"""),"Will NOT work for them")</f>
        <v>Will NOT work for them</v>
      </c>
      <c r="J528" s="1">
        <f ca="1">IFERROR(__xludf.DUMMYFUNCTION("""COMPUTED_VALUE"""),8)</f>
        <v>8</v>
      </c>
      <c r="K528" s="1" t="str">
        <f ca="1">IFERROR(__xludf.DUMMYFUNCTION("""COMPUTED_VALUE"""),"Fully Remote with Options to travel as and when needed")</f>
        <v>Fully Remote with Options to travel as and when needed</v>
      </c>
      <c r="L528" s="1" t="str">
        <f ca="1">IFERROR(__xludf.DUMMYFUNCTION("""COMPUTED_VALUE"""),"Employer who pushes your limits by enabling an learning environment, and rewards you at the end")</f>
        <v>Employer who pushes your limits by enabling an learning environment, and rewards you at the end</v>
      </c>
      <c r="M528"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N528" s="4" t="s">
        <v>53</v>
      </c>
      <c r="O528" s="1" t="str">
        <f ca="1">IFERROR(__xludf.DUMMYFUNCTION("""COMPUTED_VALUE"""),"Manager who explains what is expected, sets a goal and helps achieve it")</f>
        <v>Manager who explains what is expected, sets a goal and helps achieve it</v>
      </c>
      <c r="P528" s="1" t="str">
        <f ca="1">IFERROR(__xludf.DUMMYFUNCTION("""COMPUTED_VALUE"""),"Work alone")</f>
        <v>Work alone</v>
      </c>
      <c r="Q528" s="1" t="s">
        <v>43</v>
      </c>
      <c r="R528" s="1"/>
    </row>
    <row r="529" spans="1:18" x14ac:dyDescent="0.25">
      <c r="A529" s="2">
        <f ca="1">IFERROR(__xludf.DUMMYFUNCTION("""COMPUTED_VALUE"""),45021.6237193171)</f>
        <v>45021.623719317096</v>
      </c>
      <c r="B529" s="1" t="str">
        <f ca="1">IFERROR(__xludf.DUMMYFUNCTION("""COMPUTED_VALUE"""),"India")</f>
        <v>India</v>
      </c>
      <c r="C529" s="1">
        <f ca="1">IFERROR(__xludf.DUMMYFUNCTION("""COMPUTED_VALUE"""),400053)</f>
        <v>400053</v>
      </c>
      <c r="D529" s="1" t="str">
        <f ca="1">IFERROR(__xludf.DUMMYFUNCTION("""COMPUTED_VALUE"""),"Male")</f>
        <v>Male</v>
      </c>
      <c r="E529" s="1" t="str">
        <f ca="1">IFERROR(__xludf.DUMMYFUNCTION("""COMPUTED_VALUE"""),"My Parents")</f>
        <v>My Parents</v>
      </c>
      <c r="F529" s="1" t="str">
        <f ca="1">IFERROR(__xludf.DUMMYFUNCTION("""COMPUTED_VALUE"""),"No I would not be pursuing Higher Education outside of India")</f>
        <v>No I would not be pursuing Higher Education outside of India</v>
      </c>
      <c r="G529" s="1" t="str">
        <f ca="1">IFERROR(__xludf.DUMMYFUNCTION("""COMPUTED_VALUE"""),"This will be hard to do, but if it is the right company I would try")</f>
        <v>This will be hard to do, but if it is the right company I would try</v>
      </c>
      <c r="H529" s="1" t="str">
        <f ca="1">IFERROR(__xludf.DUMMYFUNCTION("""COMPUTED_VALUE"""),"No")</f>
        <v>No</v>
      </c>
      <c r="I529" s="1" t="str">
        <f ca="1">IFERROR(__xludf.DUMMYFUNCTION("""COMPUTED_VALUE"""),"Will NOT work for them")</f>
        <v>Will NOT work for them</v>
      </c>
      <c r="J529" s="1">
        <f ca="1">IFERROR(__xludf.DUMMYFUNCTION("""COMPUTED_VALUE"""),5)</f>
        <v>5</v>
      </c>
      <c r="K529" s="1" t="str">
        <f ca="1">IFERROR(__xludf.DUMMYFUNCTION("""COMPUTED_VALUE"""),"Hybrid Working Environment with more than 15 days a month at office")</f>
        <v>Hybrid Working Environment with more than 15 days a month at office</v>
      </c>
      <c r="L529" s="1" t="str">
        <f ca="1">IFERROR(__xludf.DUMMYFUNCTION("""COMPUTED_VALUE"""),"Employer who pushes your limits by enabling an learning environment, and rewards you at the end")</f>
        <v>Employer who pushes your limits by enabling an learning environment, and rewards you at the end</v>
      </c>
      <c r="M52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N529" s="4" t="s">
        <v>49</v>
      </c>
      <c r="O529" s="1" t="str">
        <f ca="1">IFERROR(__xludf.DUMMYFUNCTION("""COMPUTED_VALUE"""),"Manager who explains what is expected, sets a goal and helps achieve it")</f>
        <v>Manager who explains what is expected, sets a goal and helps achieve it</v>
      </c>
      <c r="P529" s="1" t="str">
        <f ca="1">IFERROR(__xludf.DUMMYFUNCTION("""COMPUTED_VALUE"""),"Work &lt;=6 People in the Team")</f>
        <v>Work &lt;=6 People in the Team</v>
      </c>
      <c r="Q529" s="1" t="s">
        <v>40</v>
      </c>
      <c r="R529" s="1"/>
    </row>
    <row r="530" spans="1:18" x14ac:dyDescent="0.25">
      <c r="A530" s="2">
        <f ca="1">IFERROR(__xludf.DUMMYFUNCTION("""COMPUTED_VALUE"""),45021.6308313426)</f>
        <v>45021.630831342598</v>
      </c>
      <c r="B530" s="1" t="str">
        <f ca="1">IFERROR(__xludf.DUMMYFUNCTION("""COMPUTED_VALUE"""),"India")</f>
        <v>India</v>
      </c>
      <c r="C530" s="1">
        <f ca="1">IFERROR(__xludf.DUMMYFUNCTION("""COMPUTED_VALUE"""),517502)</f>
        <v>517502</v>
      </c>
      <c r="D530" s="1" t="str">
        <f ca="1">IFERROR(__xludf.DUMMYFUNCTION("""COMPUTED_VALUE"""),"Male")</f>
        <v>Male</v>
      </c>
      <c r="E530" s="1" t="str">
        <f ca="1">IFERROR(__xludf.DUMMYFUNCTION("""COMPUTED_VALUE"""),"My Parents")</f>
        <v>My Parents</v>
      </c>
      <c r="F530" s="1" t="str">
        <f ca="1">IFERROR(__xludf.DUMMYFUNCTION("""COMPUTED_VALUE"""),"No I would not be pursuing Higher Education outside of India")</f>
        <v>No I would not be pursuing Higher Education outside of India</v>
      </c>
      <c r="G530" s="1" t="str">
        <f ca="1">IFERROR(__xludf.DUMMYFUNCTION("""COMPUTED_VALUE"""),"This will be hard to do, but if it is the right company I would try")</f>
        <v>This will be hard to do, but if it is the right company I would try</v>
      </c>
      <c r="H530" s="1" t="str">
        <f ca="1">IFERROR(__xludf.DUMMYFUNCTION("""COMPUTED_VALUE"""),"Yes")</f>
        <v>Yes</v>
      </c>
      <c r="I530" s="1" t="str">
        <f ca="1">IFERROR(__xludf.DUMMYFUNCTION("""COMPUTED_VALUE"""),"Will work for them")</f>
        <v>Will work for them</v>
      </c>
      <c r="J530" s="1">
        <f ca="1">IFERROR(__xludf.DUMMYFUNCTION("""COMPUTED_VALUE"""),3)</f>
        <v>3</v>
      </c>
      <c r="K530" s="1" t="str">
        <f ca="1">IFERROR(__xludf.DUMMYFUNCTION("""COMPUTED_VALUE"""),"Every Day Office Environment")</f>
        <v>Every Day Office Environment</v>
      </c>
      <c r="L530" s="1" t="str">
        <f ca="1">IFERROR(__xludf.DUMMYFUNCTION("""COMPUTED_VALUE"""),"Employer who pushes your limits and doesn't enables learning environment and never rewards you")</f>
        <v>Employer who pushes your limits and doesn't enables learning environment and never rewards you</v>
      </c>
      <c r="M530"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N530" s="4" t="s">
        <v>49</v>
      </c>
      <c r="O530" s="1" t="str">
        <f ca="1">IFERROR(__xludf.DUMMYFUNCTION("""COMPUTED_VALUE"""),"Manager who explains what is expected, sets a goal and helps achieve it")</f>
        <v>Manager who explains what is expected, sets a goal and helps achieve it</v>
      </c>
      <c r="P530" s="1" t="str">
        <f ca="1">IFERROR(__xludf.DUMMYFUNCTION("""COMPUTED_VALUE"""),"Work &gt;=7 People in the Team")</f>
        <v>Work &gt;=7 People in the Team</v>
      </c>
      <c r="Q530" s="1" t="s">
        <v>44</v>
      </c>
      <c r="R530" s="1"/>
    </row>
    <row r="531" spans="1:18" x14ac:dyDescent="0.25">
      <c r="A531" s="2">
        <f ca="1">IFERROR(__xludf.DUMMYFUNCTION("""COMPUTED_VALUE"""),45021.6385231712)</f>
        <v>45021.638523171197</v>
      </c>
      <c r="B531" s="1" t="str">
        <f ca="1">IFERROR(__xludf.DUMMYFUNCTION("""COMPUTED_VALUE"""),"India")</f>
        <v>India</v>
      </c>
      <c r="C531" s="1">
        <f ca="1">IFERROR(__xludf.DUMMYFUNCTION("""COMPUTED_VALUE"""),452013)</f>
        <v>452013</v>
      </c>
      <c r="D531" s="1" t="str">
        <f ca="1">IFERROR(__xludf.DUMMYFUNCTION("""COMPUTED_VALUE"""),"Male")</f>
        <v>Male</v>
      </c>
      <c r="E531" s="1" t="str">
        <f ca="1">IFERROR(__xludf.DUMMYFUNCTION("""COMPUTED_VALUE"""),"My Parents")</f>
        <v>My Parents</v>
      </c>
      <c r="F531" s="1" t="str">
        <f ca="1">IFERROR(__xludf.DUMMYFUNCTION("""COMPUTED_VALUE"""),"Yes, I will earn and do that")</f>
        <v>Yes, I will earn and do that</v>
      </c>
      <c r="G531" s="1" t="str">
        <f ca="1">IFERROR(__xludf.DUMMYFUNCTION("""COMPUTED_VALUE"""),"This will be hard to do, but if it is the right company I would try")</f>
        <v>This will be hard to do, but if it is the right company I would try</v>
      </c>
      <c r="H531" s="1" t="str">
        <f ca="1">IFERROR(__xludf.DUMMYFUNCTION("""COMPUTED_VALUE"""),"No")</f>
        <v>No</v>
      </c>
      <c r="I531" s="1" t="str">
        <f ca="1">IFERROR(__xludf.DUMMYFUNCTION("""COMPUTED_VALUE"""),"Will NOT work for them")</f>
        <v>Will NOT work for them</v>
      </c>
      <c r="J531" s="1">
        <f ca="1">IFERROR(__xludf.DUMMYFUNCTION("""COMPUTED_VALUE"""),6)</f>
        <v>6</v>
      </c>
      <c r="K531" s="1" t="str">
        <f ca="1">IFERROR(__xludf.DUMMYFUNCTION("""COMPUTED_VALUE"""),"Every Day Office Environment")</f>
        <v>Every Day Office Environment</v>
      </c>
      <c r="L531" s="1" t="str">
        <f ca="1">IFERROR(__xludf.DUMMYFUNCTION("""COMPUTED_VALUE"""),"Employer who appreciates learning and enables that environment")</f>
        <v>Employer who appreciates learning and enables that environment</v>
      </c>
      <c r="M531" s="1" t="str">
        <f ca="1">IFERROR(__xludf.DUMMYFUNCTION("""COMPUTED_VALUE"""),"Manage and drive End-to-End Projects or Products, Build and develop a Team, Entrepreneur or Start Up, Manufacturing / Oil and Gas/ Construction / Hard Physical Work related")</f>
        <v>Manage and drive End-to-End Projects or Products, Build and develop a Team, Entrepreneur or Start Up, Manufacturing / Oil and Gas/ Construction / Hard Physical Work related</v>
      </c>
      <c r="N531" s="4" t="s">
        <v>48</v>
      </c>
      <c r="O531" s="1" t="str">
        <f ca="1">IFERROR(__xludf.DUMMYFUNCTION("""COMPUTED_VALUE"""),"Manager who explains what is expected, sets a goal and helps achieve it")</f>
        <v>Manager who explains what is expected, sets a goal and helps achieve it</v>
      </c>
      <c r="P531" s="1" t="str">
        <f ca="1">IFERROR(__xludf.DUMMYFUNCTION("""COMPUTED_VALUE"""),"Work Alone, &lt;67 people in team")</f>
        <v>Work Alone, &lt;67 people in team</v>
      </c>
      <c r="Q531" s="1" t="s">
        <v>43</v>
      </c>
      <c r="R531" s="1"/>
    </row>
    <row r="532" spans="1:18" x14ac:dyDescent="0.25">
      <c r="A532" s="2">
        <f ca="1">IFERROR(__xludf.DUMMYFUNCTION("""COMPUTED_VALUE"""),45021.6395241782)</f>
        <v>45021.639524178201</v>
      </c>
      <c r="B532" s="1" t="str">
        <f ca="1">IFERROR(__xludf.DUMMYFUNCTION("""COMPUTED_VALUE"""),"India")</f>
        <v>India</v>
      </c>
      <c r="C532" s="1">
        <f ca="1">IFERROR(__xludf.DUMMYFUNCTION("""COMPUTED_VALUE"""),364001)</f>
        <v>364001</v>
      </c>
      <c r="D532" s="1" t="str">
        <f ca="1">IFERROR(__xludf.DUMMYFUNCTION("""COMPUTED_VALUE"""),"Male")</f>
        <v>Male</v>
      </c>
      <c r="E532" s="1" t="str">
        <f ca="1">IFERROR(__xludf.DUMMYFUNCTION("""COMPUTED_VALUE"""),"People who have changed the world for better")</f>
        <v>People who have changed the world for better</v>
      </c>
      <c r="F532" s="1" t="str">
        <f ca="1">IFERROR(__xludf.DUMMYFUNCTION("""COMPUTED_VALUE"""),"Yes, I will earn and do that")</f>
        <v>Yes, I will earn and do that</v>
      </c>
      <c r="G532" s="1" t="str">
        <f ca="1">IFERROR(__xludf.DUMMYFUNCTION("""COMPUTED_VALUE"""),"No way")</f>
        <v>No way</v>
      </c>
      <c r="H532" s="1" t="str">
        <f ca="1">IFERROR(__xludf.DUMMYFUNCTION("""COMPUTED_VALUE"""),"No")</f>
        <v>No</v>
      </c>
      <c r="I532" s="1" t="str">
        <f ca="1">IFERROR(__xludf.DUMMYFUNCTION("""COMPUTED_VALUE"""),"Will NOT work for them")</f>
        <v>Will NOT work for them</v>
      </c>
      <c r="J532" s="1">
        <f ca="1">IFERROR(__xludf.DUMMYFUNCTION("""COMPUTED_VALUE"""),1)</f>
        <v>1</v>
      </c>
      <c r="K532" s="1" t="str">
        <f ca="1">IFERROR(__xludf.DUMMYFUNCTION("""COMPUTED_VALUE"""),"Fully Remote with Options to travel as and when needed")</f>
        <v>Fully Remote with Options to travel as and when needed</v>
      </c>
      <c r="L532" s="1" t="str">
        <f ca="1">IFERROR(__xludf.DUMMYFUNCTION("""COMPUTED_VALUE"""),"Employer who pushes your limits by enabling an learning environment, and rewards you at the end")</f>
        <v>Employer who pushes your limits by enabling an learning environment, and rewards you at the end</v>
      </c>
      <c r="M532"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N532" s="4" t="s">
        <v>53</v>
      </c>
      <c r="O532" s="1" t="str">
        <f ca="1">IFERROR(__xludf.DUMMYFUNCTION("""COMPUTED_VALUE"""),"Manager who sets goal and helps me achieve it")</f>
        <v>Manager who sets goal and helps me achieve it</v>
      </c>
      <c r="P532" s="1" t="str">
        <f ca="1">IFERROR(__xludf.DUMMYFUNCTION("""COMPUTED_VALUE"""),"Work &lt;=6 People in the Team")</f>
        <v>Work &lt;=6 People in the Team</v>
      </c>
      <c r="Q532" s="1" t="s">
        <v>43</v>
      </c>
      <c r="R532" s="1"/>
    </row>
    <row r="533" spans="1:18" x14ac:dyDescent="0.25">
      <c r="A533" s="2">
        <f ca="1">IFERROR(__xludf.DUMMYFUNCTION("""COMPUTED_VALUE"""),45021.6421212962)</f>
        <v>45021.642121296201</v>
      </c>
      <c r="B533" s="1" t="str">
        <f ca="1">IFERROR(__xludf.DUMMYFUNCTION("""COMPUTED_VALUE"""),"India")</f>
        <v>India</v>
      </c>
      <c r="C533" s="1">
        <f ca="1">IFERROR(__xludf.DUMMYFUNCTION("""COMPUTED_VALUE"""),382340)</f>
        <v>382340</v>
      </c>
      <c r="D533" s="1" t="str">
        <f ca="1">IFERROR(__xludf.DUMMYFUNCTION("""COMPUTED_VALUE"""),"Female")</f>
        <v>Female</v>
      </c>
      <c r="E533" s="1" t="str">
        <f ca="1">IFERROR(__xludf.DUMMYFUNCTION("""COMPUTED_VALUE"""),"Influencers who had successful careers")</f>
        <v>Influencers who had successful careers</v>
      </c>
      <c r="F533" s="1" t="str">
        <f ca="1">IFERROR(__xludf.DUMMYFUNCTION("""COMPUTED_VALUE"""),"Yes, I will earn and do that")</f>
        <v>Yes, I will earn and do that</v>
      </c>
      <c r="G533" s="1" t="str">
        <f ca="1">IFERROR(__xludf.DUMMYFUNCTION("""COMPUTED_VALUE"""),"This will be hard to do, but if it is the right company I would try")</f>
        <v>This will be hard to do, but if it is the right company I would try</v>
      </c>
      <c r="H533" s="1" t="str">
        <f ca="1">IFERROR(__xludf.DUMMYFUNCTION("""COMPUTED_VALUE"""),"No")</f>
        <v>No</v>
      </c>
      <c r="I533" s="1" t="str">
        <f ca="1">IFERROR(__xludf.DUMMYFUNCTION("""COMPUTED_VALUE"""),"Will NOT work for them")</f>
        <v>Will NOT work for them</v>
      </c>
      <c r="J533" s="1">
        <f ca="1">IFERROR(__xludf.DUMMYFUNCTION("""COMPUTED_VALUE"""),5)</f>
        <v>5</v>
      </c>
      <c r="K533" s="1" t="str">
        <f ca="1">IFERROR(__xludf.DUMMYFUNCTION("""COMPUTED_VALUE"""),"Fully Remote with Options to travel as and when needed")</f>
        <v>Fully Remote with Options to travel as and when needed</v>
      </c>
      <c r="L533" s="1" t="str">
        <f ca="1">IFERROR(__xludf.DUMMYFUNCTION("""COMPUTED_VALUE"""),"Employer who appreciates learning and enables that environment")</f>
        <v>Employer who appreciates learning and enables that environment</v>
      </c>
      <c r="M533"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533" s="4" t="s">
        <v>53</v>
      </c>
      <c r="O533" s="1" t="str">
        <f ca="1">IFERROR(__xludf.DUMMYFUNCTION("""COMPUTED_VALUE"""),"Manager who explains what is expected, sets a goal and helps achieve it")</f>
        <v>Manager who explains what is expected, sets a goal and helps achieve it</v>
      </c>
      <c r="P533" s="1" t="str">
        <f ca="1">IFERROR(__xludf.DUMMYFUNCTION("""COMPUTED_VALUE"""),"Work &gt;10 people in Team")</f>
        <v>Work &gt;10 people in Team</v>
      </c>
      <c r="Q533" s="1" t="s">
        <v>43</v>
      </c>
      <c r="R533" s="1"/>
    </row>
    <row r="534" spans="1:18" x14ac:dyDescent="0.25">
      <c r="A534" s="2">
        <f ca="1">IFERROR(__xludf.DUMMYFUNCTION("""COMPUTED_VALUE"""),45021.644386956)</f>
        <v>45021.644386956003</v>
      </c>
      <c r="B534" s="1" t="str">
        <f ca="1">IFERROR(__xludf.DUMMYFUNCTION("""COMPUTED_VALUE"""),"India")</f>
        <v>India</v>
      </c>
      <c r="C534" s="1">
        <f ca="1">IFERROR(__xludf.DUMMYFUNCTION("""COMPUTED_VALUE"""),831015)</f>
        <v>831015</v>
      </c>
      <c r="D534" s="1" t="str">
        <f ca="1">IFERROR(__xludf.DUMMYFUNCTION("""COMPUTED_VALUE"""),"Female")</f>
        <v>Female</v>
      </c>
      <c r="E534" s="1" t="str">
        <f ca="1">IFERROR(__xludf.DUMMYFUNCTION("""COMPUTED_VALUE"""),"Social Media like LinkedIn")</f>
        <v>Social Media like LinkedIn</v>
      </c>
      <c r="F534" s="1" t="str">
        <f ca="1">IFERROR(__xludf.DUMMYFUNCTION("""COMPUTED_VALUE"""),"No, But if someone could bare the cost I will")</f>
        <v>No, But if someone could bare the cost I will</v>
      </c>
      <c r="G534" s="1" t="str">
        <f ca="1">IFERROR(__xludf.DUMMYFUNCTION("""COMPUTED_VALUE"""),"This will be hard to do, but if it is the right company I would try")</f>
        <v>This will be hard to do, but if it is the right company I would try</v>
      </c>
      <c r="H534" s="1" t="str">
        <f ca="1">IFERROR(__xludf.DUMMYFUNCTION("""COMPUTED_VALUE"""),"No")</f>
        <v>No</v>
      </c>
      <c r="I534" s="1" t="str">
        <f ca="1">IFERROR(__xludf.DUMMYFUNCTION("""COMPUTED_VALUE"""),"Will work for them")</f>
        <v>Will work for them</v>
      </c>
      <c r="J534" s="1">
        <f ca="1">IFERROR(__xludf.DUMMYFUNCTION("""COMPUTED_VALUE"""),9)</f>
        <v>9</v>
      </c>
      <c r="K534" s="1" t="str">
        <f ca="1">IFERROR(__xludf.DUMMYFUNCTION("""COMPUTED_VALUE"""),"Fully Remote with Options to travel as and when needed")</f>
        <v>Fully Remote with Options to travel as and when needed</v>
      </c>
      <c r="L534" s="1" t="str">
        <f ca="1">IFERROR(__xludf.DUMMYFUNCTION("""COMPUTED_VALUE"""),"Employer who rewards learning and enables that environment")</f>
        <v>Employer who rewards learning and enables that environment</v>
      </c>
      <c r="M534"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N534" s="4" t="s">
        <v>48</v>
      </c>
      <c r="O534" s="1" t="str">
        <f ca="1">IFERROR(__xludf.DUMMYFUNCTION("""COMPUTED_VALUE"""),"Manager who clearly describes what she/he needs")</f>
        <v>Manager who clearly describes what she/he needs</v>
      </c>
      <c r="P534" s="1" t="str">
        <f ca="1">IFERROR(__xludf.DUMMYFUNCTION("""COMPUTED_VALUE"""),"Work &lt;=6 People in the Team")</f>
        <v>Work &lt;=6 People in the Team</v>
      </c>
      <c r="Q534" s="1" t="s">
        <v>40</v>
      </c>
      <c r="R534" s="1"/>
    </row>
    <row r="535" spans="1:18" x14ac:dyDescent="0.25">
      <c r="A535" s="2">
        <f ca="1">IFERROR(__xludf.DUMMYFUNCTION("""COMPUTED_VALUE"""),45021.6459387963)</f>
        <v>45021.645938796297</v>
      </c>
      <c r="B535" s="1" t="str">
        <f ca="1">IFERROR(__xludf.DUMMYFUNCTION("""COMPUTED_VALUE"""),"India")</f>
        <v>India</v>
      </c>
      <c r="C535" s="1">
        <f ca="1">IFERROR(__xludf.DUMMYFUNCTION("""COMPUTED_VALUE"""),422003)</f>
        <v>422003</v>
      </c>
      <c r="D535" s="1" t="str">
        <f ca="1">IFERROR(__xludf.DUMMYFUNCTION("""COMPUTED_VALUE"""),"Male")</f>
        <v>Male</v>
      </c>
      <c r="E535" s="1" t="str">
        <f ca="1">IFERROR(__xludf.DUMMYFUNCTION("""COMPUTED_VALUE"""),"People who have changed the world for better")</f>
        <v>People who have changed the world for better</v>
      </c>
      <c r="F535" s="1" t="str">
        <f ca="1">IFERROR(__xludf.DUMMYFUNCTION("""COMPUTED_VALUE"""),"No I would not be pursuing Higher Education outside of India")</f>
        <v>No I would not be pursuing Higher Education outside of India</v>
      </c>
      <c r="G535" s="1" t="str">
        <f ca="1">IFERROR(__xludf.DUMMYFUNCTION("""COMPUTED_VALUE"""),"This will be hard to do, but if it is the right company I would try")</f>
        <v>This will be hard to do, but if it is the right company I would try</v>
      </c>
      <c r="H535" s="1" t="str">
        <f ca="1">IFERROR(__xludf.DUMMYFUNCTION("""COMPUTED_VALUE"""),"No")</f>
        <v>No</v>
      </c>
      <c r="I535" s="1" t="str">
        <f ca="1">IFERROR(__xludf.DUMMYFUNCTION("""COMPUTED_VALUE"""),"Will NOT work for them")</f>
        <v>Will NOT work for them</v>
      </c>
      <c r="J535" s="1">
        <f ca="1">IFERROR(__xludf.DUMMYFUNCTION("""COMPUTED_VALUE"""),5)</f>
        <v>5</v>
      </c>
      <c r="K535" s="1" t="str">
        <f ca="1">IFERROR(__xludf.DUMMYFUNCTION("""COMPUTED_VALUE"""),"Every Day Office Environment")</f>
        <v>Every Day Office Environment</v>
      </c>
      <c r="L535" s="1" t="str">
        <f ca="1">IFERROR(__xludf.DUMMYFUNCTION("""COMPUTED_VALUE"""),"Employer who appreciates learning and enables that environment")</f>
        <v>Employer who appreciates learning and enables that environment</v>
      </c>
      <c r="M53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535" s="4" t="s">
        <v>48</v>
      </c>
      <c r="O535" s="1" t="str">
        <f ca="1">IFERROR(__xludf.DUMMYFUNCTION("""COMPUTED_VALUE"""),"Manager who explains what is expected, sets a goal and helps achieve it")</f>
        <v>Manager who explains what is expected, sets a goal and helps achieve it</v>
      </c>
      <c r="P535" s="1" t="str">
        <f ca="1">IFERROR(__xludf.DUMMYFUNCTION("""COMPUTED_VALUE"""),"Work &lt;=6 People in the Team")</f>
        <v>Work &lt;=6 People in the Team</v>
      </c>
      <c r="Q535" s="1" t="s">
        <v>40</v>
      </c>
      <c r="R535" s="1"/>
    </row>
    <row r="536" spans="1:18" x14ac:dyDescent="0.25">
      <c r="A536" s="2">
        <f ca="1">IFERROR(__xludf.DUMMYFUNCTION("""COMPUTED_VALUE"""),45021.6475687615)</f>
        <v>45021.647568761502</v>
      </c>
      <c r="B536" s="1" t="str">
        <f ca="1">IFERROR(__xludf.DUMMYFUNCTION("""COMPUTED_VALUE"""),"India")</f>
        <v>India</v>
      </c>
      <c r="C536" s="1">
        <f ca="1">IFERROR(__xludf.DUMMYFUNCTION("""COMPUTED_VALUE"""),517501)</f>
        <v>517501</v>
      </c>
      <c r="D536" s="1" t="str">
        <f ca="1">IFERROR(__xludf.DUMMYFUNCTION("""COMPUTED_VALUE"""),"Male")</f>
        <v>Male</v>
      </c>
      <c r="E536" s="1" t="str">
        <f ca="1">IFERROR(__xludf.DUMMYFUNCTION("""COMPUTED_VALUE"""),"My Parents")</f>
        <v>My Parents</v>
      </c>
      <c r="F536" s="1" t="str">
        <f ca="1">IFERROR(__xludf.DUMMYFUNCTION("""COMPUTED_VALUE"""),"Yes, I will earn and do that")</f>
        <v>Yes, I will earn and do that</v>
      </c>
      <c r="G536" s="1" t="str">
        <f ca="1">IFERROR(__xludf.DUMMYFUNCTION("""COMPUTED_VALUE"""),"Will work for 3 years or more")</f>
        <v>Will work for 3 years or more</v>
      </c>
      <c r="H536" s="1" t="str">
        <f ca="1">IFERROR(__xludf.DUMMYFUNCTION("""COMPUTED_VALUE"""),"No")</f>
        <v>No</v>
      </c>
      <c r="I536" s="1" t="str">
        <f ca="1">IFERROR(__xludf.DUMMYFUNCTION("""COMPUTED_VALUE"""),"Will NOT work for them")</f>
        <v>Will NOT work for them</v>
      </c>
      <c r="J536" s="1">
        <f ca="1">IFERROR(__xludf.DUMMYFUNCTION("""COMPUTED_VALUE"""),7)</f>
        <v>7</v>
      </c>
      <c r="K536" s="1" t="str">
        <f ca="1">IFERROR(__xludf.DUMMYFUNCTION("""COMPUTED_VALUE"""),"Every Day Office Environment")</f>
        <v>Every Day Office Environment</v>
      </c>
      <c r="L536" s="1" t="str">
        <f ca="1">IFERROR(__xludf.DUMMYFUNCTION("""COMPUTED_VALUE"""),"Employer who pushes your limits by enabling an learning environment, and rewards you at the end")</f>
        <v>Employer who pushes your limits by enabling an learning environment, and rewards you at the end</v>
      </c>
      <c r="M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536" s="4" t="s">
        <v>49</v>
      </c>
      <c r="O536" s="1" t="str">
        <f ca="1">IFERROR(__xludf.DUMMYFUNCTION("""COMPUTED_VALUE"""),"Manager who explains what is expected, sets a goal and helps achieve it")</f>
        <v>Manager who explains what is expected, sets a goal and helps achieve it</v>
      </c>
      <c r="P536" s="1" t="str">
        <f ca="1">IFERROR(__xludf.DUMMYFUNCTION("""COMPUTED_VALUE"""),"Work &lt;=6 People in the Team")</f>
        <v>Work &lt;=6 People in the Team</v>
      </c>
      <c r="Q536" s="1" t="s">
        <v>43</v>
      </c>
      <c r="R536" s="1"/>
    </row>
    <row r="537" spans="1:18" x14ac:dyDescent="0.25">
      <c r="A537" s="2">
        <f ca="1">IFERROR(__xludf.DUMMYFUNCTION("""COMPUTED_VALUE"""),45021.6498344791)</f>
        <v>45021.649834479103</v>
      </c>
      <c r="B537" s="1" t="str">
        <f ca="1">IFERROR(__xludf.DUMMYFUNCTION("""COMPUTED_VALUE"""),"India")</f>
        <v>India</v>
      </c>
      <c r="C537" s="1">
        <f ca="1">IFERROR(__xludf.DUMMYFUNCTION("""COMPUTED_VALUE"""),831015)</f>
        <v>831015</v>
      </c>
      <c r="D537" s="1" t="str">
        <f ca="1">IFERROR(__xludf.DUMMYFUNCTION("""COMPUTED_VALUE"""),"Male")</f>
        <v>Male</v>
      </c>
      <c r="E537" s="1" t="str">
        <f ca="1">IFERROR(__xludf.DUMMYFUNCTION("""COMPUTED_VALUE"""),"Influencers who had successful careers")</f>
        <v>Influencers who had successful careers</v>
      </c>
      <c r="F537" s="1" t="str">
        <f ca="1">IFERROR(__xludf.DUMMYFUNCTION("""COMPUTED_VALUE"""),"Yes, I will earn and do that")</f>
        <v>Yes, I will earn and do that</v>
      </c>
      <c r="G537" s="1" t="str">
        <f ca="1">IFERROR(__xludf.DUMMYFUNCTION("""COMPUTED_VALUE"""),"Will work for 3 years or more")</f>
        <v>Will work for 3 years or more</v>
      </c>
      <c r="H537" s="1" t="str">
        <f ca="1">IFERROR(__xludf.DUMMYFUNCTION("""COMPUTED_VALUE"""),"Yes")</f>
        <v>Yes</v>
      </c>
      <c r="I537" s="1" t="str">
        <f ca="1">IFERROR(__xludf.DUMMYFUNCTION("""COMPUTED_VALUE"""),"Will work for them")</f>
        <v>Will work for them</v>
      </c>
      <c r="J537" s="1">
        <f ca="1">IFERROR(__xludf.DUMMYFUNCTION("""COMPUTED_VALUE"""),10)</f>
        <v>10</v>
      </c>
      <c r="K537" s="1" t="str">
        <f ca="1">IFERROR(__xludf.DUMMYFUNCTION("""COMPUTED_VALUE"""),"Fully Remote with Options to travel as and when needed")</f>
        <v>Fully Remote with Options to travel as and when needed</v>
      </c>
      <c r="L537" s="1" t="str">
        <f ca="1">IFERROR(__xludf.DUMMYFUNCTION("""COMPUTED_VALUE"""),"Employer who appreciates learning and enables that environment")</f>
        <v>Employer who appreciates learning and enables that environment</v>
      </c>
      <c r="M537"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537" s="4" t="s">
        <v>48</v>
      </c>
      <c r="O537" s="1" t="str">
        <f ca="1">IFERROR(__xludf.DUMMYFUNCTION("""COMPUTED_VALUE"""),"Manager who explains what is expected, sets a goal and helps achieve it")</f>
        <v>Manager who explains what is expected, sets a goal and helps achieve it</v>
      </c>
      <c r="P537" s="1" t="str">
        <f ca="1">IFERROR(__xludf.DUMMYFUNCTION("""COMPUTED_VALUE"""),"Work &gt;=7 People in the Team")</f>
        <v>Work &gt;=7 People in the Team</v>
      </c>
      <c r="Q537" s="1" t="s">
        <v>43</v>
      </c>
      <c r="R537" s="1"/>
    </row>
    <row r="538" spans="1:18" x14ac:dyDescent="0.25">
      <c r="A538" s="2">
        <f ca="1">IFERROR(__xludf.DUMMYFUNCTION("""COMPUTED_VALUE"""),45021.6538080208)</f>
        <v>45021.653808020797</v>
      </c>
      <c r="B538" s="1" t="str">
        <f ca="1">IFERROR(__xludf.DUMMYFUNCTION("""COMPUTED_VALUE"""),"India")</f>
        <v>India</v>
      </c>
      <c r="C538" s="1">
        <f ca="1">IFERROR(__xludf.DUMMYFUNCTION("""COMPUTED_VALUE"""),831006)</f>
        <v>831006</v>
      </c>
      <c r="D538" s="1" t="str">
        <f ca="1">IFERROR(__xludf.DUMMYFUNCTION("""COMPUTED_VALUE"""),"Female")</f>
        <v>Female</v>
      </c>
      <c r="E538" s="1" t="str">
        <f ca="1">IFERROR(__xludf.DUMMYFUNCTION("""COMPUTED_VALUE"""),"My Parents")</f>
        <v>My Parents</v>
      </c>
      <c r="F538" s="1" t="str">
        <f ca="1">IFERROR(__xludf.DUMMYFUNCTION("""COMPUTED_VALUE"""),"Yes, I will earn and do that")</f>
        <v>Yes, I will earn and do that</v>
      </c>
      <c r="G538" s="1" t="str">
        <f ca="1">IFERROR(__xludf.DUMMYFUNCTION("""COMPUTED_VALUE"""),"This will be hard to do, but if it is the right company I would try")</f>
        <v>This will be hard to do, but if it is the right company I would try</v>
      </c>
      <c r="H538" s="1" t="str">
        <f ca="1">IFERROR(__xludf.DUMMYFUNCTION("""COMPUTED_VALUE"""),"Yes")</f>
        <v>Yes</v>
      </c>
      <c r="I538" s="1" t="str">
        <f ca="1">IFERROR(__xludf.DUMMYFUNCTION("""COMPUTED_VALUE"""),"Will work for them")</f>
        <v>Will work for them</v>
      </c>
      <c r="J538" s="1">
        <f ca="1">IFERROR(__xludf.DUMMYFUNCTION("""COMPUTED_VALUE"""),2)</f>
        <v>2</v>
      </c>
      <c r="K538" s="1" t="str">
        <f ca="1">IFERROR(__xludf.DUMMYFUNCTION("""COMPUTED_VALUE"""),"Fully Remote with Options to travel as and when needed")</f>
        <v>Fully Remote with Options to travel as and when needed</v>
      </c>
      <c r="L538" s="1" t="str">
        <f ca="1">IFERROR(__xludf.DUMMYFUNCTION("""COMPUTED_VALUE"""),"Employer who pushes your limits by enabling an learning environment, and rewards you at the end")</f>
        <v>Employer who pushes your limits by enabling an learning environment, and rewards you at the end</v>
      </c>
      <c r="M53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538" s="4" t="s">
        <v>53</v>
      </c>
      <c r="O538" s="1" t="str">
        <f ca="1">IFERROR(__xludf.DUMMYFUNCTION("""COMPUTED_VALUE"""),"Manager who clearly describes what she/he needs")</f>
        <v>Manager who clearly describes what she/he needs</v>
      </c>
      <c r="P538" s="1" t="str">
        <f ca="1">IFERROR(__xludf.DUMMYFUNCTION("""COMPUTED_VALUE"""),"Work &lt;=6 People in the Team")</f>
        <v>Work &lt;=6 People in the Team</v>
      </c>
      <c r="Q538" s="1" t="s">
        <v>40</v>
      </c>
      <c r="R538" s="1"/>
    </row>
    <row r="539" spans="1:18" x14ac:dyDescent="0.25">
      <c r="A539" s="2">
        <f ca="1">IFERROR(__xludf.DUMMYFUNCTION("""COMPUTED_VALUE"""),45021.6540724189)</f>
        <v>45021.654072418904</v>
      </c>
      <c r="B539" s="1" t="str">
        <f ca="1">IFERROR(__xludf.DUMMYFUNCTION("""COMPUTED_VALUE"""),"India")</f>
        <v>India</v>
      </c>
      <c r="C539" s="1">
        <f ca="1">IFERROR(__xludf.DUMMYFUNCTION("""COMPUTED_VALUE"""),832110)</f>
        <v>832110</v>
      </c>
      <c r="D539" s="1" t="str">
        <f ca="1">IFERROR(__xludf.DUMMYFUNCTION("""COMPUTED_VALUE"""),"Male")</f>
        <v>Male</v>
      </c>
      <c r="E539" s="1" t="str">
        <f ca="1">IFERROR(__xludf.DUMMYFUNCTION("""COMPUTED_VALUE"""),"My Parents")</f>
        <v>My Parents</v>
      </c>
      <c r="F539" s="1" t="str">
        <f ca="1">IFERROR(__xludf.DUMMYFUNCTION("""COMPUTED_VALUE"""),"No I would not be pursuing Higher Education outside of India")</f>
        <v>No I would not be pursuing Higher Education outside of India</v>
      </c>
      <c r="G539" s="1" t="str">
        <f ca="1">IFERROR(__xludf.DUMMYFUNCTION("""COMPUTED_VALUE"""),"This will be hard to do, but if it is the right company I would try")</f>
        <v>This will be hard to do, but if it is the right company I would try</v>
      </c>
      <c r="H539" s="1" t="str">
        <f ca="1">IFERROR(__xludf.DUMMYFUNCTION("""COMPUTED_VALUE"""),"No")</f>
        <v>No</v>
      </c>
      <c r="I539" s="1" t="str">
        <f ca="1">IFERROR(__xludf.DUMMYFUNCTION("""COMPUTED_VALUE"""),"Will NOT work for them")</f>
        <v>Will NOT work for them</v>
      </c>
      <c r="J539" s="1">
        <f ca="1">IFERROR(__xludf.DUMMYFUNCTION("""COMPUTED_VALUE"""),10)</f>
        <v>10</v>
      </c>
      <c r="K539" s="1" t="str">
        <f ca="1">IFERROR(__xludf.DUMMYFUNCTION("""COMPUTED_VALUE"""),"Hybrid Working Environment with more than 15 days a month at office")</f>
        <v>Hybrid Working Environment with more than 15 days a month at office</v>
      </c>
      <c r="L539" s="1" t="str">
        <f ca="1">IFERROR(__xludf.DUMMYFUNCTION("""COMPUTED_VALUE"""),"Employer who pushes your limits by enabling an learning environment, and rewards you at the end")</f>
        <v>Employer who pushes your limits by enabling an learning environment, and rewards you at the end</v>
      </c>
      <c r="M539"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539" s="4" t="s">
        <v>49</v>
      </c>
      <c r="O539" s="1" t="str">
        <f ca="1">IFERROR(__xludf.DUMMYFUNCTION("""COMPUTED_VALUE"""),"Manager who clearly describes what she/he needs")</f>
        <v>Manager who clearly describes what she/he needs</v>
      </c>
      <c r="P539" s="1" t="str">
        <f ca="1">IFERROR(__xludf.DUMMYFUNCTION("""COMPUTED_VALUE"""),"Work alone")</f>
        <v>Work alone</v>
      </c>
      <c r="Q539" s="1" t="s">
        <v>43</v>
      </c>
      <c r="R539" s="1"/>
    </row>
    <row r="540" spans="1:18" x14ac:dyDescent="0.25">
      <c r="A540" s="2">
        <f ca="1">IFERROR(__xludf.DUMMYFUNCTION("""COMPUTED_VALUE"""),45021.6543216203)</f>
        <v>45021.654321620299</v>
      </c>
      <c r="B540" s="1" t="str">
        <f ca="1">IFERROR(__xludf.DUMMYFUNCTION("""COMPUTED_VALUE"""),"India")</f>
        <v>India</v>
      </c>
      <c r="C540" s="1">
        <f ca="1">IFERROR(__xludf.DUMMYFUNCTION("""COMPUTED_VALUE"""),831016)</f>
        <v>831016</v>
      </c>
      <c r="D540" s="1" t="str">
        <f ca="1">IFERROR(__xludf.DUMMYFUNCTION("""COMPUTED_VALUE"""),"Male")</f>
        <v>Male</v>
      </c>
      <c r="E540" s="1" t="str">
        <f ca="1">IFERROR(__xludf.DUMMYFUNCTION("""COMPUTED_VALUE"""),"People from my circle, but not family members")</f>
        <v>People from my circle, but not family members</v>
      </c>
      <c r="F540" s="1" t="str">
        <f ca="1">IFERROR(__xludf.DUMMYFUNCTION("""COMPUTED_VALUE"""),"Yes, I will earn and do that")</f>
        <v>Yes, I will earn and do that</v>
      </c>
      <c r="G540" s="1" t="str">
        <f ca="1">IFERROR(__xludf.DUMMYFUNCTION("""COMPUTED_VALUE"""),"No way")</f>
        <v>No way</v>
      </c>
      <c r="H540" s="1" t="str">
        <f ca="1">IFERROR(__xludf.DUMMYFUNCTION("""COMPUTED_VALUE"""),"No")</f>
        <v>No</v>
      </c>
      <c r="I540" s="1" t="str">
        <f ca="1">IFERROR(__xludf.DUMMYFUNCTION("""COMPUTED_VALUE"""),"Will work for them")</f>
        <v>Will work for them</v>
      </c>
      <c r="J540" s="1">
        <f ca="1">IFERROR(__xludf.DUMMYFUNCTION("""COMPUTED_VALUE"""),8)</f>
        <v>8</v>
      </c>
      <c r="K540" s="1" t="str">
        <f ca="1">IFERROR(__xludf.DUMMYFUNCTION("""COMPUTED_VALUE"""),"Hybrid Working Environment with more than 15 days a month at office")</f>
        <v>Hybrid Working Environment with more than 15 days a month at office</v>
      </c>
      <c r="L540" s="1" t="str">
        <f ca="1">IFERROR(__xludf.DUMMYFUNCTION("""COMPUTED_VALUE"""),"Employer who pushes your limits and doesn't enables learning environment and never rewards you")</f>
        <v>Employer who pushes your limits and doesn't enables learning environment and never rewards you</v>
      </c>
      <c r="M540" s="1" t="str">
        <f ca="1">IFERROR(__xludf.DUMMYFUNCTION("""COMPUTED_VALUE"""),"Manage and drive End-to-End Projects or Products, Design and Develop amazing software, Work in a BPO setup for some well known client, I Want to sell things/Sales")</f>
        <v>Manage and drive End-to-End Projects or Products, Design and Develop amazing software, Work in a BPO setup for some well known client, I Want to sell things/Sales</v>
      </c>
      <c r="N540" s="4" t="s">
        <v>49</v>
      </c>
      <c r="O540" s="1" t="str">
        <f ca="1">IFERROR(__xludf.DUMMYFUNCTION("""COMPUTED_VALUE"""),"Manager who sets goal and helps me achieve it")</f>
        <v>Manager who sets goal and helps me achieve it</v>
      </c>
      <c r="P540" s="1" t="str">
        <f ca="1">IFERROR(__xludf.DUMMYFUNCTION("""COMPUTED_VALUE"""),"Work &lt;=6 People in the Team")</f>
        <v>Work &lt;=6 People in the Team</v>
      </c>
      <c r="Q540" s="1" t="s">
        <v>40</v>
      </c>
      <c r="R540" s="1"/>
    </row>
    <row r="541" spans="1:18" x14ac:dyDescent="0.25">
      <c r="A541" s="2">
        <f ca="1">IFERROR(__xludf.DUMMYFUNCTION("""COMPUTED_VALUE"""),45021.6567556828)</f>
        <v>45021.656755682801</v>
      </c>
      <c r="B541" s="1" t="str">
        <f ca="1">IFERROR(__xludf.DUMMYFUNCTION("""COMPUTED_VALUE"""),"India")</f>
        <v>India</v>
      </c>
      <c r="C541" s="1">
        <f ca="1">IFERROR(__xludf.DUMMYFUNCTION("""COMPUTED_VALUE"""),831001)</f>
        <v>831001</v>
      </c>
      <c r="D541" s="1" t="str">
        <f ca="1">IFERROR(__xludf.DUMMYFUNCTION("""COMPUTED_VALUE"""),"Female")</f>
        <v>Female</v>
      </c>
      <c r="E541" s="1" t="str">
        <f ca="1">IFERROR(__xludf.DUMMYFUNCTION("""COMPUTED_VALUE"""),"My Parents")</f>
        <v>My Parents</v>
      </c>
      <c r="F541" s="1" t="str">
        <f ca="1">IFERROR(__xludf.DUMMYFUNCTION("""COMPUTED_VALUE"""),"Yes, I will earn and do that")</f>
        <v>Yes, I will earn and do that</v>
      </c>
      <c r="G541" s="1" t="str">
        <f ca="1">IFERROR(__xludf.DUMMYFUNCTION("""COMPUTED_VALUE"""),"Will work for 3 years or more")</f>
        <v>Will work for 3 years or more</v>
      </c>
      <c r="H541" s="1" t="str">
        <f ca="1">IFERROR(__xludf.DUMMYFUNCTION("""COMPUTED_VALUE"""),"Yes")</f>
        <v>Yes</v>
      </c>
      <c r="I541" s="1" t="str">
        <f ca="1">IFERROR(__xludf.DUMMYFUNCTION("""COMPUTED_VALUE"""),"Will NOT work for them")</f>
        <v>Will NOT work for them</v>
      </c>
      <c r="J541" s="1">
        <f ca="1">IFERROR(__xludf.DUMMYFUNCTION("""COMPUTED_VALUE"""),3)</f>
        <v>3</v>
      </c>
      <c r="K541" s="1" t="str">
        <f ca="1">IFERROR(__xludf.DUMMYFUNCTION("""COMPUTED_VALUE"""),"Fully Remote with Options to travel as and when needed")</f>
        <v>Fully Remote with Options to travel as and when needed</v>
      </c>
      <c r="L541" s="1" t="str">
        <f ca="1">IFERROR(__xludf.DUMMYFUNCTION("""COMPUTED_VALUE"""),"Employer who pushes your limits and doesn't enables learning environment and never rewards you")</f>
        <v>Employer who pushes your limits and doesn't enables learning environment and never rewards you</v>
      </c>
      <c r="M541" s="1" t="str">
        <f ca="1">IFERROR(__xludf.DUMMYFUNCTION("""COMPUTED_VALUE"""),"Design and Creative strategy in any company, Manage and drive End-to-End Projects or Products, Build and develop a Team, Work in a BPO setup for some well known client")</f>
        <v>Design and Creative strategy in any company, Manage and drive End-to-End Projects or Products, Build and develop a Team, Work in a BPO setup for some well known client</v>
      </c>
      <c r="N541" s="4" t="s">
        <v>49</v>
      </c>
      <c r="O541" s="1" t="str">
        <f ca="1">IFERROR(__xludf.DUMMYFUNCTION("""COMPUTED_VALUE"""),"Manager who sets unrealistic targets")</f>
        <v>Manager who sets unrealistic targets</v>
      </c>
      <c r="P541" s="1" t="str">
        <f ca="1">IFERROR(__xludf.DUMMYFUNCTION("""COMPUTED_VALUE"""),"Work  &lt;67 people in team")</f>
        <v>Work  &lt;67 people in team</v>
      </c>
      <c r="Q541" s="1" t="s">
        <v>43</v>
      </c>
      <c r="R541" s="1"/>
    </row>
    <row r="542" spans="1:18" x14ac:dyDescent="0.25">
      <c r="A542" s="2">
        <f ca="1">IFERROR(__xludf.DUMMYFUNCTION("""COMPUTED_VALUE"""),45021.6569752893)</f>
        <v>45021.656975289297</v>
      </c>
      <c r="B542" s="1" t="str">
        <f ca="1">IFERROR(__xludf.DUMMYFUNCTION("""COMPUTED_VALUE"""),"India")</f>
        <v>India</v>
      </c>
      <c r="C542" s="1">
        <f ca="1">IFERROR(__xludf.DUMMYFUNCTION("""COMPUTED_VALUE"""),831001)</f>
        <v>831001</v>
      </c>
      <c r="D542" s="1" t="str">
        <f ca="1">IFERROR(__xludf.DUMMYFUNCTION("""COMPUTED_VALUE"""),"Female")</f>
        <v>Female</v>
      </c>
      <c r="E542" s="1" t="str">
        <f ca="1">IFERROR(__xludf.DUMMYFUNCTION("""COMPUTED_VALUE"""),"People from my circle, but not family members")</f>
        <v>People from my circle, but not family members</v>
      </c>
      <c r="F542" s="1" t="str">
        <f ca="1">IFERROR(__xludf.DUMMYFUNCTION("""COMPUTED_VALUE"""),"Yes, I will earn and do that")</f>
        <v>Yes, I will earn and do that</v>
      </c>
      <c r="G542" s="1" t="str">
        <f ca="1">IFERROR(__xludf.DUMMYFUNCTION("""COMPUTED_VALUE"""),"This will be hard to do, but if it is the right company I would try")</f>
        <v>This will be hard to do, but if it is the right company I would try</v>
      </c>
      <c r="H542" s="1" t="str">
        <f ca="1">IFERROR(__xludf.DUMMYFUNCTION("""COMPUTED_VALUE"""),"No")</f>
        <v>No</v>
      </c>
      <c r="I542" s="1" t="str">
        <f ca="1">IFERROR(__xludf.DUMMYFUNCTION("""COMPUTED_VALUE"""),"Will NOT work for them")</f>
        <v>Will NOT work for them</v>
      </c>
      <c r="J542" s="1">
        <f ca="1">IFERROR(__xludf.DUMMYFUNCTION("""COMPUTED_VALUE"""),4)</f>
        <v>4</v>
      </c>
      <c r="K542" s="1" t="str">
        <f ca="1">IFERROR(__xludf.DUMMYFUNCTION("""COMPUTED_VALUE"""),"Fully Remote with Options to travel as and when needed")</f>
        <v>Fully Remote with Options to travel as and when needed</v>
      </c>
      <c r="L542" s="1" t="str">
        <f ca="1">IFERROR(__xludf.DUMMYFUNCTION("""COMPUTED_VALUE"""),"Employers who appreciates learning but doesn't enables an learning environment")</f>
        <v>Employers who appreciates learning but doesn't enables an learning environment</v>
      </c>
      <c r="M542" s="1" t="str">
        <f ca="1">IFERROR(__xludf.DUMMYFUNCTION("""COMPUTED_VALUE"""),"Build and develop a Team, Design and Develop amazing software, Look deeply into Data and generate insights, Manufacturing / Oil and Gas/ Construction / Hard Physical Work related")</f>
        <v>Build and develop a Team, Design and Develop amazing software, Look deeply into Data and generate insights, Manufacturing / Oil and Gas/ Construction / Hard Physical Work related</v>
      </c>
      <c r="N542" s="4" t="s">
        <v>48</v>
      </c>
      <c r="O542" s="1" t="str">
        <f ca="1">IFERROR(__xludf.DUMMYFUNCTION("""COMPUTED_VALUE"""),"Manager who sets targets and expects me to achieve it")</f>
        <v>Manager who sets targets and expects me to achieve it</v>
      </c>
      <c r="P542" s="1" t="str">
        <f ca="1">IFERROR(__xludf.DUMMYFUNCTION("""COMPUTED_VALUE"""),"Work alone")</f>
        <v>Work alone</v>
      </c>
      <c r="Q542" s="1" t="s">
        <v>40</v>
      </c>
      <c r="R542" s="1"/>
    </row>
    <row r="543" spans="1:18" x14ac:dyDescent="0.25">
      <c r="A543" s="2">
        <f ca="1">IFERROR(__xludf.DUMMYFUNCTION("""COMPUTED_VALUE"""),45021.6570107407)</f>
        <v>45021.657010740702</v>
      </c>
      <c r="B543" s="1" t="str">
        <f ca="1">IFERROR(__xludf.DUMMYFUNCTION("""COMPUTED_VALUE"""),"India")</f>
        <v>India</v>
      </c>
      <c r="C543" s="1">
        <f ca="1">IFERROR(__xludf.DUMMYFUNCTION("""COMPUTED_VALUE"""),442902)</f>
        <v>442902</v>
      </c>
      <c r="D543" s="1" t="str">
        <f ca="1">IFERROR(__xludf.DUMMYFUNCTION("""COMPUTED_VALUE"""),"Male")</f>
        <v>Male</v>
      </c>
      <c r="E543" s="1" t="str">
        <f ca="1">IFERROR(__xludf.DUMMYFUNCTION("""COMPUTED_VALUE"""),"Influencers who had successful careers")</f>
        <v>Influencers who had successful careers</v>
      </c>
      <c r="F543" s="1" t="str">
        <f ca="1">IFERROR(__xludf.DUMMYFUNCTION("""COMPUTED_VALUE"""),"Yes, I will earn and do that")</f>
        <v>Yes, I will earn and do that</v>
      </c>
      <c r="G543" s="1" t="str">
        <f ca="1">IFERROR(__xludf.DUMMYFUNCTION("""COMPUTED_VALUE"""),"This will be hard to do, but if it is the right company I would try")</f>
        <v>This will be hard to do, but if it is the right company I would try</v>
      </c>
      <c r="H543" s="1" t="str">
        <f ca="1">IFERROR(__xludf.DUMMYFUNCTION("""COMPUTED_VALUE"""),"No")</f>
        <v>No</v>
      </c>
      <c r="I543" s="1" t="str">
        <f ca="1">IFERROR(__xludf.DUMMYFUNCTION("""COMPUTED_VALUE"""),"Will NOT work for them")</f>
        <v>Will NOT work for them</v>
      </c>
      <c r="J543" s="1">
        <f ca="1">IFERROR(__xludf.DUMMYFUNCTION("""COMPUTED_VALUE"""),2)</f>
        <v>2</v>
      </c>
      <c r="K543" s="1" t="str">
        <f ca="1">IFERROR(__xludf.DUMMYFUNCTION("""COMPUTED_VALUE"""),"Fully Remote with Options to travel as and when needed")</f>
        <v>Fully Remote with Options to travel as and when needed</v>
      </c>
      <c r="L543" s="1" t="str">
        <f ca="1">IFERROR(__xludf.DUMMYFUNCTION("""COMPUTED_VALUE"""),"Employer who pushes your limits by enabling an learning environment, and rewards you at the end")</f>
        <v>Employer who pushes your limits by enabling an learning environment, and rewards you at the end</v>
      </c>
      <c r="M5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543" s="4" t="s">
        <v>49</v>
      </c>
      <c r="O543" s="1" t="str">
        <f ca="1">IFERROR(__xludf.DUMMYFUNCTION("""COMPUTED_VALUE"""),"Manager who sets goal and helps me achieve it")</f>
        <v>Manager who sets goal and helps me achieve it</v>
      </c>
      <c r="P543" s="1" t="str">
        <f ca="1">IFERROR(__xludf.DUMMYFUNCTION("""COMPUTED_VALUE"""),"Work &lt;=6 People in the Team")</f>
        <v>Work &lt;=6 People in the Team</v>
      </c>
      <c r="Q543" s="1" t="s">
        <v>43</v>
      </c>
      <c r="R543" s="1"/>
    </row>
    <row r="544" spans="1:18" x14ac:dyDescent="0.25">
      <c r="A544" s="2">
        <f ca="1">IFERROR(__xludf.DUMMYFUNCTION("""COMPUTED_VALUE"""),45021.6614889236)</f>
        <v>45021.661488923601</v>
      </c>
      <c r="B544" s="1" t="str">
        <f ca="1">IFERROR(__xludf.DUMMYFUNCTION("""COMPUTED_VALUE"""),"Others")</f>
        <v>Others</v>
      </c>
      <c r="C544" s="1">
        <f ca="1">IFERROR(__xludf.DUMMYFUNCTION("""COMPUTED_VALUE"""),414)</f>
        <v>414</v>
      </c>
      <c r="D544" s="1" t="str">
        <f ca="1">IFERROR(__xludf.DUMMYFUNCTION("""COMPUTED_VALUE"""),"Male")</f>
        <v>Male</v>
      </c>
      <c r="E544" s="1" t="str">
        <f ca="1">IFERROR(__xludf.DUMMYFUNCTION("""COMPUTED_VALUE"""),"People who have changed the world for better")</f>
        <v>People who have changed the world for better</v>
      </c>
      <c r="F544" s="1" t="str">
        <f ca="1">IFERROR(__xludf.DUMMYFUNCTION("""COMPUTED_VALUE"""),"Yes, I will earn and do that")</f>
        <v>Yes, I will earn and do that</v>
      </c>
      <c r="G544" s="1" t="str">
        <f ca="1">IFERROR(__xludf.DUMMYFUNCTION("""COMPUTED_VALUE"""),"This will be hard to do, but if it is the right company I would try")</f>
        <v>This will be hard to do, but if it is the right company I would try</v>
      </c>
      <c r="H544" s="1" t="str">
        <f ca="1">IFERROR(__xludf.DUMMYFUNCTION("""COMPUTED_VALUE"""),"No")</f>
        <v>No</v>
      </c>
      <c r="I544" s="1" t="str">
        <f ca="1">IFERROR(__xludf.DUMMYFUNCTION("""COMPUTED_VALUE"""),"Will NOT work for them")</f>
        <v>Will NOT work for them</v>
      </c>
      <c r="J544" s="1">
        <f ca="1">IFERROR(__xludf.DUMMYFUNCTION("""COMPUTED_VALUE"""),5)</f>
        <v>5</v>
      </c>
      <c r="K544" s="1" t="str">
        <f ca="1">IFERROR(__xludf.DUMMYFUNCTION("""COMPUTED_VALUE"""),"Fully Remote with Options to travel as and when needed")</f>
        <v>Fully Remote with Options to travel as and when needed</v>
      </c>
      <c r="L544" s="1" t="str">
        <f ca="1">IFERROR(__xludf.DUMMYFUNCTION("""COMPUTED_VALUE"""),"Employer who pushes your limits by enabling an learning environment, and rewards you at the end")</f>
        <v>Employer who pushes your limits by enabling an learning environment, and rewards you at the end</v>
      </c>
      <c r="M544"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N544" s="4" t="s">
        <v>53</v>
      </c>
      <c r="O544" s="1" t="str">
        <f ca="1">IFERROR(__xludf.DUMMYFUNCTION("""COMPUTED_VALUE"""),"Manager who explains what is expected, sets a goal and helps achieve it")</f>
        <v>Manager who explains what is expected, sets a goal and helps achieve it</v>
      </c>
      <c r="P544" s="1" t="str">
        <f ca="1">IFERROR(__xludf.DUMMYFUNCTION("""COMPUTED_VALUE"""),"Work alone")</f>
        <v>Work alone</v>
      </c>
      <c r="Q544" s="1" t="s">
        <v>43</v>
      </c>
      <c r="R544" s="1"/>
    </row>
    <row r="545" spans="1:18" x14ac:dyDescent="0.25">
      <c r="A545" s="2">
        <f ca="1">IFERROR(__xludf.DUMMYFUNCTION("""COMPUTED_VALUE"""),45021.6619242361)</f>
        <v>45021.661924236098</v>
      </c>
      <c r="B545" s="1" t="str">
        <f ca="1">IFERROR(__xludf.DUMMYFUNCTION("""COMPUTED_VALUE"""),"India")</f>
        <v>India</v>
      </c>
      <c r="C545" s="1">
        <f ca="1">IFERROR(__xludf.DUMMYFUNCTION("""COMPUTED_VALUE"""),452001)</f>
        <v>452001</v>
      </c>
      <c r="D545" s="1" t="str">
        <f ca="1">IFERROR(__xludf.DUMMYFUNCTION("""COMPUTED_VALUE"""),"Male")</f>
        <v>Male</v>
      </c>
      <c r="E545" s="1" t="str">
        <f ca="1">IFERROR(__xludf.DUMMYFUNCTION("""COMPUTED_VALUE"""),"My Parents")</f>
        <v>My Parents</v>
      </c>
      <c r="F545" s="1" t="str">
        <f ca="1">IFERROR(__xludf.DUMMYFUNCTION("""COMPUTED_VALUE"""),"Yes, I will earn and do that")</f>
        <v>Yes, I will earn and do that</v>
      </c>
      <c r="G545" s="1" t="str">
        <f ca="1">IFERROR(__xludf.DUMMYFUNCTION("""COMPUTED_VALUE"""),"This will be hard to do, but if it is the right company I would try")</f>
        <v>This will be hard to do, but if it is the right company I would try</v>
      </c>
      <c r="H545" s="1" t="str">
        <f ca="1">IFERROR(__xludf.DUMMYFUNCTION("""COMPUTED_VALUE"""),"No")</f>
        <v>No</v>
      </c>
      <c r="I545" s="1" t="str">
        <f ca="1">IFERROR(__xludf.DUMMYFUNCTION("""COMPUTED_VALUE"""),"Will work for them")</f>
        <v>Will work for them</v>
      </c>
      <c r="J545" s="1">
        <f ca="1">IFERROR(__xludf.DUMMYFUNCTION("""COMPUTED_VALUE"""),8)</f>
        <v>8</v>
      </c>
      <c r="K545" s="1" t="str">
        <f ca="1">IFERROR(__xludf.DUMMYFUNCTION("""COMPUTED_VALUE"""),"Every Day Office Environment")</f>
        <v>Every Day Office Environment</v>
      </c>
      <c r="L545" s="1" t="str">
        <f ca="1">IFERROR(__xludf.DUMMYFUNCTION("""COMPUTED_VALUE"""),"Employer who pushes your limits by enabling an learning environment, and rewards you at the end")</f>
        <v>Employer who pushes your limits by enabling an learning environment, and rewards you at the end</v>
      </c>
      <c r="M545" s="1" t="str">
        <f ca="1">IFERROR(__xludf.DUMMYFUNCTION("""COMPUTED_VALUE"""),"Business Operations in any organization, Build and develop a Team, Work as a freelancer and do my thing my way, Become a content Creator in some platform")</f>
        <v>Business Operations in any organization, Build and develop a Team, Work as a freelancer and do my thing my way, Become a content Creator in some platform</v>
      </c>
      <c r="N545" s="4" t="s">
        <v>53</v>
      </c>
      <c r="O545" s="1" t="str">
        <f ca="1">IFERROR(__xludf.DUMMYFUNCTION("""COMPUTED_VALUE"""),"Manager who sets goal and helps me achieve it")</f>
        <v>Manager who sets goal and helps me achieve it</v>
      </c>
      <c r="P545" s="1" t="str">
        <f ca="1">IFERROR(__xludf.DUMMYFUNCTION("""COMPUTED_VALUE"""),"Work Alone, &lt;67 people in team")</f>
        <v>Work Alone, &lt;67 people in team</v>
      </c>
      <c r="Q545" s="1" t="s">
        <v>40</v>
      </c>
      <c r="R545" s="1"/>
    </row>
    <row r="546" spans="1:18" x14ac:dyDescent="0.25">
      <c r="A546" s="2">
        <f ca="1">IFERROR(__xludf.DUMMYFUNCTION("""COMPUTED_VALUE"""),45021.6631004861)</f>
        <v>45021.663100486097</v>
      </c>
      <c r="B546" s="1" t="str">
        <f ca="1">IFERROR(__xludf.DUMMYFUNCTION("""COMPUTED_VALUE"""),"India")</f>
        <v>India</v>
      </c>
      <c r="C546" s="1">
        <f ca="1">IFERROR(__xludf.DUMMYFUNCTION("""COMPUTED_VALUE"""),382424)</f>
        <v>382424</v>
      </c>
      <c r="D546" s="1" t="str">
        <f ca="1">IFERROR(__xludf.DUMMYFUNCTION("""COMPUTED_VALUE"""),"Female")</f>
        <v>Female</v>
      </c>
      <c r="E546" s="1" t="str">
        <f ca="1">IFERROR(__xludf.DUMMYFUNCTION("""COMPUTED_VALUE"""),"People from my circle, but not family members")</f>
        <v>People from my circle, but not family members</v>
      </c>
      <c r="F546" s="1" t="str">
        <f ca="1">IFERROR(__xludf.DUMMYFUNCTION("""COMPUTED_VALUE"""),"No I would not be pursuing Higher Education outside of India")</f>
        <v>No I would not be pursuing Higher Education outside of India</v>
      </c>
      <c r="G546" s="1" t="str">
        <f ca="1">IFERROR(__xludf.DUMMYFUNCTION("""COMPUTED_VALUE"""),"This will be hard to do, but if it is the right company I would try")</f>
        <v>This will be hard to do, but if it is the right company I would try</v>
      </c>
      <c r="H546" s="1" t="str">
        <f ca="1">IFERROR(__xludf.DUMMYFUNCTION("""COMPUTED_VALUE"""),"No")</f>
        <v>No</v>
      </c>
      <c r="I546" s="1" t="str">
        <f ca="1">IFERROR(__xludf.DUMMYFUNCTION("""COMPUTED_VALUE"""),"Will NOT work for them")</f>
        <v>Will NOT work for them</v>
      </c>
      <c r="J546" s="1">
        <f ca="1">IFERROR(__xludf.DUMMYFUNCTION("""COMPUTED_VALUE"""),2)</f>
        <v>2</v>
      </c>
      <c r="K546" s="1" t="str">
        <f ca="1">IFERROR(__xludf.DUMMYFUNCTION("""COMPUTED_VALUE"""),"Fully Remote with Options to travel as and when needed")</f>
        <v>Fully Remote with Options to travel as and when needed</v>
      </c>
      <c r="L546" s="1" t="str">
        <f ca="1">IFERROR(__xludf.DUMMYFUNCTION("""COMPUTED_VALUE"""),"Employer who pushes your limits by enabling an learning environment, and rewards you at the end")</f>
        <v>Employer who pushes your limits by enabling an learning environment, and rewards you at the end</v>
      </c>
      <c r="M546" s="1" t="str">
        <f ca="1">IFERROR(__xludf.DUMMYFUNCTION("""COMPUTED_VALUE"""),"Manage and drive End-to-End Projects or Products, Work as a freelancer and do my thing my way, Become a content Creator in some platform, Entrepreneur or Start Up")</f>
        <v>Manage and drive End-to-End Projects or Products, Work as a freelancer and do my thing my way, Become a content Creator in some platform, Entrepreneur or Start Up</v>
      </c>
      <c r="N546" s="4" t="s">
        <v>49</v>
      </c>
      <c r="O546" s="1" t="str">
        <f ca="1">IFERROR(__xludf.DUMMYFUNCTION("""COMPUTED_VALUE"""),"Manager who explains what is expected, sets a goal and helps achieve it")</f>
        <v>Manager who explains what is expected, sets a goal and helps achieve it</v>
      </c>
      <c r="P546" s="1" t="str">
        <f ca="1">IFERROR(__xludf.DUMMYFUNCTION("""COMPUTED_VALUE"""),"Work &lt;=6 People in the Team")</f>
        <v>Work &lt;=6 People in the Team</v>
      </c>
      <c r="Q546" s="1" t="s">
        <v>40</v>
      </c>
      <c r="R546" s="1"/>
    </row>
    <row r="547" spans="1:18" x14ac:dyDescent="0.25">
      <c r="A547" s="2">
        <f ca="1">IFERROR(__xludf.DUMMYFUNCTION("""COMPUTED_VALUE"""),45021.6676732523)</f>
        <v>45021.667673252297</v>
      </c>
      <c r="B547" s="1" t="str">
        <f ca="1">IFERROR(__xludf.DUMMYFUNCTION("""COMPUTED_VALUE"""),"India")</f>
        <v>India</v>
      </c>
      <c r="C547" s="1">
        <f ca="1">IFERROR(__xludf.DUMMYFUNCTION("""COMPUTED_VALUE"""),452012)</f>
        <v>452012</v>
      </c>
      <c r="D547" s="1" t="str">
        <f ca="1">IFERROR(__xludf.DUMMYFUNCTION("""COMPUTED_VALUE"""),"Female")</f>
        <v>Female</v>
      </c>
      <c r="E547" s="1" t="str">
        <f ca="1">IFERROR(__xludf.DUMMYFUNCTION("""COMPUTED_VALUE"""),"Influencers who had successful careers")</f>
        <v>Influencers who had successful careers</v>
      </c>
      <c r="F547" s="1" t="str">
        <f ca="1">IFERROR(__xludf.DUMMYFUNCTION("""COMPUTED_VALUE"""),"Yes, I will earn and do that")</f>
        <v>Yes, I will earn and do that</v>
      </c>
      <c r="G547" s="1" t="str">
        <f ca="1">IFERROR(__xludf.DUMMYFUNCTION("""COMPUTED_VALUE"""),"This will be hard to do, but if it is the right company I would try")</f>
        <v>This will be hard to do, but if it is the right company I would try</v>
      </c>
      <c r="H547" s="1" t="str">
        <f ca="1">IFERROR(__xludf.DUMMYFUNCTION("""COMPUTED_VALUE"""),"No")</f>
        <v>No</v>
      </c>
      <c r="I547" s="1" t="str">
        <f ca="1">IFERROR(__xludf.DUMMYFUNCTION("""COMPUTED_VALUE"""),"Will work for them")</f>
        <v>Will work for them</v>
      </c>
      <c r="J547" s="1">
        <f ca="1">IFERROR(__xludf.DUMMYFUNCTION("""COMPUTED_VALUE"""),6)</f>
        <v>6</v>
      </c>
      <c r="K547" s="1" t="str">
        <f ca="1">IFERROR(__xludf.DUMMYFUNCTION("""COMPUTED_VALUE"""),"Every Day Office Environment")</f>
        <v>Every Day Office Environment</v>
      </c>
      <c r="L547" s="1" t="str">
        <f ca="1">IFERROR(__xludf.DUMMYFUNCTION("""COMPUTED_VALUE"""),"Employer who pushes your limits by enabling an learning environment, and rewards you at the end")</f>
        <v>Employer who pushes your limits by enabling an learning environment, and rewards you at the end</v>
      </c>
      <c r="M547"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N547" s="4" t="s">
        <v>48</v>
      </c>
      <c r="O547" s="1" t="str">
        <f ca="1">IFERROR(__xludf.DUMMYFUNCTION("""COMPUTED_VALUE"""),"Manager who explains what is expected, sets a goal and helps achieve it")</f>
        <v>Manager who explains what is expected, sets a goal and helps achieve it</v>
      </c>
      <c r="P547" s="1" t="str">
        <f ca="1">IFERROR(__xludf.DUMMYFUNCTION("""COMPUTED_VALUE"""),"Work &lt;=6 People in the Team")</f>
        <v>Work &lt;=6 People in the Team</v>
      </c>
      <c r="Q547" s="1" t="s">
        <v>40</v>
      </c>
      <c r="R547" s="1"/>
    </row>
    <row r="548" spans="1:18" x14ac:dyDescent="0.25">
      <c r="A548" s="2">
        <f ca="1">IFERROR(__xludf.DUMMYFUNCTION("""COMPUTED_VALUE"""),45021.6687823148)</f>
        <v>45021.668782314802</v>
      </c>
      <c r="B548" s="1" t="str">
        <f ca="1">IFERROR(__xludf.DUMMYFUNCTION("""COMPUTED_VALUE"""),"India")</f>
        <v>India</v>
      </c>
      <c r="C548" s="1">
        <f ca="1">IFERROR(__xludf.DUMMYFUNCTION("""COMPUTED_VALUE"""),621216)</f>
        <v>621216</v>
      </c>
      <c r="D548" s="1" t="str">
        <f ca="1">IFERROR(__xludf.DUMMYFUNCTION("""COMPUTED_VALUE"""),"Male")</f>
        <v>Male</v>
      </c>
      <c r="E548" s="1" t="str">
        <f ca="1">IFERROR(__xludf.DUMMYFUNCTION("""COMPUTED_VALUE"""),"My Parents")</f>
        <v>My Parents</v>
      </c>
      <c r="F548" s="1" t="str">
        <f ca="1">IFERROR(__xludf.DUMMYFUNCTION("""COMPUTED_VALUE"""),"No I would not be pursuing Higher Education outside of India")</f>
        <v>No I would not be pursuing Higher Education outside of India</v>
      </c>
      <c r="G548" s="1" t="str">
        <f ca="1">IFERROR(__xludf.DUMMYFUNCTION("""COMPUTED_VALUE"""),"Will work for 3 years or more")</f>
        <v>Will work for 3 years or more</v>
      </c>
      <c r="H548" s="1" t="str">
        <f ca="1">IFERROR(__xludf.DUMMYFUNCTION("""COMPUTED_VALUE"""),"Yes")</f>
        <v>Yes</v>
      </c>
      <c r="I548" s="1" t="str">
        <f ca="1">IFERROR(__xludf.DUMMYFUNCTION("""COMPUTED_VALUE"""),"Will NOT work for them")</f>
        <v>Will NOT work for them</v>
      </c>
      <c r="J548" s="1">
        <f ca="1">IFERROR(__xludf.DUMMYFUNCTION("""COMPUTED_VALUE"""),1)</f>
        <v>1</v>
      </c>
      <c r="K548" s="1" t="str">
        <f ca="1">IFERROR(__xludf.DUMMYFUNCTION("""COMPUTED_VALUE"""),"Hybrid Working Environment with less than 3 days a month at office")</f>
        <v>Hybrid Working Environment with less than 3 days a month at office</v>
      </c>
      <c r="L548" s="1" t="str">
        <f ca="1">IFERROR(__xludf.DUMMYFUNCTION("""COMPUTED_VALUE"""),"Employer who rewards learning and enables that environment")</f>
        <v>Employer who rewards learning and enables that environment</v>
      </c>
      <c r="M54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548" s="4" t="s">
        <v>49</v>
      </c>
      <c r="O548" s="1" t="str">
        <f ca="1">IFERROR(__xludf.DUMMYFUNCTION("""COMPUTED_VALUE"""),"Manager who clearly describes what she/he needs")</f>
        <v>Manager who clearly describes what she/he needs</v>
      </c>
      <c r="P548" s="1" t="str">
        <f ca="1">IFERROR(__xludf.DUMMYFUNCTION("""COMPUTED_VALUE"""),"Work &gt;10 people in Team")</f>
        <v>Work &gt;10 people in Team</v>
      </c>
      <c r="Q548" s="1" t="s">
        <v>40</v>
      </c>
      <c r="R548" s="1"/>
    </row>
    <row r="549" spans="1:18" x14ac:dyDescent="0.25">
      <c r="A549" s="2">
        <f ca="1">IFERROR(__xludf.DUMMYFUNCTION("""COMPUTED_VALUE"""),45021.6718008217)</f>
        <v>45021.671800821699</v>
      </c>
      <c r="B549" s="1" t="str">
        <f ca="1">IFERROR(__xludf.DUMMYFUNCTION("""COMPUTED_VALUE"""),"India")</f>
        <v>India</v>
      </c>
      <c r="C549" s="1">
        <f ca="1">IFERROR(__xludf.DUMMYFUNCTION("""COMPUTED_VALUE"""),620003)</f>
        <v>620003</v>
      </c>
      <c r="D549" s="1" t="str">
        <f ca="1">IFERROR(__xludf.DUMMYFUNCTION("""COMPUTED_VALUE"""),"Male")</f>
        <v>Male</v>
      </c>
      <c r="E549" s="1" t="str">
        <f ca="1">IFERROR(__xludf.DUMMYFUNCTION("""COMPUTED_VALUE"""),"My Parents")</f>
        <v>My Parents</v>
      </c>
      <c r="F549" s="1" t="str">
        <f ca="1">IFERROR(__xludf.DUMMYFUNCTION("""COMPUTED_VALUE"""),"No, But if someone could bare the cost I will")</f>
        <v>No, But if someone could bare the cost I will</v>
      </c>
      <c r="G549" s="1" t="str">
        <f ca="1">IFERROR(__xludf.DUMMYFUNCTION("""COMPUTED_VALUE"""),"This will be hard to do, but if it is the right company I would try")</f>
        <v>This will be hard to do, but if it is the right company I would try</v>
      </c>
      <c r="H549" s="1" t="str">
        <f ca="1">IFERROR(__xludf.DUMMYFUNCTION("""COMPUTED_VALUE"""),"Yes")</f>
        <v>Yes</v>
      </c>
      <c r="I549" s="1" t="str">
        <f ca="1">IFERROR(__xludf.DUMMYFUNCTION("""COMPUTED_VALUE"""),"Will work for them")</f>
        <v>Will work for them</v>
      </c>
      <c r="J549" s="1">
        <f ca="1">IFERROR(__xludf.DUMMYFUNCTION("""COMPUTED_VALUE"""),5)</f>
        <v>5</v>
      </c>
      <c r="K549" s="1" t="str">
        <f ca="1">IFERROR(__xludf.DUMMYFUNCTION("""COMPUTED_VALUE"""),"Every Day Office Environment")</f>
        <v>Every Day Office Environment</v>
      </c>
      <c r="L549" s="1" t="str">
        <f ca="1">IFERROR(__xludf.DUMMYFUNCTION("""COMPUTED_VALUE"""),"Employer who appreciates learning and enables that environment")</f>
        <v>Employer who appreciates learning and enables that environment</v>
      </c>
      <c r="M549"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N549" s="4" t="s">
        <v>48</v>
      </c>
      <c r="O549" s="1" t="str">
        <f ca="1">IFERROR(__xludf.DUMMYFUNCTION("""COMPUTED_VALUE"""),"Manager who clearly describes what she/he needs")</f>
        <v>Manager who clearly describes what she/he needs</v>
      </c>
      <c r="P549" s="1" t="str">
        <f ca="1">IFERROR(__xludf.DUMMYFUNCTION("""COMPUTED_VALUE"""),"Work  &lt;67 people in team")</f>
        <v>Work  &lt;67 people in team</v>
      </c>
      <c r="Q549" s="1" t="s">
        <v>43</v>
      </c>
      <c r="R549" s="1"/>
    </row>
    <row r="550" spans="1:18" x14ac:dyDescent="0.25">
      <c r="A550" s="2">
        <f ca="1">IFERROR(__xludf.DUMMYFUNCTION("""COMPUTED_VALUE"""),45021.6726077662)</f>
        <v>45021.672607766202</v>
      </c>
      <c r="B550" s="1" t="str">
        <f ca="1">IFERROR(__xludf.DUMMYFUNCTION("""COMPUTED_VALUE"""),"India")</f>
        <v>India</v>
      </c>
      <c r="C550" s="1">
        <f ca="1">IFERROR(__xludf.DUMMYFUNCTION("""COMPUTED_VALUE"""),625009)</f>
        <v>625009</v>
      </c>
      <c r="D550" s="1" t="str">
        <f ca="1">IFERROR(__xludf.DUMMYFUNCTION("""COMPUTED_VALUE"""),"Male")</f>
        <v>Male</v>
      </c>
      <c r="E550" s="1" t="str">
        <f ca="1">IFERROR(__xludf.DUMMYFUNCTION("""COMPUTED_VALUE"""),"Social Media like LinkedIn")</f>
        <v>Social Media like LinkedIn</v>
      </c>
      <c r="F550" s="1" t="str">
        <f ca="1">IFERROR(__xludf.DUMMYFUNCTION("""COMPUTED_VALUE"""),"No I would not be pursuing Higher Education outside of India")</f>
        <v>No I would not be pursuing Higher Education outside of India</v>
      </c>
      <c r="G550" s="1" t="str">
        <f ca="1">IFERROR(__xludf.DUMMYFUNCTION("""COMPUTED_VALUE"""),"Will work for 3 years or more")</f>
        <v>Will work for 3 years or more</v>
      </c>
      <c r="H550" s="1" t="str">
        <f ca="1">IFERROR(__xludf.DUMMYFUNCTION("""COMPUTED_VALUE"""),"No")</f>
        <v>No</v>
      </c>
      <c r="I550" s="1" t="str">
        <f ca="1">IFERROR(__xludf.DUMMYFUNCTION("""COMPUTED_VALUE"""),"Will NOT work for them")</f>
        <v>Will NOT work for them</v>
      </c>
      <c r="J550" s="1">
        <f ca="1">IFERROR(__xludf.DUMMYFUNCTION("""COMPUTED_VALUE"""),6)</f>
        <v>6</v>
      </c>
      <c r="K550" s="1" t="str">
        <f ca="1">IFERROR(__xludf.DUMMYFUNCTION("""COMPUTED_VALUE"""),"Fully Remote with Options to travel as and when needed")</f>
        <v>Fully Remote with Options to travel as and when needed</v>
      </c>
      <c r="L550" s="1" t="str">
        <f ca="1">IFERROR(__xludf.DUMMYFUNCTION("""COMPUTED_VALUE"""),"Employer who appreciates learning and enables that environment")</f>
        <v>Employer who appreciates learning and enables that environment</v>
      </c>
      <c r="M55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550" s="4" t="s">
        <v>49</v>
      </c>
      <c r="O550" s="1" t="str">
        <f ca="1">IFERROR(__xludf.DUMMYFUNCTION("""COMPUTED_VALUE"""),"Manager who explains what is expected, sets a goal and helps achieve it")</f>
        <v>Manager who explains what is expected, sets a goal and helps achieve it</v>
      </c>
      <c r="P550" s="1" t="str">
        <f ca="1">IFERROR(__xludf.DUMMYFUNCTION("""COMPUTED_VALUE"""),"Work &gt;10 people in Team")</f>
        <v>Work &gt;10 people in Team</v>
      </c>
      <c r="Q550" s="1" t="s">
        <v>43</v>
      </c>
      <c r="R550" s="1"/>
    </row>
    <row r="551" spans="1:18" x14ac:dyDescent="0.25">
      <c r="A551" s="2">
        <f ca="1">IFERROR(__xludf.DUMMYFUNCTION("""COMPUTED_VALUE"""),45021.6729792939)</f>
        <v>45021.6729792939</v>
      </c>
      <c r="B551" s="1" t="str">
        <f ca="1">IFERROR(__xludf.DUMMYFUNCTION("""COMPUTED_VALUE"""),"India")</f>
        <v>India</v>
      </c>
      <c r="C551" s="1">
        <f ca="1">IFERROR(__xludf.DUMMYFUNCTION("""COMPUTED_VALUE"""),452001)</f>
        <v>452001</v>
      </c>
      <c r="D551" s="1" t="str">
        <f ca="1">IFERROR(__xludf.DUMMYFUNCTION("""COMPUTED_VALUE"""),"Male")</f>
        <v>Male</v>
      </c>
      <c r="E551" s="1" t="str">
        <f ca="1">IFERROR(__xludf.DUMMYFUNCTION("""COMPUTED_VALUE"""),"People from my circle, but not family members")</f>
        <v>People from my circle, but not family members</v>
      </c>
      <c r="F551" s="1" t="str">
        <f ca="1">IFERROR(__xludf.DUMMYFUNCTION("""COMPUTED_VALUE"""),"No I would not be pursuing Higher Education outside of India")</f>
        <v>No I would not be pursuing Higher Education outside of India</v>
      </c>
      <c r="G551" s="1" t="str">
        <f ca="1">IFERROR(__xludf.DUMMYFUNCTION("""COMPUTED_VALUE"""),"Will work for 3 years or more")</f>
        <v>Will work for 3 years or more</v>
      </c>
      <c r="H551" s="1" t="str">
        <f ca="1">IFERROR(__xludf.DUMMYFUNCTION("""COMPUTED_VALUE"""),"Yes")</f>
        <v>Yes</v>
      </c>
      <c r="I551" s="1" t="str">
        <f ca="1">IFERROR(__xludf.DUMMYFUNCTION("""COMPUTED_VALUE"""),"Will work for them")</f>
        <v>Will work for them</v>
      </c>
      <c r="J551" s="1">
        <f ca="1">IFERROR(__xludf.DUMMYFUNCTION("""COMPUTED_VALUE"""),8)</f>
        <v>8</v>
      </c>
      <c r="K551" s="1" t="str">
        <f ca="1">IFERROR(__xludf.DUMMYFUNCTION("""COMPUTED_VALUE"""),"Every Day Office Environment")</f>
        <v>Every Day Office Environment</v>
      </c>
      <c r="L551" s="1" t="str">
        <f ca="1">IFERROR(__xludf.DUMMYFUNCTION("""COMPUTED_VALUE"""),"Employer who pushes your limits by enabling an learning environment, and rewards you at the end")</f>
        <v>Employer who pushes your limits by enabling an learning environment, and rewards you at the end</v>
      </c>
      <c r="M551"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N551" s="4" t="s">
        <v>48</v>
      </c>
      <c r="O551" s="1" t="str">
        <f ca="1">IFERROR(__xludf.DUMMYFUNCTION("""COMPUTED_VALUE"""),"Manager who clearly describes what she/he needs")</f>
        <v>Manager who clearly describes what she/he needs</v>
      </c>
      <c r="P551" s="1" t="str">
        <f ca="1">IFERROR(__xludf.DUMMYFUNCTION("""COMPUTED_VALUE"""),"Work Alone, &lt;67 people in team")</f>
        <v>Work Alone, &lt;67 people in team</v>
      </c>
      <c r="Q551" s="1" t="s">
        <v>40</v>
      </c>
      <c r="R551" s="1"/>
    </row>
    <row r="552" spans="1:18" x14ac:dyDescent="0.25">
      <c r="A552" s="2">
        <f ca="1">IFERROR(__xludf.DUMMYFUNCTION("""COMPUTED_VALUE"""),45021.6757973495)</f>
        <v>45021.675797349497</v>
      </c>
      <c r="B552" s="1" t="str">
        <f ca="1">IFERROR(__xludf.DUMMYFUNCTION("""COMPUTED_VALUE"""),"India")</f>
        <v>India</v>
      </c>
      <c r="C552" s="1">
        <f ca="1">IFERROR(__xludf.DUMMYFUNCTION("""COMPUTED_VALUE"""),670561)</f>
        <v>670561</v>
      </c>
      <c r="D552" s="1" t="str">
        <f ca="1">IFERROR(__xludf.DUMMYFUNCTION("""COMPUTED_VALUE"""),"Female")</f>
        <v>Female</v>
      </c>
      <c r="E552" s="1" t="str">
        <f ca="1">IFERROR(__xludf.DUMMYFUNCTION("""COMPUTED_VALUE"""),"Social Media like LinkedIn")</f>
        <v>Social Media like LinkedIn</v>
      </c>
      <c r="F552" s="1" t="str">
        <f ca="1">IFERROR(__xludf.DUMMYFUNCTION("""COMPUTED_VALUE"""),"No, But if someone could bare the cost I will")</f>
        <v>No, But if someone could bare the cost I will</v>
      </c>
      <c r="G552" s="1" t="str">
        <f ca="1">IFERROR(__xludf.DUMMYFUNCTION("""COMPUTED_VALUE"""),"This will be hard to do, but if it is the right company I would try")</f>
        <v>This will be hard to do, but if it is the right company I would try</v>
      </c>
      <c r="H552" s="1" t="str">
        <f ca="1">IFERROR(__xludf.DUMMYFUNCTION("""COMPUTED_VALUE"""),"No")</f>
        <v>No</v>
      </c>
      <c r="I552" s="1" t="str">
        <f ca="1">IFERROR(__xludf.DUMMYFUNCTION("""COMPUTED_VALUE"""),"Will work for them")</f>
        <v>Will work for them</v>
      </c>
      <c r="J552" s="1">
        <f ca="1">IFERROR(__xludf.DUMMYFUNCTION("""COMPUTED_VALUE"""),5)</f>
        <v>5</v>
      </c>
      <c r="K552" s="1" t="str">
        <f ca="1">IFERROR(__xludf.DUMMYFUNCTION("""COMPUTED_VALUE"""),"Fully Remote with No option to visit offices")</f>
        <v>Fully Remote with No option to visit offices</v>
      </c>
      <c r="L552" s="1" t="str">
        <f ca="1">IFERROR(__xludf.DUMMYFUNCTION("""COMPUTED_VALUE"""),"Employer who rewards learning and enables that environment")</f>
        <v>Employer who rewards learning and enables that environment</v>
      </c>
      <c r="M552"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N552" s="4" t="s">
        <v>49</v>
      </c>
      <c r="O552" s="1" t="str">
        <f ca="1">IFERROR(__xludf.DUMMYFUNCTION("""COMPUTED_VALUE"""),"Manager who explains what is expected, sets a goal and helps achieve it")</f>
        <v>Manager who explains what is expected, sets a goal and helps achieve it</v>
      </c>
      <c r="P552" s="1" t="str">
        <f ca="1">IFERROR(__xludf.DUMMYFUNCTION("""COMPUTED_VALUE"""),"Work &gt;10 people in Team")</f>
        <v>Work &gt;10 people in Team</v>
      </c>
      <c r="Q552" s="1" t="s">
        <v>40</v>
      </c>
      <c r="R552" s="1"/>
    </row>
    <row r="553" spans="1:18" x14ac:dyDescent="0.25">
      <c r="A553" s="2">
        <f ca="1">IFERROR(__xludf.DUMMYFUNCTION("""COMPUTED_VALUE"""),45021.6844062384)</f>
        <v>45021.684406238397</v>
      </c>
      <c r="B553" s="1" t="str">
        <f ca="1">IFERROR(__xludf.DUMMYFUNCTION("""COMPUTED_VALUE"""),"India")</f>
        <v>India</v>
      </c>
      <c r="C553" s="1">
        <f ca="1">IFERROR(__xludf.DUMMYFUNCTION("""COMPUTED_VALUE"""),600044)</f>
        <v>600044</v>
      </c>
      <c r="D553" s="1" t="str">
        <f ca="1">IFERROR(__xludf.DUMMYFUNCTION("""COMPUTED_VALUE"""),"Male")</f>
        <v>Male</v>
      </c>
      <c r="E553" s="1" t="str">
        <f ca="1">IFERROR(__xludf.DUMMYFUNCTION("""COMPUTED_VALUE"""),"People from my circle, but not family members")</f>
        <v>People from my circle, but not family members</v>
      </c>
      <c r="F553" s="1" t="str">
        <f ca="1">IFERROR(__xludf.DUMMYFUNCTION("""COMPUTED_VALUE"""),"Yes, I will earn and do that")</f>
        <v>Yes, I will earn and do that</v>
      </c>
      <c r="G553" s="1" t="str">
        <f ca="1">IFERROR(__xludf.DUMMYFUNCTION("""COMPUTED_VALUE"""),"Will work for 3 years or more")</f>
        <v>Will work for 3 years or more</v>
      </c>
      <c r="H553" s="1" t="str">
        <f ca="1">IFERROR(__xludf.DUMMYFUNCTION("""COMPUTED_VALUE"""),"No")</f>
        <v>No</v>
      </c>
      <c r="I553" s="1" t="str">
        <f ca="1">IFERROR(__xludf.DUMMYFUNCTION("""COMPUTED_VALUE"""),"Will NOT work for them")</f>
        <v>Will NOT work for them</v>
      </c>
      <c r="J553" s="1">
        <f ca="1">IFERROR(__xludf.DUMMYFUNCTION("""COMPUTED_VALUE"""),10)</f>
        <v>10</v>
      </c>
      <c r="K553" s="1" t="str">
        <f ca="1">IFERROR(__xludf.DUMMYFUNCTION("""COMPUTED_VALUE"""),"Every Day Office Environment")</f>
        <v>Every Day Office Environment</v>
      </c>
      <c r="L553" s="1" t="str">
        <f ca="1">IFERROR(__xludf.DUMMYFUNCTION("""COMPUTED_VALUE"""),"Employer who appreciates learning and enables that environment")</f>
        <v>Employer who appreciates learning and enables that environment</v>
      </c>
      <c r="M55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553" s="4" t="s">
        <v>49</v>
      </c>
      <c r="O553" s="1" t="str">
        <f ca="1">IFERROR(__xludf.DUMMYFUNCTION("""COMPUTED_VALUE"""),"Manager who explains what is expected, sets a goal and helps achieve it")</f>
        <v>Manager who explains what is expected, sets a goal and helps achieve it</v>
      </c>
      <c r="P553" s="1" t="str">
        <f ca="1">IFERROR(__xludf.DUMMYFUNCTION("""COMPUTED_VALUE"""),"Work &gt;10 people in Team")</f>
        <v>Work &gt;10 people in Team</v>
      </c>
      <c r="Q553" s="1" t="s">
        <v>43</v>
      </c>
      <c r="R553" s="1"/>
    </row>
    <row r="554" spans="1:18" x14ac:dyDescent="0.25">
      <c r="A554" s="2">
        <f ca="1">IFERROR(__xludf.DUMMYFUNCTION("""COMPUTED_VALUE"""),45021.6903958333)</f>
        <v>45021.690395833299</v>
      </c>
      <c r="B554" s="1" t="str">
        <f ca="1">IFERROR(__xludf.DUMMYFUNCTION("""COMPUTED_VALUE"""),"India")</f>
        <v>India</v>
      </c>
      <c r="C554" s="1">
        <f ca="1">IFERROR(__xludf.DUMMYFUNCTION("""COMPUTED_VALUE"""),485001)</f>
        <v>485001</v>
      </c>
      <c r="D554" s="1" t="str">
        <f ca="1">IFERROR(__xludf.DUMMYFUNCTION("""COMPUTED_VALUE"""),"Male")</f>
        <v>Male</v>
      </c>
      <c r="E554" s="1" t="str">
        <f ca="1">IFERROR(__xludf.DUMMYFUNCTION("""COMPUTED_VALUE"""),"People from my circle, but not family members")</f>
        <v>People from my circle, but not family members</v>
      </c>
      <c r="F554" s="1" t="str">
        <f ca="1">IFERROR(__xludf.DUMMYFUNCTION("""COMPUTED_VALUE"""),"No, But if someone could bare the cost I will")</f>
        <v>No, But if someone could bare the cost I will</v>
      </c>
      <c r="G554" s="1" t="str">
        <f ca="1">IFERROR(__xludf.DUMMYFUNCTION("""COMPUTED_VALUE"""),"This will be hard to do, but if it is the right company I would try")</f>
        <v>This will be hard to do, but if it is the right company I would try</v>
      </c>
      <c r="H554" s="1" t="str">
        <f ca="1">IFERROR(__xludf.DUMMYFUNCTION("""COMPUTED_VALUE"""),"No")</f>
        <v>No</v>
      </c>
      <c r="I554" s="1" t="str">
        <f ca="1">IFERROR(__xludf.DUMMYFUNCTION("""COMPUTED_VALUE"""),"Will NOT work for them")</f>
        <v>Will NOT work for them</v>
      </c>
      <c r="J554" s="1">
        <f ca="1">IFERROR(__xludf.DUMMYFUNCTION("""COMPUTED_VALUE"""),1)</f>
        <v>1</v>
      </c>
      <c r="K554" s="1" t="str">
        <f ca="1">IFERROR(__xludf.DUMMYFUNCTION("""COMPUTED_VALUE"""),"Fully Remote with Options to travel as and when needed")</f>
        <v>Fully Remote with Options to travel as and when needed</v>
      </c>
      <c r="L554" s="1" t="str">
        <f ca="1">IFERROR(__xludf.DUMMYFUNCTION("""COMPUTED_VALUE"""),"Employer who appreciates learning and enables that environment")</f>
        <v>Employer who appreciates learning and enables that environment</v>
      </c>
      <c r="M554"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N554" s="4" t="s">
        <v>49</v>
      </c>
      <c r="O554" s="1" t="str">
        <f ca="1">IFERROR(__xludf.DUMMYFUNCTION("""COMPUTED_VALUE"""),"Manager who explains what is expected, sets a goal and helps achieve it")</f>
        <v>Manager who explains what is expected, sets a goal and helps achieve it</v>
      </c>
      <c r="P554" s="1" t="str">
        <f ca="1">IFERROR(__xludf.DUMMYFUNCTION("""COMPUTED_VALUE"""),"Work &lt;=6 People in the Team")</f>
        <v>Work &lt;=6 People in the Team</v>
      </c>
      <c r="Q554" s="1" t="s">
        <v>40</v>
      </c>
      <c r="R554" s="1"/>
    </row>
    <row r="555" spans="1:18" x14ac:dyDescent="0.25">
      <c r="A555" s="2">
        <f ca="1">IFERROR(__xludf.DUMMYFUNCTION("""COMPUTED_VALUE"""),45021.69402478)</f>
        <v>45021.694024780001</v>
      </c>
      <c r="B555" s="1" t="str">
        <f ca="1">IFERROR(__xludf.DUMMYFUNCTION("""COMPUTED_VALUE"""),"India")</f>
        <v>India</v>
      </c>
      <c r="C555" s="1">
        <f ca="1">IFERROR(__xludf.DUMMYFUNCTION("""COMPUTED_VALUE"""),635109)</f>
        <v>635109</v>
      </c>
      <c r="D555" s="1" t="str">
        <f ca="1">IFERROR(__xludf.DUMMYFUNCTION("""COMPUTED_VALUE"""),"Male")</f>
        <v>Male</v>
      </c>
      <c r="E555" s="1" t="str">
        <f ca="1">IFERROR(__xludf.DUMMYFUNCTION("""COMPUTED_VALUE"""),"Social Media like LinkedIn")</f>
        <v>Social Media like LinkedIn</v>
      </c>
      <c r="F555" s="1" t="str">
        <f ca="1">IFERROR(__xludf.DUMMYFUNCTION("""COMPUTED_VALUE"""),"Yes, I will earn and do that")</f>
        <v>Yes, I will earn and do that</v>
      </c>
      <c r="G555" s="1" t="str">
        <f ca="1">IFERROR(__xludf.DUMMYFUNCTION("""COMPUTED_VALUE"""),"This will be hard to do, but if it is the right company I would try")</f>
        <v>This will be hard to do, but if it is the right company I would try</v>
      </c>
      <c r="H555" s="1" t="str">
        <f ca="1">IFERROR(__xludf.DUMMYFUNCTION("""COMPUTED_VALUE"""),"Yes")</f>
        <v>Yes</v>
      </c>
      <c r="I555" s="1" t="str">
        <f ca="1">IFERROR(__xludf.DUMMYFUNCTION("""COMPUTED_VALUE"""),"Will work for them")</f>
        <v>Will work for them</v>
      </c>
      <c r="J555" s="1">
        <f ca="1">IFERROR(__xludf.DUMMYFUNCTION("""COMPUTED_VALUE"""),9)</f>
        <v>9</v>
      </c>
      <c r="K555" s="1" t="str">
        <f ca="1">IFERROR(__xludf.DUMMYFUNCTION("""COMPUTED_VALUE"""),"Every Day Office Environment")</f>
        <v>Every Day Office Environment</v>
      </c>
      <c r="L555" s="1" t="str">
        <f ca="1">IFERROR(__xludf.DUMMYFUNCTION("""COMPUTED_VALUE"""),"Employer who pushes your limits by enabling an learning environment, and rewards you at the end")</f>
        <v>Employer who pushes your limits by enabling an learning environment, and rewards you at the end</v>
      </c>
      <c r="M5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555" s="4" t="s">
        <v>48</v>
      </c>
      <c r="O555" s="1" t="str">
        <f ca="1">IFERROR(__xludf.DUMMYFUNCTION("""COMPUTED_VALUE"""),"Manager who sets goal and helps me achieve it")</f>
        <v>Manager who sets goal and helps me achieve it</v>
      </c>
      <c r="P555" s="1" t="str">
        <f ca="1">IFERROR(__xludf.DUMMYFUNCTION("""COMPUTED_VALUE"""),"Work &gt;=7 People in the Team")</f>
        <v>Work &gt;=7 People in the Team</v>
      </c>
      <c r="Q555" s="1" t="s">
        <v>40</v>
      </c>
      <c r="R555" s="1"/>
    </row>
    <row r="556" spans="1:18" x14ac:dyDescent="0.25">
      <c r="A556" s="2">
        <f ca="1">IFERROR(__xludf.DUMMYFUNCTION("""COMPUTED_VALUE"""),45021.6975800925)</f>
        <v>45021.697580092499</v>
      </c>
      <c r="B556" s="1" t="str">
        <f ca="1">IFERROR(__xludf.DUMMYFUNCTION("""COMPUTED_VALUE"""),"India")</f>
        <v>India</v>
      </c>
      <c r="C556" s="1">
        <f ca="1">IFERROR(__xludf.DUMMYFUNCTION("""COMPUTED_VALUE"""),360001)</f>
        <v>360001</v>
      </c>
      <c r="D556" s="1" t="str">
        <f ca="1">IFERROR(__xludf.DUMMYFUNCTION("""COMPUTED_VALUE"""),"Male")</f>
        <v>Male</v>
      </c>
      <c r="E556" s="1" t="str">
        <f ca="1">IFERROR(__xludf.DUMMYFUNCTION("""COMPUTED_VALUE"""),"My Parents")</f>
        <v>My Parents</v>
      </c>
      <c r="F556" s="1" t="str">
        <f ca="1">IFERROR(__xludf.DUMMYFUNCTION("""COMPUTED_VALUE"""),"Yes, I will earn and do that")</f>
        <v>Yes, I will earn and do that</v>
      </c>
      <c r="G556" s="1" t="str">
        <f ca="1">IFERROR(__xludf.DUMMYFUNCTION("""COMPUTED_VALUE"""),"This will be hard to do, but if it is the right company I would try")</f>
        <v>This will be hard to do, but if it is the right company I would try</v>
      </c>
      <c r="H556" s="1" t="str">
        <f ca="1">IFERROR(__xludf.DUMMYFUNCTION("""COMPUTED_VALUE"""),"No")</f>
        <v>No</v>
      </c>
      <c r="I556" s="1" t="str">
        <f ca="1">IFERROR(__xludf.DUMMYFUNCTION("""COMPUTED_VALUE"""),"Will NOT work for them")</f>
        <v>Will NOT work for them</v>
      </c>
      <c r="J556" s="1">
        <f ca="1">IFERROR(__xludf.DUMMYFUNCTION("""COMPUTED_VALUE"""),1)</f>
        <v>1</v>
      </c>
      <c r="K556" s="1" t="str">
        <f ca="1">IFERROR(__xludf.DUMMYFUNCTION("""COMPUTED_VALUE"""),"Every Day Office Environment")</f>
        <v>Every Day Office Environment</v>
      </c>
      <c r="L556" s="1" t="str">
        <f ca="1">IFERROR(__xludf.DUMMYFUNCTION("""COMPUTED_VALUE"""),"Employer who pushes your limits by enabling an learning environment, and rewards you at the end")</f>
        <v>Employer who pushes your limits by enabling an learning environment, and rewards you at the end</v>
      </c>
      <c r="M556"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N556" s="4" t="s">
        <v>53</v>
      </c>
      <c r="O556" s="1" t="str">
        <f ca="1">IFERROR(__xludf.DUMMYFUNCTION("""COMPUTED_VALUE"""),"Manager who clearly describes what she/he needs")</f>
        <v>Manager who clearly describes what she/he needs</v>
      </c>
      <c r="P556" s="1" t="str">
        <f ca="1">IFERROR(__xludf.DUMMYFUNCTION("""COMPUTED_VALUE"""),"Work &gt;=7 People in the Team")</f>
        <v>Work &gt;=7 People in the Team</v>
      </c>
      <c r="Q556" s="1" t="s">
        <v>43</v>
      </c>
      <c r="R556" s="1"/>
    </row>
    <row r="557" spans="1:18" x14ac:dyDescent="0.25">
      <c r="A557" s="2">
        <f ca="1">IFERROR(__xludf.DUMMYFUNCTION("""COMPUTED_VALUE"""),45021.7025141203)</f>
        <v>45021.702514120298</v>
      </c>
      <c r="B557" s="1" t="str">
        <f ca="1">IFERROR(__xludf.DUMMYFUNCTION("""COMPUTED_VALUE"""),"India")</f>
        <v>India</v>
      </c>
      <c r="C557" s="1">
        <f ca="1">IFERROR(__xludf.DUMMYFUNCTION("""COMPUTED_VALUE"""),620008)</f>
        <v>620008</v>
      </c>
      <c r="D557" s="1" t="str">
        <f ca="1">IFERROR(__xludf.DUMMYFUNCTION("""COMPUTED_VALUE"""),"Female")</f>
        <v>Female</v>
      </c>
      <c r="E557" s="1" t="str">
        <f ca="1">IFERROR(__xludf.DUMMYFUNCTION("""COMPUTED_VALUE"""),"My Parents")</f>
        <v>My Parents</v>
      </c>
      <c r="F557" s="1" t="str">
        <f ca="1">IFERROR(__xludf.DUMMYFUNCTION("""COMPUTED_VALUE"""),"Yes, I will earn and do that")</f>
        <v>Yes, I will earn and do that</v>
      </c>
      <c r="G557" s="1" t="str">
        <f ca="1">IFERROR(__xludf.DUMMYFUNCTION("""COMPUTED_VALUE"""),"This will be hard to do, but if it is the right company I would try")</f>
        <v>This will be hard to do, but if it is the right company I would try</v>
      </c>
      <c r="H557" s="1" t="str">
        <f ca="1">IFERROR(__xludf.DUMMYFUNCTION("""COMPUTED_VALUE"""),"Yes")</f>
        <v>Yes</v>
      </c>
      <c r="I557" s="1" t="str">
        <f ca="1">IFERROR(__xludf.DUMMYFUNCTION("""COMPUTED_VALUE"""),"Will NOT work for them")</f>
        <v>Will NOT work for them</v>
      </c>
      <c r="J557" s="1">
        <f ca="1">IFERROR(__xludf.DUMMYFUNCTION("""COMPUTED_VALUE"""),1)</f>
        <v>1</v>
      </c>
      <c r="K557" s="1" t="str">
        <f ca="1">IFERROR(__xludf.DUMMYFUNCTION("""COMPUTED_VALUE"""),"Hybrid Working Environment with less than 3 days a month at office")</f>
        <v>Hybrid Working Environment with less than 3 days a month at office</v>
      </c>
      <c r="L557" s="1" t="str">
        <f ca="1">IFERROR(__xludf.DUMMYFUNCTION("""COMPUTED_VALUE"""),"Employer who appreciates learning and enables that environment")</f>
        <v>Employer who appreciates learning and enables that environment</v>
      </c>
      <c r="M557"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N557" s="4" t="s">
        <v>48</v>
      </c>
      <c r="O557" s="1" t="str">
        <f ca="1">IFERROR(__xludf.DUMMYFUNCTION("""COMPUTED_VALUE"""),"Manager who sets goal and helps me achieve it")</f>
        <v>Manager who sets goal and helps me achieve it</v>
      </c>
      <c r="P557" s="1" t="str">
        <f ca="1">IFERROR(__xludf.DUMMYFUNCTION("""COMPUTED_VALUE"""),"Work &lt;=6 People in the Team")</f>
        <v>Work &lt;=6 People in the Team</v>
      </c>
      <c r="Q557" s="1" t="s">
        <v>40</v>
      </c>
      <c r="R557" s="1"/>
    </row>
    <row r="558" spans="1:18" x14ac:dyDescent="0.25">
      <c r="A558" s="2">
        <f ca="1">IFERROR(__xludf.DUMMYFUNCTION("""COMPUTED_VALUE"""),45021.7040934259)</f>
        <v>45021.704093425898</v>
      </c>
      <c r="B558" s="1" t="str">
        <f ca="1">IFERROR(__xludf.DUMMYFUNCTION("""COMPUTED_VALUE"""),"India")</f>
        <v>India</v>
      </c>
      <c r="C558" s="1">
        <f ca="1">IFERROR(__xludf.DUMMYFUNCTION("""COMPUTED_VALUE"""),122001)</f>
        <v>122001</v>
      </c>
      <c r="D558" s="1" t="str">
        <f ca="1">IFERROR(__xludf.DUMMYFUNCTION("""COMPUTED_VALUE"""),"Male")</f>
        <v>Male</v>
      </c>
      <c r="E558" s="1" t="str">
        <f ca="1">IFERROR(__xludf.DUMMYFUNCTION("""COMPUTED_VALUE"""),"My Parents")</f>
        <v>My Parents</v>
      </c>
      <c r="F558" s="1" t="str">
        <f ca="1">IFERROR(__xludf.DUMMYFUNCTION("""COMPUTED_VALUE"""),"Yes, I will earn and do that")</f>
        <v>Yes, I will earn and do that</v>
      </c>
      <c r="G558" s="1" t="str">
        <f ca="1">IFERROR(__xludf.DUMMYFUNCTION("""COMPUTED_VALUE"""),"Will work for 3 years or more")</f>
        <v>Will work for 3 years or more</v>
      </c>
      <c r="H558" s="1" t="str">
        <f ca="1">IFERROR(__xludf.DUMMYFUNCTION("""COMPUTED_VALUE"""),"No")</f>
        <v>No</v>
      </c>
      <c r="I558" s="1" t="str">
        <f ca="1">IFERROR(__xludf.DUMMYFUNCTION("""COMPUTED_VALUE"""),"Will NOT work for them")</f>
        <v>Will NOT work for them</v>
      </c>
      <c r="J558" s="1">
        <f ca="1">IFERROR(__xludf.DUMMYFUNCTION("""COMPUTED_VALUE"""),5)</f>
        <v>5</v>
      </c>
      <c r="K558" s="1" t="str">
        <f ca="1">IFERROR(__xludf.DUMMYFUNCTION("""COMPUTED_VALUE"""),"Hybrid Working Environment with more than 15 days a month at office")</f>
        <v>Hybrid Working Environment with more than 15 days a month at office</v>
      </c>
      <c r="L558" s="1" t="str">
        <f ca="1">IFERROR(__xludf.DUMMYFUNCTION("""COMPUTED_VALUE"""),"Employer who pushes your limits by enabling an learning environment, and rewards you at the end")</f>
        <v>Employer who pushes your limits by enabling an learning environment, and rewards you at the end</v>
      </c>
      <c r="M558"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558" s="4" t="s">
        <v>49</v>
      </c>
      <c r="O558" s="1" t="str">
        <f ca="1">IFERROR(__xludf.DUMMYFUNCTION("""COMPUTED_VALUE"""),"Manager who explains what is expected, sets a goal and helps achieve it")</f>
        <v>Manager who explains what is expected, sets a goal and helps achieve it</v>
      </c>
      <c r="P558" s="1" t="str">
        <f ca="1">IFERROR(__xludf.DUMMYFUNCTION("""COMPUTED_VALUE"""),"Work &lt;67 People in the Team")</f>
        <v>Work &lt;67 People in the Team</v>
      </c>
      <c r="Q558" s="1" t="s">
        <v>43</v>
      </c>
      <c r="R558" s="1"/>
    </row>
    <row r="559" spans="1:18" x14ac:dyDescent="0.25">
      <c r="A559" s="2">
        <f ca="1">IFERROR(__xludf.DUMMYFUNCTION("""COMPUTED_VALUE"""),45021.7049069907)</f>
        <v>45021.704906990701</v>
      </c>
      <c r="B559" s="1" t="str">
        <f ca="1">IFERROR(__xludf.DUMMYFUNCTION("""COMPUTED_VALUE"""),"India")</f>
        <v>India</v>
      </c>
      <c r="C559" s="1">
        <f ca="1">IFERROR(__xludf.DUMMYFUNCTION("""COMPUTED_VALUE"""),626108)</f>
        <v>626108</v>
      </c>
      <c r="D559" s="1" t="str">
        <f ca="1">IFERROR(__xludf.DUMMYFUNCTION("""COMPUTED_VALUE"""),"Male")</f>
        <v>Male</v>
      </c>
      <c r="E559" s="1" t="str">
        <f ca="1">IFERROR(__xludf.DUMMYFUNCTION("""COMPUTED_VALUE"""),"People from my circle, but not family members")</f>
        <v>People from my circle, but not family members</v>
      </c>
      <c r="F559" s="1" t="str">
        <f ca="1">IFERROR(__xludf.DUMMYFUNCTION("""COMPUTED_VALUE"""),"No I would not be pursuing Higher Education outside of India")</f>
        <v>No I would not be pursuing Higher Education outside of India</v>
      </c>
      <c r="G559" s="1" t="str">
        <f ca="1">IFERROR(__xludf.DUMMYFUNCTION("""COMPUTED_VALUE"""),"Will work for 3 years or more")</f>
        <v>Will work for 3 years or more</v>
      </c>
      <c r="H559" s="1" t="str">
        <f ca="1">IFERROR(__xludf.DUMMYFUNCTION("""COMPUTED_VALUE"""),"No")</f>
        <v>No</v>
      </c>
      <c r="I559" s="1" t="str">
        <f ca="1">IFERROR(__xludf.DUMMYFUNCTION("""COMPUTED_VALUE"""),"Will NOT work for them")</f>
        <v>Will NOT work for them</v>
      </c>
      <c r="J559" s="1">
        <f ca="1">IFERROR(__xludf.DUMMYFUNCTION("""COMPUTED_VALUE"""),10)</f>
        <v>10</v>
      </c>
      <c r="K559" s="1" t="str">
        <f ca="1">IFERROR(__xludf.DUMMYFUNCTION("""COMPUTED_VALUE"""),"Hybrid Working Environment with less than 3 days a month at office")</f>
        <v>Hybrid Working Environment with less than 3 days a month at office</v>
      </c>
      <c r="L559" s="1" t="str">
        <f ca="1">IFERROR(__xludf.DUMMYFUNCTION("""COMPUTED_VALUE"""),"Employer who appreciates learning and enables that environment")</f>
        <v>Employer who appreciates learning and enables that environment</v>
      </c>
      <c r="M55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559" s="4" t="s">
        <v>49</v>
      </c>
      <c r="O559" s="1" t="str">
        <f ca="1">IFERROR(__xludf.DUMMYFUNCTION("""COMPUTED_VALUE"""),"Manager who sets goal and helps me achieve it")</f>
        <v>Manager who sets goal and helps me achieve it</v>
      </c>
      <c r="P559" s="1" t="str">
        <f ca="1">IFERROR(__xludf.DUMMYFUNCTION("""COMPUTED_VALUE"""),"Work &lt;=6 People in the Team")</f>
        <v>Work &lt;=6 People in the Team</v>
      </c>
      <c r="Q559" s="1" t="s">
        <v>40</v>
      </c>
      <c r="R559" s="1"/>
    </row>
    <row r="560" spans="1:18" x14ac:dyDescent="0.25">
      <c r="A560" s="2">
        <f ca="1">IFERROR(__xludf.DUMMYFUNCTION("""COMPUTED_VALUE"""),45021.7057106481)</f>
        <v>45021.705710648101</v>
      </c>
      <c r="B560" s="1" t="str">
        <f ca="1">IFERROR(__xludf.DUMMYFUNCTION("""COMPUTED_VALUE"""),"India")</f>
        <v>India</v>
      </c>
      <c r="C560" s="1">
        <f ca="1">IFERROR(__xludf.DUMMYFUNCTION("""COMPUTED_VALUE"""),641004)</f>
        <v>641004</v>
      </c>
      <c r="D560" s="1" t="str">
        <f ca="1">IFERROR(__xludf.DUMMYFUNCTION("""COMPUTED_VALUE"""),"Male")</f>
        <v>Male</v>
      </c>
      <c r="E560" s="1" t="str">
        <f ca="1">IFERROR(__xludf.DUMMYFUNCTION("""COMPUTED_VALUE"""),"Influencers who had successful careers")</f>
        <v>Influencers who had successful careers</v>
      </c>
      <c r="F560" s="1" t="str">
        <f ca="1">IFERROR(__xludf.DUMMYFUNCTION("""COMPUTED_VALUE"""),"Yes, I will earn and do that")</f>
        <v>Yes, I will earn and do that</v>
      </c>
      <c r="G560" s="1" t="str">
        <f ca="1">IFERROR(__xludf.DUMMYFUNCTION("""COMPUTED_VALUE"""),"This will be hard to do, but if it is the right company I would try")</f>
        <v>This will be hard to do, but if it is the right company I would try</v>
      </c>
      <c r="H560" s="1" t="str">
        <f ca="1">IFERROR(__xludf.DUMMYFUNCTION("""COMPUTED_VALUE"""),"No")</f>
        <v>No</v>
      </c>
      <c r="I560" s="1" t="str">
        <f ca="1">IFERROR(__xludf.DUMMYFUNCTION("""COMPUTED_VALUE"""),"Will NOT work for them")</f>
        <v>Will NOT work for them</v>
      </c>
      <c r="J560" s="1">
        <f ca="1">IFERROR(__xludf.DUMMYFUNCTION("""COMPUTED_VALUE"""),3)</f>
        <v>3</v>
      </c>
      <c r="K560" s="1" t="str">
        <f ca="1">IFERROR(__xludf.DUMMYFUNCTION("""COMPUTED_VALUE"""),"Hybrid Working Environment with less than 3 days a month at office")</f>
        <v>Hybrid Working Environment with less than 3 days a month at office</v>
      </c>
      <c r="L560" s="1" t="str">
        <f ca="1">IFERROR(__xludf.DUMMYFUNCTION("""COMPUTED_VALUE"""),"Employer who appreciates learning and enables that environment")</f>
        <v>Employer who appreciates learning and enables that environment</v>
      </c>
      <c r="M56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N560" s="4" t="s">
        <v>49</v>
      </c>
      <c r="O560" s="1" t="str">
        <f ca="1">IFERROR(__xludf.DUMMYFUNCTION("""COMPUTED_VALUE"""),"Manager who clearly describes what she/he needs")</f>
        <v>Manager who clearly describes what she/he needs</v>
      </c>
      <c r="P560" s="1" t="str">
        <f ca="1">IFERROR(__xludf.DUMMYFUNCTION("""COMPUTED_VALUE"""),"Work &gt;10 people in Team")</f>
        <v>Work &gt;10 people in Team</v>
      </c>
      <c r="Q560" s="1" t="s">
        <v>40</v>
      </c>
      <c r="R560" s="1"/>
    </row>
    <row r="561" spans="1:18" x14ac:dyDescent="0.25">
      <c r="A561" s="2">
        <f ca="1">IFERROR(__xludf.DUMMYFUNCTION("""COMPUTED_VALUE"""),45021.7071620717)</f>
        <v>45021.707162071703</v>
      </c>
      <c r="B561" s="1" t="str">
        <f ca="1">IFERROR(__xludf.DUMMYFUNCTION("""COMPUTED_VALUE"""),"India")</f>
        <v>India</v>
      </c>
      <c r="C561" s="1">
        <f ca="1">IFERROR(__xludf.DUMMYFUNCTION("""COMPUTED_VALUE"""),110059)</f>
        <v>110059</v>
      </c>
      <c r="D561" s="1" t="str">
        <f ca="1">IFERROR(__xludf.DUMMYFUNCTION("""COMPUTED_VALUE"""),"Male")</f>
        <v>Male</v>
      </c>
      <c r="E561" s="1" t="str">
        <f ca="1">IFERROR(__xludf.DUMMYFUNCTION("""COMPUTED_VALUE"""),"People from my circle, but not family members")</f>
        <v>People from my circle, but not family members</v>
      </c>
      <c r="F561" s="1" t="str">
        <f ca="1">IFERROR(__xludf.DUMMYFUNCTION("""COMPUTED_VALUE"""),"No I would not be pursuing Higher Education outside of India")</f>
        <v>No I would not be pursuing Higher Education outside of India</v>
      </c>
      <c r="G561" s="1" t="str">
        <f ca="1">IFERROR(__xludf.DUMMYFUNCTION("""COMPUTED_VALUE"""),"This will be hard to do, but if it is the right company I would try")</f>
        <v>This will be hard to do, but if it is the right company I would try</v>
      </c>
      <c r="H561" s="1" t="str">
        <f ca="1">IFERROR(__xludf.DUMMYFUNCTION("""COMPUTED_VALUE"""),"No")</f>
        <v>No</v>
      </c>
      <c r="I561" s="1" t="str">
        <f ca="1">IFERROR(__xludf.DUMMYFUNCTION("""COMPUTED_VALUE"""),"Will NOT work for them")</f>
        <v>Will NOT work for them</v>
      </c>
      <c r="J561" s="1">
        <f ca="1">IFERROR(__xludf.DUMMYFUNCTION("""COMPUTED_VALUE"""),2)</f>
        <v>2</v>
      </c>
      <c r="K561" s="1" t="str">
        <f ca="1">IFERROR(__xludf.DUMMYFUNCTION("""COMPUTED_VALUE"""),"Hybrid Working Environment with more than 15 days a month at office")</f>
        <v>Hybrid Working Environment with more than 15 days a month at office</v>
      </c>
      <c r="L561" s="1" t="str">
        <f ca="1">IFERROR(__xludf.DUMMYFUNCTION("""COMPUTED_VALUE"""),"Employer who pushes your limits by enabling an learning environment, and rewards you at the end")</f>
        <v>Employer who pushes your limits by enabling an learning environment, and rewards you at the end</v>
      </c>
      <c r="M561"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N561" s="4" t="s">
        <v>49</v>
      </c>
      <c r="O561" s="1" t="str">
        <f ca="1">IFERROR(__xludf.DUMMYFUNCTION("""COMPUTED_VALUE"""),"Manager who sets goal and helps me achieve it")</f>
        <v>Manager who sets goal and helps me achieve it</v>
      </c>
      <c r="P561" s="1" t="str">
        <f ca="1">IFERROR(__xludf.DUMMYFUNCTION("""COMPUTED_VALUE"""),"Work alone")</f>
        <v>Work alone</v>
      </c>
      <c r="Q561" s="1" t="s">
        <v>43</v>
      </c>
      <c r="R561" s="1"/>
    </row>
    <row r="562" spans="1:18" x14ac:dyDescent="0.25">
      <c r="A562" s="2">
        <f ca="1">IFERROR(__xludf.DUMMYFUNCTION("""COMPUTED_VALUE"""),45021.7094640162)</f>
        <v>45021.709464016203</v>
      </c>
      <c r="B562" s="1" t="str">
        <f ca="1">IFERROR(__xludf.DUMMYFUNCTION("""COMPUTED_VALUE"""),"India")</f>
        <v>India</v>
      </c>
      <c r="C562" s="1">
        <f ca="1">IFERROR(__xludf.DUMMYFUNCTION("""COMPUTED_VALUE"""),380007)</f>
        <v>380007</v>
      </c>
      <c r="D562" s="1" t="str">
        <f ca="1">IFERROR(__xludf.DUMMYFUNCTION("""COMPUTED_VALUE"""),"Female")</f>
        <v>Female</v>
      </c>
      <c r="E562" s="1" t="str">
        <f ca="1">IFERROR(__xludf.DUMMYFUNCTION("""COMPUTED_VALUE"""),"People who have changed the world for better")</f>
        <v>People who have changed the world for better</v>
      </c>
      <c r="F562" s="1" t="str">
        <f ca="1">IFERROR(__xludf.DUMMYFUNCTION("""COMPUTED_VALUE"""),"No I would not be pursuing Higher Education outside of India")</f>
        <v>No I would not be pursuing Higher Education outside of India</v>
      </c>
      <c r="G562" s="1" t="str">
        <f ca="1">IFERROR(__xludf.DUMMYFUNCTION("""COMPUTED_VALUE"""),"This will be hard to do, but if it is the right company I would try")</f>
        <v>This will be hard to do, but if it is the right company I would try</v>
      </c>
      <c r="H562" s="1" t="str">
        <f ca="1">IFERROR(__xludf.DUMMYFUNCTION("""COMPUTED_VALUE"""),"No")</f>
        <v>No</v>
      </c>
      <c r="I562" s="1" t="str">
        <f ca="1">IFERROR(__xludf.DUMMYFUNCTION("""COMPUTED_VALUE"""),"Will NOT work for them")</f>
        <v>Will NOT work for them</v>
      </c>
      <c r="J562" s="1">
        <f ca="1">IFERROR(__xludf.DUMMYFUNCTION("""COMPUTED_VALUE"""),2)</f>
        <v>2</v>
      </c>
      <c r="K562" s="1" t="str">
        <f ca="1">IFERROR(__xludf.DUMMYFUNCTION("""COMPUTED_VALUE"""),"Fully Remote with Options to travel as and when needed")</f>
        <v>Fully Remote with Options to travel as and when needed</v>
      </c>
      <c r="L562" s="1" t="str">
        <f ca="1">IFERROR(__xludf.DUMMYFUNCTION("""COMPUTED_VALUE"""),"Employer who pushes your limits by enabling an learning environment, and rewards you at the end")</f>
        <v>Employer who pushes your limits by enabling an learning environment, and rewards you at the end</v>
      </c>
      <c r="M5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562" s="4" t="s">
        <v>53</v>
      </c>
      <c r="O562" s="1" t="str">
        <f ca="1">IFERROR(__xludf.DUMMYFUNCTION("""COMPUTED_VALUE"""),"Manager who clearly describes what she/he needs")</f>
        <v>Manager who clearly describes what she/he needs</v>
      </c>
      <c r="P562" s="1" t="str">
        <f ca="1">IFERROR(__xludf.DUMMYFUNCTION("""COMPUTED_VALUE"""),"Work &gt;10 people in Team")</f>
        <v>Work &gt;10 people in Team</v>
      </c>
      <c r="Q562" s="1" t="s">
        <v>40</v>
      </c>
      <c r="R562" s="1"/>
    </row>
    <row r="563" spans="1:18" x14ac:dyDescent="0.25">
      <c r="A563" s="2">
        <f ca="1">IFERROR(__xludf.DUMMYFUNCTION("""COMPUTED_VALUE"""),45021.7108700694)</f>
        <v>45021.710870069401</v>
      </c>
      <c r="B563" s="1" t="str">
        <f ca="1">IFERROR(__xludf.DUMMYFUNCTION("""COMPUTED_VALUE"""),"India")</f>
        <v>India</v>
      </c>
      <c r="C563" s="1">
        <f ca="1">IFERROR(__xludf.DUMMYFUNCTION("""COMPUTED_VALUE"""),631101)</f>
        <v>631101</v>
      </c>
      <c r="D563" s="1" t="str">
        <f ca="1">IFERROR(__xludf.DUMMYFUNCTION("""COMPUTED_VALUE"""),"Male")</f>
        <v>Male</v>
      </c>
      <c r="E563" s="1" t="str">
        <f ca="1">IFERROR(__xludf.DUMMYFUNCTION("""COMPUTED_VALUE"""),"People who have changed the world for better")</f>
        <v>People who have changed the world for better</v>
      </c>
      <c r="F563" s="1" t="str">
        <f ca="1">IFERROR(__xludf.DUMMYFUNCTION("""COMPUTED_VALUE"""),"Yes, I will earn and do that")</f>
        <v>Yes, I will earn and do that</v>
      </c>
      <c r="G563" s="1" t="str">
        <f ca="1">IFERROR(__xludf.DUMMYFUNCTION("""COMPUTED_VALUE"""),"Will work for 3 years or more")</f>
        <v>Will work for 3 years or more</v>
      </c>
      <c r="H563" s="1" t="str">
        <f ca="1">IFERROR(__xludf.DUMMYFUNCTION("""COMPUTED_VALUE"""),"No")</f>
        <v>No</v>
      </c>
      <c r="I563" s="1" t="str">
        <f ca="1">IFERROR(__xludf.DUMMYFUNCTION("""COMPUTED_VALUE"""),"Will NOT work for them")</f>
        <v>Will NOT work for them</v>
      </c>
      <c r="J563" s="1">
        <f ca="1">IFERROR(__xludf.DUMMYFUNCTION("""COMPUTED_VALUE"""),5)</f>
        <v>5</v>
      </c>
      <c r="K563" s="1" t="str">
        <f ca="1">IFERROR(__xludf.DUMMYFUNCTION("""COMPUTED_VALUE"""),"Hybrid Working Environment with less than 3 days a month at office")</f>
        <v>Hybrid Working Environment with less than 3 days a month at office</v>
      </c>
      <c r="L563" s="1" t="str">
        <f ca="1">IFERROR(__xludf.DUMMYFUNCTION("""COMPUTED_VALUE"""),"Employer who rewards learning and enables that environment")</f>
        <v>Employer who rewards learning and enables that environment</v>
      </c>
      <c r="M56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563" s="4" t="s">
        <v>48</v>
      </c>
      <c r="O563" s="1" t="str">
        <f ca="1">IFERROR(__xludf.DUMMYFUNCTION("""COMPUTED_VALUE"""),"Manager who explains what is expected, sets a goal and helps achieve it")</f>
        <v>Manager who explains what is expected, sets a goal and helps achieve it</v>
      </c>
      <c r="P563" s="1" t="str">
        <f ca="1">IFERROR(__xludf.DUMMYFUNCTION("""COMPUTED_VALUE"""),"Work alone, Work &gt;10 people in Team")</f>
        <v>Work alone, Work &gt;10 people in Team</v>
      </c>
      <c r="Q563" s="1" t="s">
        <v>43</v>
      </c>
      <c r="R563" s="1"/>
    </row>
    <row r="564" spans="1:18" x14ac:dyDescent="0.25">
      <c r="A564" s="2">
        <f ca="1">IFERROR(__xludf.DUMMYFUNCTION("""COMPUTED_VALUE"""),45021.7109147916)</f>
        <v>45021.710914791598</v>
      </c>
      <c r="B564" s="1" t="str">
        <f ca="1">IFERROR(__xludf.DUMMYFUNCTION("""COMPUTED_VALUE"""),"India")</f>
        <v>India</v>
      </c>
      <c r="C564" s="1">
        <f ca="1">IFERROR(__xludf.DUMMYFUNCTION("""COMPUTED_VALUE"""),626136)</f>
        <v>626136</v>
      </c>
      <c r="D564" s="1" t="str">
        <f ca="1">IFERROR(__xludf.DUMMYFUNCTION("""COMPUTED_VALUE"""),"Male")</f>
        <v>Male</v>
      </c>
      <c r="E564" s="1" t="str">
        <f ca="1">IFERROR(__xludf.DUMMYFUNCTION("""COMPUTED_VALUE"""),"People from my circle, but not family members")</f>
        <v>People from my circle, but not family members</v>
      </c>
      <c r="F564" s="1" t="str">
        <f ca="1">IFERROR(__xludf.DUMMYFUNCTION("""COMPUTED_VALUE"""),"No I would not be pursuing Higher Education outside of India")</f>
        <v>No I would not be pursuing Higher Education outside of India</v>
      </c>
      <c r="G564" s="1" t="str">
        <f ca="1">IFERROR(__xludf.DUMMYFUNCTION("""COMPUTED_VALUE"""),"This will be hard to do, but if it is the right company I would try")</f>
        <v>This will be hard to do, but if it is the right company I would try</v>
      </c>
      <c r="H564" s="1" t="str">
        <f ca="1">IFERROR(__xludf.DUMMYFUNCTION("""COMPUTED_VALUE"""),"Yes")</f>
        <v>Yes</v>
      </c>
      <c r="I564" s="1" t="str">
        <f ca="1">IFERROR(__xludf.DUMMYFUNCTION("""COMPUTED_VALUE"""),"Will work for them")</f>
        <v>Will work for them</v>
      </c>
      <c r="J564" s="1">
        <f ca="1">IFERROR(__xludf.DUMMYFUNCTION("""COMPUTED_VALUE"""),7)</f>
        <v>7</v>
      </c>
      <c r="K564" s="1" t="str">
        <f ca="1">IFERROR(__xludf.DUMMYFUNCTION("""COMPUTED_VALUE"""),"Fully Remote with Options to travel as and when needed")</f>
        <v>Fully Remote with Options to travel as and when needed</v>
      </c>
      <c r="L564" s="1" t="str">
        <f ca="1">IFERROR(__xludf.DUMMYFUNCTION("""COMPUTED_VALUE"""),"Employer who pushes your limits by enabling an learning environment, and rewards you at the end")</f>
        <v>Employer who pushes your limits by enabling an learning environment, and rewards you at the end</v>
      </c>
      <c r="M56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N564" s="4" t="s">
        <v>53</v>
      </c>
      <c r="O564" s="1" t="str">
        <f ca="1">IFERROR(__xludf.DUMMYFUNCTION("""COMPUTED_VALUE"""),"Manager who sets goal and helps me achieve it")</f>
        <v>Manager who sets goal and helps me achieve it</v>
      </c>
      <c r="P564" s="1" t="str">
        <f ca="1">IFERROR(__xludf.DUMMYFUNCTION("""COMPUTED_VALUE"""),"Work &lt;=6 People in the Team")</f>
        <v>Work &lt;=6 People in the Team</v>
      </c>
      <c r="Q564" s="1" t="s">
        <v>40</v>
      </c>
      <c r="R564" s="1"/>
    </row>
    <row r="565" spans="1:18" x14ac:dyDescent="0.25">
      <c r="A565" s="2">
        <f ca="1">IFERROR(__xludf.DUMMYFUNCTION("""COMPUTED_VALUE"""),45021.7128589351)</f>
        <v>45021.712858935098</v>
      </c>
      <c r="B565" s="1" t="str">
        <f ca="1">IFERROR(__xludf.DUMMYFUNCTION("""COMPUTED_VALUE"""),"India")</f>
        <v>India</v>
      </c>
      <c r="C565" s="1">
        <f ca="1">IFERROR(__xludf.DUMMYFUNCTION("""COMPUTED_VALUE"""),530024)</f>
        <v>530024</v>
      </c>
      <c r="D565" s="1" t="str">
        <f ca="1">IFERROR(__xludf.DUMMYFUNCTION("""COMPUTED_VALUE"""),"Male")</f>
        <v>Male</v>
      </c>
      <c r="E565" s="1" t="str">
        <f ca="1">IFERROR(__xludf.DUMMYFUNCTION("""COMPUTED_VALUE"""),"My Parents")</f>
        <v>My Parents</v>
      </c>
      <c r="F565" s="1" t="str">
        <f ca="1">IFERROR(__xludf.DUMMYFUNCTION("""COMPUTED_VALUE"""),"No, But if someone could bare the cost I will")</f>
        <v>No, But if someone could bare the cost I will</v>
      </c>
      <c r="G565" s="1" t="str">
        <f ca="1">IFERROR(__xludf.DUMMYFUNCTION("""COMPUTED_VALUE"""),"Will work for 3 years or more")</f>
        <v>Will work for 3 years or more</v>
      </c>
      <c r="H565" s="1" t="str">
        <f ca="1">IFERROR(__xludf.DUMMYFUNCTION("""COMPUTED_VALUE"""),"No")</f>
        <v>No</v>
      </c>
      <c r="I565" s="1" t="str">
        <f ca="1">IFERROR(__xludf.DUMMYFUNCTION("""COMPUTED_VALUE"""),"Will NOT work for them")</f>
        <v>Will NOT work for them</v>
      </c>
      <c r="J565" s="1">
        <f ca="1">IFERROR(__xludf.DUMMYFUNCTION("""COMPUTED_VALUE"""),7)</f>
        <v>7</v>
      </c>
      <c r="K565" s="1" t="str">
        <f ca="1">IFERROR(__xludf.DUMMYFUNCTION("""COMPUTED_VALUE"""),"Fully Remote with Options to travel as and when needed")</f>
        <v>Fully Remote with Options to travel as and when needed</v>
      </c>
      <c r="L565" s="1" t="str">
        <f ca="1">IFERROR(__xludf.DUMMYFUNCTION("""COMPUTED_VALUE"""),"Employer who pushes your limits by enabling an learning environment, and rewards you at the end")</f>
        <v>Employer who pushes your limits by enabling an learning environment, and rewards you at the end</v>
      </c>
      <c r="M565"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N565" s="4" t="s">
        <v>58</v>
      </c>
      <c r="O565" s="1" t="str">
        <f ca="1">IFERROR(__xludf.DUMMYFUNCTION("""COMPUTED_VALUE"""),"Manager who explains what is expected, sets a goal and helps achieve it")</f>
        <v>Manager who explains what is expected, sets a goal and helps achieve it</v>
      </c>
      <c r="P565" s="1" t="str">
        <f ca="1">IFERROR(__xludf.DUMMYFUNCTION("""COMPUTED_VALUE"""),"Work &lt;=6 People in the Team")</f>
        <v>Work &lt;=6 People in the Team</v>
      </c>
      <c r="Q565" s="1" t="s">
        <v>43</v>
      </c>
      <c r="R565" s="1"/>
    </row>
    <row r="566" spans="1:18" x14ac:dyDescent="0.25">
      <c r="A566" s="2">
        <f ca="1">IFERROR(__xludf.DUMMYFUNCTION("""COMPUTED_VALUE"""),45021.7132454398)</f>
        <v>45021.713245439802</v>
      </c>
      <c r="B566" s="1" t="str">
        <f ca="1">IFERROR(__xludf.DUMMYFUNCTION("""COMPUTED_VALUE"""),"India")</f>
        <v>India</v>
      </c>
      <c r="C566" s="1">
        <f ca="1">IFERROR(__xludf.DUMMYFUNCTION("""COMPUTED_VALUE"""),606601)</f>
        <v>606601</v>
      </c>
      <c r="D566" s="1" t="str">
        <f ca="1">IFERROR(__xludf.DUMMYFUNCTION("""COMPUTED_VALUE"""),"Male")</f>
        <v>Male</v>
      </c>
      <c r="E566" s="1" t="str">
        <f ca="1">IFERROR(__xludf.DUMMYFUNCTION("""COMPUTED_VALUE"""),"My Parents")</f>
        <v>My Parents</v>
      </c>
      <c r="F566" s="1" t="str">
        <f ca="1">IFERROR(__xludf.DUMMYFUNCTION("""COMPUTED_VALUE"""),"Yes, I will earn and do that")</f>
        <v>Yes, I will earn and do that</v>
      </c>
      <c r="G566" s="1" t="str">
        <f ca="1">IFERROR(__xludf.DUMMYFUNCTION("""COMPUTED_VALUE"""),"Will work for 3 years or more")</f>
        <v>Will work for 3 years or more</v>
      </c>
      <c r="H566" s="1" t="str">
        <f ca="1">IFERROR(__xludf.DUMMYFUNCTION("""COMPUTED_VALUE"""),"Yes")</f>
        <v>Yes</v>
      </c>
      <c r="I566" s="1" t="str">
        <f ca="1">IFERROR(__xludf.DUMMYFUNCTION("""COMPUTED_VALUE"""),"Will work for them")</f>
        <v>Will work for them</v>
      </c>
      <c r="J566" s="1">
        <f ca="1">IFERROR(__xludf.DUMMYFUNCTION("""COMPUTED_VALUE"""),10)</f>
        <v>10</v>
      </c>
      <c r="K566" s="1" t="str">
        <f ca="1">IFERROR(__xludf.DUMMYFUNCTION("""COMPUTED_VALUE"""),"Fully Remote with Options to travel as and when needed")</f>
        <v>Fully Remote with Options to travel as and when needed</v>
      </c>
      <c r="L566" s="1" t="str">
        <f ca="1">IFERROR(__xludf.DUMMYFUNCTION("""COMPUTED_VALUE"""),"Employer who pushes your limits by enabling an learning environment, and rewards you at the end")</f>
        <v>Employer who pushes your limits by enabling an learning environment, and rewards you at the end</v>
      </c>
      <c r="M566"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N566" s="4" t="s">
        <v>49</v>
      </c>
      <c r="O566" s="1" t="str">
        <f ca="1">IFERROR(__xludf.DUMMYFUNCTION("""COMPUTED_VALUE"""),"Manager who explains what is expected, sets a goal and helps achieve it")</f>
        <v>Manager who explains what is expected, sets a goal and helps achieve it</v>
      </c>
      <c r="P566" s="1" t="str">
        <f ca="1">IFERROR(__xludf.DUMMYFUNCTION("""COMPUTED_VALUE"""),"Work &gt;10 people in Team")</f>
        <v>Work &gt;10 people in Team</v>
      </c>
      <c r="Q566" s="1" t="s">
        <v>43</v>
      </c>
      <c r="R566" s="1"/>
    </row>
    <row r="567" spans="1:18" x14ac:dyDescent="0.25">
      <c r="A567" s="2">
        <f ca="1">IFERROR(__xludf.DUMMYFUNCTION("""COMPUTED_VALUE"""),45021.7138070023)</f>
        <v>45021.713807002299</v>
      </c>
      <c r="B567" s="1" t="str">
        <f ca="1">IFERROR(__xludf.DUMMYFUNCTION("""COMPUTED_VALUE"""),"India")</f>
        <v>India</v>
      </c>
      <c r="C567" s="1">
        <f ca="1">IFERROR(__xludf.DUMMYFUNCTION("""COMPUTED_VALUE"""),522006)</f>
        <v>522006</v>
      </c>
      <c r="D567" s="1" t="str">
        <f ca="1">IFERROR(__xludf.DUMMYFUNCTION("""COMPUTED_VALUE"""),"Male")</f>
        <v>Male</v>
      </c>
      <c r="E567" s="1" t="str">
        <f ca="1">IFERROR(__xludf.DUMMYFUNCTION("""COMPUTED_VALUE"""),"My Parents")</f>
        <v>My Parents</v>
      </c>
      <c r="F567" s="1" t="str">
        <f ca="1">IFERROR(__xludf.DUMMYFUNCTION("""COMPUTED_VALUE"""),"No I would not be pursuing Higher Education outside of India")</f>
        <v>No I would not be pursuing Higher Education outside of India</v>
      </c>
      <c r="G567" s="1" t="str">
        <f ca="1">IFERROR(__xludf.DUMMYFUNCTION("""COMPUTED_VALUE"""),"This will be hard to do, but if it is the right company I would try")</f>
        <v>This will be hard to do, but if it is the right company I would try</v>
      </c>
      <c r="H567" s="1" t="str">
        <f ca="1">IFERROR(__xludf.DUMMYFUNCTION("""COMPUTED_VALUE"""),"No")</f>
        <v>No</v>
      </c>
      <c r="I567" s="1" t="str">
        <f ca="1">IFERROR(__xludf.DUMMYFUNCTION("""COMPUTED_VALUE"""),"Will NOT work for them")</f>
        <v>Will NOT work for them</v>
      </c>
      <c r="J567" s="1">
        <f ca="1">IFERROR(__xludf.DUMMYFUNCTION("""COMPUTED_VALUE"""),1)</f>
        <v>1</v>
      </c>
      <c r="K567" s="1" t="str">
        <f ca="1">IFERROR(__xludf.DUMMYFUNCTION("""COMPUTED_VALUE"""),"Every Day Office Environment")</f>
        <v>Every Day Office Environment</v>
      </c>
      <c r="L567" s="1" t="str">
        <f ca="1">IFERROR(__xludf.DUMMYFUNCTION("""COMPUTED_VALUE"""),"Employer who appreciates learning and enables that environment")</f>
        <v>Employer who appreciates learning and enables that environment</v>
      </c>
      <c r="M56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567" s="4" t="s">
        <v>48</v>
      </c>
      <c r="O567" s="1" t="str">
        <f ca="1">IFERROR(__xludf.DUMMYFUNCTION("""COMPUTED_VALUE"""),"Manager who sets goal and helps me achieve it")</f>
        <v>Manager who sets goal and helps me achieve it</v>
      </c>
      <c r="P567" s="1" t="str">
        <f ca="1">IFERROR(__xludf.DUMMYFUNCTION("""COMPUTED_VALUE"""),"Work Alone, &lt;=6 in team")</f>
        <v>Work Alone, &lt;=6 in team</v>
      </c>
      <c r="Q567" s="1" t="s">
        <v>43</v>
      </c>
      <c r="R567" s="1"/>
    </row>
    <row r="568" spans="1:18" x14ac:dyDescent="0.25">
      <c r="A568" s="2">
        <f ca="1">IFERROR(__xludf.DUMMYFUNCTION("""COMPUTED_VALUE"""),45021.7144720023)</f>
        <v>45021.714472002299</v>
      </c>
      <c r="B568" s="1" t="str">
        <f ca="1">IFERROR(__xludf.DUMMYFUNCTION("""COMPUTED_VALUE"""),"India")</f>
        <v>India</v>
      </c>
      <c r="C568" s="1">
        <f ca="1">IFERROR(__xludf.DUMMYFUNCTION("""COMPUTED_VALUE"""),523301)</f>
        <v>523301</v>
      </c>
      <c r="D568" s="1" t="str">
        <f ca="1">IFERROR(__xludf.DUMMYFUNCTION("""COMPUTED_VALUE"""),"Female")</f>
        <v>Female</v>
      </c>
      <c r="E568" s="1" t="str">
        <f ca="1">IFERROR(__xludf.DUMMYFUNCTION("""COMPUTED_VALUE"""),"My Parents")</f>
        <v>My Parents</v>
      </c>
      <c r="F568" s="1" t="str">
        <f ca="1">IFERROR(__xludf.DUMMYFUNCTION("""COMPUTED_VALUE"""),"Yes, I will earn and do that")</f>
        <v>Yes, I will earn and do that</v>
      </c>
      <c r="G568" s="1" t="str">
        <f ca="1">IFERROR(__xludf.DUMMYFUNCTION("""COMPUTED_VALUE"""),"Will work for 3 years or more")</f>
        <v>Will work for 3 years or more</v>
      </c>
      <c r="H568" s="1" t="str">
        <f ca="1">IFERROR(__xludf.DUMMYFUNCTION("""COMPUTED_VALUE"""),"Yes")</f>
        <v>Yes</v>
      </c>
      <c r="I568" s="1" t="str">
        <f ca="1">IFERROR(__xludf.DUMMYFUNCTION("""COMPUTED_VALUE"""),"Will work for them")</f>
        <v>Will work for them</v>
      </c>
      <c r="J568" s="1">
        <f ca="1">IFERROR(__xludf.DUMMYFUNCTION("""COMPUTED_VALUE"""),6)</f>
        <v>6</v>
      </c>
      <c r="K568" s="1" t="str">
        <f ca="1">IFERROR(__xludf.DUMMYFUNCTION("""COMPUTED_VALUE"""),"Hybrid Working Environment with less than 3 days a month at office")</f>
        <v>Hybrid Working Environment with less than 3 days a month at office</v>
      </c>
      <c r="L568" s="1" t="str">
        <f ca="1">IFERROR(__xludf.DUMMYFUNCTION("""COMPUTED_VALUE"""),"Employer who pushes your limits by enabling an learning environment, and rewards you at the end")</f>
        <v>Employer who pushes your limits by enabling an learning environment, and rewards you at the end</v>
      </c>
      <c r="M56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568" s="4" t="s">
        <v>49</v>
      </c>
      <c r="O568" s="1" t="str">
        <f ca="1">IFERROR(__xludf.DUMMYFUNCTION("""COMPUTED_VALUE"""),"Manager who clearly describes what she/he needs")</f>
        <v>Manager who clearly describes what she/he needs</v>
      </c>
      <c r="P568" s="1" t="str">
        <f ca="1">IFERROR(__xludf.DUMMYFUNCTION("""COMPUTED_VALUE"""),"Work Alone, &lt;=6 in team")</f>
        <v>Work Alone, &lt;=6 in team</v>
      </c>
      <c r="Q568" s="1" t="s">
        <v>43</v>
      </c>
      <c r="R568" s="1"/>
    </row>
    <row r="569" spans="1:18" x14ac:dyDescent="0.25">
      <c r="A569" s="2">
        <f ca="1">IFERROR(__xludf.DUMMYFUNCTION("""COMPUTED_VALUE"""),45021.7145800347)</f>
        <v>45021.714580034699</v>
      </c>
      <c r="B569" s="1" t="str">
        <f ca="1">IFERROR(__xludf.DUMMYFUNCTION("""COMPUTED_VALUE"""),"India")</f>
        <v>India</v>
      </c>
      <c r="C569" s="1">
        <f ca="1">IFERROR(__xludf.DUMMYFUNCTION("""COMPUTED_VALUE"""),500089)</f>
        <v>500089</v>
      </c>
      <c r="D569" s="1" t="str">
        <f ca="1">IFERROR(__xludf.DUMMYFUNCTION("""COMPUTED_VALUE"""),"Female")</f>
        <v>Female</v>
      </c>
      <c r="E569" s="1" t="str">
        <f ca="1">IFERROR(__xludf.DUMMYFUNCTION("""COMPUTED_VALUE"""),"My Parents")</f>
        <v>My Parents</v>
      </c>
      <c r="F569" s="1" t="str">
        <f ca="1">IFERROR(__xludf.DUMMYFUNCTION("""COMPUTED_VALUE"""),"Yes, I will earn and do that")</f>
        <v>Yes, I will earn and do that</v>
      </c>
      <c r="G569" s="1" t="str">
        <f ca="1">IFERROR(__xludf.DUMMYFUNCTION("""COMPUTED_VALUE"""),"This will be hard to do, but if it is the right company I would try")</f>
        <v>This will be hard to do, but if it is the right company I would try</v>
      </c>
      <c r="H569" s="1" t="str">
        <f ca="1">IFERROR(__xludf.DUMMYFUNCTION("""COMPUTED_VALUE"""),"Yes")</f>
        <v>Yes</v>
      </c>
      <c r="I569" s="1" t="str">
        <f ca="1">IFERROR(__xludf.DUMMYFUNCTION("""COMPUTED_VALUE"""),"Will work for them")</f>
        <v>Will work for them</v>
      </c>
      <c r="J569" s="1">
        <f ca="1">IFERROR(__xludf.DUMMYFUNCTION("""COMPUTED_VALUE"""),10)</f>
        <v>10</v>
      </c>
      <c r="K569" s="1" t="str">
        <f ca="1">IFERROR(__xludf.DUMMYFUNCTION("""COMPUTED_VALUE"""),"Hybrid Working Environment with less than 3 days a month at office")</f>
        <v>Hybrid Working Environment with less than 3 days a month at office</v>
      </c>
      <c r="L569" s="1" t="str">
        <f ca="1">IFERROR(__xludf.DUMMYFUNCTION("""COMPUTED_VALUE"""),"Employer who appreciates learning and enables that environment")</f>
        <v>Employer who appreciates learning and enables that environment</v>
      </c>
      <c r="M56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569" s="9" t="s">
        <v>2</v>
      </c>
      <c r="O569" s="1" t="str">
        <f ca="1">IFERROR(__xludf.DUMMYFUNCTION("""COMPUTED_VALUE"""),"Manager who clearly describes what she/he needs")</f>
        <v>Manager who clearly describes what she/he needs</v>
      </c>
      <c r="P569" s="1" t="str">
        <f ca="1">IFERROR(__xludf.DUMMYFUNCTION("""COMPUTED_VALUE"""),"Work &lt;=6 People in the Team")</f>
        <v>Work &lt;=6 People in the Team</v>
      </c>
      <c r="Q569" s="1" t="s">
        <v>43</v>
      </c>
      <c r="R569" s="1"/>
    </row>
    <row r="570" spans="1:18" x14ac:dyDescent="0.25">
      <c r="A570" s="2">
        <f ca="1">IFERROR(__xludf.DUMMYFUNCTION("""COMPUTED_VALUE"""),45021.7151480439)</f>
        <v>45021.715148043899</v>
      </c>
      <c r="B570" s="1" t="str">
        <f ca="1">IFERROR(__xludf.DUMMYFUNCTION("""COMPUTED_VALUE"""),"India")</f>
        <v>India</v>
      </c>
      <c r="C570" s="1">
        <f ca="1">IFERROR(__xludf.DUMMYFUNCTION("""COMPUTED_VALUE"""),517583)</f>
        <v>517583</v>
      </c>
      <c r="D570" s="1" t="str">
        <f ca="1">IFERROR(__xludf.DUMMYFUNCTION("""COMPUTED_VALUE"""),"Male")</f>
        <v>Male</v>
      </c>
      <c r="E570" s="1" t="str">
        <f ca="1">IFERROR(__xludf.DUMMYFUNCTION("""COMPUTED_VALUE"""),"People who have changed the world for better")</f>
        <v>People who have changed the world for better</v>
      </c>
      <c r="F570" s="1" t="str">
        <f ca="1">IFERROR(__xludf.DUMMYFUNCTION("""COMPUTED_VALUE"""),"No, But if someone could bare the cost I will")</f>
        <v>No, But if someone could bare the cost I will</v>
      </c>
      <c r="G570" s="1" t="str">
        <f ca="1">IFERROR(__xludf.DUMMYFUNCTION("""COMPUTED_VALUE"""),"Will work for 3 years or more")</f>
        <v>Will work for 3 years or more</v>
      </c>
      <c r="H570" s="1" t="str">
        <f ca="1">IFERROR(__xludf.DUMMYFUNCTION("""COMPUTED_VALUE"""),"No")</f>
        <v>No</v>
      </c>
      <c r="I570" s="1" t="str">
        <f ca="1">IFERROR(__xludf.DUMMYFUNCTION("""COMPUTED_VALUE"""),"Will NOT work for them")</f>
        <v>Will NOT work for them</v>
      </c>
      <c r="J570" s="1">
        <f ca="1">IFERROR(__xludf.DUMMYFUNCTION("""COMPUTED_VALUE"""),2)</f>
        <v>2</v>
      </c>
      <c r="K570" s="1" t="str">
        <f ca="1">IFERROR(__xludf.DUMMYFUNCTION("""COMPUTED_VALUE"""),"Every Day Office Environment")</f>
        <v>Every Day Office Environment</v>
      </c>
      <c r="L570" s="1" t="str">
        <f ca="1">IFERROR(__xludf.DUMMYFUNCTION("""COMPUTED_VALUE"""),"Employer who pushes your limits by enabling an learning environment, and rewards you at the end")</f>
        <v>Employer who pushes your limits by enabling an learning environment, and rewards you at the end</v>
      </c>
      <c r="M570"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N570" s="1"/>
      <c r="O570" s="1" t="str">
        <f ca="1">IFERROR(__xludf.DUMMYFUNCTION("""COMPUTED_VALUE"""),"Manager who clearly describes what she/he needs")</f>
        <v>Manager who clearly describes what she/he needs</v>
      </c>
      <c r="P570" s="1" t="str">
        <f ca="1">IFERROR(__xludf.DUMMYFUNCTION("""COMPUTED_VALUE"""),"Work &lt;=6 People in the Team")</f>
        <v>Work &lt;=6 People in the Team</v>
      </c>
      <c r="Q570" s="1" t="s">
        <v>43</v>
      </c>
      <c r="R570" s="1"/>
    </row>
    <row r="571" spans="1:18" x14ac:dyDescent="0.25">
      <c r="A571" s="2">
        <f ca="1">IFERROR(__xludf.DUMMYFUNCTION("""COMPUTED_VALUE"""),45021.7153943634)</f>
        <v>45021.715394363397</v>
      </c>
      <c r="B571" s="1" t="str">
        <f ca="1">IFERROR(__xludf.DUMMYFUNCTION("""COMPUTED_VALUE"""),"India")</f>
        <v>India</v>
      </c>
      <c r="C571" s="1">
        <f ca="1">IFERROR(__xludf.DUMMYFUNCTION("""COMPUTED_VALUE"""),530024)</f>
        <v>530024</v>
      </c>
      <c r="D571" s="1" t="str">
        <f ca="1">IFERROR(__xludf.DUMMYFUNCTION("""COMPUTED_VALUE"""),"Male")</f>
        <v>Male</v>
      </c>
      <c r="E571" s="1" t="str">
        <f ca="1">IFERROR(__xludf.DUMMYFUNCTION("""COMPUTED_VALUE"""),"Influencers who had successful careers")</f>
        <v>Influencers who had successful careers</v>
      </c>
      <c r="F571" s="1" t="str">
        <f ca="1">IFERROR(__xludf.DUMMYFUNCTION("""COMPUTED_VALUE"""),"No I would not be pursuing Higher Education outside of India")</f>
        <v>No I would not be pursuing Higher Education outside of India</v>
      </c>
      <c r="G571" s="1" t="str">
        <f ca="1">IFERROR(__xludf.DUMMYFUNCTION("""COMPUTED_VALUE"""),"This will be hard to do, but if it is the right company I would try")</f>
        <v>This will be hard to do, but if it is the right company I would try</v>
      </c>
      <c r="H571" s="1" t="str">
        <f ca="1">IFERROR(__xludf.DUMMYFUNCTION("""COMPUTED_VALUE"""),"Yes")</f>
        <v>Yes</v>
      </c>
      <c r="I571" s="1" t="str">
        <f ca="1">IFERROR(__xludf.DUMMYFUNCTION("""COMPUTED_VALUE"""),"Will work for them")</f>
        <v>Will work for them</v>
      </c>
      <c r="J571" s="1">
        <f ca="1">IFERROR(__xludf.DUMMYFUNCTION("""COMPUTED_VALUE"""),8)</f>
        <v>8</v>
      </c>
      <c r="K571" s="1" t="str">
        <f ca="1">IFERROR(__xludf.DUMMYFUNCTION("""COMPUTED_VALUE"""),"Fully Remote with Options to travel as and when needed")</f>
        <v>Fully Remote with Options to travel as and when needed</v>
      </c>
      <c r="L571" s="1" t="str">
        <f ca="1">IFERROR(__xludf.DUMMYFUNCTION("""COMPUTED_VALUE"""),"Employer who appreciates learning and enables that environment")</f>
        <v>Employer who appreciates learning and enables that environment</v>
      </c>
      <c r="M571"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N571" s="1"/>
      <c r="O571" s="1" t="str">
        <f ca="1">IFERROR(__xludf.DUMMYFUNCTION("""COMPUTED_VALUE"""),"Manager who sets goal and helps me achieve it")</f>
        <v>Manager who sets goal and helps me achieve it</v>
      </c>
      <c r="P571" s="1" t="str">
        <f ca="1">IFERROR(__xludf.DUMMYFUNCTION("""COMPUTED_VALUE"""),"Work &lt;67 People in the Team")</f>
        <v>Work &lt;67 People in the Team</v>
      </c>
      <c r="Q571" s="1" t="s">
        <v>40</v>
      </c>
      <c r="R571" s="1"/>
    </row>
    <row r="572" spans="1:18" x14ac:dyDescent="0.25">
      <c r="A572" s="2">
        <f ca="1">IFERROR(__xludf.DUMMYFUNCTION("""COMPUTED_VALUE"""),45021.71648875)</f>
        <v>45021.716488749997</v>
      </c>
      <c r="B572" s="1" t="str">
        <f ca="1">IFERROR(__xludf.DUMMYFUNCTION("""COMPUTED_VALUE"""),"India")</f>
        <v>India</v>
      </c>
      <c r="C572" s="1">
        <f ca="1">IFERROR(__xludf.DUMMYFUNCTION("""COMPUTED_VALUE"""),641015)</f>
        <v>641015</v>
      </c>
      <c r="D572" s="1" t="str">
        <f ca="1">IFERROR(__xludf.DUMMYFUNCTION("""COMPUTED_VALUE"""),"Male")</f>
        <v>Male</v>
      </c>
      <c r="E572" s="1" t="str">
        <f ca="1">IFERROR(__xludf.DUMMYFUNCTION("""COMPUTED_VALUE"""),"Social Media like LinkedIn")</f>
        <v>Social Media like LinkedIn</v>
      </c>
      <c r="F572" s="1" t="str">
        <f ca="1">IFERROR(__xludf.DUMMYFUNCTION("""COMPUTED_VALUE"""),"Yes, I will earn and do that")</f>
        <v>Yes, I will earn and do that</v>
      </c>
      <c r="G572" s="1" t="str">
        <f ca="1">IFERROR(__xludf.DUMMYFUNCTION("""COMPUTED_VALUE"""),"This will be hard to do, but if it is the right company I would try")</f>
        <v>This will be hard to do, but if it is the right company I would try</v>
      </c>
      <c r="H572" s="1" t="str">
        <f ca="1">IFERROR(__xludf.DUMMYFUNCTION("""COMPUTED_VALUE"""),"No")</f>
        <v>No</v>
      </c>
      <c r="I572" s="1" t="str">
        <f ca="1">IFERROR(__xludf.DUMMYFUNCTION("""COMPUTED_VALUE"""),"Will NOT work for them")</f>
        <v>Will NOT work for them</v>
      </c>
      <c r="J572" s="1">
        <f ca="1">IFERROR(__xludf.DUMMYFUNCTION("""COMPUTED_VALUE"""),1)</f>
        <v>1</v>
      </c>
      <c r="K572" s="1" t="str">
        <f ca="1">IFERROR(__xludf.DUMMYFUNCTION("""COMPUTED_VALUE"""),"Hybrid Working Environment with less than 3 days a month at office")</f>
        <v>Hybrid Working Environment with less than 3 days a month at office</v>
      </c>
      <c r="L572" s="1" t="str">
        <f ca="1">IFERROR(__xludf.DUMMYFUNCTION("""COMPUTED_VALUE"""),"Employer who pushes your limits by enabling an learning environment, and rewards you at the end")</f>
        <v>Employer who pushes your limits by enabling an learning environment, and rewards you at the end</v>
      </c>
      <c r="M572"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572" s="1"/>
      <c r="O572" s="1" t="str">
        <f ca="1">IFERROR(__xludf.DUMMYFUNCTION("""COMPUTED_VALUE"""),"Manager who explains what is expected, sets a goal and helps achieve it")</f>
        <v>Manager who explains what is expected, sets a goal and helps achieve it</v>
      </c>
      <c r="P572" s="1" t="str">
        <f ca="1">IFERROR(__xludf.DUMMYFUNCTION("""COMPUTED_VALUE"""),"Work Alone, &lt;=6 in team")</f>
        <v>Work Alone, &lt;=6 in team</v>
      </c>
      <c r="Q572" s="1" t="s">
        <v>40</v>
      </c>
      <c r="R572" s="1"/>
    </row>
    <row r="573" spans="1:18" x14ac:dyDescent="0.25">
      <c r="A573" s="2">
        <f ca="1">IFERROR(__xludf.DUMMYFUNCTION("""COMPUTED_VALUE"""),45021.7165048263)</f>
        <v>45021.716504826298</v>
      </c>
      <c r="B573" s="1" t="str">
        <f ca="1">IFERROR(__xludf.DUMMYFUNCTION("""COMPUTED_VALUE"""),"India")</f>
        <v>India</v>
      </c>
      <c r="C573" s="1">
        <f ca="1">IFERROR(__xludf.DUMMYFUNCTION("""COMPUTED_VALUE"""),603203)</f>
        <v>603203</v>
      </c>
      <c r="D573" s="1" t="str">
        <f ca="1">IFERROR(__xludf.DUMMYFUNCTION("""COMPUTED_VALUE"""),"Male")</f>
        <v>Male</v>
      </c>
      <c r="E573" s="1" t="str">
        <f ca="1">IFERROR(__xludf.DUMMYFUNCTION("""COMPUTED_VALUE"""),"Influencers who had successful careers")</f>
        <v>Influencers who had successful careers</v>
      </c>
      <c r="F573" s="1" t="str">
        <f ca="1">IFERROR(__xludf.DUMMYFUNCTION("""COMPUTED_VALUE"""),"Yes, I will earn and do that")</f>
        <v>Yes, I will earn and do that</v>
      </c>
      <c r="G573" s="1" t="str">
        <f ca="1">IFERROR(__xludf.DUMMYFUNCTION("""COMPUTED_VALUE"""),"Will work for 3 years or more")</f>
        <v>Will work for 3 years or more</v>
      </c>
      <c r="H573" s="1" t="str">
        <f ca="1">IFERROR(__xludf.DUMMYFUNCTION("""COMPUTED_VALUE"""),"Yes")</f>
        <v>Yes</v>
      </c>
      <c r="I573" s="1" t="str">
        <f ca="1">IFERROR(__xludf.DUMMYFUNCTION("""COMPUTED_VALUE"""),"Will NOT work for them")</f>
        <v>Will NOT work for them</v>
      </c>
      <c r="J573" s="1">
        <f ca="1">IFERROR(__xludf.DUMMYFUNCTION("""COMPUTED_VALUE"""),4)</f>
        <v>4</v>
      </c>
      <c r="K573" s="1" t="str">
        <f ca="1">IFERROR(__xludf.DUMMYFUNCTION("""COMPUTED_VALUE"""),"Hybrid Working Environment with less than 3 days a month at office")</f>
        <v>Hybrid Working Environment with less than 3 days a month at office</v>
      </c>
      <c r="L573" s="1" t="str">
        <f ca="1">IFERROR(__xludf.DUMMYFUNCTION("""COMPUTED_VALUE"""),"Employer who appreciates learning and enables that environment")</f>
        <v>Employer who appreciates learning and enables that environment</v>
      </c>
      <c r="M573"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N573" s="1"/>
      <c r="O573" s="1" t="str">
        <f ca="1">IFERROR(__xludf.DUMMYFUNCTION("""COMPUTED_VALUE"""),"Manager who sets goal and helps me achieve it")</f>
        <v>Manager who sets goal and helps me achieve it</v>
      </c>
      <c r="P573" s="1" t="str">
        <f ca="1">IFERROR(__xludf.DUMMYFUNCTION("""COMPUTED_VALUE"""),"Work &gt;10 people in Team")</f>
        <v>Work &gt;10 people in Team</v>
      </c>
      <c r="Q573" s="1" t="s">
        <v>43</v>
      </c>
      <c r="R573" s="1"/>
    </row>
    <row r="574" spans="1:18" x14ac:dyDescent="0.25">
      <c r="A574" s="2">
        <f ca="1">IFERROR(__xludf.DUMMYFUNCTION("""COMPUTED_VALUE"""),45021.7175000694)</f>
        <v>45021.717500069397</v>
      </c>
      <c r="B574" s="1" t="str">
        <f ca="1">IFERROR(__xludf.DUMMYFUNCTION("""COMPUTED_VALUE"""),"India")</f>
        <v>India</v>
      </c>
      <c r="C574" s="1">
        <f ca="1">IFERROR(__xludf.DUMMYFUNCTION("""COMPUTED_VALUE"""),630562)</f>
        <v>630562</v>
      </c>
      <c r="D574" s="1" t="str">
        <f ca="1">IFERROR(__xludf.DUMMYFUNCTION("""COMPUTED_VALUE"""),"Male")</f>
        <v>Male</v>
      </c>
      <c r="E574" s="1" t="str">
        <f ca="1">IFERROR(__xludf.DUMMYFUNCTION("""COMPUTED_VALUE"""),"Influencers who had successful careers")</f>
        <v>Influencers who had successful careers</v>
      </c>
      <c r="F574" s="1" t="str">
        <f ca="1">IFERROR(__xludf.DUMMYFUNCTION("""COMPUTED_VALUE"""),"Yes, I will earn and do that")</f>
        <v>Yes, I will earn and do that</v>
      </c>
      <c r="G574" s="1" t="str">
        <f ca="1">IFERROR(__xludf.DUMMYFUNCTION("""COMPUTED_VALUE"""),"This will be hard to do, but if it is the right company I would try")</f>
        <v>This will be hard to do, but if it is the right company I would try</v>
      </c>
      <c r="H574" s="1" t="str">
        <f ca="1">IFERROR(__xludf.DUMMYFUNCTION("""COMPUTED_VALUE"""),"No")</f>
        <v>No</v>
      </c>
      <c r="I574" s="1" t="str">
        <f ca="1">IFERROR(__xludf.DUMMYFUNCTION("""COMPUTED_VALUE"""),"Will NOT work for them")</f>
        <v>Will NOT work for them</v>
      </c>
      <c r="J574" s="1">
        <f ca="1">IFERROR(__xludf.DUMMYFUNCTION("""COMPUTED_VALUE"""),5)</f>
        <v>5</v>
      </c>
      <c r="K574" s="1" t="str">
        <f ca="1">IFERROR(__xludf.DUMMYFUNCTION("""COMPUTED_VALUE"""),"Every Day Office Environment")</f>
        <v>Every Day Office Environment</v>
      </c>
      <c r="L574" s="1" t="str">
        <f ca="1">IFERROR(__xludf.DUMMYFUNCTION("""COMPUTED_VALUE"""),"Employer who pushes your limits by enabling an learning environment, and rewards you at the end")</f>
        <v>Employer who pushes your limits by enabling an learning environment, and rewards you at the end</v>
      </c>
      <c r="M57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574" s="1"/>
      <c r="O574" s="1" t="str">
        <f ca="1">IFERROR(__xludf.DUMMYFUNCTION("""COMPUTED_VALUE"""),"Manager who clearly describes what she/he needs")</f>
        <v>Manager who clearly describes what she/he needs</v>
      </c>
      <c r="P574" s="1" t="str">
        <f ca="1">IFERROR(__xludf.DUMMYFUNCTION("""COMPUTED_VALUE"""),"Work Alone, &lt;67 people in team")</f>
        <v>Work Alone, &lt;67 people in team</v>
      </c>
      <c r="Q574" s="1" t="s">
        <v>43</v>
      </c>
      <c r="R574" s="1"/>
    </row>
    <row r="575" spans="1:18" x14ac:dyDescent="0.25">
      <c r="A575" s="2">
        <f ca="1">IFERROR(__xludf.DUMMYFUNCTION("""COMPUTED_VALUE"""),45021.7184726388)</f>
        <v>45021.7184726388</v>
      </c>
      <c r="B575" s="1" t="str">
        <f ca="1">IFERROR(__xludf.DUMMYFUNCTION("""COMPUTED_VALUE"""),"India")</f>
        <v>India</v>
      </c>
      <c r="C575" s="1">
        <f ca="1">IFERROR(__xludf.DUMMYFUNCTION("""COMPUTED_VALUE"""),577204)</f>
        <v>577204</v>
      </c>
      <c r="D575" s="1" t="str">
        <f ca="1">IFERROR(__xludf.DUMMYFUNCTION("""COMPUTED_VALUE"""),"Female")</f>
        <v>Female</v>
      </c>
      <c r="E575" s="1" t="str">
        <f ca="1">IFERROR(__xludf.DUMMYFUNCTION("""COMPUTED_VALUE"""),"People from my circle, but not family members")</f>
        <v>People from my circle, but not family members</v>
      </c>
      <c r="F575" s="1" t="str">
        <f ca="1">IFERROR(__xludf.DUMMYFUNCTION("""COMPUTED_VALUE"""),"Yes, I will earn and do that")</f>
        <v>Yes, I will earn and do that</v>
      </c>
      <c r="G575" s="1" t="str">
        <f ca="1">IFERROR(__xludf.DUMMYFUNCTION("""COMPUTED_VALUE"""),"This will be hard to do, but if it is the right company I would try")</f>
        <v>This will be hard to do, but if it is the right company I would try</v>
      </c>
      <c r="H575" s="1" t="str">
        <f ca="1">IFERROR(__xludf.DUMMYFUNCTION("""COMPUTED_VALUE"""),"No")</f>
        <v>No</v>
      </c>
      <c r="I575" s="1" t="str">
        <f ca="1">IFERROR(__xludf.DUMMYFUNCTION("""COMPUTED_VALUE"""),"Will NOT work for them")</f>
        <v>Will NOT work for them</v>
      </c>
      <c r="J575" s="1">
        <f ca="1">IFERROR(__xludf.DUMMYFUNCTION("""COMPUTED_VALUE"""),4)</f>
        <v>4</v>
      </c>
      <c r="K575" s="1" t="str">
        <f ca="1">IFERROR(__xludf.DUMMYFUNCTION("""COMPUTED_VALUE"""),"Fully Remote with Options to travel as and when needed")</f>
        <v>Fully Remote with Options to travel as and when needed</v>
      </c>
      <c r="L575" s="1" t="str">
        <f ca="1">IFERROR(__xludf.DUMMYFUNCTION("""COMPUTED_VALUE"""),"Employer who appreciates learning and enables that environment")</f>
        <v>Employer who appreciates learning and enables that environment</v>
      </c>
      <c r="M57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N575" s="1"/>
      <c r="O575" s="1" t="str">
        <f ca="1">IFERROR(__xludf.DUMMYFUNCTION("""COMPUTED_VALUE"""),"Manager who explains what is expected, sets a goal and helps achieve it")</f>
        <v>Manager who explains what is expected, sets a goal and helps achieve it</v>
      </c>
      <c r="P575" s="1" t="str">
        <f ca="1">IFERROR(__xludf.DUMMYFUNCTION("""COMPUTED_VALUE"""),"Work Alone, &lt;=6 in team")</f>
        <v>Work Alone, &lt;=6 in team</v>
      </c>
      <c r="Q575" s="1" t="s">
        <v>42</v>
      </c>
      <c r="R575" s="1"/>
    </row>
    <row r="576" spans="1:18" x14ac:dyDescent="0.25">
      <c r="A576" s="2">
        <f ca="1">IFERROR(__xludf.DUMMYFUNCTION("""COMPUTED_VALUE"""),45021.7204536226)</f>
        <v>45021.720453622598</v>
      </c>
      <c r="B576" s="1" t="str">
        <f ca="1">IFERROR(__xludf.DUMMYFUNCTION("""COMPUTED_VALUE"""),"India")</f>
        <v>India</v>
      </c>
      <c r="C576" s="1">
        <f ca="1">IFERROR(__xludf.DUMMYFUNCTION("""COMPUTED_VALUE"""),442902)</f>
        <v>442902</v>
      </c>
      <c r="D576" s="1" t="str">
        <f ca="1">IFERROR(__xludf.DUMMYFUNCTION("""COMPUTED_VALUE"""),"Male")</f>
        <v>Male</v>
      </c>
      <c r="E576" s="1" t="str">
        <f ca="1">IFERROR(__xludf.DUMMYFUNCTION("""COMPUTED_VALUE"""),"Influencers who had successful careers")</f>
        <v>Influencers who had successful careers</v>
      </c>
      <c r="F576" s="1" t="str">
        <f ca="1">IFERROR(__xludf.DUMMYFUNCTION("""COMPUTED_VALUE"""),"No I would not be pursuing Higher Education outside of India")</f>
        <v>No I would not be pursuing Higher Education outside of India</v>
      </c>
      <c r="G576" s="1" t="str">
        <f ca="1">IFERROR(__xludf.DUMMYFUNCTION("""COMPUTED_VALUE"""),"This will be hard to do, but if it is the right company I would try")</f>
        <v>This will be hard to do, but if it is the right company I would try</v>
      </c>
      <c r="H576" s="1" t="str">
        <f ca="1">IFERROR(__xludf.DUMMYFUNCTION("""COMPUTED_VALUE"""),"Yes")</f>
        <v>Yes</v>
      </c>
      <c r="I576" s="1" t="str">
        <f ca="1">IFERROR(__xludf.DUMMYFUNCTION("""COMPUTED_VALUE"""),"Will work for them")</f>
        <v>Will work for them</v>
      </c>
      <c r="J576" s="1">
        <f ca="1">IFERROR(__xludf.DUMMYFUNCTION("""COMPUTED_VALUE"""),8)</f>
        <v>8</v>
      </c>
      <c r="K576" s="1" t="str">
        <f ca="1">IFERROR(__xludf.DUMMYFUNCTION("""COMPUTED_VALUE"""),"Fully Remote with Options to travel as and when needed")</f>
        <v>Fully Remote with Options to travel as and when needed</v>
      </c>
      <c r="L576" s="1" t="str">
        <f ca="1">IFERROR(__xludf.DUMMYFUNCTION("""COMPUTED_VALUE"""),"Employer who pushes your limits by enabling an learning environment, and rewards you at the end")</f>
        <v>Employer who pushes your limits by enabling an learning environment, and rewards you at the end</v>
      </c>
      <c r="M576" s="1" t="str">
        <f ca="1">IFERROR(__xludf.DUMMYFUNCTION("""COMPUTED_VALUE"""),"Teaching in any of the institutes/colleges/online or offline, Business Operations in any organization, Become a content Creator in some platform, I Want to sell things/Sales")</f>
        <v>Teaching in any of the institutes/colleges/online or offline, Business Operations in any organization, Become a content Creator in some platform, I Want to sell things/Sales</v>
      </c>
      <c r="N576" s="1"/>
      <c r="O576" s="1" t="str">
        <f ca="1">IFERROR(__xludf.DUMMYFUNCTION("""COMPUTED_VALUE"""),"Manager who explains what is expected, sets a goal and helps achieve it")</f>
        <v>Manager who explains what is expected, sets a goal and helps achieve it</v>
      </c>
      <c r="P576" s="1" t="str">
        <f ca="1">IFERROR(__xludf.DUMMYFUNCTION("""COMPUTED_VALUE"""),"Work &lt;=6 People in the Team")</f>
        <v>Work &lt;=6 People in the Team</v>
      </c>
      <c r="Q576" s="1" t="s">
        <v>40</v>
      </c>
      <c r="R576" s="1"/>
    </row>
    <row r="577" spans="1:18" x14ac:dyDescent="0.25">
      <c r="A577" s="2">
        <f ca="1">IFERROR(__xludf.DUMMYFUNCTION("""COMPUTED_VALUE"""),45021.7208820138)</f>
        <v>45021.720882013797</v>
      </c>
      <c r="B577" s="1" t="str">
        <f ca="1">IFERROR(__xludf.DUMMYFUNCTION("""COMPUTED_VALUE"""),"India")</f>
        <v>India</v>
      </c>
      <c r="C577" s="1">
        <f ca="1">IFERROR(__xludf.DUMMYFUNCTION("""COMPUTED_VALUE"""),641005)</f>
        <v>641005</v>
      </c>
      <c r="D577" s="1" t="str">
        <f ca="1">IFERROR(__xludf.DUMMYFUNCTION("""COMPUTED_VALUE"""),"Transgender")</f>
        <v>Transgender</v>
      </c>
      <c r="E577" s="1" t="str">
        <f ca="1">IFERROR(__xludf.DUMMYFUNCTION("""COMPUTED_VALUE"""),"People who have changed the world for better")</f>
        <v>People who have changed the world for better</v>
      </c>
      <c r="F577" s="1" t="str">
        <f ca="1">IFERROR(__xludf.DUMMYFUNCTION("""COMPUTED_VALUE"""),"Yes, I will earn and do that")</f>
        <v>Yes, I will earn and do that</v>
      </c>
      <c r="G577" s="1" t="str">
        <f ca="1">IFERROR(__xludf.DUMMYFUNCTION("""COMPUTED_VALUE"""),"This will be hard to do, but if it is the right company I would try")</f>
        <v>This will be hard to do, but if it is the right company I would try</v>
      </c>
      <c r="H577" s="1" t="str">
        <f ca="1">IFERROR(__xludf.DUMMYFUNCTION("""COMPUTED_VALUE"""),"No")</f>
        <v>No</v>
      </c>
      <c r="I577" s="1" t="str">
        <f ca="1">IFERROR(__xludf.DUMMYFUNCTION("""COMPUTED_VALUE"""),"Will NOT work for them")</f>
        <v>Will NOT work for them</v>
      </c>
      <c r="J577" s="1">
        <f ca="1">IFERROR(__xludf.DUMMYFUNCTION("""COMPUTED_VALUE"""),1)</f>
        <v>1</v>
      </c>
      <c r="K577" s="1" t="str">
        <f ca="1">IFERROR(__xludf.DUMMYFUNCTION("""COMPUTED_VALUE"""),"Every Day Office Environment")</f>
        <v>Every Day Office Environment</v>
      </c>
      <c r="L577" s="1" t="str">
        <f ca="1">IFERROR(__xludf.DUMMYFUNCTION("""COMPUTED_VALUE"""),"Employer who pushes your limits by enabling an learning environment, and rewards you at the end")</f>
        <v>Employer who pushes your limits by enabling an learning environment, and rewards you at the end</v>
      </c>
      <c r="M577"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N577" s="1"/>
      <c r="O577" s="1" t="str">
        <f ca="1">IFERROR(__xludf.DUMMYFUNCTION("""COMPUTED_VALUE"""),"Manager who clearly describes what she/he needs")</f>
        <v>Manager who clearly describes what she/he needs</v>
      </c>
      <c r="P577" s="1" t="str">
        <f ca="1">IFERROR(__xludf.DUMMYFUNCTION("""COMPUTED_VALUE"""),"Work &lt;=6 People in the Team")</f>
        <v>Work &lt;=6 People in the Team</v>
      </c>
      <c r="Q577" s="1" t="s">
        <v>40</v>
      </c>
      <c r="R577" s="1"/>
    </row>
    <row r="578" spans="1:18" x14ac:dyDescent="0.25">
      <c r="A578" s="2">
        <f ca="1">IFERROR(__xludf.DUMMYFUNCTION("""COMPUTED_VALUE"""),45021.7213224074)</f>
        <v>45021.7213224074</v>
      </c>
      <c r="B578" s="1" t="str">
        <f ca="1">IFERROR(__xludf.DUMMYFUNCTION("""COMPUTED_VALUE"""),"India")</f>
        <v>India</v>
      </c>
      <c r="C578" s="1">
        <f ca="1">IFERROR(__xludf.DUMMYFUNCTION("""COMPUTED_VALUE"""),641062)</f>
        <v>641062</v>
      </c>
      <c r="D578" s="1" t="str">
        <f ca="1">IFERROR(__xludf.DUMMYFUNCTION("""COMPUTED_VALUE"""),"Male")</f>
        <v>Male</v>
      </c>
      <c r="E578" s="1" t="str">
        <f ca="1">IFERROR(__xludf.DUMMYFUNCTION("""COMPUTED_VALUE"""),"Social Media like LinkedIn")</f>
        <v>Social Media like LinkedIn</v>
      </c>
      <c r="F578" s="1" t="str">
        <f ca="1">IFERROR(__xludf.DUMMYFUNCTION("""COMPUTED_VALUE"""),"No, But if someone could bare the cost I will")</f>
        <v>No, But if someone could bare the cost I will</v>
      </c>
      <c r="G578" s="1" t="str">
        <f ca="1">IFERROR(__xludf.DUMMYFUNCTION("""COMPUTED_VALUE"""),"This will be hard to do, but if it is the right company I would try")</f>
        <v>This will be hard to do, but if it is the right company I would try</v>
      </c>
      <c r="H578" s="1" t="str">
        <f ca="1">IFERROR(__xludf.DUMMYFUNCTION("""COMPUTED_VALUE"""),"No")</f>
        <v>No</v>
      </c>
      <c r="I578" s="1" t="str">
        <f ca="1">IFERROR(__xludf.DUMMYFUNCTION("""COMPUTED_VALUE"""),"Will NOT work for them")</f>
        <v>Will NOT work for them</v>
      </c>
      <c r="J578" s="1">
        <f ca="1">IFERROR(__xludf.DUMMYFUNCTION("""COMPUTED_VALUE"""),1)</f>
        <v>1</v>
      </c>
      <c r="K578" s="1" t="str">
        <f ca="1">IFERROR(__xludf.DUMMYFUNCTION("""COMPUTED_VALUE"""),"Fully Remote with Options to travel as and when needed")</f>
        <v>Fully Remote with Options to travel as and when needed</v>
      </c>
      <c r="L578" s="1" t="str">
        <f ca="1">IFERROR(__xludf.DUMMYFUNCTION("""COMPUTED_VALUE"""),"Employer who pushes your limits by enabling an learning environment, and rewards you at the end")</f>
        <v>Employer who pushes your limits by enabling an learning environment, and rewards you at the end</v>
      </c>
      <c r="M578"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N578" s="1"/>
      <c r="O578" s="1" t="str">
        <f ca="1">IFERROR(__xludf.DUMMYFUNCTION("""COMPUTED_VALUE"""),"Manager who explains what is expected, sets a goal and helps achieve it")</f>
        <v>Manager who explains what is expected, sets a goal and helps achieve it</v>
      </c>
      <c r="P578" s="1" t="str">
        <f ca="1">IFERROR(__xludf.DUMMYFUNCTION("""COMPUTED_VALUE"""),"Work &lt;=6 People in the Team")</f>
        <v>Work &lt;=6 People in the Team</v>
      </c>
      <c r="Q578" s="1" t="s">
        <v>43</v>
      </c>
      <c r="R578" s="1"/>
    </row>
    <row r="579" spans="1:18" x14ac:dyDescent="0.25">
      <c r="A579" s="2">
        <f ca="1">IFERROR(__xludf.DUMMYFUNCTION("""COMPUTED_VALUE"""),45021.7261956018)</f>
        <v>45021.726195601797</v>
      </c>
      <c r="B579" s="1" t="str">
        <f ca="1">IFERROR(__xludf.DUMMYFUNCTION("""COMPUTED_VALUE"""),"India")</f>
        <v>India</v>
      </c>
      <c r="C579" s="1">
        <f ca="1">IFERROR(__xludf.DUMMYFUNCTION("""COMPUTED_VALUE"""),400097)</f>
        <v>400097</v>
      </c>
      <c r="D579" s="1" t="str">
        <f ca="1">IFERROR(__xludf.DUMMYFUNCTION("""COMPUTED_VALUE"""),"Male")</f>
        <v>Male</v>
      </c>
      <c r="E579" s="1" t="str">
        <f ca="1">IFERROR(__xludf.DUMMYFUNCTION("""COMPUTED_VALUE"""),"My Parents")</f>
        <v>My Parents</v>
      </c>
      <c r="F579" s="1" t="str">
        <f ca="1">IFERROR(__xludf.DUMMYFUNCTION("""COMPUTED_VALUE"""),"No, But if someone could bare the cost I will")</f>
        <v>No, But if someone could bare the cost I will</v>
      </c>
      <c r="G579" s="1" t="str">
        <f ca="1">IFERROR(__xludf.DUMMYFUNCTION("""COMPUTED_VALUE"""),"This will be hard to do, but if it is the right company I would try")</f>
        <v>This will be hard to do, but if it is the right company I would try</v>
      </c>
      <c r="H579" s="1" t="str">
        <f ca="1">IFERROR(__xludf.DUMMYFUNCTION("""COMPUTED_VALUE"""),"No")</f>
        <v>No</v>
      </c>
      <c r="I579" s="1" t="str">
        <f ca="1">IFERROR(__xludf.DUMMYFUNCTION("""COMPUTED_VALUE"""),"Will NOT work for them")</f>
        <v>Will NOT work for them</v>
      </c>
      <c r="J579" s="1">
        <f ca="1">IFERROR(__xludf.DUMMYFUNCTION("""COMPUTED_VALUE"""),3)</f>
        <v>3</v>
      </c>
      <c r="K579" s="1" t="str">
        <f ca="1">IFERROR(__xludf.DUMMYFUNCTION("""COMPUTED_VALUE"""),"Fully Remote with Options to travel as and when needed")</f>
        <v>Fully Remote with Options to travel as and when needed</v>
      </c>
      <c r="L579" s="1" t="str">
        <f ca="1">IFERROR(__xludf.DUMMYFUNCTION("""COMPUTED_VALUE"""),"Employer who appreciates learning and enables that environment")</f>
        <v>Employer who appreciates learning and enables that environment</v>
      </c>
      <c r="M57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579" s="1"/>
      <c r="O579" s="1" t="str">
        <f ca="1">IFERROR(__xludf.DUMMYFUNCTION("""COMPUTED_VALUE"""),"Manager who clearly describes what she/he needs")</f>
        <v>Manager who clearly describes what she/he needs</v>
      </c>
      <c r="P579" s="1" t="str">
        <f ca="1">IFERROR(__xludf.DUMMYFUNCTION("""COMPUTED_VALUE"""),"Work &gt;=7 People in the Team")</f>
        <v>Work &gt;=7 People in the Team</v>
      </c>
      <c r="Q579" s="1" t="s">
        <v>40</v>
      </c>
      <c r="R579" s="1"/>
    </row>
    <row r="580" spans="1:18" x14ac:dyDescent="0.25">
      <c r="A580" s="2">
        <f ca="1">IFERROR(__xludf.DUMMYFUNCTION("""COMPUTED_VALUE"""),45021.726447199)</f>
        <v>45021.726447198998</v>
      </c>
      <c r="B580" s="1" t="str">
        <f ca="1">IFERROR(__xludf.DUMMYFUNCTION("""COMPUTED_VALUE"""),"India")</f>
        <v>India</v>
      </c>
      <c r="C580" s="1">
        <f ca="1">IFERROR(__xludf.DUMMYFUNCTION("""COMPUTED_VALUE"""),442902)</f>
        <v>442902</v>
      </c>
      <c r="D580" s="1" t="str">
        <f ca="1">IFERROR(__xludf.DUMMYFUNCTION("""COMPUTED_VALUE"""),"Female")</f>
        <v>Female</v>
      </c>
      <c r="E580" s="1" t="str">
        <f ca="1">IFERROR(__xludf.DUMMYFUNCTION("""COMPUTED_VALUE"""),"My Parents")</f>
        <v>My Parents</v>
      </c>
      <c r="F580" s="1" t="str">
        <f ca="1">IFERROR(__xludf.DUMMYFUNCTION("""COMPUTED_VALUE"""),"No, But if someone could bare the cost I will")</f>
        <v>No, But if someone could bare the cost I will</v>
      </c>
      <c r="G580" s="1" t="str">
        <f ca="1">IFERROR(__xludf.DUMMYFUNCTION("""COMPUTED_VALUE"""),"This will be hard to do, but if it is the right company I would try")</f>
        <v>This will be hard to do, but if it is the right company I would try</v>
      </c>
      <c r="H580" s="1" t="str">
        <f ca="1">IFERROR(__xludf.DUMMYFUNCTION("""COMPUTED_VALUE"""),"No")</f>
        <v>No</v>
      </c>
      <c r="I580" s="1" t="str">
        <f ca="1">IFERROR(__xludf.DUMMYFUNCTION("""COMPUTED_VALUE"""),"Will NOT work for them")</f>
        <v>Will NOT work for them</v>
      </c>
      <c r="J580" s="1">
        <f ca="1">IFERROR(__xludf.DUMMYFUNCTION("""COMPUTED_VALUE"""),1)</f>
        <v>1</v>
      </c>
      <c r="K580" s="1" t="str">
        <f ca="1">IFERROR(__xludf.DUMMYFUNCTION("""COMPUTED_VALUE"""),"Every Day Office Environment")</f>
        <v>Every Day Office Environment</v>
      </c>
      <c r="L580" s="1" t="str">
        <f ca="1">IFERROR(__xludf.DUMMYFUNCTION("""COMPUTED_VALUE"""),"Employer who appreciates learning and enables that environment")</f>
        <v>Employer who appreciates learning and enables that environment</v>
      </c>
      <c r="M58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N580" s="1"/>
      <c r="O580" s="1" t="str">
        <f ca="1">IFERROR(__xludf.DUMMYFUNCTION("""COMPUTED_VALUE"""),"Manager who explains what is expected, sets a goal and helps achieve it")</f>
        <v>Manager who explains what is expected, sets a goal and helps achieve it</v>
      </c>
      <c r="P580" s="1" t="str">
        <f ca="1">IFERROR(__xludf.DUMMYFUNCTION("""COMPUTED_VALUE"""),"Work &lt;=6 People in the Team")</f>
        <v>Work &lt;=6 People in the Team</v>
      </c>
      <c r="Q580" s="1" t="s">
        <v>43</v>
      </c>
      <c r="R580" s="1"/>
    </row>
    <row r="581" spans="1:18" x14ac:dyDescent="0.25">
      <c r="A581" s="2">
        <f ca="1">IFERROR(__xludf.DUMMYFUNCTION("""COMPUTED_VALUE"""),45021.7270385763)</f>
        <v>45021.727038576297</v>
      </c>
      <c r="B581" s="1" t="str">
        <f ca="1">IFERROR(__xludf.DUMMYFUNCTION("""COMPUTED_VALUE"""),"India")</f>
        <v>India</v>
      </c>
      <c r="C581" s="1">
        <f ca="1">IFERROR(__xludf.DUMMYFUNCTION("""COMPUTED_VALUE"""),621218)</f>
        <v>621218</v>
      </c>
      <c r="D581" s="1" t="str">
        <f ca="1">IFERROR(__xludf.DUMMYFUNCTION("""COMPUTED_VALUE"""),"Female")</f>
        <v>Female</v>
      </c>
      <c r="E581" s="1" t="str">
        <f ca="1">IFERROR(__xludf.DUMMYFUNCTION("""COMPUTED_VALUE"""),"My Parents")</f>
        <v>My Parents</v>
      </c>
      <c r="F581" s="1" t="str">
        <f ca="1">IFERROR(__xludf.DUMMYFUNCTION("""COMPUTED_VALUE"""),"No, But if someone could bare the cost I will")</f>
        <v>No, But if someone could bare the cost I will</v>
      </c>
      <c r="G581" s="1" t="str">
        <f ca="1">IFERROR(__xludf.DUMMYFUNCTION("""COMPUTED_VALUE"""),"This will be hard to do, but if it is the right company I would try")</f>
        <v>This will be hard to do, but if it is the right company I would try</v>
      </c>
      <c r="H581" s="1" t="str">
        <f ca="1">IFERROR(__xludf.DUMMYFUNCTION("""COMPUTED_VALUE"""),"No")</f>
        <v>No</v>
      </c>
      <c r="I581" s="1" t="str">
        <f ca="1">IFERROR(__xludf.DUMMYFUNCTION("""COMPUTED_VALUE"""),"Will NOT work for them")</f>
        <v>Will NOT work for them</v>
      </c>
      <c r="J581" s="1">
        <f ca="1">IFERROR(__xludf.DUMMYFUNCTION("""COMPUTED_VALUE"""),2)</f>
        <v>2</v>
      </c>
      <c r="K581" s="1" t="str">
        <f ca="1">IFERROR(__xludf.DUMMYFUNCTION("""COMPUTED_VALUE"""),"Every Day Office Environment")</f>
        <v>Every Day Office Environment</v>
      </c>
      <c r="L581" s="1" t="str">
        <f ca="1">IFERROR(__xludf.DUMMYFUNCTION("""COMPUTED_VALUE"""),"Employer who appreciates learning and enables that environment")</f>
        <v>Employer who appreciates learning and enables that environment</v>
      </c>
      <c r="M581"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N581" s="1"/>
      <c r="O581" s="1" t="str">
        <f ca="1">IFERROR(__xludf.DUMMYFUNCTION("""COMPUTED_VALUE"""),"Manager who explains what is expected, sets a goal and helps achieve it")</f>
        <v>Manager who explains what is expected, sets a goal and helps achieve it</v>
      </c>
      <c r="P581" s="1" t="str">
        <f ca="1">IFERROR(__xludf.DUMMYFUNCTION("""COMPUTED_VALUE"""),"Work Alone, &lt;=6 in team")</f>
        <v>Work Alone, &lt;=6 in team</v>
      </c>
      <c r="Q581" s="1" t="s">
        <v>43</v>
      </c>
      <c r="R581" s="1"/>
    </row>
    <row r="582" spans="1:18" x14ac:dyDescent="0.25">
      <c r="A582" s="2">
        <f ca="1">IFERROR(__xludf.DUMMYFUNCTION("""COMPUTED_VALUE"""),45021.728146956)</f>
        <v>45021.728146955997</v>
      </c>
      <c r="B582" s="1" t="str">
        <f ca="1">IFERROR(__xludf.DUMMYFUNCTION("""COMPUTED_VALUE"""),"India")</f>
        <v>India</v>
      </c>
      <c r="C582" s="1">
        <f ca="1">IFERROR(__xludf.DUMMYFUNCTION("""COMPUTED_VALUE"""),560100)</f>
        <v>560100</v>
      </c>
      <c r="D582" s="1" t="str">
        <f ca="1">IFERROR(__xludf.DUMMYFUNCTION("""COMPUTED_VALUE"""),"Female")</f>
        <v>Female</v>
      </c>
      <c r="E582" s="1" t="str">
        <f ca="1">IFERROR(__xludf.DUMMYFUNCTION("""COMPUTED_VALUE"""),"People from my circle, but not family members")</f>
        <v>People from my circle, but not family members</v>
      </c>
      <c r="F582" s="1" t="str">
        <f ca="1">IFERROR(__xludf.DUMMYFUNCTION("""COMPUTED_VALUE"""),"No I would not be pursuing Higher Education outside of India")</f>
        <v>No I would not be pursuing Higher Education outside of India</v>
      </c>
      <c r="G582" s="1" t="str">
        <f ca="1">IFERROR(__xludf.DUMMYFUNCTION("""COMPUTED_VALUE"""),"This will be hard to do, but if it is the right company I would try")</f>
        <v>This will be hard to do, but if it is the right company I would try</v>
      </c>
      <c r="H582" s="1" t="str">
        <f ca="1">IFERROR(__xludf.DUMMYFUNCTION("""COMPUTED_VALUE"""),"No")</f>
        <v>No</v>
      </c>
      <c r="I582" s="1" t="str">
        <f ca="1">IFERROR(__xludf.DUMMYFUNCTION("""COMPUTED_VALUE"""),"Will NOT work for them")</f>
        <v>Will NOT work for them</v>
      </c>
      <c r="J582" s="1">
        <f ca="1">IFERROR(__xludf.DUMMYFUNCTION("""COMPUTED_VALUE"""),5)</f>
        <v>5</v>
      </c>
      <c r="K582" s="1" t="str">
        <f ca="1">IFERROR(__xludf.DUMMYFUNCTION("""COMPUTED_VALUE"""),"Hybrid Working Environment with more than 15 days a month at office")</f>
        <v>Hybrid Working Environment with more than 15 days a month at office</v>
      </c>
      <c r="L582" s="1" t="str">
        <f ca="1">IFERROR(__xludf.DUMMYFUNCTION("""COMPUTED_VALUE"""),"Employer who appreciates learning and enables that environment")</f>
        <v>Employer who appreciates learning and enables that environment</v>
      </c>
      <c r="M582"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N582" s="1"/>
      <c r="O582" s="1" t="str">
        <f ca="1">IFERROR(__xludf.DUMMYFUNCTION("""COMPUTED_VALUE"""),"Manager who explains what is expected, sets a goal and helps achieve it")</f>
        <v>Manager who explains what is expected, sets a goal and helps achieve it</v>
      </c>
      <c r="P582" s="1" t="str">
        <f ca="1">IFERROR(__xludf.DUMMYFUNCTION("""COMPUTED_VALUE"""),"Work &gt;10 people in Team")</f>
        <v>Work &gt;10 people in Team</v>
      </c>
      <c r="Q582" s="1" t="s">
        <v>43</v>
      </c>
      <c r="R582" s="1"/>
    </row>
    <row r="583" spans="1:18" x14ac:dyDescent="0.25">
      <c r="A583" s="2">
        <f ca="1">IFERROR(__xludf.DUMMYFUNCTION("""COMPUTED_VALUE"""),45021.7310782175)</f>
        <v>45021.731078217497</v>
      </c>
      <c r="B583" s="1" t="str">
        <f ca="1">IFERROR(__xludf.DUMMYFUNCTION("""COMPUTED_VALUE"""),"India")</f>
        <v>India</v>
      </c>
      <c r="C583" s="1">
        <f ca="1">IFERROR(__xludf.DUMMYFUNCTION("""COMPUTED_VALUE"""),364001)</f>
        <v>364001</v>
      </c>
      <c r="D583" s="1" t="str">
        <f ca="1">IFERROR(__xludf.DUMMYFUNCTION("""COMPUTED_VALUE"""),"Female")</f>
        <v>Female</v>
      </c>
      <c r="E583" s="1" t="str">
        <f ca="1">IFERROR(__xludf.DUMMYFUNCTION("""COMPUTED_VALUE"""),"People who have changed the world for better")</f>
        <v>People who have changed the world for better</v>
      </c>
      <c r="F583" s="1" t="str">
        <f ca="1">IFERROR(__xludf.DUMMYFUNCTION("""COMPUTED_VALUE"""),"Yes, I will earn and do that")</f>
        <v>Yes, I will earn and do that</v>
      </c>
      <c r="G583" s="1" t="str">
        <f ca="1">IFERROR(__xludf.DUMMYFUNCTION("""COMPUTED_VALUE"""),"This will be hard to do, but if it is the right company I would try")</f>
        <v>This will be hard to do, but if it is the right company I would try</v>
      </c>
      <c r="H583" s="1" t="str">
        <f ca="1">IFERROR(__xludf.DUMMYFUNCTION("""COMPUTED_VALUE"""),"No")</f>
        <v>No</v>
      </c>
      <c r="I583" s="1" t="str">
        <f ca="1">IFERROR(__xludf.DUMMYFUNCTION("""COMPUTED_VALUE"""),"Will NOT work for them")</f>
        <v>Will NOT work for them</v>
      </c>
      <c r="J583" s="1">
        <f ca="1">IFERROR(__xludf.DUMMYFUNCTION("""COMPUTED_VALUE"""),3)</f>
        <v>3</v>
      </c>
      <c r="K583" s="1" t="str">
        <f ca="1">IFERROR(__xludf.DUMMYFUNCTION("""COMPUTED_VALUE"""),"Every Day Office Environment")</f>
        <v>Every Day Office Environment</v>
      </c>
      <c r="L583" s="1" t="str">
        <f ca="1">IFERROR(__xludf.DUMMYFUNCTION("""COMPUTED_VALUE"""),"Employer who appreciates learning and enables that environment")</f>
        <v>Employer who appreciates learning and enables that environment</v>
      </c>
      <c r="M583"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N583" s="1"/>
      <c r="O583" s="1" t="str">
        <f ca="1">IFERROR(__xludf.DUMMYFUNCTION("""COMPUTED_VALUE"""),"Manager who explains what is expected, sets a goal and helps achieve it")</f>
        <v>Manager who explains what is expected, sets a goal and helps achieve it</v>
      </c>
      <c r="P583" s="1" t="str">
        <f ca="1">IFERROR(__xludf.DUMMYFUNCTION("""COMPUTED_VALUE"""),"Work &gt;10 people in Team")</f>
        <v>Work &gt;10 people in Team</v>
      </c>
      <c r="Q583" s="1" t="s">
        <v>43</v>
      </c>
      <c r="R583" s="1"/>
    </row>
    <row r="584" spans="1:18" x14ac:dyDescent="0.25">
      <c r="A584" s="2">
        <f ca="1">IFERROR(__xludf.DUMMYFUNCTION("""COMPUTED_VALUE"""),45021.7322719213)</f>
        <v>45021.732271921297</v>
      </c>
      <c r="B584" s="1" t="str">
        <f ca="1">IFERROR(__xludf.DUMMYFUNCTION("""COMPUTED_VALUE"""),"India")</f>
        <v>India</v>
      </c>
      <c r="C584" s="1">
        <f ca="1">IFERROR(__xludf.DUMMYFUNCTION("""COMPUTED_VALUE"""),442501)</f>
        <v>442501</v>
      </c>
      <c r="D584" s="1" t="str">
        <f ca="1">IFERROR(__xludf.DUMMYFUNCTION("""COMPUTED_VALUE"""),"Female")</f>
        <v>Female</v>
      </c>
      <c r="E584" s="1" t="str">
        <f ca="1">IFERROR(__xludf.DUMMYFUNCTION("""COMPUTED_VALUE"""),"People who have changed the world for better")</f>
        <v>People who have changed the world for better</v>
      </c>
      <c r="F584" s="1" t="str">
        <f ca="1">IFERROR(__xludf.DUMMYFUNCTION("""COMPUTED_VALUE"""),"Yes, I will earn and do that")</f>
        <v>Yes, I will earn and do that</v>
      </c>
      <c r="G584" s="1" t="str">
        <f ca="1">IFERROR(__xludf.DUMMYFUNCTION("""COMPUTED_VALUE"""),"This will be hard to do, but if it is the right company I would try")</f>
        <v>This will be hard to do, but if it is the right company I would try</v>
      </c>
      <c r="H584" s="1" t="str">
        <f ca="1">IFERROR(__xludf.DUMMYFUNCTION("""COMPUTED_VALUE"""),"Yes")</f>
        <v>Yes</v>
      </c>
      <c r="I584" s="1" t="str">
        <f ca="1">IFERROR(__xludf.DUMMYFUNCTION("""COMPUTED_VALUE"""),"Will work for them")</f>
        <v>Will work for them</v>
      </c>
      <c r="J584" s="1">
        <f ca="1">IFERROR(__xludf.DUMMYFUNCTION("""COMPUTED_VALUE"""),3)</f>
        <v>3</v>
      </c>
      <c r="K584" s="1" t="str">
        <f ca="1">IFERROR(__xludf.DUMMYFUNCTION("""COMPUTED_VALUE"""),"Every Day Office Environment")</f>
        <v>Every Day Office Environment</v>
      </c>
      <c r="L584" s="1" t="str">
        <f ca="1">IFERROR(__xludf.DUMMYFUNCTION("""COMPUTED_VALUE"""),"Employer who pushes your limits by enabling an learning environment, and rewards you at the end")</f>
        <v>Employer who pushes your limits by enabling an learning environment, and rewards you at the end</v>
      </c>
      <c r="M58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584" s="1"/>
      <c r="O584" s="1" t="str">
        <f ca="1">IFERROR(__xludf.DUMMYFUNCTION("""COMPUTED_VALUE"""),"Manager who sets targets and expects me to achieve it")</f>
        <v>Manager who sets targets and expects me to achieve it</v>
      </c>
      <c r="P584" s="1" t="str">
        <f ca="1">IFERROR(__xludf.DUMMYFUNCTION("""COMPUTED_VALUE"""),"Work &lt;=6 People in the Team")</f>
        <v>Work &lt;=6 People in the Team</v>
      </c>
      <c r="Q584" s="1" t="s">
        <v>43</v>
      </c>
      <c r="R584" s="1"/>
    </row>
    <row r="585" spans="1:18" x14ac:dyDescent="0.25">
      <c r="A585" s="2">
        <f ca="1">IFERROR(__xludf.DUMMYFUNCTION("""COMPUTED_VALUE"""),45021.7329140277)</f>
        <v>45021.7329140277</v>
      </c>
      <c r="B585" s="1" t="str">
        <f ca="1">IFERROR(__xludf.DUMMYFUNCTION("""COMPUTED_VALUE"""),"India")</f>
        <v>India</v>
      </c>
      <c r="C585" s="1">
        <f ca="1">IFERROR(__xludf.DUMMYFUNCTION("""COMPUTED_VALUE"""),500083)</f>
        <v>500083</v>
      </c>
      <c r="D585" s="1" t="str">
        <f ca="1">IFERROR(__xludf.DUMMYFUNCTION("""COMPUTED_VALUE"""),"Male")</f>
        <v>Male</v>
      </c>
      <c r="E585" s="1" t="str">
        <f ca="1">IFERROR(__xludf.DUMMYFUNCTION("""COMPUTED_VALUE"""),"My Parents")</f>
        <v>My Parents</v>
      </c>
      <c r="F585" s="1" t="str">
        <f ca="1">IFERROR(__xludf.DUMMYFUNCTION("""COMPUTED_VALUE"""),"Yes, I will earn and do that")</f>
        <v>Yes, I will earn and do that</v>
      </c>
      <c r="G585" s="1" t="str">
        <f ca="1">IFERROR(__xludf.DUMMYFUNCTION("""COMPUTED_VALUE"""),"This will be hard to do, but if it is the right company I would try")</f>
        <v>This will be hard to do, but if it is the right company I would try</v>
      </c>
      <c r="H585" s="1" t="str">
        <f ca="1">IFERROR(__xludf.DUMMYFUNCTION("""COMPUTED_VALUE"""),"No")</f>
        <v>No</v>
      </c>
      <c r="I585" s="1" t="str">
        <f ca="1">IFERROR(__xludf.DUMMYFUNCTION("""COMPUTED_VALUE"""),"Will NOT work for them")</f>
        <v>Will NOT work for them</v>
      </c>
      <c r="J585" s="1">
        <f ca="1">IFERROR(__xludf.DUMMYFUNCTION("""COMPUTED_VALUE"""),5)</f>
        <v>5</v>
      </c>
      <c r="K585" s="1" t="str">
        <f ca="1">IFERROR(__xludf.DUMMYFUNCTION("""COMPUTED_VALUE"""),"Hybrid Working Environment with less than 3 days a month at office")</f>
        <v>Hybrid Working Environment with less than 3 days a month at office</v>
      </c>
      <c r="L585" s="1" t="str">
        <f ca="1">IFERROR(__xludf.DUMMYFUNCTION("""COMPUTED_VALUE"""),"Employer who pushes your limits by enabling an learning environment, and rewards you at the end")</f>
        <v>Employer who pushes your limits by enabling an learning environment, and rewards you at the end</v>
      </c>
      <c r="M58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585" s="1"/>
      <c r="O585" s="1" t="str">
        <f ca="1">IFERROR(__xludf.DUMMYFUNCTION("""COMPUTED_VALUE"""),"Manager who explains what is expected, sets a goal and helps achieve it")</f>
        <v>Manager who explains what is expected, sets a goal and helps achieve it</v>
      </c>
      <c r="P585" s="1" t="str">
        <f ca="1">IFERROR(__xludf.DUMMYFUNCTION("""COMPUTED_VALUE"""),"Work alone")</f>
        <v>Work alone</v>
      </c>
      <c r="Q585" s="1" t="s">
        <v>42</v>
      </c>
      <c r="R585" s="1"/>
    </row>
    <row r="586" spans="1:18" x14ac:dyDescent="0.25">
      <c r="A586" s="2">
        <f ca="1">IFERROR(__xludf.DUMMYFUNCTION("""COMPUTED_VALUE"""),45021.7332319675)</f>
        <v>45021.733231967497</v>
      </c>
      <c r="B586" s="1" t="str">
        <f ca="1">IFERROR(__xludf.DUMMYFUNCTION("""COMPUTED_VALUE"""),"India")</f>
        <v>India</v>
      </c>
      <c r="C586" s="1">
        <f ca="1">IFERROR(__xludf.DUMMYFUNCTION("""COMPUTED_VALUE"""),670301)</f>
        <v>670301</v>
      </c>
      <c r="D586" s="1" t="str">
        <f ca="1">IFERROR(__xludf.DUMMYFUNCTION("""COMPUTED_VALUE"""),"Male")</f>
        <v>Male</v>
      </c>
      <c r="E586" s="1" t="str">
        <f ca="1">IFERROR(__xludf.DUMMYFUNCTION("""COMPUTED_VALUE"""),"My Parents")</f>
        <v>My Parents</v>
      </c>
      <c r="F586" s="1" t="str">
        <f ca="1">IFERROR(__xludf.DUMMYFUNCTION("""COMPUTED_VALUE"""),"Yes, I will earn and do that")</f>
        <v>Yes, I will earn and do that</v>
      </c>
      <c r="G586" s="1" t="str">
        <f ca="1">IFERROR(__xludf.DUMMYFUNCTION("""COMPUTED_VALUE"""),"This will be hard to do, but if it is the right company I would try")</f>
        <v>This will be hard to do, but if it is the right company I would try</v>
      </c>
      <c r="H586" s="1" t="str">
        <f ca="1">IFERROR(__xludf.DUMMYFUNCTION("""COMPUTED_VALUE"""),"No")</f>
        <v>No</v>
      </c>
      <c r="I586" s="1" t="str">
        <f ca="1">IFERROR(__xludf.DUMMYFUNCTION("""COMPUTED_VALUE"""),"Will NOT work for them")</f>
        <v>Will NOT work for them</v>
      </c>
      <c r="J586" s="1">
        <f ca="1">IFERROR(__xludf.DUMMYFUNCTION("""COMPUTED_VALUE"""),5)</f>
        <v>5</v>
      </c>
      <c r="K586" s="1" t="str">
        <f ca="1">IFERROR(__xludf.DUMMYFUNCTION("""COMPUTED_VALUE"""),"Every Day Office Environment")</f>
        <v>Every Day Office Environment</v>
      </c>
      <c r="L586" s="1" t="str">
        <f ca="1">IFERROR(__xludf.DUMMYFUNCTION("""COMPUTED_VALUE"""),"Employer who appreciates learning and enables that environment")</f>
        <v>Employer who appreciates learning and enables that environment</v>
      </c>
      <c r="M586"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N586" s="1"/>
      <c r="O586" s="1" t="str">
        <f ca="1">IFERROR(__xludf.DUMMYFUNCTION("""COMPUTED_VALUE"""),"Manager who explains what is expected, sets a goal and helps achieve it")</f>
        <v>Manager who explains what is expected, sets a goal and helps achieve it</v>
      </c>
      <c r="P586" s="1" t="str">
        <f ca="1">IFERROR(__xludf.DUMMYFUNCTION("""COMPUTED_VALUE"""),"Work alone")</f>
        <v>Work alone</v>
      </c>
      <c r="Q586" s="1" t="s">
        <v>43</v>
      </c>
      <c r="R586" s="1"/>
    </row>
    <row r="587" spans="1:18" x14ac:dyDescent="0.25">
      <c r="A587" s="2">
        <f ca="1">IFERROR(__xludf.DUMMYFUNCTION("""COMPUTED_VALUE"""),45021.7356464004)</f>
        <v>45021.735646400397</v>
      </c>
      <c r="B587" s="1" t="str">
        <f ca="1">IFERROR(__xludf.DUMMYFUNCTION("""COMPUTED_VALUE"""),"India")</f>
        <v>India</v>
      </c>
      <c r="C587" s="1">
        <f ca="1">IFERROR(__xludf.DUMMYFUNCTION("""COMPUTED_VALUE"""),400607)</f>
        <v>400607</v>
      </c>
      <c r="D587" s="1" t="str">
        <f ca="1">IFERROR(__xludf.DUMMYFUNCTION("""COMPUTED_VALUE"""),"Male")</f>
        <v>Male</v>
      </c>
      <c r="E587" s="1" t="str">
        <f ca="1">IFERROR(__xludf.DUMMYFUNCTION("""COMPUTED_VALUE"""),"People who have changed the world for better")</f>
        <v>People who have changed the world for better</v>
      </c>
      <c r="F587" s="1" t="str">
        <f ca="1">IFERROR(__xludf.DUMMYFUNCTION("""COMPUTED_VALUE"""),"No I would not be pursuing Higher Education outside of India")</f>
        <v>No I would not be pursuing Higher Education outside of India</v>
      </c>
      <c r="G587" s="1" t="str">
        <f ca="1">IFERROR(__xludf.DUMMYFUNCTION("""COMPUTED_VALUE"""),"This will be hard to do, but if it is the right company I would try")</f>
        <v>This will be hard to do, but if it is the right company I would try</v>
      </c>
      <c r="H587" s="1" t="str">
        <f ca="1">IFERROR(__xludf.DUMMYFUNCTION("""COMPUTED_VALUE"""),"No")</f>
        <v>No</v>
      </c>
      <c r="I587" s="1" t="str">
        <f ca="1">IFERROR(__xludf.DUMMYFUNCTION("""COMPUTED_VALUE"""),"Will NOT work for them")</f>
        <v>Will NOT work for them</v>
      </c>
      <c r="J587" s="1">
        <f ca="1">IFERROR(__xludf.DUMMYFUNCTION("""COMPUTED_VALUE"""),5)</f>
        <v>5</v>
      </c>
      <c r="K587" s="1" t="str">
        <f ca="1">IFERROR(__xludf.DUMMYFUNCTION("""COMPUTED_VALUE"""),"Hybrid Working Environment with more than 15 days a month at office")</f>
        <v>Hybrid Working Environment with more than 15 days a month at office</v>
      </c>
      <c r="L587" s="1" t="str">
        <f ca="1">IFERROR(__xludf.DUMMYFUNCTION("""COMPUTED_VALUE"""),"Employer who appreciates learning and enables that environment")</f>
        <v>Employer who appreciates learning and enables that environment</v>
      </c>
      <c r="M58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587" s="1"/>
      <c r="O587" s="1" t="str">
        <f ca="1">IFERROR(__xludf.DUMMYFUNCTION("""COMPUTED_VALUE"""),"Manager who explains what is expected, sets a goal and helps achieve it")</f>
        <v>Manager who explains what is expected, sets a goal and helps achieve it</v>
      </c>
      <c r="P587" s="1" t="str">
        <f ca="1">IFERROR(__xludf.DUMMYFUNCTION("""COMPUTED_VALUE"""),"Work &lt;=6 People in the Team")</f>
        <v>Work &lt;=6 People in the Team</v>
      </c>
      <c r="Q587" s="1" t="s">
        <v>43</v>
      </c>
      <c r="R587" s="1"/>
    </row>
    <row r="588" spans="1:18" x14ac:dyDescent="0.25">
      <c r="A588" s="2">
        <f ca="1">IFERROR(__xludf.DUMMYFUNCTION("""COMPUTED_VALUE"""),45021.7361705671)</f>
        <v>45021.736170567099</v>
      </c>
      <c r="B588" s="1" t="str">
        <f ca="1">IFERROR(__xludf.DUMMYFUNCTION("""COMPUTED_VALUE"""),"India")</f>
        <v>India</v>
      </c>
      <c r="C588" s="1">
        <f ca="1">IFERROR(__xludf.DUMMYFUNCTION("""COMPUTED_VALUE"""),632515)</f>
        <v>632515</v>
      </c>
      <c r="D588" s="1" t="str">
        <f ca="1">IFERROR(__xludf.DUMMYFUNCTION("""COMPUTED_VALUE"""),"Male")</f>
        <v>Male</v>
      </c>
      <c r="E588" s="1" t="str">
        <f ca="1">IFERROR(__xludf.DUMMYFUNCTION("""COMPUTED_VALUE"""),"Social Media like LinkedIn")</f>
        <v>Social Media like LinkedIn</v>
      </c>
      <c r="F588" s="1" t="str">
        <f ca="1">IFERROR(__xludf.DUMMYFUNCTION("""COMPUTED_VALUE"""),"No I would not be pursuing Higher Education outside of India")</f>
        <v>No I would not be pursuing Higher Education outside of India</v>
      </c>
      <c r="G588" s="1" t="str">
        <f ca="1">IFERROR(__xludf.DUMMYFUNCTION("""COMPUTED_VALUE"""),"This will be hard to do, but if it is the right company I would try")</f>
        <v>This will be hard to do, but if it is the right company I would try</v>
      </c>
      <c r="H588" s="1" t="str">
        <f ca="1">IFERROR(__xludf.DUMMYFUNCTION("""COMPUTED_VALUE"""),"No")</f>
        <v>No</v>
      </c>
      <c r="I588" s="1" t="str">
        <f ca="1">IFERROR(__xludf.DUMMYFUNCTION("""COMPUTED_VALUE"""),"Will NOT work for them")</f>
        <v>Will NOT work for them</v>
      </c>
      <c r="J588" s="1">
        <f ca="1">IFERROR(__xludf.DUMMYFUNCTION("""COMPUTED_VALUE"""),5)</f>
        <v>5</v>
      </c>
      <c r="K588" s="1" t="str">
        <f ca="1">IFERROR(__xludf.DUMMYFUNCTION("""COMPUTED_VALUE"""),"Fully Remote with Options to travel as and when needed")</f>
        <v>Fully Remote with Options to travel as and when needed</v>
      </c>
      <c r="L588" s="1" t="str">
        <f ca="1">IFERROR(__xludf.DUMMYFUNCTION("""COMPUTED_VALUE"""),"Employer who rewards learning and enables that environment")</f>
        <v>Employer who rewards learning and enables that environment</v>
      </c>
      <c r="M588"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N588" s="1"/>
      <c r="O588" s="1" t="str">
        <f ca="1">IFERROR(__xludf.DUMMYFUNCTION("""COMPUTED_VALUE"""),"Manager who explains what is expected, sets a goal and helps achieve it")</f>
        <v>Manager who explains what is expected, sets a goal and helps achieve it</v>
      </c>
      <c r="P588" s="1" t="str">
        <f ca="1">IFERROR(__xludf.DUMMYFUNCTION("""COMPUTED_VALUE"""),"Work Alone, &lt;67 people in team")</f>
        <v>Work Alone, &lt;67 people in team</v>
      </c>
      <c r="Q588" s="1" t="s">
        <v>43</v>
      </c>
      <c r="R588" s="1"/>
    </row>
    <row r="589" spans="1:18" x14ac:dyDescent="0.25">
      <c r="A589" s="2">
        <f ca="1">IFERROR(__xludf.DUMMYFUNCTION("""COMPUTED_VALUE"""),45021.7368515625)</f>
        <v>45021.736851562498</v>
      </c>
      <c r="B589" s="1" t="str">
        <f ca="1">IFERROR(__xludf.DUMMYFUNCTION("""COMPUTED_VALUE"""),"India")</f>
        <v>India</v>
      </c>
      <c r="C589" s="1">
        <f ca="1">IFERROR(__xludf.DUMMYFUNCTION("""COMPUTED_VALUE"""),516329)</f>
        <v>516329</v>
      </c>
      <c r="D589" s="1" t="str">
        <f ca="1">IFERROR(__xludf.DUMMYFUNCTION("""COMPUTED_VALUE"""),"Female")</f>
        <v>Female</v>
      </c>
      <c r="E589" s="1" t="str">
        <f ca="1">IFERROR(__xludf.DUMMYFUNCTION("""COMPUTED_VALUE"""),"My Parents")</f>
        <v>My Parents</v>
      </c>
      <c r="F589" s="1" t="str">
        <f ca="1">IFERROR(__xludf.DUMMYFUNCTION("""COMPUTED_VALUE"""),"No, But if someone could bare the cost I will")</f>
        <v>No, But if someone could bare the cost I will</v>
      </c>
      <c r="G589" s="1" t="str">
        <f ca="1">IFERROR(__xludf.DUMMYFUNCTION("""COMPUTED_VALUE"""),"Will work for 3 years or more")</f>
        <v>Will work for 3 years or more</v>
      </c>
      <c r="H589" s="1" t="str">
        <f ca="1">IFERROR(__xludf.DUMMYFUNCTION("""COMPUTED_VALUE"""),"No")</f>
        <v>No</v>
      </c>
      <c r="I589" s="1" t="str">
        <f ca="1">IFERROR(__xludf.DUMMYFUNCTION("""COMPUTED_VALUE"""),"Will work for them")</f>
        <v>Will work for them</v>
      </c>
      <c r="J589" s="1">
        <f ca="1">IFERROR(__xludf.DUMMYFUNCTION("""COMPUTED_VALUE"""),7)</f>
        <v>7</v>
      </c>
      <c r="K589" s="1" t="str">
        <f ca="1">IFERROR(__xludf.DUMMYFUNCTION("""COMPUTED_VALUE"""),"Fully Remote with Options to travel as and when needed")</f>
        <v>Fully Remote with Options to travel as and when needed</v>
      </c>
      <c r="L589" s="1" t="str">
        <f ca="1">IFERROR(__xludf.DUMMYFUNCTION("""COMPUTED_VALUE"""),"Employer who pushes your limits by enabling an learning environment, and rewards you at the end")</f>
        <v>Employer who pushes your limits by enabling an learning environment, and rewards you at the end</v>
      </c>
      <c r="M589" s="1" t="str">
        <f ca="1">IFERROR(__xludf.DUMMYFUNCTION("""COMPUTED_VALUE"""),"Business Operations in any organization, Work in a BPO setup for some well known client, An Artificial Intelligence Specialist / Talking to Robots, Manufacturing / Oil and Gas/ Construction / Hard Physical Work related")</f>
        <v>Business Operations in any organization, Work in a BPO setup for some well known client, An Artificial Intelligence Specialist / Talking to Robots, Manufacturing / Oil and Gas/ Construction / Hard Physical Work related</v>
      </c>
      <c r="N589" s="1"/>
      <c r="O589" s="1" t="str">
        <f ca="1">IFERROR(__xludf.DUMMYFUNCTION("""COMPUTED_VALUE"""),"Manager who explains what is expected, sets a goal and helps achieve it")</f>
        <v>Manager who explains what is expected, sets a goal and helps achieve it</v>
      </c>
      <c r="P589" s="1" t="str">
        <f ca="1">IFERROR(__xludf.DUMMYFUNCTION("""COMPUTED_VALUE"""),"Work &lt;=6 People in the Team")</f>
        <v>Work &lt;=6 People in the Team</v>
      </c>
      <c r="Q589" s="1" t="s">
        <v>42</v>
      </c>
      <c r="R589" s="1"/>
    </row>
    <row r="590" spans="1:18" x14ac:dyDescent="0.25">
      <c r="A590" s="2">
        <f ca="1">IFERROR(__xludf.DUMMYFUNCTION("""COMPUTED_VALUE"""),45021.7383626967)</f>
        <v>45021.738362696698</v>
      </c>
      <c r="B590" s="1" t="str">
        <f ca="1">IFERROR(__xludf.DUMMYFUNCTION("""COMPUTED_VALUE"""),"India")</f>
        <v>India</v>
      </c>
      <c r="C590" s="1">
        <f ca="1">IFERROR(__xludf.DUMMYFUNCTION("""COMPUTED_VALUE"""),620001)</f>
        <v>620001</v>
      </c>
      <c r="D590" s="1" t="str">
        <f ca="1">IFERROR(__xludf.DUMMYFUNCTION("""COMPUTED_VALUE"""),"Female")</f>
        <v>Female</v>
      </c>
      <c r="E590" s="1" t="str">
        <f ca="1">IFERROR(__xludf.DUMMYFUNCTION("""COMPUTED_VALUE"""),"People from my circle, but not family members")</f>
        <v>People from my circle, but not family members</v>
      </c>
      <c r="F590" s="1" t="str">
        <f ca="1">IFERROR(__xludf.DUMMYFUNCTION("""COMPUTED_VALUE"""),"No, But if someone could bare the cost I will")</f>
        <v>No, But if someone could bare the cost I will</v>
      </c>
      <c r="G590" s="1" t="str">
        <f ca="1">IFERROR(__xludf.DUMMYFUNCTION("""COMPUTED_VALUE"""),"Will work for 3 years or more")</f>
        <v>Will work for 3 years or more</v>
      </c>
      <c r="H590" s="1" t="str">
        <f ca="1">IFERROR(__xludf.DUMMYFUNCTION("""COMPUTED_VALUE"""),"No")</f>
        <v>No</v>
      </c>
      <c r="I590" s="1" t="str">
        <f ca="1">IFERROR(__xludf.DUMMYFUNCTION("""COMPUTED_VALUE"""),"Will NOT work for them")</f>
        <v>Will NOT work for them</v>
      </c>
      <c r="J590" s="1">
        <f ca="1">IFERROR(__xludf.DUMMYFUNCTION("""COMPUTED_VALUE"""),6)</f>
        <v>6</v>
      </c>
      <c r="K590" s="1" t="str">
        <f ca="1">IFERROR(__xludf.DUMMYFUNCTION("""COMPUTED_VALUE"""),"Fully Remote with Options to travel as and when needed")</f>
        <v>Fully Remote with Options to travel as and when needed</v>
      </c>
      <c r="L590" s="1" t="str">
        <f ca="1">IFERROR(__xludf.DUMMYFUNCTION("""COMPUTED_VALUE"""),"Employer who pushes your limits by enabling an learning environment, and rewards you at the end")</f>
        <v>Employer who pushes your limits by enabling an learning environment, and rewards you at the end</v>
      </c>
      <c r="M590"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N590" s="1"/>
      <c r="O590" s="1" t="str">
        <f ca="1">IFERROR(__xludf.DUMMYFUNCTION("""COMPUTED_VALUE"""),"Manager who explains what is expected, sets a goal and helps achieve it")</f>
        <v>Manager who explains what is expected, sets a goal and helps achieve it</v>
      </c>
      <c r="P590" s="1" t="str">
        <f ca="1">IFERROR(__xludf.DUMMYFUNCTION("""COMPUTED_VALUE"""),"Work &lt;=6 People in the Team")</f>
        <v>Work &lt;=6 People in the Team</v>
      </c>
      <c r="Q590" s="1" t="s">
        <v>43</v>
      </c>
      <c r="R590" s="1"/>
    </row>
    <row r="591" spans="1:18" x14ac:dyDescent="0.25">
      <c r="A591" s="2">
        <f ca="1">IFERROR(__xludf.DUMMYFUNCTION("""COMPUTED_VALUE"""),45021.7388023495)</f>
        <v>45021.7388023495</v>
      </c>
      <c r="B591" s="1" t="str">
        <f ca="1">IFERROR(__xludf.DUMMYFUNCTION("""COMPUTED_VALUE"""),"India")</f>
        <v>India</v>
      </c>
      <c r="C591" s="1">
        <f ca="1">IFERROR(__xludf.DUMMYFUNCTION("""COMPUTED_VALUE"""),600116)</f>
        <v>600116</v>
      </c>
      <c r="D591" s="1" t="str">
        <f ca="1">IFERROR(__xludf.DUMMYFUNCTION("""COMPUTED_VALUE"""),"Male")</f>
        <v>Male</v>
      </c>
      <c r="E591" s="1" t="str">
        <f ca="1">IFERROR(__xludf.DUMMYFUNCTION("""COMPUTED_VALUE"""),"People from my circle, but not family members")</f>
        <v>People from my circle, but not family members</v>
      </c>
      <c r="F591" s="1" t="str">
        <f ca="1">IFERROR(__xludf.DUMMYFUNCTION("""COMPUTED_VALUE"""),"No I would not be pursuing Higher Education outside of India")</f>
        <v>No I would not be pursuing Higher Education outside of India</v>
      </c>
      <c r="G591" s="1" t="str">
        <f ca="1">IFERROR(__xludf.DUMMYFUNCTION("""COMPUTED_VALUE"""),"Will work for 3 years or more")</f>
        <v>Will work for 3 years or more</v>
      </c>
      <c r="H591" s="1" t="str">
        <f ca="1">IFERROR(__xludf.DUMMYFUNCTION("""COMPUTED_VALUE"""),"No")</f>
        <v>No</v>
      </c>
      <c r="I591" s="1" t="str">
        <f ca="1">IFERROR(__xludf.DUMMYFUNCTION("""COMPUTED_VALUE"""),"Will work for them")</f>
        <v>Will work for them</v>
      </c>
      <c r="J591" s="1">
        <f ca="1">IFERROR(__xludf.DUMMYFUNCTION("""COMPUTED_VALUE"""),4)</f>
        <v>4</v>
      </c>
      <c r="K591" s="1" t="str">
        <f ca="1">IFERROR(__xludf.DUMMYFUNCTION("""COMPUTED_VALUE"""),"Hybrid Working Environment with more than 15 days a month at office")</f>
        <v>Hybrid Working Environment with more than 15 days a month at office</v>
      </c>
      <c r="L591" s="1" t="str">
        <f ca="1">IFERROR(__xludf.DUMMYFUNCTION("""COMPUTED_VALUE"""),"Employer who appreciates learning and enables that environment")</f>
        <v>Employer who appreciates learning and enables that environment</v>
      </c>
      <c r="M59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591" s="1"/>
      <c r="O591" s="1" t="str">
        <f ca="1">IFERROR(__xludf.DUMMYFUNCTION("""COMPUTED_VALUE"""),"Manager who explains what is expected, sets a goal and helps achieve it")</f>
        <v>Manager who explains what is expected, sets a goal and helps achieve it</v>
      </c>
      <c r="P591" s="1" t="str">
        <f ca="1">IFERROR(__xludf.DUMMYFUNCTION("""COMPUTED_VALUE"""),"Work &gt;10 people in Team")</f>
        <v>Work &gt;10 people in Team</v>
      </c>
      <c r="Q591" s="1" t="s">
        <v>42</v>
      </c>
      <c r="R591" s="1"/>
    </row>
    <row r="592" spans="1:18" x14ac:dyDescent="0.25">
      <c r="A592" s="2">
        <f ca="1">IFERROR(__xludf.DUMMYFUNCTION("""COMPUTED_VALUE"""),45021.7391414699)</f>
        <v>45021.739141469901</v>
      </c>
      <c r="B592" s="1" t="str">
        <f ca="1">IFERROR(__xludf.DUMMYFUNCTION("""COMPUTED_VALUE"""),"India")</f>
        <v>India</v>
      </c>
      <c r="C592" s="1">
        <f ca="1">IFERROR(__xludf.DUMMYFUNCTION("""COMPUTED_VALUE"""),560016)</f>
        <v>560016</v>
      </c>
      <c r="D592" s="1" t="str">
        <f ca="1">IFERROR(__xludf.DUMMYFUNCTION("""COMPUTED_VALUE"""),"Male")</f>
        <v>Male</v>
      </c>
      <c r="E592" s="1" t="str">
        <f ca="1">IFERROR(__xludf.DUMMYFUNCTION("""COMPUTED_VALUE"""),"People from my circle, but not family members")</f>
        <v>People from my circle, but not family members</v>
      </c>
      <c r="F592" s="1" t="str">
        <f ca="1">IFERROR(__xludf.DUMMYFUNCTION("""COMPUTED_VALUE"""),"Yes, I will earn and do that")</f>
        <v>Yes, I will earn and do that</v>
      </c>
      <c r="G592" s="1" t="str">
        <f ca="1">IFERROR(__xludf.DUMMYFUNCTION("""COMPUTED_VALUE"""),"This will be hard to do, but if it is the right company I would try")</f>
        <v>This will be hard to do, but if it is the right company I would try</v>
      </c>
      <c r="H592" s="1" t="str">
        <f ca="1">IFERROR(__xludf.DUMMYFUNCTION("""COMPUTED_VALUE"""),"Yes")</f>
        <v>Yes</v>
      </c>
      <c r="I592" s="1" t="str">
        <f ca="1">IFERROR(__xludf.DUMMYFUNCTION("""COMPUTED_VALUE"""),"Will NOT work for them")</f>
        <v>Will NOT work for them</v>
      </c>
      <c r="J592" s="1">
        <f ca="1">IFERROR(__xludf.DUMMYFUNCTION("""COMPUTED_VALUE"""),8)</f>
        <v>8</v>
      </c>
      <c r="K592" s="1" t="str">
        <f ca="1">IFERROR(__xludf.DUMMYFUNCTION("""COMPUTED_VALUE"""),"Hybrid Working Environment with more than 15 days a month at office")</f>
        <v>Hybrid Working Environment with more than 15 days a month at office</v>
      </c>
      <c r="L592" s="1" t="str">
        <f ca="1">IFERROR(__xludf.DUMMYFUNCTION("""COMPUTED_VALUE"""),"Employer who pushes your limits by enabling an learning environment, and rewards you at the end")</f>
        <v>Employer who pushes your limits by enabling an learning environment, and rewards you at the end</v>
      </c>
      <c r="M592" s="1" t="str">
        <f ca="1">IFERROR(__xludf.DUMMYFUNCTION("""COMPUTED_VALUE"""),"Business Operations in any organization, Manage and drive End-to-End Projects or Products, Entrepreneur or Start Up, I Want to sell things/Sales")</f>
        <v>Business Operations in any organization, Manage and drive End-to-End Projects or Products, Entrepreneur or Start Up, I Want to sell things/Sales</v>
      </c>
      <c r="N592" s="1"/>
      <c r="O592" s="1" t="str">
        <f ca="1">IFERROR(__xludf.DUMMYFUNCTION("""COMPUTED_VALUE"""),"Manager who explains what is expected, sets a goal and helps achieve it")</f>
        <v>Manager who explains what is expected, sets a goal and helps achieve it</v>
      </c>
      <c r="P592" s="1" t="str">
        <f ca="1">IFERROR(__xludf.DUMMYFUNCTION("""COMPUTED_VALUE"""),"Work &lt;=6 People in the Team")</f>
        <v>Work &lt;=6 People in the Team</v>
      </c>
      <c r="Q592" s="1" t="s">
        <v>40</v>
      </c>
      <c r="R592" s="1"/>
    </row>
    <row r="593" spans="1:18" x14ac:dyDescent="0.25">
      <c r="A593" s="2">
        <f ca="1">IFERROR(__xludf.DUMMYFUNCTION("""COMPUTED_VALUE"""),45021.7392594444)</f>
        <v>45021.739259444403</v>
      </c>
      <c r="B593" s="1" t="str">
        <f ca="1">IFERROR(__xludf.DUMMYFUNCTION("""COMPUTED_VALUE"""),"India")</f>
        <v>India</v>
      </c>
      <c r="C593" s="1">
        <f ca="1">IFERROR(__xludf.DUMMYFUNCTION("""COMPUTED_VALUE"""),641062)</f>
        <v>641062</v>
      </c>
      <c r="D593" s="1" t="str">
        <f ca="1">IFERROR(__xludf.DUMMYFUNCTION("""COMPUTED_VALUE"""),"Male")</f>
        <v>Male</v>
      </c>
      <c r="E593" s="1" t="str">
        <f ca="1">IFERROR(__xludf.DUMMYFUNCTION("""COMPUTED_VALUE"""),"Influencers who had successful careers")</f>
        <v>Influencers who had successful careers</v>
      </c>
      <c r="F593" s="1" t="str">
        <f ca="1">IFERROR(__xludf.DUMMYFUNCTION("""COMPUTED_VALUE"""),"No, But if someone could bare the cost I will")</f>
        <v>No, But if someone could bare the cost I will</v>
      </c>
      <c r="G593" s="1" t="str">
        <f ca="1">IFERROR(__xludf.DUMMYFUNCTION("""COMPUTED_VALUE"""),"This will be hard to do, but if it is the right company I would try")</f>
        <v>This will be hard to do, but if it is the right company I would try</v>
      </c>
      <c r="H593" s="1" t="str">
        <f ca="1">IFERROR(__xludf.DUMMYFUNCTION("""COMPUTED_VALUE"""),"No")</f>
        <v>No</v>
      </c>
      <c r="I593" s="1" t="str">
        <f ca="1">IFERROR(__xludf.DUMMYFUNCTION("""COMPUTED_VALUE"""),"Will NOT work for them")</f>
        <v>Will NOT work for them</v>
      </c>
      <c r="J593" s="1">
        <f ca="1">IFERROR(__xludf.DUMMYFUNCTION("""COMPUTED_VALUE"""),1)</f>
        <v>1</v>
      </c>
      <c r="K593" s="1" t="str">
        <f ca="1">IFERROR(__xludf.DUMMYFUNCTION("""COMPUTED_VALUE"""),"Hybrid Working Environment with less than 3 days a month at office")</f>
        <v>Hybrid Working Environment with less than 3 days a month at office</v>
      </c>
      <c r="L593" s="1" t="str">
        <f ca="1">IFERROR(__xludf.DUMMYFUNCTION("""COMPUTED_VALUE"""),"Employer who pushes your limits by enabling an learning environment, and rewards you at the end")</f>
        <v>Employer who pushes your limits by enabling an learning environment, and rewards you at the end</v>
      </c>
      <c r="M593" s="1" t="str">
        <f ca="1">IFERROR(__xludf.DUMMYFUNCTION("""COMPUTED_VALUE"""),"Design and Creative strategy in any company, Work as a freelancer and do my thing my way, Become a content Creator in some platform, I Want to sell things/Sales")</f>
        <v>Design and Creative strategy in any company, Work as a freelancer and do my thing my way, Become a content Creator in some platform, I Want to sell things/Sales</v>
      </c>
      <c r="N593" s="1"/>
      <c r="O593" s="1" t="str">
        <f ca="1">IFERROR(__xludf.DUMMYFUNCTION("""COMPUTED_VALUE"""),"Manager who explains what is expected, sets a goal and helps achieve it")</f>
        <v>Manager who explains what is expected, sets a goal and helps achieve it</v>
      </c>
      <c r="P593" s="1" t="str">
        <f ca="1">IFERROR(__xludf.DUMMYFUNCTION("""COMPUTED_VALUE"""),"Work &lt;=6 People in the Team")</f>
        <v>Work &lt;=6 People in the Team</v>
      </c>
      <c r="Q593" s="1" t="s">
        <v>43</v>
      </c>
      <c r="R593" s="1"/>
    </row>
    <row r="594" spans="1:18" x14ac:dyDescent="0.25">
      <c r="A594" s="2">
        <f ca="1">IFERROR(__xludf.DUMMYFUNCTION("""COMPUTED_VALUE"""),45021.7427980671)</f>
        <v>45021.742798067098</v>
      </c>
      <c r="B594" s="1" t="str">
        <f ca="1">IFERROR(__xludf.DUMMYFUNCTION("""COMPUTED_VALUE"""),"India")</f>
        <v>India</v>
      </c>
      <c r="C594" s="1">
        <f ca="1">IFERROR(__xludf.DUMMYFUNCTION("""COMPUTED_VALUE"""),793002)</f>
        <v>793002</v>
      </c>
      <c r="D594" s="1" t="str">
        <f ca="1">IFERROR(__xludf.DUMMYFUNCTION("""COMPUTED_VALUE"""),"Male")</f>
        <v>Male</v>
      </c>
      <c r="E594" s="1" t="str">
        <f ca="1">IFERROR(__xludf.DUMMYFUNCTION("""COMPUTED_VALUE"""),"People from my circle, but not family members")</f>
        <v>People from my circle, but not family members</v>
      </c>
      <c r="F594" s="1" t="str">
        <f ca="1">IFERROR(__xludf.DUMMYFUNCTION("""COMPUTED_VALUE"""),"No I would not be pursuing Higher Education outside of India")</f>
        <v>No I would not be pursuing Higher Education outside of India</v>
      </c>
      <c r="G594" s="1" t="str">
        <f ca="1">IFERROR(__xludf.DUMMYFUNCTION("""COMPUTED_VALUE"""),"This will be hard to do, but if it is the right company I would try")</f>
        <v>This will be hard to do, but if it is the right company I would try</v>
      </c>
      <c r="H594" s="1" t="str">
        <f ca="1">IFERROR(__xludf.DUMMYFUNCTION("""COMPUTED_VALUE"""),"Yes")</f>
        <v>Yes</v>
      </c>
      <c r="I594" s="1" t="str">
        <f ca="1">IFERROR(__xludf.DUMMYFUNCTION("""COMPUTED_VALUE"""),"Will NOT work for them")</f>
        <v>Will NOT work for them</v>
      </c>
      <c r="J594" s="1">
        <f ca="1">IFERROR(__xludf.DUMMYFUNCTION("""COMPUTED_VALUE"""),4)</f>
        <v>4</v>
      </c>
      <c r="K594" s="1" t="str">
        <f ca="1">IFERROR(__xludf.DUMMYFUNCTION("""COMPUTED_VALUE"""),"Fully Remote with Options to travel as and when needed")</f>
        <v>Fully Remote with Options to travel as and when needed</v>
      </c>
      <c r="L594" s="1" t="str">
        <f ca="1">IFERROR(__xludf.DUMMYFUNCTION("""COMPUTED_VALUE"""),"Employer who pushes your limits by enabling an learning environment, and rewards you at the end")</f>
        <v>Employer who pushes your limits by enabling an learning environment, and rewards you at the end</v>
      </c>
      <c r="M594"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N594" s="1"/>
      <c r="O594" s="1" t="str">
        <f ca="1">IFERROR(__xludf.DUMMYFUNCTION("""COMPUTED_VALUE"""),"Manager who explains what is expected, sets a goal and helps achieve it")</f>
        <v>Manager who explains what is expected, sets a goal and helps achieve it</v>
      </c>
      <c r="P594" s="1" t="str">
        <f ca="1">IFERROR(__xludf.DUMMYFUNCTION("""COMPUTED_VALUE"""),"Work Alone, &lt;=6 in team")</f>
        <v>Work Alone, &lt;=6 in team</v>
      </c>
      <c r="Q594" s="1" t="s">
        <v>43</v>
      </c>
      <c r="R594" s="1"/>
    </row>
    <row r="595" spans="1:18" x14ac:dyDescent="0.25">
      <c r="A595" s="2">
        <f ca="1">IFERROR(__xludf.DUMMYFUNCTION("""COMPUTED_VALUE"""),45021.745111493)</f>
        <v>45021.745111493001</v>
      </c>
      <c r="B595" s="1" t="str">
        <f ca="1">IFERROR(__xludf.DUMMYFUNCTION("""COMPUTED_VALUE"""),"India")</f>
        <v>India</v>
      </c>
      <c r="C595" s="1">
        <f ca="1">IFERROR(__xludf.DUMMYFUNCTION("""COMPUTED_VALUE"""),122022)</f>
        <v>122022</v>
      </c>
      <c r="D595" s="1" t="str">
        <f ca="1">IFERROR(__xludf.DUMMYFUNCTION("""COMPUTED_VALUE"""),"Male")</f>
        <v>Male</v>
      </c>
      <c r="E595" s="1" t="str">
        <f ca="1">IFERROR(__xludf.DUMMYFUNCTION("""COMPUTED_VALUE"""),"People from my circle, but not family members")</f>
        <v>People from my circle, but not family members</v>
      </c>
      <c r="F595" s="1" t="str">
        <f ca="1">IFERROR(__xludf.DUMMYFUNCTION("""COMPUTED_VALUE"""),"No I would not be pursuing Higher Education outside of India")</f>
        <v>No I would not be pursuing Higher Education outside of India</v>
      </c>
      <c r="G595" s="1" t="str">
        <f ca="1">IFERROR(__xludf.DUMMYFUNCTION("""COMPUTED_VALUE"""),"Will work for 3 years or more")</f>
        <v>Will work for 3 years or more</v>
      </c>
      <c r="H595" s="1" t="str">
        <f ca="1">IFERROR(__xludf.DUMMYFUNCTION("""COMPUTED_VALUE"""),"No")</f>
        <v>No</v>
      </c>
      <c r="I595" s="1" t="str">
        <f ca="1">IFERROR(__xludf.DUMMYFUNCTION("""COMPUTED_VALUE"""),"Will NOT work for them")</f>
        <v>Will NOT work for them</v>
      </c>
      <c r="J595" s="1">
        <f ca="1">IFERROR(__xludf.DUMMYFUNCTION("""COMPUTED_VALUE"""),10)</f>
        <v>10</v>
      </c>
      <c r="K595" s="1" t="str">
        <f ca="1">IFERROR(__xludf.DUMMYFUNCTION("""COMPUTED_VALUE"""),"Hybrid Working Environment with less than 3 days a month at office")</f>
        <v>Hybrid Working Environment with less than 3 days a month at office</v>
      </c>
      <c r="L595" s="1" t="str">
        <f ca="1">IFERROR(__xludf.DUMMYFUNCTION("""COMPUTED_VALUE"""),"Employer who pushes your limits by enabling an learning environment, and rewards you at the end")</f>
        <v>Employer who pushes your limits by enabling an learning environment, and rewards you at the end</v>
      </c>
      <c r="M5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595" s="1"/>
      <c r="O595" s="1" t="str">
        <f ca="1">IFERROR(__xludf.DUMMYFUNCTION("""COMPUTED_VALUE"""),"Manager who clearly describes what she/he needs")</f>
        <v>Manager who clearly describes what she/he needs</v>
      </c>
      <c r="P595" s="1" t="str">
        <f ca="1">IFERROR(__xludf.DUMMYFUNCTION("""COMPUTED_VALUE"""),"Work &gt;10 people in Team")</f>
        <v>Work &gt;10 people in Team</v>
      </c>
      <c r="Q595" s="1" t="s">
        <v>40</v>
      </c>
      <c r="R595" s="1"/>
    </row>
    <row r="596" spans="1:18" x14ac:dyDescent="0.25">
      <c r="A596" s="2">
        <f ca="1">IFERROR(__xludf.DUMMYFUNCTION("""COMPUTED_VALUE"""),45021.7468318865)</f>
        <v>45021.746831886499</v>
      </c>
      <c r="B596" s="1" t="str">
        <f ca="1">IFERROR(__xludf.DUMMYFUNCTION("""COMPUTED_VALUE"""),"India")</f>
        <v>India</v>
      </c>
      <c r="C596" s="1">
        <f ca="1">IFERROR(__xludf.DUMMYFUNCTION("""COMPUTED_VALUE"""),110059)</f>
        <v>110059</v>
      </c>
      <c r="D596" s="1" t="str">
        <f ca="1">IFERROR(__xludf.DUMMYFUNCTION("""COMPUTED_VALUE"""),"Male")</f>
        <v>Male</v>
      </c>
      <c r="E596" s="1" t="str">
        <f ca="1">IFERROR(__xludf.DUMMYFUNCTION("""COMPUTED_VALUE"""),"People who have changed the world for better")</f>
        <v>People who have changed the world for better</v>
      </c>
      <c r="F596" s="1" t="str">
        <f ca="1">IFERROR(__xludf.DUMMYFUNCTION("""COMPUTED_VALUE"""),"No I would not be pursuing Higher Education outside of India")</f>
        <v>No I would not be pursuing Higher Education outside of India</v>
      </c>
      <c r="G596" s="1" t="str">
        <f ca="1">IFERROR(__xludf.DUMMYFUNCTION("""COMPUTED_VALUE"""),"This will be hard to do, but if it is the right company I would try")</f>
        <v>This will be hard to do, but if it is the right company I would try</v>
      </c>
      <c r="H596" s="1" t="str">
        <f ca="1">IFERROR(__xludf.DUMMYFUNCTION("""COMPUTED_VALUE"""),"No")</f>
        <v>No</v>
      </c>
      <c r="I596" s="1" t="str">
        <f ca="1">IFERROR(__xludf.DUMMYFUNCTION("""COMPUTED_VALUE"""),"Will NOT work for them")</f>
        <v>Will NOT work for them</v>
      </c>
      <c r="J596" s="1">
        <f ca="1">IFERROR(__xludf.DUMMYFUNCTION("""COMPUTED_VALUE"""),2)</f>
        <v>2</v>
      </c>
      <c r="K596" s="1" t="str">
        <f ca="1">IFERROR(__xludf.DUMMYFUNCTION("""COMPUTED_VALUE"""),"Fully Remote with Options to travel as and when needed")</f>
        <v>Fully Remote with Options to travel as and when needed</v>
      </c>
      <c r="L596" s="1" t="str">
        <f ca="1">IFERROR(__xludf.DUMMYFUNCTION("""COMPUTED_VALUE"""),"Employer who pushes your limits by enabling an learning environment, and rewards you at the end")</f>
        <v>Employer who pushes your limits by enabling an learning environment, and rewards you at the end</v>
      </c>
      <c r="M59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596" s="1"/>
      <c r="O596" s="1" t="str">
        <f ca="1">IFERROR(__xludf.DUMMYFUNCTION("""COMPUTED_VALUE"""),"Manager who explains what is expected, sets a goal and helps achieve it")</f>
        <v>Manager who explains what is expected, sets a goal and helps achieve it</v>
      </c>
      <c r="P596" s="1" t="str">
        <f ca="1">IFERROR(__xludf.DUMMYFUNCTION("""COMPUTED_VALUE"""),"Work &lt;=6 People in the Team")</f>
        <v>Work &lt;=6 People in the Team</v>
      </c>
      <c r="Q596" s="1" t="s">
        <v>43</v>
      </c>
      <c r="R596" s="1"/>
    </row>
    <row r="597" spans="1:18" x14ac:dyDescent="0.25">
      <c r="A597" s="2">
        <f ca="1">IFERROR(__xludf.DUMMYFUNCTION("""COMPUTED_VALUE"""),45021.7473158912)</f>
        <v>45021.747315891203</v>
      </c>
      <c r="B597" s="1" t="str">
        <f ca="1">IFERROR(__xludf.DUMMYFUNCTION("""COMPUTED_VALUE"""),"India")</f>
        <v>India</v>
      </c>
      <c r="C597" s="1">
        <f ca="1">IFERROR(__xludf.DUMMYFUNCTION("""COMPUTED_VALUE"""),620002)</f>
        <v>620002</v>
      </c>
      <c r="D597" s="1" t="str">
        <f ca="1">IFERROR(__xludf.DUMMYFUNCTION("""COMPUTED_VALUE"""),"Male")</f>
        <v>Male</v>
      </c>
      <c r="E597" s="1" t="str">
        <f ca="1">IFERROR(__xludf.DUMMYFUNCTION("""COMPUTED_VALUE"""),"Influencers who had successful careers")</f>
        <v>Influencers who had successful careers</v>
      </c>
      <c r="F597" s="1" t="str">
        <f ca="1">IFERROR(__xludf.DUMMYFUNCTION("""COMPUTED_VALUE"""),"No I would not be pursuing Higher Education outside of India")</f>
        <v>No I would not be pursuing Higher Education outside of India</v>
      </c>
      <c r="G597" s="1" t="str">
        <f ca="1">IFERROR(__xludf.DUMMYFUNCTION("""COMPUTED_VALUE"""),"This will be hard to do, but if it is the right company I would try")</f>
        <v>This will be hard to do, but if it is the right company I would try</v>
      </c>
      <c r="H597" s="1" t="str">
        <f ca="1">IFERROR(__xludf.DUMMYFUNCTION("""COMPUTED_VALUE"""),"Yes")</f>
        <v>Yes</v>
      </c>
      <c r="I597" s="1" t="str">
        <f ca="1">IFERROR(__xludf.DUMMYFUNCTION("""COMPUTED_VALUE"""),"Will NOT work for them")</f>
        <v>Will NOT work for them</v>
      </c>
      <c r="J597" s="1">
        <f ca="1">IFERROR(__xludf.DUMMYFUNCTION("""COMPUTED_VALUE"""),5)</f>
        <v>5</v>
      </c>
      <c r="K597" s="1" t="str">
        <f ca="1">IFERROR(__xludf.DUMMYFUNCTION("""COMPUTED_VALUE"""),"Hybrid Working Environment with less than 3 days a month at office")</f>
        <v>Hybrid Working Environment with less than 3 days a month at office</v>
      </c>
      <c r="L597" s="1" t="str">
        <f ca="1">IFERROR(__xludf.DUMMYFUNCTION("""COMPUTED_VALUE"""),"Employer who pushes your limits by enabling an learning environment, and rewards you at the end")</f>
        <v>Employer who pushes your limits by enabling an learning environment, and rewards you at the end</v>
      </c>
      <c r="M59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597" s="1"/>
      <c r="O597" s="1" t="str">
        <f ca="1">IFERROR(__xludf.DUMMYFUNCTION("""COMPUTED_VALUE"""),"Manager who sets goal and helps me achieve it")</f>
        <v>Manager who sets goal and helps me achieve it</v>
      </c>
      <c r="P597" s="1" t="str">
        <f ca="1">IFERROR(__xludf.DUMMYFUNCTION("""COMPUTED_VALUE"""),"Work &gt;=7 People in the Team")</f>
        <v>Work &gt;=7 People in the Team</v>
      </c>
      <c r="Q597" s="1" t="s">
        <v>43</v>
      </c>
      <c r="R597" s="1"/>
    </row>
    <row r="598" spans="1:18" x14ac:dyDescent="0.25">
      <c r="A598" s="2">
        <f ca="1">IFERROR(__xludf.DUMMYFUNCTION("""COMPUTED_VALUE"""),45021.7484475347)</f>
        <v>45021.748447534701</v>
      </c>
      <c r="B598" s="1" t="str">
        <f ca="1">IFERROR(__xludf.DUMMYFUNCTION("""COMPUTED_VALUE"""),"India")</f>
        <v>India</v>
      </c>
      <c r="C598" s="1">
        <f ca="1">IFERROR(__xludf.DUMMYFUNCTION("""COMPUTED_VALUE"""),641028)</f>
        <v>641028</v>
      </c>
      <c r="D598" s="1" t="str">
        <f ca="1">IFERROR(__xludf.DUMMYFUNCTION("""COMPUTED_VALUE"""),"Male")</f>
        <v>Male</v>
      </c>
      <c r="E598" s="1" t="str">
        <f ca="1">IFERROR(__xludf.DUMMYFUNCTION("""COMPUTED_VALUE"""),"People from my circle, but not family members")</f>
        <v>People from my circle, but not family members</v>
      </c>
      <c r="F598" s="1" t="str">
        <f ca="1">IFERROR(__xludf.DUMMYFUNCTION("""COMPUTED_VALUE"""),"No I would not be pursuing Higher Education outside of India")</f>
        <v>No I would not be pursuing Higher Education outside of India</v>
      </c>
      <c r="G598" s="1" t="str">
        <f ca="1">IFERROR(__xludf.DUMMYFUNCTION("""COMPUTED_VALUE"""),"This will be hard to do, but if it is the right company I would try")</f>
        <v>This will be hard to do, but if it is the right company I would try</v>
      </c>
      <c r="H598" s="1" t="str">
        <f ca="1">IFERROR(__xludf.DUMMYFUNCTION("""COMPUTED_VALUE"""),"No")</f>
        <v>No</v>
      </c>
      <c r="I598" s="1" t="str">
        <f ca="1">IFERROR(__xludf.DUMMYFUNCTION("""COMPUTED_VALUE"""),"Will NOT work for them")</f>
        <v>Will NOT work for them</v>
      </c>
      <c r="J598" s="1">
        <f ca="1">IFERROR(__xludf.DUMMYFUNCTION("""COMPUTED_VALUE"""),3)</f>
        <v>3</v>
      </c>
      <c r="K598" s="1" t="str">
        <f ca="1">IFERROR(__xludf.DUMMYFUNCTION("""COMPUTED_VALUE"""),"Hybrid Working Environment with more than 15 days a month at office")</f>
        <v>Hybrid Working Environment with more than 15 days a month at office</v>
      </c>
      <c r="L598" s="1" t="str">
        <f ca="1">IFERROR(__xludf.DUMMYFUNCTION("""COMPUTED_VALUE"""),"Employer who pushes your limits by enabling an learning environment, and rewards you at the end")</f>
        <v>Employer who pushes your limits by enabling an learning environment, and rewards you at the end</v>
      </c>
      <c r="M598"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N598" s="1"/>
      <c r="O598" s="1" t="str">
        <f ca="1">IFERROR(__xludf.DUMMYFUNCTION("""COMPUTED_VALUE"""),"Manager who clearly describes what she/he needs")</f>
        <v>Manager who clearly describes what she/he needs</v>
      </c>
      <c r="P598" s="1" t="str">
        <f ca="1">IFERROR(__xludf.DUMMYFUNCTION("""COMPUTED_VALUE"""),"Work &gt;=7 People in the Team")</f>
        <v>Work &gt;=7 People in the Team</v>
      </c>
      <c r="Q598" s="1" t="s">
        <v>43</v>
      </c>
      <c r="R598" s="1"/>
    </row>
    <row r="599" spans="1:18" x14ac:dyDescent="0.25">
      <c r="A599" s="2">
        <f ca="1">IFERROR(__xludf.DUMMYFUNCTION("""COMPUTED_VALUE"""),45021.7488695601)</f>
        <v>45021.748869560099</v>
      </c>
      <c r="B599" s="1" t="str">
        <f ca="1">IFERROR(__xludf.DUMMYFUNCTION("""COMPUTED_VALUE"""),"India")</f>
        <v>India</v>
      </c>
      <c r="C599" s="1">
        <f ca="1">IFERROR(__xludf.DUMMYFUNCTION("""COMPUTED_VALUE"""),632515)</f>
        <v>632515</v>
      </c>
      <c r="D599" s="1" t="str">
        <f ca="1">IFERROR(__xludf.DUMMYFUNCTION("""COMPUTED_VALUE"""),"Male")</f>
        <v>Male</v>
      </c>
      <c r="E599" s="1" t="str">
        <f ca="1">IFERROR(__xludf.DUMMYFUNCTION("""COMPUTED_VALUE"""),"My Parents")</f>
        <v>My Parents</v>
      </c>
      <c r="F599" s="1" t="str">
        <f ca="1">IFERROR(__xludf.DUMMYFUNCTION("""COMPUTED_VALUE"""),"Yes, I will earn and do that")</f>
        <v>Yes, I will earn and do that</v>
      </c>
      <c r="G599" s="1" t="str">
        <f ca="1">IFERROR(__xludf.DUMMYFUNCTION("""COMPUTED_VALUE"""),"No way")</f>
        <v>No way</v>
      </c>
      <c r="H599" s="1" t="str">
        <f ca="1">IFERROR(__xludf.DUMMYFUNCTION("""COMPUTED_VALUE"""),"No")</f>
        <v>No</v>
      </c>
      <c r="I599" s="1" t="str">
        <f ca="1">IFERROR(__xludf.DUMMYFUNCTION("""COMPUTED_VALUE"""),"Will NOT work for them")</f>
        <v>Will NOT work for them</v>
      </c>
      <c r="J599" s="1">
        <f ca="1">IFERROR(__xludf.DUMMYFUNCTION("""COMPUTED_VALUE"""),4)</f>
        <v>4</v>
      </c>
      <c r="K599" s="1" t="str">
        <f ca="1">IFERROR(__xludf.DUMMYFUNCTION("""COMPUTED_VALUE"""),"Hybrid Working Environment with less than 3 days a month at office")</f>
        <v>Hybrid Working Environment with less than 3 days a month at office</v>
      </c>
      <c r="L599" s="1" t="str">
        <f ca="1">IFERROR(__xludf.DUMMYFUNCTION("""COMPUTED_VALUE"""),"Employer who rewards learning and enables that environment")</f>
        <v>Employer who rewards learning and enables that environment</v>
      </c>
      <c r="M59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N599" s="1"/>
      <c r="O599" s="1" t="str">
        <f ca="1">IFERROR(__xludf.DUMMYFUNCTION("""COMPUTED_VALUE"""),"Manager who sets goal and helps me achieve it")</f>
        <v>Manager who sets goal and helps me achieve it</v>
      </c>
      <c r="P599" s="1" t="str">
        <f ca="1">IFERROR(__xludf.DUMMYFUNCTION("""COMPUTED_VALUE"""),"Work &gt;10 people in Team")</f>
        <v>Work &gt;10 people in Team</v>
      </c>
      <c r="Q599" s="1" t="s">
        <v>40</v>
      </c>
      <c r="R599" s="1"/>
    </row>
    <row r="600" spans="1:18" x14ac:dyDescent="0.25">
      <c r="A600" s="2">
        <f ca="1">IFERROR(__xludf.DUMMYFUNCTION("""COMPUTED_VALUE"""),45021.752834375)</f>
        <v>45021.752834375002</v>
      </c>
      <c r="B600" s="1" t="str">
        <f ca="1">IFERROR(__xludf.DUMMYFUNCTION("""COMPUTED_VALUE"""),"India")</f>
        <v>India</v>
      </c>
      <c r="C600" s="1">
        <f ca="1">IFERROR(__xludf.DUMMYFUNCTION("""COMPUTED_VALUE"""),620017)</f>
        <v>620017</v>
      </c>
      <c r="D600" s="1" t="str">
        <f ca="1">IFERROR(__xludf.DUMMYFUNCTION("""COMPUTED_VALUE"""),"Female")</f>
        <v>Female</v>
      </c>
      <c r="E600" s="1" t="str">
        <f ca="1">IFERROR(__xludf.DUMMYFUNCTION("""COMPUTED_VALUE"""),"People who have changed the world for better")</f>
        <v>People who have changed the world for better</v>
      </c>
      <c r="F600" s="1" t="str">
        <f ca="1">IFERROR(__xludf.DUMMYFUNCTION("""COMPUTED_VALUE"""),"Yes, I will earn and do that")</f>
        <v>Yes, I will earn and do that</v>
      </c>
      <c r="G600" s="1" t="str">
        <f ca="1">IFERROR(__xludf.DUMMYFUNCTION("""COMPUTED_VALUE"""),"This will be hard to do, but if it is the right company I would try")</f>
        <v>This will be hard to do, but if it is the right company I would try</v>
      </c>
      <c r="H600" s="1" t="str">
        <f ca="1">IFERROR(__xludf.DUMMYFUNCTION("""COMPUTED_VALUE"""),"No")</f>
        <v>No</v>
      </c>
      <c r="I600" s="1" t="str">
        <f ca="1">IFERROR(__xludf.DUMMYFUNCTION("""COMPUTED_VALUE"""),"Will NOT work for them")</f>
        <v>Will NOT work for them</v>
      </c>
      <c r="J600" s="1">
        <f ca="1">IFERROR(__xludf.DUMMYFUNCTION("""COMPUTED_VALUE"""),6)</f>
        <v>6</v>
      </c>
      <c r="K600" s="1" t="str">
        <f ca="1">IFERROR(__xludf.DUMMYFUNCTION("""COMPUTED_VALUE"""),"Hybrid Working Environment with more than 15 days a month at office")</f>
        <v>Hybrid Working Environment with more than 15 days a month at office</v>
      </c>
      <c r="L600" s="1" t="str">
        <f ca="1">IFERROR(__xludf.DUMMYFUNCTION("""COMPUTED_VALUE"""),"Employer who appreciates learning and enables that environment")</f>
        <v>Employer who appreciates learning and enables that environment</v>
      </c>
      <c r="M600"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600" s="1"/>
      <c r="O600" s="1" t="str">
        <f ca="1">IFERROR(__xludf.DUMMYFUNCTION("""COMPUTED_VALUE"""),"Manager who sets targets and expects me to achieve it")</f>
        <v>Manager who sets targets and expects me to achieve it</v>
      </c>
      <c r="P600" s="1" t="str">
        <f ca="1">IFERROR(__xludf.DUMMYFUNCTION("""COMPUTED_VALUE"""),"Work &gt;10 people in Team")</f>
        <v>Work &gt;10 people in Team</v>
      </c>
      <c r="Q600" s="1" t="s">
        <v>43</v>
      </c>
      <c r="R600" s="1"/>
    </row>
    <row r="601" spans="1:18" x14ac:dyDescent="0.25">
      <c r="A601" s="2">
        <f ca="1">IFERROR(__xludf.DUMMYFUNCTION("""COMPUTED_VALUE"""),45021.7534119097)</f>
        <v>45021.753411909704</v>
      </c>
      <c r="B601" s="1" t="str">
        <f ca="1">IFERROR(__xludf.DUMMYFUNCTION("""COMPUTED_VALUE"""),"India")</f>
        <v>India</v>
      </c>
      <c r="C601" s="1">
        <f ca="1">IFERROR(__xludf.DUMMYFUNCTION("""COMPUTED_VALUE"""),574106)</f>
        <v>574106</v>
      </c>
      <c r="D601" s="1" t="str">
        <f ca="1">IFERROR(__xludf.DUMMYFUNCTION("""COMPUTED_VALUE"""),"Female")</f>
        <v>Female</v>
      </c>
      <c r="E601" s="1" t="str">
        <f ca="1">IFERROR(__xludf.DUMMYFUNCTION("""COMPUTED_VALUE"""),"Social Media like LinkedIn")</f>
        <v>Social Media like LinkedIn</v>
      </c>
      <c r="F601" s="1" t="str">
        <f ca="1">IFERROR(__xludf.DUMMYFUNCTION("""COMPUTED_VALUE"""),"Yes, I will earn and do that")</f>
        <v>Yes, I will earn and do that</v>
      </c>
      <c r="G601" s="1" t="str">
        <f ca="1">IFERROR(__xludf.DUMMYFUNCTION("""COMPUTED_VALUE"""),"Will work for 3 years or more")</f>
        <v>Will work for 3 years or more</v>
      </c>
      <c r="H601" s="1" t="str">
        <f ca="1">IFERROR(__xludf.DUMMYFUNCTION("""COMPUTED_VALUE"""),"Yes")</f>
        <v>Yes</v>
      </c>
      <c r="I601" s="1" t="str">
        <f ca="1">IFERROR(__xludf.DUMMYFUNCTION("""COMPUTED_VALUE"""),"Will work for them")</f>
        <v>Will work for them</v>
      </c>
      <c r="J601" s="1">
        <f ca="1">IFERROR(__xludf.DUMMYFUNCTION("""COMPUTED_VALUE"""),7)</f>
        <v>7</v>
      </c>
      <c r="K601" s="1" t="str">
        <f ca="1">IFERROR(__xludf.DUMMYFUNCTION("""COMPUTED_VALUE"""),"Fully Remote with Options to travel as and when needed")</f>
        <v>Fully Remote with Options to travel as and when needed</v>
      </c>
      <c r="L601" s="1" t="str">
        <f ca="1">IFERROR(__xludf.DUMMYFUNCTION("""COMPUTED_VALUE"""),"Employer who pushes your limits by enabling an learning environment, and rewards you at the end")</f>
        <v>Employer who pushes your limits by enabling an learning environment, and rewards you at the end</v>
      </c>
      <c r="M601" s="1" t="str">
        <f ca="1">IFERROR(__xludf.DUMMYFUNCTION("""COMPUTED_VALUE"""),"Build and develop a Team, Work in a BPO setup for some well known client, Work as a freelancer and do my thing my way, An Artificial Intelligence Specialist / Talking to Robots")</f>
        <v>Build and develop a Team, Work in a BPO setup for some well known client, Work as a freelancer and do my thing my way, An Artificial Intelligence Specialist / Talking to Robots</v>
      </c>
      <c r="N601" s="1"/>
      <c r="O601" s="1" t="str">
        <f ca="1">IFERROR(__xludf.DUMMYFUNCTION("""COMPUTED_VALUE"""),"Manager who explains what is expected, sets a goal and helps achieve it")</f>
        <v>Manager who explains what is expected, sets a goal and helps achieve it</v>
      </c>
      <c r="P601" s="1" t="str">
        <f ca="1">IFERROR(__xludf.DUMMYFUNCTION("""COMPUTED_VALUE"""),"Work &lt;=6 People in the Team")</f>
        <v>Work &lt;=6 People in the Team</v>
      </c>
      <c r="Q601" s="1" t="s">
        <v>43</v>
      </c>
      <c r="R601" s="1"/>
    </row>
    <row r="602" spans="1:18" x14ac:dyDescent="0.25">
      <c r="A602" s="2">
        <f ca="1">IFERROR(__xludf.DUMMYFUNCTION("""COMPUTED_VALUE"""),45021.7537363425)</f>
        <v>45021.7537363425</v>
      </c>
      <c r="B602" s="1" t="str">
        <f ca="1">IFERROR(__xludf.DUMMYFUNCTION("""COMPUTED_VALUE"""),"India")</f>
        <v>India</v>
      </c>
      <c r="C602" s="1">
        <f ca="1">IFERROR(__xludf.DUMMYFUNCTION("""COMPUTED_VALUE"""),752050)</f>
        <v>752050</v>
      </c>
      <c r="D602" s="1" t="str">
        <f ca="1">IFERROR(__xludf.DUMMYFUNCTION("""COMPUTED_VALUE"""),"Male")</f>
        <v>Male</v>
      </c>
      <c r="E602" s="1" t="str">
        <f ca="1">IFERROR(__xludf.DUMMYFUNCTION("""COMPUTED_VALUE"""),"People from my circle, but not family members")</f>
        <v>People from my circle, but not family members</v>
      </c>
      <c r="F602" s="1" t="str">
        <f ca="1">IFERROR(__xludf.DUMMYFUNCTION("""COMPUTED_VALUE"""),"No I would not be pursuing Higher Education outside of India")</f>
        <v>No I would not be pursuing Higher Education outside of India</v>
      </c>
      <c r="G602" s="1" t="str">
        <f ca="1">IFERROR(__xludf.DUMMYFUNCTION("""COMPUTED_VALUE"""),"This will be hard to do, but if it is the right company I would try")</f>
        <v>This will be hard to do, but if it is the right company I would try</v>
      </c>
      <c r="H602" s="1" t="str">
        <f ca="1">IFERROR(__xludf.DUMMYFUNCTION("""COMPUTED_VALUE"""),"No")</f>
        <v>No</v>
      </c>
      <c r="I602" s="1" t="str">
        <f ca="1">IFERROR(__xludf.DUMMYFUNCTION("""COMPUTED_VALUE"""),"Will NOT work for them")</f>
        <v>Will NOT work for them</v>
      </c>
      <c r="J602" s="1">
        <f ca="1">IFERROR(__xludf.DUMMYFUNCTION("""COMPUTED_VALUE"""),8)</f>
        <v>8</v>
      </c>
      <c r="K602" s="1" t="str">
        <f ca="1">IFERROR(__xludf.DUMMYFUNCTION("""COMPUTED_VALUE"""),"Fully Remote with Options to travel as and when needed")</f>
        <v>Fully Remote with Options to travel as and when needed</v>
      </c>
      <c r="L602" s="1" t="str">
        <f ca="1">IFERROR(__xludf.DUMMYFUNCTION("""COMPUTED_VALUE"""),"Employer who rewards learning and enables that environment")</f>
        <v>Employer who rewards learning and enables that environment</v>
      </c>
      <c r="M60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602" s="1"/>
      <c r="O602" s="1" t="str">
        <f ca="1">IFERROR(__xludf.DUMMYFUNCTION("""COMPUTED_VALUE"""),"Manager who sets targets and expects me to achieve it")</f>
        <v>Manager who sets targets and expects me to achieve it</v>
      </c>
      <c r="P602" s="1" t="str">
        <f ca="1">IFERROR(__xludf.DUMMYFUNCTION("""COMPUTED_VALUE"""),"Work &lt;=6 People in the Team")</f>
        <v>Work &lt;=6 People in the Team</v>
      </c>
      <c r="Q602" s="1" t="s">
        <v>43</v>
      </c>
      <c r="R602" s="1"/>
    </row>
    <row r="603" spans="1:18" x14ac:dyDescent="0.25">
      <c r="A603" s="2">
        <f ca="1">IFERROR(__xludf.DUMMYFUNCTION("""COMPUTED_VALUE"""),45021.755916655)</f>
        <v>45021.755916654998</v>
      </c>
      <c r="B603" s="1" t="str">
        <f ca="1">IFERROR(__xludf.DUMMYFUNCTION("""COMPUTED_VALUE"""),"India")</f>
        <v>India</v>
      </c>
      <c r="C603" s="1">
        <f ca="1">IFERROR(__xludf.DUMMYFUNCTION("""COMPUTED_VALUE"""),781015)</f>
        <v>781015</v>
      </c>
      <c r="D603" s="1" t="str">
        <f ca="1">IFERROR(__xludf.DUMMYFUNCTION("""COMPUTED_VALUE"""),"Male")</f>
        <v>Male</v>
      </c>
      <c r="E603" s="1" t="str">
        <f ca="1">IFERROR(__xludf.DUMMYFUNCTION("""COMPUTED_VALUE"""),"My Parents")</f>
        <v>My Parents</v>
      </c>
      <c r="F603" s="1" t="str">
        <f ca="1">IFERROR(__xludf.DUMMYFUNCTION("""COMPUTED_VALUE"""),"Yes, I will earn and do that")</f>
        <v>Yes, I will earn and do that</v>
      </c>
      <c r="G603" s="1" t="str">
        <f ca="1">IFERROR(__xludf.DUMMYFUNCTION("""COMPUTED_VALUE"""),"Will work for 3 years or more")</f>
        <v>Will work for 3 years or more</v>
      </c>
      <c r="H603" s="1" t="str">
        <f ca="1">IFERROR(__xludf.DUMMYFUNCTION("""COMPUTED_VALUE"""),"Yes")</f>
        <v>Yes</v>
      </c>
      <c r="I603" s="1" t="str">
        <f ca="1">IFERROR(__xludf.DUMMYFUNCTION("""COMPUTED_VALUE"""),"Will work for them")</f>
        <v>Will work for them</v>
      </c>
      <c r="J603" s="1">
        <f ca="1">IFERROR(__xludf.DUMMYFUNCTION("""COMPUTED_VALUE"""),1)</f>
        <v>1</v>
      </c>
      <c r="K603" s="1" t="str">
        <f ca="1">IFERROR(__xludf.DUMMYFUNCTION("""COMPUTED_VALUE"""),"Every Day Office Environment")</f>
        <v>Every Day Office Environment</v>
      </c>
      <c r="L603" s="1" t="str">
        <f ca="1">IFERROR(__xludf.DUMMYFUNCTION("""COMPUTED_VALUE"""),"Employer who appreciates learning and enables that environment")</f>
        <v>Employer who appreciates learning and enables that environment</v>
      </c>
      <c r="M60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603" s="1"/>
      <c r="O603" s="1" t="str">
        <f ca="1">IFERROR(__xludf.DUMMYFUNCTION("""COMPUTED_VALUE"""),"Manager who sets targets and expects me to achieve it")</f>
        <v>Manager who sets targets and expects me to achieve it</v>
      </c>
      <c r="P603" s="1" t="str">
        <f ca="1">IFERROR(__xludf.DUMMYFUNCTION("""COMPUTED_VALUE"""),"Work &gt;=7 People in the Team")</f>
        <v>Work &gt;=7 People in the Team</v>
      </c>
      <c r="Q603" s="1" t="s">
        <v>43</v>
      </c>
      <c r="R603" s="1"/>
    </row>
    <row r="604" spans="1:18" x14ac:dyDescent="0.25">
      <c r="A604" s="2">
        <f ca="1">IFERROR(__xludf.DUMMYFUNCTION("""COMPUTED_VALUE"""),45021.7694280092)</f>
        <v>45021.769428009196</v>
      </c>
      <c r="B604" s="1" t="str">
        <f ca="1">IFERROR(__xludf.DUMMYFUNCTION("""COMPUTED_VALUE"""),"India")</f>
        <v>India</v>
      </c>
      <c r="C604" s="1">
        <f ca="1">IFERROR(__xludf.DUMMYFUNCTION("""COMPUTED_VALUE"""),380008)</f>
        <v>380008</v>
      </c>
      <c r="D604" s="1" t="str">
        <f ca="1">IFERROR(__xludf.DUMMYFUNCTION("""COMPUTED_VALUE"""),"Male")</f>
        <v>Male</v>
      </c>
      <c r="E604" s="1" t="str">
        <f ca="1">IFERROR(__xludf.DUMMYFUNCTION("""COMPUTED_VALUE"""),"Influencers who had successful careers")</f>
        <v>Influencers who had successful careers</v>
      </c>
      <c r="F604" s="1" t="str">
        <f ca="1">IFERROR(__xludf.DUMMYFUNCTION("""COMPUTED_VALUE"""),"Yes, I will earn and do that")</f>
        <v>Yes, I will earn and do that</v>
      </c>
      <c r="G604" s="1" t="str">
        <f ca="1">IFERROR(__xludf.DUMMYFUNCTION("""COMPUTED_VALUE"""),"Will work for 3 years or more")</f>
        <v>Will work for 3 years or more</v>
      </c>
      <c r="H604" s="1" t="str">
        <f ca="1">IFERROR(__xludf.DUMMYFUNCTION("""COMPUTED_VALUE"""),"No")</f>
        <v>No</v>
      </c>
      <c r="I604" s="1" t="str">
        <f ca="1">IFERROR(__xludf.DUMMYFUNCTION("""COMPUTED_VALUE"""),"Will NOT work for them")</f>
        <v>Will NOT work for them</v>
      </c>
      <c r="J604" s="1">
        <f ca="1">IFERROR(__xludf.DUMMYFUNCTION("""COMPUTED_VALUE"""),6)</f>
        <v>6</v>
      </c>
      <c r="K604" s="1" t="str">
        <f ca="1">IFERROR(__xludf.DUMMYFUNCTION("""COMPUTED_VALUE"""),"Hybrid Working Environment with less than 3 days a month at office")</f>
        <v>Hybrid Working Environment with less than 3 days a month at office</v>
      </c>
      <c r="L604" s="1" t="str">
        <f ca="1">IFERROR(__xludf.DUMMYFUNCTION("""COMPUTED_VALUE"""),"Employer who pushes your limits by enabling an learning environment, and rewards you at the end")</f>
        <v>Employer who pushes your limits by enabling an learning environment, and rewards you at the end</v>
      </c>
      <c r="M604"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N604" s="1"/>
      <c r="O604" s="1" t="str">
        <f ca="1">IFERROR(__xludf.DUMMYFUNCTION("""COMPUTED_VALUE"""),"Manager who sets goal and helps me achieve it")</f>
        <v>Manager who sets goal and helps me achieve it</v>
      </c>
      <c r="P604" s="1" t="str">
        <f ca="1">IFERROR(__xludf.DUMMYFUNCTION("""COMPUTED_VALUE"""),"Work &lt;=6 People in the Team")</f>
        <v>Work &lt;=6 People in the Team</v>
      </c>
      <c r="Q604" s="1" t="s">
        <v>43</v>
      </c>
      <c r="R604" s="1"/>
    </row>
    <row r="605" spans="1:18" x14ac:dyDescent="0.25">
      <c r="A605" s="2">
        <f ca="1">IFERROR(__xludf.DUMMYFUNCTION("""COMPUTED_VALUE"""),45021.7727641435)</f>
        <v>45021.772764143498</v>
      </c>
      <c r="B605" s="1" t="str">
        <f ca="1">IFERROR(__xludf.DUMMYFUNCTION("""COMPUTED_VALUE"""),"India")</f>
        <v>India</v>
      </c>
      <c r="C605" s="1">
        <f ca="1">IFERROR(__xludf.DUMMYFUNCTION("""COMPUTED_VALUE"""),600073)</f>
        <v>600073</v>
      </c>
      <c r="D605" s="1" t="str">
        <f ca="1">IFERROR(__xludf.DUMMYFUNCTION("""COMPUTED_VALUE"""),"Male")</f>
        <v>Male</v>
      </c>
      <c r="E605" s="1" t="str">
        <f ca="1">IFERROR(__xludf.DUMMYFUNCTION("""COMPUTED_VALUE"""),"People who have changed the world for better")</f>
        <v>People who have changed the world for better</v>
      </c>
      <c r="F605" s="1" t="str">
        <f ca="1">IFERROR(__xludf.DUMMYFUNCTION("""COMPUTED_VALUE"""),"No, But if someone could bare the cost I will")</f>
        <v>No, But if someone could bare the cost I will</v>
      </c>
      <c r="G605" s="1" t="str">
        <f ca="1">IFERROR(__xludf.DUMMYFUNCTION("""COMPUTED_VALUE"""),"This will be hard to do, but if it is the right company I would try")</f>
        <v>This will be hard to do, but if it is the right company I would try</v>
      </c>
      <c r="H605" s="1" t="str">
        <f ca="1">IFERROR(__xludf.DUMMYFUNCTION("""COMPUTED_VALUE"""),"No")</f>
        <v>No</v>
      </c>
      <c r="I605" s="1" t="str">
        <f ca="1">IFERROR(__xludf.DUMMYFUNCTION("""COMPUTED_VALUE"""),"Will NOT work for them")</f>
        <v>Will NOT work for them</v>
      </c>
      <c r="J605" s="1">
        <f ca="1">IFERROR(__xludf.DUMMYFUNCTION("""COMPUTED_VALUE"""),3)</f>
        <v>3</v>
      </c>
      <c r="K605" s="1" t="str">
        <f ca="1">IFERROR(__xludf.DUMMYFUNCTION("""COMPUTED_VALUE"""),"Fully Remote with Options to travel as and when needed")</f>
        <v>Fully Remote with Options to travel as and when needed</v>
      </c>
      <c r="L605" s="1" t="str">
        <f ca="1">IFERROR(__xludf.DUMMYFUNCTION("""COMPUTED_VALUE"""),"Employer who rewards learning and enables that environment")</f>
        <v>Employer who rewards learning and enables that environment</v>
      </c>
      <c r="M60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605" s="1"/>
      <c r="O605" s="1" t="str">
        <f ca="1">IFERROR(__xludf.DUMMYFUNCTION("""COMPUTED_VALUE"""),"Manager who sets goal and helps me achieve it")</f>
        <v>Manager who sets goal and helps me achieve it</v>
      </c>
      <c r="P605" s="1" t="str">
        <f ca="1">IFERROR(__xludf.DUMMYFUNCTION("""COMPUTED_VALUE"""),"Work &gt;=7 People in the Team")</f>
        <v>Work &gt;=7 People in the Team</v>
      </c>
      <c r="Q605" s="1" t="s">
        <v>43</v>
      </c>
      <c r="R605" s="1"/>
    </row>
    <row r="606" spans="1:18" x14ac:dyDescent="0.25">
      <c r="A606" s="2">
        <f ca="1">IFERROR(__xludf.DUMMYFUNCTION("""COMPUTED_VALUE"""),45021.7807502546)</f>
        <v>45021.780750254598</v>
      </c>
      <c r="B606" s="1" t="str">
        <f ca="1">IFERROR(__xludf.DUMMYFUNCTION("""COMPUTED_VALUE"""),"India")</f>
        <v>India</v>
      </c>
      <c r="C606" s="1">
        <f ca="1">IFERROR(__xludf.DUMMYFUNCTION("""COMPUTED_VALUE"""),620001)</f>
        <v>620001</v>
      </c>
      <c r="D606" s="1" t="str">
        <f ca="1">IFERROR(__xludf.DUMMYFUNCTION("""COMPUTED_VALUE"""),"Male")</f>
        <v>Male</v>
      </c>
      <c r="E606" s="1" t="str">
        <f ca="1">IFERROR(__xludf.DUMMYFUNCTION("""COMPUTED_VALUE"""),"Influencers who had successful careers")</f>
        <v>Influencers who had successful careers</v>
      </c>
      <c r="F606" s="1" t="str">
        <f ca="1">IFERROR(__xludf.DUMMYFUNCTION("""COMPUTED_VALUE"""),"Yes, I will earn and do that")</f>
        <v>Yes, I will earn and do that</v>
      </c>
      <c r="G606" s="1" t="str">
        <f ca="1">IFERROR(__xludf.DUMMYFUNCTION("""COMPUTED_VALUE"""),"Will work for 3 years or more")</f>
        <v>Will work for 3 years or more</v>
      </c>
      <c r="H606" s="1" t="str">
        <f ca="1">IFERROR(__xludf.DUMMYFUNCTION("""COMPUTED_VALUE"""),"No")</f>
        <v>No</v>
      </c>
      <c r="I606" s="1" t="str">
        <f ca="1">IFERROR(__xludf.DUMMYFUNCTION("""COMPUTED_VALUE"""),"Will NOT work for them")</f>
        <v>Will NOT work for them</v>
      </c>
      <c r="J606" s="1">
        <f ca="1">IFERROR(__xludf.DUMMYFUNCTION("""COMPUTED_VALUE"""),10)</f>
        <v>10</v>
      </c>
      <c r="K606" s="1" t="str">
        <f ca="1">IFERROR(__xludf.DUMMYFUNCTION("""COMPUTED_VALUE"""),"Every Day Office Environment")</f>
        <v>Every Day Office Environment</v>
      </c>
      <c r="L606" s="1" t="str">
        <f ca="1">IFERROR(__xludf.DUMMYFUNCTION("""COMPUTED_VALUE"""),"Employer who appreciates learning and enables that environment")</f>
        <v>Employer who appreciates learning and enables that environment</v>
      </c>
      <c r="M60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606" s="1"/>
      <c r="O606" s="1" t="str">
        <f ca="1">IFERROR(__xludf.DUMMYFUNCTION("""COMPUTED_VALUE"""),"Manager who clearly describes what she/he needs")</f>
        <v>Manager who clearly describes what she/he needs</v>
      </c>
      <c r="P606" s="1" t="str">
        <f ca="1">IFERROR(__xludf.DUMMYFUNCTION("""COMPUTED_VALUE"""),"Work &lt;=6 People in the Team")</f>
        <v>Work &lt;=6 People in the Team</v>
      </c>
      <c r="Q606" s="1" t="s">
        <v>43</v>
      </c>
      <c r="R606" s="1"/>
    </row>
    <row r="607" spans="1:18" x14ac:dyDescent="0.25">
      <c r="A607" s="2">
        <f ca="1">IFERROR(__xludf.DUMMYFUNCTION("""COMPUTED_VALUE"""),45021.7841285995)</f>
        <v>45021.784128599502</v>
      </c>
      <c r="B607" s="1" t="str">
        <f ca="1">IFERROR(__xludf.DUMMYFUNCTION("""COMPUTED_VALUE"""),"India")</f>
        <v>India</v>
      </c>
      <c r="C607" s="1">
        <f ca="1">IFERROR(__xludf.DUMMYFUNCTION("""COMPUTED_VALUE"""),401202)</f>
        <v>401202</v>
      </c>
      <c r="D607" s="1" t="str">
        <f ca="1">IFERROR(__xludf.DUMMYFUNCTION("""COMPUTED_VALUE"""),"Male")</f>
        <v>Male</v>
      </c>
      <c r="E607" s="1" t="str">
        <f ca="1">IFERROR(__xludf.DUMMYFUNCTION("""COMPUTED_VALUE"""),"Influencers who had successful careers")</f>
        <v>Influencers who had successful careers</v>
      </c>
      <c r="F607" s="1" t="str">
        <f ca="1">IFERROR(__xludf.DUMMYFUNCTION("""COMPUTED_VALUE"""),"Yes, I will earn and do that")</f>
        <v>Yes, I will earn and do that</v>
      </c>
      <c r="G607" s="1" t="str">
        <f ca="1">IFERROR(__xludf.DUMMYFUNCTION("""COMPUTED_VALUE"""),"This will be hard to do, but if it is the right company I would try")</f>
        <v>This will be hard to do, but if it is the right company I would try</v>
      </c>
      <c r="H607" s="1" t="str">
        <f ca="1">IFERROR(__xludf.DUMMYFUNCTION("""COMPUTED_VALUE"""),"Yes")</f>
        <v>Yes</v>
      </c>
      <c r="I607" s="1" t="str">
        <f ca="1">IFERROR(__xludf.DUMMYFUNCTION("""COMPUTED_VALUE"""),"Will work for them")</f>
        <v>Will work for them</v>
      </c>
      <c r="J607" s="1">
        <f ca="1">IFERROR(__xludf.DUMMYFUNCTION("""COMPUTED_VALUE"""),7)</f>
        <v>7</v>
      </c>
      <c r="K607" s="1" t="str">
        <f ca="1">IFERROR(__xludf.DUMMYFUNCTION("""COMPUTED_VALUE"""),"Every Day Office Environment")</f>
        <v>Every Day Office Environment</v>
      </c>
      <c r="L607" s="1" t="str">
        <f ca="1">IFERROR(__xludf.DUMMYFUNCTION("""COMPUTED_VALUE"""),"Employer who pushes your limits by enabling an learning environment, and rewards you at the end")</f>
        <v>Employer who pushes your limits by enabling an learning environment, and rewards you at the end</v>
      </c>
      <c r="M607" s="1" t="str">
        <f ca="1">IFERROR(__xludf.DUMMYFUNCTION("""COMPUTED_VALUE"""),"Teaching in any of the institutes/colleges/online or offline, Work as a freelancer and do my thing my way, An Artificial Intelligence Specialist / Talking to Robots, Manufacturing / Oil and Gas/ Construction / Hard Physical Work related")</f>
        <v>Teaching in any of the institutes/colleges/online or offline, Work as a freelancer and do my thing my way, An Artificial Intelligence Specialist / Talking to Robots, Manufacturing / Oil and Gas/ Construction / Hard Physical Work related</v>
      </c>
      <c r="N607" s="1"/>
      <c r="O607" s="1" t="str">
        <f ca="1">IFERROR(__xludf.DUMMYFUNCTION("""COMPUTED_VALUE"""),"Manager who explains what is expected, sets a goal and helps achieve it")</f>
        <v>Manager who explains what is expected, sets a goal and helps achieve it</v>
      </c>
      <c r="P607" s="1" t="str">
        <f ca="1">IFERROR(__xludf.DUMMYFUNCTION("""COMPUTED_VALUE"""),"Work  &lt;67 people in team")</f>
        <v>Work  &lt;67 people in team</v>
      </c>
      <c r="Q607" s="1" t="s">
        <v>43</v>
      </c>
      <c r="R607" s="1"/>
    </row>
    <row r="608" spans="1:18" x14ac:dyDescent="0.25">
      <c r="A608" s="2">
        <f ca="1">IFERROR(__xludf.DUMMYFUNCTION("""COMPUTED_VALUE"""),45021.7882577777)</f>
        <v>45021.788257777698</v>
      </c>
      <c r="B608" s="1" t="str">
        <f ca="1">IFERROR(__xludf.DUMMYFUNCTION("""COMPUTED_VALUE"""),"India")</f>
        <v>India</v>
      </c>
      <c r="C608" s="1">
        <f ca="1">IFERROR(__xludf.DUMMYFUNCTION("""COMPUTED_VALUE"""),620102)</f>
        <v>620102</v>
      </c>
      <c r="D608" s="1" t="str">
        <f ca="1">IFERROR(__xludf.DUMMYFUNCTION("""COMPUTED_VALUE"""),"Female")</f>
        <v>Female</v>
      </c>
      <c r="E608" s="1" t="str">
        <f ca="1">IFERROR(__xludf.DUMMYFUNCTION("""COMPUTED_VALUE"""),"My Parents")</f>
        <v>My Parents</v>
      </c>
      <c r="F608" s="1" t="str">
        <f ca="1">IFERROR(__xludf.DUMMYFUNCTION("""COMPUTED_VALUE"""),"Yes, I will earn and do that")</f>
        <v>Yes, I will earn and do that</v>
      </c>
      <c r="G608" s="1" t="str">
        <f ca="1">IFERROR(__xludf.DUMMYFUNCTION("""COMPUTED_VALUE"""),"This will be hard to do, but if it is the right company I would try")</f>
        <v>This will be hard to do, but if it is the right company I would try</v>
      </c>
      <c r="H608" s="1" t="str">
        <f ca="1">IFERROR(__xludf.DUMMYFUNCTION("""COMPUTED_VALUE"""),"No")</f>
        <v>No</v>
      </c>
      <c r="I608" s="1" t="str">
        <f ca="1">IFERROR(__xludf.DUMMYFUNCTION("""COMPUTED_VALUE"""),"Will NOT work for them")</f>
        <v>Will NOT work for them</v>
      </c>
      <c r="J608" s="1">
        <f ca="1">IFERROR(__xludf.DUMMYFUNCTION("""COMPUTED_VALUE"""),3)</f>
        <v>3</v>
      </c>
      <c r="K608" s="1" t="str">
        <f ca="1">IFERROR(__xludf.DUMMYFUNCTION("""COMPUTED_VALUE"""),"Every Day Office Environment")</f>
        <v>Every Day Office Environment</v>
      </c>
      <c r="L608" s="1" t="str">
        <f ca="1">IFERROR(__xludf.DUMMYFUNCTION("""COMPUTED_VALUE"""),"Employer who rewards learning and enables that environment")</f>
        <v>Employer who rewards learning and enables that environment</v>
      </c>
      <c r="M60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608" s="1"/>
      <c r="O608" s="1" t="str">
        <f ca="1">IFERROR(__xludf.DUMMYFUNCTION("""COMPUTED_VALUE"""),"Manager who sets goal and helps me achieve it")</f>
        <v>Manager who sets goal and helps me achieve it</v>
      </c>
      <c r="P608" s="1" t="str">
        <f ca="1">IFERROR(__xludf.DUMMYFUNCTION("""COMPUTED_VALUE"""),"Work &lt;=6 People in the Team")</f>
        <v>Work &lt;=6 People in the Team</v>
      </c>
      <c r="Q608" s="1" t="s">
        <v>43</v>
      </c>
      <c r="R608" s="1"/>
    </row>
    <row r="609" spans="1:18" x14ac:dyDescent="0.25">
      <c r="A609" s="2">
        <f ca="1">IFERROR(__xludf.DUMMYFUNCTION("""COMPUTED_VALUE"""),45021.7921780439)</f>
        <v>45021.792178043899</v>
      </c>
      <c r="B609" s="1" t="str">
        <f ca="1">IFERROR(__xludf.DUMMYFUNCTION("""COMPUTED_VALUE"""),"India")</f>
        <v>India</v>
      </c>
      <c r="C609" s="1">
        <f ca="1">IFERROR(__xludf.DUMMYFUNCTION("""COMPUTED_VALUE"""),560037)</f>
        <v>560037</v>
      </c>
      <c r="D609" s="1" t="str">
        <f ca="1">IFERROR(__xludf.DUMMYFUNCTION("""COMPUTED_VALUE"""),"Male")</f>
        <v>Male</v>
      </c>
      <c r="E609" s="1" t="str">
        <f ca="1">IFERROR(__xludf.DUMMYFUNCTION("""COMPUTED_VALUE"""),"My Parents")</f>
        <v>My Parents</v>
      </c>
      <c r="F609" s="1" t="str">
        <f ca="1">IFERROR(__xludf.DUMMYFUNCTION("""COMPUTED_VALUE"""),"Yes, I will earn and do that")</f>
        <v>Yes, I will earn and do that</v>
      </c>
      <c r="G609" s="1" t="str">
        <f ca="1">IFERROR(__xludf.DUMMYFUNCTION("""COMPUTED_VALUE"""),"This will be hard to do, but if it is the right company I would try")</f>
        <v>This will be hard to do, but if it is the right company I would try</v>
      </c>
      <c r="H609" s="1" t="str">
        <f ca="1">IFERROR(__xludf.DUMMYFUNCTION("""COMPUTED_VALUE"""),"No")</f>
        <v>No</v>
      </c>
      <c r="I609" s="1" t="str">
        <f ca="1">IFERROR(__xludf.DUMMYFUNCTION("""COMPUTED_VALUE"""),"Will NOT work for them")</f>
        <v>Will NOT work for them</v>
      </c>
      <c r="J609" s="1">
        <f ca="1">IFERROR(__xludf.DUMMYFUNCTION("""COMPUTED_VALUE"""),1)</f>
        <v>1</v>
      </c>
      <c r="K609" s="1" t="str">
        <f ca="1">IFERROR(__xludf.DUMMYFUNCTION("""COMPUTED_VALUE"""),"Hybrid Working Environment with more than 15 days a month at office")</f>
        <v>Hybrid Working Environment with more than 15 days a month at office</v>
      </c>
      <c r="L609" s="1" t="str">
        <f ca="1">IFERROR(__xludf.DUMMYFUNCTION("""COMPUTED_VALUE"""),"Employer who appreciates learning and enables that environment")</f>
        <v>Employer who appreciates learning and enables that environment</v>
      </c>
      <c r="M609"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609" s="1"/>
      <c r="O609" s="1" t="str">
        <f ca="1">IFERROR(__xludf.DUMMYFUNCTION("""COMPUTED_VALUE"""),"Manager who clearly describes what she/he needs")</f>
        <v>Manager who clearly describes what she/he needs</v>
      </c>
      <c r="P609" s="1" t="str">
        <f ca="1">IFERROR(__xludf.DUMMYFUNCTION("""COMPUTED_VALUE"""),"Work Alone, &lt;=6 in team")</f>
        <v>Work Alone, &lt;=6 in team</v>
      </c>
      <c r="Q609" s="1" t="s">
        <v>43</v>
      </c>
      <c r="R609" s="1"/>
    </row>
    <row r="610" spans="1:18" x14ac:dyDescent="0.25">
      <c r="A610" s="2">
        <f ca="1">IFERROR(__xludf.DUMMYFUNCTION("""COMPUTED_VALUE"""),45021.7929245601)</f>
        <v>45021.792924560097</v>
      </c>
      <c r="B610" s="1" t="str">
        <f ca="1">IFERROR(__xludf.DUMMYFUNCTION("""COMPUTED_VALUE"""),"India")</f>
        <v>India</v>
      </c>
      <c r="C610" s="1">
        <f ca="1">IFERROR(__xludf.DUMMYFUNCTION("""COMPUTED_VALUE"""),400053)</f>
        <v>400053</v>
      </c>
      <c r="D610" s="1" t="str">
        <f ca="1">IFERROR(__xludf.DUMMYFUNCTION("""COMPUTED_VALUE"""),"Female")</f>
        <v>Female</v>
      </c>
      <c r="E610" s="1" t="str">
        <f ca="1">IFERROR(__xludf.DUMMYFUNCTION("""COMPUTED_VALUE"""),"My Parents")</f>
        <v>My Parents</v>
      </c>
      <c r="F610" s="1" t="str">
        <f ca="1">IFERROR(__xludf.DUMMYFUNCTION("""COMPUTED_VALUE"""),"No I would not be pursuing Higher Education outside of India")</f>
        <v>No I would not be pursuing Higher Education outside of India</v>
      </c>
      <c r="G610" s="1" t="str">
        <f ca="1">IFERROR(__xludf.DUMMYFUNCTION("""COMPUTED_VALUE"""),"This will be hard to do, but if it is the right company I would try")</f>
        <v>This will be hard to do, but if it is the right company I would try</v>
      </c>
      <c r="H610" s="1" t="str">
        <f ca="1">IFERROR(__xludf.DUMMYFUNCTION("""COMPUTED_VALUE"""),"No")</f>
        <v>No</v>
      </c>
      <c r="I610" s="1" t="str">
        <f ca="1">IFERROR(__xludf.DUMMYFUNCTION("""COMPUTED_VALUE"""),"Will NOT work for them")</f>
        <v>Will NOT work for them</v>
      </c>
      <c r="J610" s="1">
        <f ca="1">IFERROR(__xludf.DUMMYFUNCTION("""COMPUTED_VALUE"""),3)</f>
        <v>3</v>
      </c>
      <c r="K610" s="1" t="str">
        <f ca="1">IFERROR(__xludf.DUMMYFUNCTION("""COMPUTED_VALUE"""),"Every Day Office Environment")</f>
        <v>Every Day Office Environment</v>
      </c>
      <c r="L610" s="1" t="str">
        <f ca="1">IFERROR(__xludf.DUMMYFUNCTION("""COMPUTED_VALUE"""),"Employer who appreciates learning and enables that environment")</f>
        <v>Employer who appreciates learning and enables that environment</v>
      </c>
      <c r="M610" s="1" t="str">
        <f ca="1">IFERROR(__xludf.DUMMYFUNCTION("""COMPUTED_VALUE"""),"Teaching in any of the institutes/colleges/online or offline, Design and Develop amazing software, Work as a freelancer and do my thing my way, An Artificial Intelligence Specialist / Talking to Robots")</f>
        <v>Teaching in any of the institutes/colleges/online or offline, Design and Develop amazing software, Work as a freelancer and do my thing my way, An Artificial Intelligence Specialist / Talking to Robots</v>
      </c>
      <c r="N610" s="1"/>
      <c r="O610" s="1" t="str">
        <f ca="1">IFERROR(__xludf.DUMMYFUNCTION("""COMPUTED_VALUE"""),"Manager who clearly describes what she/he needs")</f>
        <v>Manager who clearly describes what she/he needs</v>
      </c>
      <c r="P610" s="1" t="str">
        <f ca="1">IFERROR(__xludf.DUMMYFUNCTION("""COMPUTED_VALUE"""),"Work &lt;=6 People in the Team")</f>
        <v>Work &lt;=6 People in the Team</v>
      </c>
      <c r="Q610" s="1" t="s">
        <v>43</v>
      </c>
      <c r="R610" s="1"/>
    </row>
    <row r="611" spans="1:18" x14ac:dyDescent="0.25">
      <c r="A611" s="2">
        <f ca="1">IFERROR(__xludf.DUMMYFUNCTION("""COMPUTED_VALUE"""),45021.7952244907)</f>
        <v>45021.795224490699</v>
      </c>
      <c r="B611" s="1" t="str">
        <f ca="1">IFERROR(__xludf.DUMMYFUNCTION("""COMPUTED_VALUE"""),"India")</f>
        <v>India</v>
      </c>
      <c r="C611" s="1">
        <f ca="1">IFERROR(__xludf.DUMMYFUNCTION("""COMPUTED_VALUE"""),620002)</f>
        <v>620002</v>
      </c>
      <c r="D611" s="1" t="str">
        <f ca="1">IFERROR(__xludf.DUMMYFUNCTION("""COMPUTED_VALUE"""),"Female")</f>
        <v>Female</v>
      </c>
      <c r="E611" s="1" t="str">
        <f ca="1">IFERROR(__xludf.DUMMYFUNCTION("""COMPUTED_VALUE"""),"People who have changed the world for better")</f>
        <v>People who have changed the world for better</v>
      </c>
      <c r="F611" s="1" t="str">
        <f ca="1">IFERROR(__xludf.DUMMYFUNCTION("""COMPUTED_VALUE"""),"Yes, I will earn and do that")</f>
        <v>Yes, I will earn and do that</v>
      </c>
      <c r="G611" s="1" t="str">
        <f ca="1">IFERROR(__xludf.DUMMYFUNCTION("""COMPUTED_VALUE"""),"This will be hard to do, but if it is the right company I would try")</f>
        <v>This will be hard to do, but if it is the right company I would try</v>
      </c>
      <c r="H611" s="1" t="str">
        <f ca="1">IFERROR(__xludf.DUMMYFUNCTION("""COMPUTED_VALUE"""),"No")</f>
        <v>No</v>
      </c>
      <c r="I611" s="1" t="str">
        <f ca="1">IFERROR(__xludf.DUMMYFUNCTION("""COMPUTED_VALUE"""),"Will NOT work for them")</f>
        <v>Will NOT work for them</v>
      </c>
      <c r="J611" s="1">
        <f ca="1">IFERROR(__xludf.DUMMYFUNCTION("""COMPUTED_VALUE"""),5)</f>
        <v>5</v>
      </c>
      <c r="K611" s="1" t="str">
        <f ca="1">IFERROR(__xludf.DUMMYFUNCTION("""COMPUTED_VALUE"""),"Fully Remote with Options to travel as and when needed")</f>
        <v>Fully Remote with Options to travel as and when needed</v>
      </c>
      <c r="L611" s="1" t="str">
        <f ca="1">IFERROR(__xludf.DUMMYFUNCTION("""COMPUTED_VALUE"""),"Employer who pushes your limits by enabling an learning environment, and rewards you at the end")</f>
        <v>Employer who pushes your limits by enabling an learning environment, and rewards you at the end</v>
      </c>
      <c r="M611"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N611" s="1"/>
      <c r="O611" s="1" t="str">
        <f ca="1">IFERROR(__xludf.DUMMYFUNCTION("""COMPUTED_VALUE"""),"Manager who explains what is expected, sets a goal and helps achieve it")</f>
        <v>Manager who explains what is expected, sets a goal and helps achieve it</v>
      </c>
      <c r="P611" s="1" t="str">
        <f ca="1">IFERROR(__xludf.DUMMYFUNCTION("""COMPUTED_VALUE"""),"Work &lt;=6 People in the Team")</f>
        <v>Work &lt;=6 People in the Team</v>
      </c>
      <c r="Q611" s="1" t="s">
        <v>40</v>
      </c>
      <c r="R611" s="1"/>
    </row>
    <row r="612" spans="1:18" x14ac:dyDescent="0.25">
      <c r="A612" s="2">
        <f ca="1">IFERROR(__xludf.DUMMYFUNCTION("""COMPUTED_VALUE"""),45021.8012009953)</f>
        <v>45021.801200995302</v>
      </c>
      <c r="B612" s="1" t="str">
        <f ca="1">IFERROR(__xludf.DUMMYFUNCTION("""COMPUTED_VALUE"""),"India")</f>
        <v>India</v>
      </c>
      <c r="C612" s="1">
        <f ca="1">IFERROR(__xludf.DUMMYFUNCTION("""COMPUTED_VALUE"""),711102)</f>
        <v>711102</v>
      </c>
      <c r="D612" s="1" t="str">
        <f ca="1">IFERROR(__xludf.DUMMYFUNCTION("""COMPUTED_VALUE"""),"Male")</f>
        <v>Male</v>
      </c>
      <c r="E612" s="1" t="str">
        <f ca="1">IFERROR(__xludf.DUMMYFUNCTION("""COMPUTED_VALUE"""),"People who have changed the world for better")</f>
        <v>People who have changed the world for better</v>
      </c>
      <c r="F612" s="1" t="str">
        <f ca="1">IFERROR(__xludf.DUMMYFUNCTION("""COMPUTED_VALUE"""),"No I would not be pursuing Higher Education outside of India")</f>
        <v>No I would not be pursuing Higher Education outside of India</v>
      </c>
      <c r="G612" s="1" t="str">
        <f ca="1">IFERROR(__xludf.DUMMYFUNCTION("""COMPUTED_VALUE"""),"This will be hard to do, but if it is the right company I would try")</f>
        <v>This will be hard to do, but if it is the right company I would try</v>
      </c>
      <c r="H612" s="1" t="str">
        <f ca="1">IFERROR(__xludf.DUMMYFUNCTION("""COMPUTED_VALUE"""),"No")</f>
        <v>No</v>
      </c>
      <c r="I612" s="1" t="str">
        <f ca="1">IFERROR(__xludf.DUMMYFUNCTION("""COMPUTED_VALUE"""),"Will NOT work for them")</f>
        <v>Will NOT work for them</v>
      </c>
      <c r="J612" s="1">
        <f ca="1">IFERROR(__xludf.DUMMYFUNCTION("""COMPUTED_VALUE"""),10)</f>
        <v>10</v>
      </c>
      <c r="K612" s="1" t="str">
        <f ca="1">IFERROR(__xludf.DUMMYFUNCTION("""COMPUTED_VALUE"""),"Fully Remote with Options to travel as and when needed")</f>
        <v>Fully Remote with Options to travel as and when needed</v>
      </c>
      <c r="L612" s="1" t="str">
        <f ca="1">IFERROR(__xludf.DUMMYFUNCTION("""COMPUTED_VALUE"""),"Employer who pushes your limits by enabling an learning environment, and rewards you at the end")</f>
        <v>Employer who pushes your limits by enabling an learning environment, and rewards you at the end</v>
      </c>
      <c r="M61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612" s="1"/>
      <c r="O612" s="1" t="str">
        <f ca="1">IFERROR(__xludf.DUMMYFUNCTION("""COMPUTED_VALUE"""),"Manager who explains what is expected, sets a goal and helps achieve it")</f>
        <v>Manager who explains what is expected, sets a goal and helps achieve it</v>
      </c>
      <c r="P612" s="1" t="str">
        <f ca="1">IFERROR(__xludf.DUMMYFUNCTION("""COMPUTED_VALUE"""),"Work &lt;67 People in the Team")</f>
        <v>Work &lt;67 People in the Team</v>
      </c>
      <c r="Q612" s="1" t="s">
        <v>40</v>
      </c>
      <c r="R612" s="1"/>
    </row>
    <row r="613" spans="1:18" x14ac:dyDescent="0.25">
      <c r="A613" s="2">
        <f ca="1">IFERROR(__xludf.DUMMYFUNCTION("""COMPUTED_VALUE"""),45021.8030368171)</f>
        <v>45021.803036817102</v>
      </c>
      <c r="B613" s="1" t="str">
        <f ca="1">IFERROR(__xludf.DUMMYFUNCTION("""COMPUTED_VALUE"""),"India")</f>
        <v>India</v>
      </c>
      <c r="C613" s="1">
        <f ca="1">IFERROR(__xludf.DUMMYFUNCTION("""COMPUTED_VALUE"""),520015)</f>
        <v>520015</v>
      </c>
      <c r="D613" s="1" t="str">
        <f ca="1">IFERROR(__xludf.DUMMYFUNCTION("""COMPUTED_VALUE"""),"Female")</f>
        <v>Female</v>
      </c>
      <c r="E613" s="1" t="str">
        <f ca="1">IFERROR(__xludf.DUMMYFUNCTION("""COMPUTED_VALUE"""),"Influencers who had successful careers")</f>
        <v>Influencers who had successful careers</v>
      </c>
      <c r="F613" s="1" t="str">
        <f ca="1">IFERROR(__xludf.DUMMYFUNCTION("""COMPUTED_VALUE"""),"Yes, I will earn and do that")</f>
        <v>Yes, I will earn and do that</v>
      </c>
      <c r="G613" s="1" t="str">
        <f ca="1">IFERROR(__xludf.DUMMYFUNCTION("""COMPUTED_VALUE"""),"Will work for 3 years or more")</f>
        <v>Will work for 3 years or more</v>
      </c>
      <c r="H613" s="1" t="str">
        <f ca="1">IFERROR(__xludf.DUMMYFUNCTION("""COMPUTED_VALUE"""),"No")</f>
        <v>No</v>
      </c>
      <c r="I613" s="1" t="str">
        <f ca="1">IFERROR(__xludf.DUMMYFUNCTION("""COMPUTED_VALUE"""),"Will NOT work for them")</f>
        <v>Will NOT work for them</v>
      </c>
      <c r="J613" s="1">
        <f ca="1">IFERROR(__xludf.DUMMYFUNCTION("""COMPUTED_VALUE"""),4)</f>
        <v>4</v>
      </c>
      <c r="K613" s="1" t="str">
        <f ca="1">IFERROR(__xludf.DUMMYFUNCTION("""COMPUTED_VALUE"""),"Hybrid Working Environment with less than 3 days a month at office")</f>
        <v>Hybrid Working Environment with less than 3 days a month at office</v>
      </c>
      <c r="L613" s="1" t="str">
        <f ca="1">IFERROR(__xludf.DUMMYFUNCTION("""COMPUTED_VALUE"""),"Employer who appreciates learning and enables that environment")</f>
        <v>Employer who appreciates learning and enables that environment</v>
      </c>
      <c r="M613" s="1" t="str">
        <f ca="1">IFERROR(__xludf.DUMMYFUNCTION("""COMPUTED_VALUE"""),"Business Operations in any organization, Manage and drive End-to-End Projects or Products, Build and develop a Team, An Artificial Intelligence Specialist / Talking to Robots")</f>
        <v>Business Operations in any organization, Manage and drive End-to-End Projects or Products, Build and develop a Team, An Artificial Intelligence Specialist / Talking to Robots</v>
      </c>
      <c r="N613" s="1"/>
      <c r="O613" s="1" t="str">
        <f ca="1">IFERROR(__xludf.DUMMYFUNCTION("""COMPUTED_VALUE"""),"Manager who explains what is expected, sets a goal and helps achieve it")</f>
        <v>Manager who explains what is expected, sets a goal and helps achieve it</v>
      </c>
      <c r="P613" s="1" t="str">
        <f ca="1">IFERROR(__xludf.DUMMYFUNCTION("""COMPUTED_VALUE"""),"Work &lt;=6 People in the Team")</f>
        <v>Work &lt;=6 People in the Team</v>
      </c>
      <c r="Q613" s="1" t="s">
        <v>43</v>
      </c>
      <c r="R613" s="1"/>
    </row>
    <row r="614" spans="1:18" x14ac:dyDescent="0.25">
      <c r="A614" s="2">
        <f ca="1">IFERROR(__xludf.DUMMYFUNCTION("""COMPUTED_VALUE"""),45021.8051370138)</f>
        <v>45021.805137013798</v>
      </c>
      <c r="B614" s="1" t="str">
        <f ca="1">IFERROR(__xludf.DUMMYFUNCTION("""COMPUTED_VALUE"""),"India")</f>
        <v>India</v>
      </c>
      <c r="C614" s="1">
        <f ca="1">IFERROR(__xludf.DUMMYFUNCTION("""COMPUTED_VALUE"""),607104)</f>
        <v>607104</v>
      </c>
      <c r="D614" s="1" t="str">
        <f ca="1">IFERROR(__xludf.DUMMYFUNCTION("""COMPUTED_VALUE"""),"Male")</f>
        <v>Male</v>
      </c>
      <c r="E614" s="1" t="str">
        <f ca="1">IFERROR(__xludf.DUMMYFUNCTION("""COMPUTED_VALUE"""),"Influencers who had successful careers")</f>
        <v>Influencers who had successful careers</v>
      </c>
      <c r="F614" s="1" t="str">
        <f ca="1">IFERROR(__xludf.DUMMYFUNCTION("""COMPUTED_VALUE"""),"No, But if someone could bare the cost I will")</f>
        <v>No, But if someone could bare the cost I will</v>
      </c>
      <c r="G614" s="1" t="str">
        <f ca="1">IFERROR(__xludf.DUMMYFUNCTION("""COMPUTED_VALUE"""),"This will be hard to do, but if it is the right company I would try")</f>
        <v>This will be hard to do, but if it is the right company I would try</v>
      </c>
      <c r="H614" s="1" t="str">
        <f ca="1">IFERROR(__xludf.DUMMYFUNCTION("""COMPUTED_VALUE"""),"No")</f>
        <v>No</v>
      </c>
      <c r="I614" s="1" t="str">
        <f ca="1">IFERROR(__xludf.DUMMYFUNCTION("""COMPUTED_VALUE"""),"Will NOT work for them")</f>
        <v>Will NOT work for them</v>
      </c>
      <c r="J614" s="1">
        <f ca="1">IFERROR(__xludf.DUMMYFUNCTION("""COMPUTED_VALUE"""),8)</f>
        <v>8</v>
      </c>
      <c r="K614" s="1" t="str">
        <f ca="1">IFERROR(__xludf.DUMMYFUNCTION("""COMPUTED_VALUE"""),"Hybrid Working Environment with less than 3 days a month at office")</f>
        <v>Hybrid Working Environment with less than 3 days a month at office</v>
      </c>
      <c r="L614" s="1" t="str">
        <f ca="1">IFERROR(__xludf.DUMMYFUNCTION("""COMPUTED_VALUE"""),"Employer who appreciates learning and enables that environment")</f>
        <v>Employer who appreciates learning and enables that environment</v>
      </c>
      <c r="M614"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N614" s="1"/>
      <c r="O614" s="1" t="str">
        <f ca="1">IFERROR(__xludf.DUMMYFUNCTION("""COMPUTED_VALUE"""),"Manager who explains what is expected, sets a goal and helps achieve it")</f>
        <v>Manager who explains what is expected, sets a goal and helps achieve it</v>
      </c>
      <c r="P614" s="1" t="str">
        <f ca="1">IFERROR(__xludf.DUMMYFUNCTION("""COMPUTED_VALUE"""),"Work &lt;=6 People in the Team")</f>
        <v>Work &lt;=6 People in the Team</v>
      </c>
      <c r="Q614" s="1" t="s">
        <v>40</v>
      </c>
      <c r="R614" s="1"/>
    </row>
    <row r="615" spans="1:18" x14ac:dyDescent="0.25">
      <c r="A615" s="2">
        <f ca="1">IFERROR(__xludf.DUMMYFUNCTION("""COMPUTED_VALUE"""),45021.8058449189)</f>
        <v>45021.805844918897</v>
      </c>
      <c r="B615" s="1" t="str">
        <f ca="1">IFERROR(__xludf.DUMMYFUNCTION("""COMPUTED_VALUE"""),"India")</f>
        <v>India</v>
      </c>
      <c r="C615" s="1">
        <f ca="1">IFERROR(__xludf.DUMMYFUNCTION("""COMPUTED_VALUE"""),842002)</f>
        <v>842002</v>
      </c>
      <c r="D615" s="1" t="str">
        <f ca="1">IFERROR(__xludf.DUMMYFUNCTION("""COMPUTED_VALUE"""),"Female")</f>
        <v>Female</v>
      </c>
      <c r="E615" s="1" t="str">
        <f ca="1">IFERROR(__xludf.DUMMYFUNCTION("""COMPUTED_VALUE"""),"People who have changed the world for better")</f>
        <v>People who have changed the world for better</v>
      </c>
      <c r="F615" s="1" t="str">
        <f ca="1">IFERROR(__xludf.DUMMYFUNCTION("""COMPUTED_VALUE"""),"No, But if someone could bare the cost I will")</f>
        <v>No, But if someone could bare the cost I will</v>
      </c>
      <c r="G615" s="1" t="str">
        <f ca="1">IFERROR(__xludf.DUMMYFUNCTION("""COMPUTED_VALUE"""),"This will be hard to do, but if it is the right company I would try")</f>
        <v>This will be hard to do, but if it is the right company I would try</v>
      </c>
      <c r="H615" s="1" t="str">
        <f ca="1">IFERROR(__xludf.DUMMYFUNCTION("""COMPUTED_VALUE"""),"No")</f>
        <v>No</v>
      </c>
      <c r="I615" s="1" t="str">
        <f ca="1">IFERROR(__xludf.DUMMYFUNCTION("""COMPUTED_VALUE"""),"Will NOT work for them")</f>
        <v>Will NOT work for them</v>
      </c>
      <c r="J615" s="1">
        <f ca="1">IFERROR(__xludf.DUMMYFUNCTION("""COMPUTED_VALUE"""),5)</f>
        <v>5</v>
      </c>
      <c r="K615" s="1" t="str">
        <f ca="1">IFERROR(__xludf.DUMMYFUNCTION("""COMPUTED_VALUE"""),"Hybrid Working Environment with more than 15 days a month at office")</f>
        <v>Hybrid Working Environment with more than 15 days a month at office</v>
      </c>
      <c r="L615" s="1" t="str">
        <f ca="1">IFERROR(__xludf.DUMMYFUNCTION("""COMPUTED_VALUE"""),"Employer who rewards learning and enables that environment")</f>
        <v>Employer who rewards learning and enables that environment</v>
      </c>
      <c r="M615"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N615" s="1"/>
      <c r="O615" s="1" t="str">
        <f ca="1">IFERROR(__xludf.DUMMYFUNCTION("""COMPUTED_VALUE"""),"Manager who sets goal and helps me achieve it")</f>
        <v>Manager who sets goal and helps me achieve it</v>
      </c>
      <c r="P615" s="1" t="str">
        <f ca="1">IFERROR(__xludf.DUMMYFUNCTION("""COMPUTED_VALUE"""),"Work &lt;=6 People in the Team")</f>
        <v>Work &lt;=6 People in the Team</v>
      </c>
      <c r="Q615" s="1" t="s">
        <v>40</v>
      </c>
      <c r="R615" s="1"/>
    </row>
    <row r="616" spans="1:18" x14ac:dyDescent="0.25">
      <c r="A616" s="2">
        <f ca="1">IFERROR(__xludf.DUMMYFUNCTION("""COMPUTED_VALUE"""),45021.8068657986)</f>
        <v>45021.8068657986</v>
      </c>
      <c r="B616" s="1" t="str">
        <f ca="1">IFERROR(__xludf.DUMMYFUNCTION("""COMPUTED_VALUE"""),"India")</f>
        <v>India</v>
      </c>
      <c r="C616" s="1">
        <f ca="1">IFERROR(__xludf.DUMMYFUNCTION("""COMPUTED_VALUE"""),517501)</f>
        <v>517501</v>
      </c>
      <c r="D616" s="1" t="str">
        <f ca="1">IFERROR(__xludf.DUMMYFUNCTION("""COMPUTED_VALUE"""),"Male")</f>
        <v>Male</v>
      </c>
      <c r="E616" s="1" t="str">
        <f ca="1">IFERROR(__xludf.DUMMYFUNCTION("""COMPUTED_VALUE"""),"People who have changed the world for better")</f>
        <v>People who have changed the world for better</v>
      </c>
      <c r="F616" s="1" t="str">
        <f ca="1">IFERROR(__xludf.DUMMYFUNCTION("""COMPUTED_VALUE"""),"Yes, I will earn and do that")</f>
        <v>Yes, I will earn and do that</v>
      </c>
      <c r="G616" s="1" t="str">
        <f ca="1">IFERROR(__xludf.DUMMYFUNCTION("""COMPUTED_VALUE"""),"This will be hard to do, but if it is the right company I would try")</f>
        <v>This will be hard to do, but if it is the right company I would try</v>
      </c>
      <c r="H616" s="1" t="str">
        <f ca="1">IFERROR(__xludf.DUMMYFUNCTION("""COMPUTED_VALUE"""),"No")</f>
        <v>No</v>
      </c>
      <c r="I616" s="1" t="str">
        <f ca="1">IFERROR(__xludf.DUMMYFUNCTION("""COMPUTED_VALUE"""),"Will NOT work for them")</f>
        <v>Will NOT work for them</v>
      </c>
      <c r="J616" s="1">
        <f ca="1">IFERROR(__xludf.DUMMYFUNCTION("""COMPUTED_VALUE"""),4)</f>
        <v>4</v>
      </c>
      <c r="K616" s="1" t="str">
        <f ca="1">IFERROR(__xludf.DUMMYFUNCTION("""COMPUTED_VALUE"""),"Hybrid Working Environment with less than 3 days a month at office")</f>
        <v>Hybrid Working Environment with less than 3 days a month at office</v>
      </c>
      <c r="L616" s="1" t="str">
        <f ca="1">IFERROR(__xludf.DUMMYFUNCTION("""COMPUTED_VALUE"""),"Employer who appreciates learning and enables that environment")</f>
        <v>Employer who appreciates learning and enables that environment</v>
      </c>
      <c r="M6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616" s="1"/>
      <c r="O616" s="1" t="str">
        <f ca="1">IFERROR(__xludf.DUMMYFUNCTION("""COMPUTED_VALUE"""),"Manager who clearly describes what she/he needs")</f>
        <v>Manager who clearly describes what she/he needs</v>
      </c>
      <c r="P616" s="1" t="str">
        <f ca="1">IFERROR(__xludf.DUMMYFUNCTION("""COMPUTED_VALUE"""),"Work &lt;=6 People in the Team")</f>
        <v>Work &lt;=6 People in the Team</v>
      </c>
      <c r="Q616" s="1" t="s">
        <v>43</v>
      </c>
      <c r="R616" s="1"/>
    </row>
    <row r="617" spans="1:18" x14ac:dyDescent="0.25">
      <c r="A617" s="2">
        <f ca="1">IFERROR(__xludf.DUMMYFUNCTION("""COMPUTED_VALUE"""),45021.8070285879)</f>
        <v>45021.8070285879</v>
      </c>
      <c r="B617" s="1" t="str">
        <f ca="1">IFERROR(__xludf.DUMMYFUNCTION("""COMPUTED_VALUE"""),"India")</f>
        <v>India</v>
      </c>
      <c r="C617" s="1">
        <f ca="1">IFERROR(__xludf.DUMMYFUNCTION("""COMPUTED_VALUE"""),208027)</f>
        <v>208027</v>
      </c>
      <c r="D617" s="1" t="str">
        <f ca="1">IFERROR(__xludf.DUMMYFUNCTION("""COMPUTED_VALUE"""),"Male")</f>
        <v>Male</v>
      </c>
      <c r="E617" s="1" t="str">
        <f ca="1">IFERROR(__xludf.DUMMYFUNCTION("""COMPUTED_VALUE"""),"Influencers who had successful careers")</f>
        <v>Influencers who had successful careers</v>
      </c>
      <c r="F617" s="1" t="str">
        <f ca="1">IFERROR(__xludf.DUMMYFUNCTION("""COMPUTED_VALUE"""),"Yes, I will earn and do that")</f>
        <v>Yes, I will earn and do that</v>
      </c>
      <c r="G617" s="1" t="str">
        <f ca="1">IFERROR(__xludf.DUMMYFUNCTION("""COMPUTED_VALUE"""),"This will be hard to do, but if it is the right company I would try")</f>
        <v>This will be hard to do, but if it is the right company I would try</v>
      </c>
      <c r="H617" s="1" t="str">
        <f ca="1">IFERROR(__xludf.DUMMYFUNCTION("""COMPUTED_VALUE"""),"No")</f>
        <v>No</v>
      </c>
      <c r="I617" s="1" t="str">
        <f ca="1">IFERROR(__xludf.DUMMYFUNCTION("""COMPUTED_VALUE"""),"Will NOT work for them")</f>
        <v>Will NOT work for them</v>
      </c>
      <c r="J617" s="1">
        <f ca="1">IFERROR(__xludf.DUMMYFUNCTION("""COMPUTED_VALUE"""),5)</f>
        <v>5</v>
      </c>
      <c r="K617" s="1" t="str">
        <f ca="1">IFERROR(__xludf.DUMMYFUNCTION("""COMPUTED_VALUE"""),"Every Day Office Environment")</f>
        <v>Every Day Office Environment</v>
      </c>
      <c r="L617" s="1" t="str">
        <f ca="1">IFERROR(__xludf.DUMMYFUNCTION("""COMPUTED_VALUE"""),"Employer who pushes your limits by enabling an learning environment, and rewards you at the end")</f>
        <v>Employer who pushes your limits by enabling an learning environment, and rewards you at the end</v>
      </c>
      <c r="M6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617" s="1"/>
      <c r="O617" s="1" t="str">
        <f ca="1">IFERROR(__xludf.DUMMYFUNCTION("""COMPUTED_VALUE"""),"Manager who sets goal and helps me achieve it")</f>
        <v>Manager who sets goal and helps me achieve it</v>
      </c>
      <c r="P617" s="1" t="str">
        <f ca="1">IFERROR(__xludf.DUMMYFUNCTION("""COMPUTED_VALUE"""),"Work  &lt;67 people in team")</f>
        <v>Work  &lt;67 people in team</v>
      </c>
      <c r="Q617" s="1" t="s">
        <v>43</v>
      </c>
      <c r="R617" s="1"/>
    </row>
    <row r="618" spans="1:18" x14ac:dyDescent="0.25">
      <c r="A618" s="2">
        <f ca="1">IFERROR(__xludf.DUMMYFUNCTION("""COMPUTED_VALUE"""),45021.8097598263)</f>
        <v>45021.809759826298</v>
      </c>
      <c r="B618" s="1" t="str">
        <f ca="1">IFERROR(__xludf.DUMMYFUNCTION("""COMPUTED_VALUE"""),"India")</f>
        <v>India</v>
      </c>
      <c r="C618" s="1">
        <f ca="1">IFERROR(__xludf.DUMMYFUNCTION("""COMPUTED_VALUE"""),400022)</f>
        <v>400022</v>
      </c>
      <c r="D618" s="1" t="str">
        <f ca="1">IFERROR(__xludf.DUMMYFUNCTION("""COMPUTED_VALUE"""),"Male")</f>
        <v>Male</v>
      </c>
      <c r="E618" s="1" t="str">
        <f ca="1">IFERROR(__xludf.DUMMYFUNCTION("""COMPUTED_VALUE"""),"People from my circle, but not family members")</f>
        <v>People from my circle, but not family members</v>
      </c>
      <c r="F618" s="1" t="str">
        <f ca="1">IFERROR(__xludf.DUMMYFUNCTION("""COMPUTED_VALUE"""),"No I would not be pursuing Higher Education outside of India")</f>
        <v>No I would not be pursuing Higher Education outside of India</v>
      </c>
      <c r="G618" s="1" t="str">
        <f ca="1">IFERROR(__xludf.DUMMYFUNCTION("""COMPUTED_VALUE"""),"No way")</f>
        <v>No way</v>
      </c>
      <c r="H618" s="1" t="str">
        <f ca="1">IFERROR(__xludf.DUMMYFUNCTION("""COMPUTED_VALUE"""),"Yes")</f>
        <v>Yes</v>
      </c>
      <c r="I618" s="1" t="str">
        <f ca="1">IFERROR(__xludf.DUMMYFUNCTION("""COMPUTED_VALUE"""),"Will work for them")</f>
        <v>Will work for them</v>
      </c>
      <c r="J618" s="1">
        <f ca="1">IFERROR(__xludf.DUMMYFUNCTION("""COMPUTED_VALUE"""),10)</f>
        <v>10</v>
      </c>
      <c r="K618" s="1" t="str">
        <f ca="1">IFERROR(__xludf.DUMMYFUNCTION("""COMPUTED_VALUE"""),"Hybrid Working Environment with less than 3 days a month at office")</f>
        <v>Hybrid Working Environment with less than 3 days a month at office</v>
      </c>
      <c r="L618" s="1" t="str">
        <f ca="1">IFERROR(__xludf.DUMMYFUNCTION("""COMPUTED_VALUE"""),"Employer who appreciates learning and enables that environment")</f>
        <v>Employer who appreciates learning and enables that environment</v>
      </c>
      <c r="M618"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N618" s="1"/>
      <c r="O618" s="1" t="str">
        <f ca="1">IFERROR(__xludf.DUMMYFUNCTION("""COMPUTED_VALUE"""),"Manager who clearly describes what she/he needs")</f>
        <v>Manager who clearly describes what she/he needs</v>
      </c>
      <c r="P618" s="1" t="str">
        <f ca="1">IFERROR(__xludf.DUMMYFUNCTION("""COMPUTED_VALUE"""),"Work &lt;=6 People in the Team")</f>
        <v>Work &lt;=6 People in the Team</v>
      </c>
      <c r="Q618" s="1" t="s">
        <v>43</v>
      </c>
      <c r="R618" s="1"/>
    </row>
    <row r="619" spans="1:18" x14ac:dyDescent="0.25">
      <c r="A619" s="2">
        <f ca="1">IFERROR(__xludf.DUMMYFUNCTION("""COMPUTED_VALUE"""),45021.8110687037)</f>
        <v>45021.811068703697</v>
      </c>
      <c r="B619" s="1" t="str">
        <f ca="1">IFERROR(__xludf.DUMMYFUNCTION("""COMPUTED_VALUE"""),"India")</f>
        <v>India</v>
      </c>
      <c r="C619" s="1">
        <f ca="1">IFERROR(__xludf.DUMMYFUNCTION("""COMPUTED_VALUE"""),522503)</f>
        <v>522503</v>
      </c>
      <c r="D619" s="1" t="str">
        <f ca="1">IFERROR(__xludf.DUMMYFUNCTION("""COMPUTED_VALUE"""),"Male")</f>
        <v>Male</v>
      </c>
      <c r="E619" s="1" t="str">
        <f ca="1">IFERROR(__xludf.DUMMYFUNCTION("""COMPUTED_VALUE"""),"My Parents")</f>
        <v>My Parents</v>
      </c>
      <c r="F619" s="1" t="str">
        <f ca="1">IFERROR(__xludf.DUMMYFUNCTION("""COMPUTED_VALUE"""),"No, But if someone could bare the cost I will")</f>
        <v>No, But if someone could bare the cost I will</v>
      </c>
      <c r="G619" s="1" t="str">
        <f ca="1">IFERROR(__xludf.DUMMYFUNCTION("""COMPUTED_VALUE"""),"This will be hard to do, but if it is the right company I would try")</f>
        <v>This will be hard to do, but if it is the right company I would try</v>
      </c>
      <c r="H619" s="1" t="str">
        <f ca="1">IFERROR(__xludf.DUMMYFUNCTION("""COMPUTED_VALUE"""),"No")</f>
        <v>No</v>
      </c>
      <c r="I619" s="1" t="str">
        <f ca="1">IFERROR(__xludf.DUMMYFUNCTION("""COMPUTED_VALUE"""),"Will NOT work for them")</f>
        <v>Will NOT work for them</v>
      </c>
      <c r="J619" s="1">
        <f ca="1">IFERROR(__xludf.DUMMYFUNCTION("""COMPUTED_VALUE"""),5)</f>
        <v>5</v>
      </c>
      <c r="K619" s="1" t="str">
        <f ca="1">IFERROR(__xludf.DUMMYFUNCTION("""COMPUTED_VALUE"""),"Fully Remote with No option to visit offices")</f>
        <v>Fully Remote with No option to visit offices</v>
      </c>
      <c r="L619" s="1" t="str">
        <f ca="1">IFERROR(__xludf.DUMMYFUNCTION("""COMPUTED_VALUE"""),"Employer who appreciates learning and enables that environment")</f>
        <v>Employer who appreciates learning and enables that environment</v>
      </c>
      <c r="M619"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N619" s="1"/>
      <c r="O619" s="1" t="str">
        <f ca="1">IFERROR(__xludf.DUMMYFUNCTION("""COMPUTED_VALUE"""),"Manager who clearly describes what she/he needs")</f>
        <v>Manager who clearly describes what she/he needs</v>
      </c>
      <c r="P619" s="1" t="str">
        <f ca="1">IFERROR(__xludf.DUMMYFUNCTION("""COMPUTED_VALUE"""),"Work &lt;=6 People in the Team")</f>
        <v>Work &lt;=6 People in the Team</v>
      </c>
      <c r="Q619" s="1" t="s">
        <v>40</v>
      </c>
      <c r="R619" s="1"/>
    </row>
    <row r="620" spans="1:18" x14ac:dyDescent="0.25">
      <c r="A620" s="2">
        <f ca="1">IFERROR(__xludf.DUMMYFUNCTION("""COMPUTED_VALUE"""),45021.8118132291)</f>
        <v>45021.811813229098</v>
      </c>
      <c r="B620" s="1" t="str">
        <f ca="1">IFERROR(__xludf.DUMMYFUNCTION("""COMPUTED_VALUE"""),"India")</f>
        <v>India</v>
      </c>
      <c r="C620" s="1">
        <f ca="1">IFERROR(__xludf.DUMMYFUNCTION("""COMPUTED_VALUE"""),535125)</f>
        <v>535125</v>
      </c>
      <c r="D620" s="1" t="str">
        <f ca="1">IFERROR(__xludf.DUMMYFUNCTION("""COMPUTED_VALUE"""),"Male")</f>
        <v>Male</v>
      </c>
      <c r="E620" s="1" t="str">
        <f ca="1">IFERROR(__xludf.DUMMYFUNCTION("""COMPUTED_VALUE"""),"Influencers who had successful careers")</f>
        <v>Influencers who had successful careers</v>
      </c>
      <c r="F620" s="1" t="str">
        <f ca="1">IFERROR(__xludf.DUMMYFUNCTION("""COMPUTED_VALUE"""),"No I would not be pursuing Higher Education outside of India")</f>
        <v>No I would not be pursuing Higher Education outside of India</v>
      </c>
      <c r="G620" s="1" t="str">
        <f ca="1">IFERROR(__xludf.DUMMYFUNCTION("""COMPUTED_VALUE"""),"This will be hard to do, but if it is the right company I would try")</f>
        <v>This will be hard to do, but if it is the right company I would try</v>
      </c>
      <c r="H620" s="1" t="str">
        <f ca="1">IFERROR(__xludf.DUMMYFUNCTION("""COMPUTED_VALUE"""),"No")</f>
        <v>No</v>
      </c>
      <c r="I620" s="1" t="str">
        <f ca="1">IFERROR(__xludf.DUMMYFUNCTION("""COMPUTED_VALUE"""),"Will NOT work for them")</f>
        <v>Will NOT work for them</v>
      </c>
      <c r="J620" s="1">
        <f ca="1">IFERROR(__xludf.DUMMYFUNCTION("""COMPUTED_VALUE"""),7)</f>
        <v>7</v>
      </c>
      <c r="K620" s="1" t="str">
        <f ca="1">IFERROR(__xludf.DUMMYFUNCTION("""COMPUTED_VALUE"""),"Hybrid Working Environment with less than 3 days a month at office")</f>
        <v>Hybrid Working Environment with less than 3 days a month at office</v>
      </c>
      <c r="L620" s="1" t="str">
        <f ca="1">IFERROR(__xludf.DUMMYFUNCTION("""COMPUTED_VALUE"""),"Employer who pushes your limits by enabling an learning environment, and rewards you at the end")</f>
        <v>Employer who pushes your limits by enabling an learning environment, and rewards you at the end</v>
      </c>
      <c r="M62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N620" s="1"/>
      <c r="O620" s="1" t="str">
        <f ca="1">IFERROR(__xludf.DUMMYFUNCTION("""COMPUTED_VALUE"""),"Manager who explains what is expected, sets a goal and helps achieve it")</f>
        <v>Manager who explains what is expected, sets a goal and helps achieve it</v>
      </c>
      <c r="P620" s="1" t="str">
        <f ca="1">IFERROR(__xludf.DUMMYFUNCTION("""COMPUTED_VALUE"""),"Work &lt;=6 People in the Team")</f>
        <v>Work &lt;=6 People in the Team</v>
      </c>
      <c r="Q620" s="1" t="s">
        <v>43</v>
      </c>
      <c r="R620" s="1"/>
    </row>
    <row r="621" spans="1:18" x14ac:dyDescent="0.25">
      <c r="A621" s="2">
        <f ca="1">IFERROR(__xludf.DUMMYFUNCTION("""COMPUTED_VALUE"""),45021.81314875)</f>
        <v>45021.81314875</v>
      </c>
      <c r="B621" s="1" t="str">
        <f ca="1">IFERROR(__xludf.DUMMYFUNCTION("""COMPUTED_VALUE"""),"India")</f>
        <v>India</v>
      </c>
      <c r="C621" s="1">
        <f ca="1">IFERROR(__xludf.DUMMYFUNCTION("""COMPUTED_VALUE"""),364001)</f>
        <v>364001</v>
      </c>
      <c r="D621" s="1" t="str">
        <f ca="1">IFERROR(__xludf.DUMMYFUNCTION("""COMPUTED_VALUE"""),"Female")</f>
        <v>Female</v>
      </c>
      <c r="E621" s="1" t="str">
        <f ca="1">IFERROR(__xludf.DUMMYFUNCTION("""COMPUTED_VALUE"""),"My Parents")</f>
        <v>My Parents</v>
      </c>
      <c r="F621" s="1" t="str">
        <f ca="1">IFERROR(__xludf.DUMMYFUNCTION("""COMPUTED_VALUE"""),"Yes, I will earn and do that")</f>
        <v>Yes, I will earn and do that</v>
      </c>
      <c r="G621" s="1" t="str">
        <f ca="1">IFERROR(__xludf.DUMMYFUNCTION("""COMPUTED_VALUE"""),"Will work for 3 years or more")</f>
        <v>Will work for 3 years or more</v>
      </c>
      <c r="H621" s="1" t="str">
        <f ca="1">IFERROR(__xludf.DUMMYFUNCTION("""COMPUTED_VALUE"""),"No")</f>
        <v>No</v>
      </c>
      <c r="I621" s="1" t="str">
        <f ca="1">IFERROR(__xludf.DUMMYFUNCTION("""COMPUTED_VALUE"""),"Will NOT work for them")</f>
        <v>Will NOT work for them</v>
      </c>
      <c r="J621" s="1">
        <f ca="1">IFERROR(__xludf.DUMMYFUNCTION("""COMPUTED_VALUE"""),5)</f>
        <v>5</v>
      </c>
      <c r="K621" s="1" t="str">
        <f ca="1">IFERROR(__xludf.DUMMYFUNCTION("""COMPUTED_VALUE"""),"Every Day Office Environment")</f>
        <v>Every Day Office Environment</v>
      </c>
      <c r="L621" s="1" t="str">
        <f ca="1">IFERROR(__xludf.DUMMYFUNCTION("""COMPUTED_VALUE"""),"Employer who appreciates learning and enables that environment")</f>
        <v>Employer who appreciates learning and enables that environment</v>
      </c>
      <c r="M621" s="1" t="str">
        <f ca="1">IFERROR(__xludf.DUMMYFUNCTION("""COMPUTED_VALUE"""),"Design and Develop amazing software, Work as a freelancer and do my thing my way, Entrepreneur or Start Up, I Want to sell things/Sales")</f>
        <v>Design and Develop amazing software, Work as a freelancer and do my thing my way, Entrepreneur or Start Up, I Want to sell things/Sales</v>
      </c>
      <c r="N621" s="1"/>
      <c r="O621" s="1" t="str">
        <f ca="1">IFERROR(__xludf.DUMMYFUNCTION("""COMPUTED_VALUE"""),"Manager who clearly describes what she/he needs")</f>
        <v>Manager who clearly describes what she/he needs</v>
      </c>
      <c r="P621" s="1" t="str">
        <f ca="1">IFERROR(__xludf.DUMMYFUNCTION("""COMPUTED_VALUE"""),"Work &gt;=7 People in the Team")</f>
        <v>Work &gt;=7 People in the Team</v>
      </c>
      <c r="Q621" s="1" t="s">
        <v>43</v>
      </c>
      <c r="R621" s="1"/>
    </row>
    <row r="622" spans="1:18" x14ac:dyDescent="0.25">
      <c r="A622" s="2">
        <f ca="1">IFERROR(__xludf.DUMMYFUNCTION("""COMPUTED_VALUE"""),45021.8184388888)</f>
        <v>45021.818438888797</v>
      </c>
      <c r="B622" s="1" t="str">
        <f ca="1">IFERROR(__xludf.DUMMYFUNCTION("""COMPUTED_VALUE"""),"India")</f>
        <v>India</v>
      </c>
      <c r="C622" s="1">
        <f ca="1">IFERROR(__xludf.DUMMYFUNCTION("""COMPUTED_VALUE"""),91)</f>
        <v>91</v>
      </c>
      <c r="D622" s="1" t="str">
        <f ca="1">IFERROR(__xludf.DUMMYFUNCTION("""COMPUTED_VALUE"""),"Female")</f>
        <v>Female</v>
      </c>
      <c r="E622" s="1" t="str">
        <f ca="1">IFERROR(__xludf.DUMMYFUNCTION("""COMPUTED_VALUE"""),"People who have changed the world for better")</f>
        <v>People who have changed the world for better</v>
      </c>
      <c r="F622" s="1" t="str">
        <f ca="1">IFERROR(__xludf.DUMMYFUNCTION("""COMPUTED_VALUE"""),"Yes, I will earn and do that")</f>
        <v>Yes, I will earn and do that</v>
      </c>
      <c r="G622" s="1" t="str">
        <f ca="1">IFERROR(__xludf.DUMMYFUNCTION("""COMPUTED_VALUE"""),"This will be hard to do, but if it is the right company I would try")</f>
        <v>This will be hard to do, but if it is the right company I would try</v>
      </c>
      <c r="H622" s="1" t="str">
        <f ca="1">IFERROR(__xludf.DUMMYFUNCTION("""COMPUTED_VALUE"""),"No")</f>
        <v>No</v>
      </c>
      <c r="I622" s="1" t="str">
        <f ca="1">IFERROR(__xludf.DUMMYFUNCTION("""COMPUTED_VALUE"""),"Will NOT work for them")</f>
        <v>Will NOT work for them</v>
      </c>
      <c r="J622" s="1">
        <f ca="1">IFERROR(__xludf.DUMMYFUNCTION("""COMPUTED_VALUE"""),5)</f>
        <v>5</v>
      </c>
      <c r="K622" s="1" t="str">
        <f ca="1">IFERROR(__xludf.DUMMYFUNCTION("""COMPUTED_VALUE"""),"Fully Remote with Options to travel as and when needed")</f>
        <v>Fully Remote with Options to travel as and when needed</v>
      </c>
      <c r="L622" s="1" t="str">
        <f ca="1">IFERROR(__xludf.DUMMYFUNCTION("""COMPUTED_VALUE"""),"Employer who pushes your limits by enabling an learning environment, and rewards you at the end")</f>
        <v>Employer who pushes your limits by enabling an learning environment, and rewards you at the end</v>
      </c>
      <c r="M62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622" s="1"/>
      <c r="O622" s="1" t="str">
        <f ca="1">IFERROR(__xludf.DUMMYFUNCTION("""COMPUTED_VALUE"""),"Manager who explains what is expected, sets a goal and helps achieve it")</f>
        <v>Manager who explains what is expected, sets a goal and helps achieve it</v>
      </c>
      <c r="P622" s="1" t="str">
        <f ca="1">IFERROR(__xludf.DUMMYFUNCTION("""COMPUTED_VALUE"""),"Work &lt;=6 People in the Team")</f>
        <v>Work &lt;=6 People in the Team</v>
      </c>
      <c r="Q622" s="1" t="s">
        <v>43</v>
      </c>
      <c r="R622" s="1"/>
    </row>
    <row r="623" spans="1:18" x14ac:dyDescent="0.25">
      <c r="A623" s="2">
        <f ca="1">IFERROR(__xludf.DUMMYFUNCTION("""COMPUTED_VALUE"""),45021.826611574)</f>
        <v>45021.826611573997</v>
      </c>
      <c r="B623" s="1" t="str">
        <f ca="1">IFERROR(__xludf.DUMMYFUNCTION("""COMPUTED_VALUE"""),"India")</f>
        <v>India</v>
      </c>
      <c r="C623" s="1">
        <f ca="1">IFERROR(__xludf.DUMMYFUNCTION("""COMPUTED_VALUE"""),711102)</f>
        <v>711102</v>
      </c>
      <c r="D623" s="1" t="str">
        <f ca="1">IFERROR(__xludf.DUMMYFUNCTION("""COMPUTED_VALUE"""),"Male")</f>
        <v>Male</v>
      </c>
      <c r="E623" s="1" t="str">
        <f ca="1">IFERROR(__xludf.DUMMYFUNCTION("""COMPUTED_VALUE"""),"Influencers who had successful careers")</f>
        <v>Influencers who had successful careers</v>
      </c>
      <c r="F623" s="1" t="str">
        <f ca="1">IFERROR(__xludf.DUMMYFUNCTION("""COMPUTED_VALUE"""),"Yes, I will earn and do that")</f>
        <v>Yes, I will earn and do that</v>
      </c>
      <c r="G623" s="1" t="str">
        <f ca="1">IFERROR(__xludf.DUMMYFUNCTION("""COMPUTED_VALUE"""),"Will work for 3 years or more")</f>
        <v>Will work for 3 years or more</v>
      </c>
      <c r="H623" s="1" t="str">
        <f ca="1">IFERROR(__xludf.DUMMYFUNCTION("""COMPUTED_VALUE"""),"No")</f>
        <v>No</v>
      </c>
      <c r="I623" s="1" t="str">
        <f ca="1">IFERROR(__xludf.DUMMYFUNCTION("""COMPUTED_VALUE"""),"Will NOT work for them")</f>
        <v>Will NOT work for them</v>
      </c>
      <c r="J623" s="1">
        <f ca="1">IFERROR(__xludf.DUMMYFUNCTION("""COMPUTED_VALUE"""),8)</f>
        <v>8</v>
      </c>
      <c r="K623" s="1" t="str">
        <f ca="1">IFERROR(__xludf.DUMMYFUNCTION("""COMPUTED_VALUE"""),"Every Day Office Environment")</f>
        <v>Every Day Office Environment</v>
      </c>
      <c r="L623" s="1" t="str">
        <f ca="1">IFERROR(__xludf.DUMMYFUNCTION("""COMPUTED_VALUE"""),"Employer who pushes your limits by enabling an learning environment, and rewards you at the end")</f>
        <v>Employer who pushes your limits by enabling an learning environment, and rewards you at the end</v>
      </c>
      <c r="M6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623" s="1"/>
      <c r="O623" s="1" t="str">
        <f ca="1">IFERROR(__xludf.DUMMYFUNCTION("""COMPUTED_VALUE"""),"Manager who explains what is expected, sets a goal and helps achieve it")</f>
        <v>Manager who explains what is expected, sets a goal and helps achieve it</v>
      </c>
      <c r="P623" s="1" t="str">
        <f ca="1">IFERROR(__xludf.DUMMYFUNCTION("""COMPUTED_VALUE"""),"Work &lt;=6 People in the Team")</f>
        <v>Work &lt;=6 People in the Team</v>
      </c>
      <c r="Q623" s="1" t="s">
        <v>43</v>
      </c>
      <c r="R623" s="1"/>
    </row>
    <row r="624" spans="1:18" x14ac:dyDescent="0.25">
      <c r="A624" s="2">
        <f ca="1">IFERROR(__xludf.DUMMYFUNCTION("""COMPUTED_VALUE"""),45021.8289086342)</f>
        <v>45021.828908634197</v>
      </c>
      <c r="B624" s="1" t="str">
        <f ca="1">IFERROR(__xludf.DUMMYFUNCTION("""COMPUTED_VALUE"""),"India")</f>
        <v>India</v>
      </c>
      <c r="C624" s="1">
        <f ca="1">IFERROR(__xludf.DUMMYFUNCTION("""COMPUTED_VALUE"""),678732)</f>
        <v>678732</v>
      </c>
      <c r="D624" s="1" t="str">
        <f ca="1">IFERROR(__xludf.DUMMYFUNCTION("""COMPUTED_VALUE"""),"Female")</f>
        <v>Female</v>
      </c>
      <c r="E624" s="1" t="str">
        <f ca="1">IFERROR(__xludf.DUMMYFUNCTION("""COMPUTED_VALUE"""),"People from my circle, but not family members")</f>
        <v>People from my circle, but not family members</v>
      </c>
      <c r="F624" s="1" t="str">
        <f ca="1">IFERROR(__xludf.DUMMYFUNCTION("""COMPUTED_VALUE"""),"Yes, I will earn and do that")</f>
        <v>Yes, I will earn and do that</v>
      </c>
      <c r="G624" s="1" t="str">
        <f ca="1">IFERROR(__xludf.DUMMYFUNCTION("""COMPUTED_VALUE"""),"This will be hard to do, but if it is the right company I would try")</f>
        <v>This will be hard to do, but if it is the right company I would try</v>
      </c>
      <c r="H624" s="1" t="str">
        <f ca="1">IFERROR(__xludf.DUMMYFUNCTION("""COMPUTED_VALUE"""),"No")</f>
        <v>No</v>
      </c>
      <c r="I624" s="1" t="str">
        <f ca="1">IFERROR(__xludf.DUMMYFUNCTION("""COMPUTED_VALUE"""),"Will NOT work for them")</f>
        <v>Will NOT work for them</v>
      </c>
      <c r="J624" s="1">
        <f ca="1">IFERROR(__xludf.DUMMYFUNCTION("""COMPUTED_VALUE"""),5)</f>
        <v>5</v>
      </c>
      <c r="K624" s="1" t="str">
        <f ca="1">IFERROR(__xludf.DUMMYFUNCTION("""COMPUTED_VALUE"""),"Fully Remote with Options to travel as and when needed")</f>
        <v>Fully Remote with Options to travel as and when needed</v>
      </c>
      <c r="L624" s="1" t="str">
        <f ca="1">IFERROR(__xludf.DUMMYFUNCTION("""COMPUTED_VALUE"""),"Employer who pushes your limits by enabling an learning environment, and rewards you at the end")</f>
        <v>Employer who pushes your limits by enabling an learning environment, and rewards you at the end</v>
      </c>
      <c r="M62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N624" s="1"/>
      <c r="O624" s="1" t="str">
        <f ca="1">IFERROR(__xludf.DUMMYFUNCTION("""COMPUTED_VALUE"""),"Manager who explains what is expected, sets a goal and helps achieve it")</f>
        <v>Manager who explains what is expected, sets a goal and helps achieve it</v>
      </c>
      <c r="P624" s="1" t="str">
        <f ca="1">IFERROR(__xludf.DUMMYFUNCTION("""COMPUTED_VALUE"""),"Work Alone, &lt;=6 in team")</f>
        <v>Work Alone, &lt;=6 in team</v>
      </c>
      <c r="Q624" s="1" t="s">
        <v>43</v>
      </c>
      <c r="R624" s="1"/>
    </row>
    <row r="625" spans="1:18" x14ac:dyDescent="0.25">
      <c r="A625" s="2">
        <f ca="1">IFERROR(__xludf.DUMMYFUNCTION("""COMPUTED_VALUE"""),45021.8297827546)</f>
        <v>45021.829782754598</v>
      </c>
      <c r="B625" s="1" t="str">
        <f ca="1">IFERROR(__xludf.DUMMYFUNCTION("""COMPUTED_VALUE"""),"India")</f>
        <v>India</v>
      </c>
      <c r="C625" s="1">
        <f ca="1">IFERROR(__xludf.DUMMYFUNCTION("""COMPUTED_VALUE"""),400064)</f>
        <v>400064</v>
      </c>
      <c r="D625" s="1" t="str">
        <f ca="1">IFERROR(__xludf.DUMMYFUNCTION("""COMPUTED_VALUE"""),"Male")</f>
        <v>Male</v>
      </c>
      <c r="E625" s="1" t="str">
        <f ca="1">IFERROR(__xludf.DUMMYFUNCTION("""COMPUTED_VALUE"""),"My Parents")</f>
        <v>My Parents</v>
      </c>
      <c r="F625" s="1" t="str">
        <f ca="1">IFERROR(__xludf.DUMMYFUNCTION("""COMPUTED_VALUE"""),"Yes, I will earn and do that")</f>
        <v>Yes, I will earn and do that</v>
      </c>
      <c r="G625" s="1" t="str">
        <f ca="1">IFERROR(__xludf.DUMMYFUNCTION("""COMPUTED_VALUE"""),"This will be hard to do, but if it is the right company I would try")</f>
        <v>This will be hard to do, but if it is the right company I would try</v>
      </c>
      <c r="H625" s="1" t="str">
        <f ca="1">IFERROR(__xludf.DUMMYFUNCTION("""COMPUTED_VALUE"""),"No")</f>
        <v>No</v>
      </c>
      <c r="I625" s="1" t="str">
        <f ca="1">IFERROR(__xludf.DUMMYFUNCTION("""COMPUTED_VALUE"""),"Will NOT work for them")</f>
        <v>Will NOT work for them</v>
      </c>
      <c r="J625" s="1">
        <f ca="1">IFERROR(__xludf.DUMMYFUNCTION("""COMPUTED_VALUE"""),8)</f>
        <v>8</v>
      </c>
      <c r="K625" s="1" t="str">
        <f ca="1">IFERROR(__xludf.DUMMYFUNCTION("""COMPUTED_VALUE"""),"Every Day Office Environment")</f>
        <v>Every Day Office Environment</v>
      </c>
      <c r="L625" s="1" t="str">
        <f ca="1">IFERROR(__xludf.DUMMYFUNCTION("""COMPUTED_VALUE"""),"Employer who appreciates learning and enables that environment")</f>
        <v>Employer who appreciates learning and enables that environment</v>
      </c>
      <c r="M625"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N625" s="1"/>
      <c r="O625" s="1" t="str">
        <f ca="1">IFERROR(__xludf.DUMMYFUNCTION("""COMPUTED_VALUE"""),"Manager who sets goal and helps me achieve it")</f>
        <v>Manager who sets goal and helps me achieve it</v>
      </c>
      <c r="P625" s="1" t="str">
        <f ca="1">IFERROR(__xludf.DUMMYFUNCTION("""COMPUTED_VALUE"""),"Work alone, Work &gt;10 people in Team")</f>
        <v>Work alone, Work &gt;10 people in Team</v>
      </c>
      <c r="Q625" s="1" t="s">
        <v>40</v>
      </c>
      <c r="R625" s="1"/>
    </row>
    <row r="626" spans="1:18" x14ac:dyDescent="0.25">
      <c r="A626" s="2">
        <f ca="1">IFERROR(__xludf.DUMMYFUNCTION("""COMPUTED_VALUE"""),45021.8301763657)</f>
        <v>45021.8301763657</v>
      </c>
      <c r="B626" s="1" t="str">
        <f ca="1">IFERROR(__xludf.DUMMYFUNCTION("""COMPUTED_VALUE"""),"India")</f>
        <v>India</v>
      </c>
      <c r="C626" s="1">
        <f ca="1">IFERROR(__xludf.DUMMYFUNCTION("""COMPUTED_VALUE"""),500045)</f>
        <v>500045</v>
      </c>
      <c r="D626" s="1" t="str">
        <f ca="1">IFERROR(__xludf.DUMMYFUNCTION("""COMPUTED_VALUE"""),"Male")</f>
        <v>Male</v>
      </c>
      <c r="E626" s="1" t="str">
        <f ca="1">IFERROR(__xludf.DUMMYFUNCTION("""COMPUTED_VALUE"""),"Influencers who had successful careers")</f>
        <v>Influencers who had successful careers</v>
      </c>
      <c r="F626" s="1" t="str">
        <f ca="1">IFERROR(__xludf.DUMMYFUNCTION("""COMPUTED_VALUE"""),"Yes, I will earn and do that")</f>
        <v>Yes, I will earn and do that</v>
      </c>
      <c r="G626" s="1" t="str">
        <f ca="1">IFERROR(__xludf.DUMMYFUNCTION("""COMPUTED_VALUE"""),"This will be hard to do, but if it is the right company I would try")</f>
        <v>This will be hard to do, but if it is the right company I would try</v>
      </c>
      <c r="H626" s="1" t="str">
        <f ca="1">IFERROR(__xludf.DUMMYFUNCTION("""COMPUTED_VALUE"""),"No")</f>
        <v>No</v>
      </c>
      <c r="I626" s="1" t="str">
        <f ca="1">IFERROR(__xludf.DUMMYFUNCTION("""COMPUTED_VALUE"""),"Will NOT work for them")</f>
        <v>Will NOT work for them</v>
      </c>
      <c r="J626" s="1">
        <f ca="1">IFERROR(__xludf.DUMMYFUNCTION("""COMPUTED_VALUE"""),1)</f>
        <v>1</v>
      </c>
      <c r="K626" s="1" t="str">
        <f ca="1">IFERROR(__xludf.DUMMYFUNCTION("""COMPUTED_VALUE"""),"Hybrid Working Environment with less than 3 days a month at office")</f>
        <v>Hybrid Working Environment with less than 3 days a month at office</v>
      </c>
      <c r="L626" s="1" t="str">
        <f ca="1">IFERROR(__xludf.DUMMYFUNCTION("""COMPUTED_VALUE"""),"Employer who rewards learning and enables that environment")</f>
        <v>Employer who rewards learning and enables that environment</v>
      </c>
      <c r="M62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626" s="1"/>
      <c r="O626" s="1" t="str">
        <f ca="1">IFERROR(__xludf.DUMMYFUNCTION("""COMPUTED_VALUE"""),"Manager who explains what is expected, sets a goal and helps achieve it")</f>
        <v>Manager who explains what is expected, sets a goal and helps achieve it</v>
      </c>
      <c r="P626" s="1" t="str">
        <f ca="1">IFERROR(__xludf.DUMMYFUNCTION("""COMPUTED_VALUE"""),"Work &lt;=6 People in the Team")</f>
        <v>Work &lt;=6 People in the Team</v>
      </c>
      <c r="Q626" s="1" t="s">
        <v>43</v>
      </c>
      <c r="R626" s="1"/>
    </row>
    <row r="627" spans="1:18" x14ac:dyDescent="0.25">
      <c r="A627" s="2">
        <f ca="1">IFERROR(__xludf.DUMMYFUNCTION("""COMPUTED_VALUE"""),45021.8309088425)</f>
        <v>45021.830908842501</v>
      </c>
      <c r="B627" s="1" t="str">
        <f ca="1">IFERROR(__xludf.DUMMYFUNCTION("""COMPUTED_VALUE"""),"Others")</f>
        <v>Others</v>
      </c>
      <c r="C627" s="1" t="str">
        <f ca="1">IFERROR(__xludf.DUMMYFUNCTION("""COMPUTED_VALUE"""),"SY23")</f>
        <v>SY23</v>
      </c>
      <c r="D627" s="1" t="str">
        <f ca="1">IFERROR(__xludf.DUMMYFUNCTION("""COMPUTED_VALUE"""),"Male")</f>
        <v>Male</v>
      </c>
      <c r="E627" s="1" t="str">
        <f ca="1">IFERROR(__xludf.DUMMYFUNCTION("""COMPUTED_VALUE"""),"People from my circle, but not family members")</f>
        <v>People from my circle, but not family members</v>
      </c>
      <c r="F627" s="1" t="str">
        <f ca="1">IFERROR(__xludf.DUMMYFUNCTION("""COMPUTED_VALUE"""),"Yes, I will earn and do that")</f>
        <v>Yes, I will earn and do that</v>
      </c>
      <c r="G627" s="1" t="str">
        <f ca="1">IFERROR(__xludf.DUMMYFUNCTION("""COMPUTED_VALUE"""),"This will be hard to do, but if it is the right company I would try")</f>
        <v>This will be hard to do, but if it is the right company I would try</v>
      </c>
      <c r="H627" s="1" t="str">
        <f ca="1">IFERROR(__xludf.DUMMYFUNCTION("""COMPUTED_VALUE"""),"Yes")</f>
        <v>Yes</v>
      </c>
      <c r="I627" s="1" t="str">
        <f ca="1">IFERROR(__xludf.DUMMYFUNCTION("""COMPUTED_VALUE"""),"Will work for them")</f>
        <v>Will work for them</v>
      </c>
      <c r="J627" s="1">
        <f ca="1">IFERROR(__xludf.DUMMYFUNCTION("""COMPUTED_VALUE"""),10)</f>
        <v>10</v>
      </c>
      <c r="K627" s="1" t="str">
        <f ca="1">IFERROR(__xludf.DUMMYFUNCTION("""COMPUTED_VALUE"""),"Hybrid Working Environment with more than 15 days a month at office")</f>
        <v>Hybrid Working Environment with more than 15 days a month at office</v>
      </c>
      <c r="L627" s="1" t="str">
        <f ca="1">IFERROR(__xludf.DUMMYFUNCTION("""COMPUTED_VALUE"""),"Employer who appreciates learning and enables that environment")</f>
        <v>Employer who appreciates learning and enables that environment</v>
      </c>
      <c r="M627"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N627" s="1"/>
      <c r="O627" s="1" t="str">
        <f ca="1">IFERROR(__xludf.DUMMYFUNCTION("""COMPUTED_VALUE"""),"Manager who explains what is expected, sets a goal and helps achieve it")</f>
        <v>Manager who explains what is expected, sets a goal and helps achieve it</v>
      </c>
      <c r="P627" s="1" t="str">
        <f ca="1">IFERROR(__xludf.DUMMYFUNCTION("""COMPUTED_VALUE"""),"Work Alone, &lt;=6 in team")</f>
        <v>Work Alone, &lt;=6 in team</v>
      </c>
      <c r="Q627" s="1" t="s">
        <v>43</v>
      </c>
      <c r="R627" s="1"/>
    </row>
    <row r="628" spans="1:18" x14ac:dyDescent="0.25">
      <c r="A628" s="2">
        <f ca="1">IFERROR(__xludf.DUMMYFUNCTION("""COMPUTED_VALUE"""),45021.8429500578)</f>
        <v>45021.842950057799</v>
      </c>
      <c r="B628" s="1" t="str">
        <f ca="1">IFERROR(__xludf.DUMMYFUNCTION("""COMPUTED_VALUE"""),"India")</f>
        <v>India</v>
      </c>
      <c r="C628" s="1">
        <f ca="1">IFERROR(__xludf.DUMMYFUNCTION("""COMPUTED_VALUE"""),440014)</f>
        <v>440014</v>
      </c>
      <c r="D628" s="1" t="str">
        <f ca="1">IFERROR(__xludf.DUMMYFUNCTION("""COMPUTED_VALUE"""),"Male")</f>
        <v>Male</v>
      </c>
      <c r="E628" s="1" t="str">
        <f ca="1">IFERROR(__xludf.DUMMYFUNCTION("""COMPUTED_VALUE"""),"Influencers who had successful careers")</f>
        <v>Influencers who had successful careers</v>
      </c>
      <c r="F628" s="1" t="str">
        <f ca="1">IFERROR(__xludf.DUMMYFUNCTION("""COMPUTED_VALUE"""),"Yes, I will earn and do that")</f>
        <v>Yes, I will earn and do that</v>
      </c>
      <c r="G628" s="1" t="str">
        <f ca="1">IFERROR(__xludf.DUMMYFUNCTION("""COMPUTED_VALUE"""),"This will be hard to do, but if it is the right company I would try")</f>
        <v>This will be hard to do, but if it is the right company I would try</v>
      </c>
      <c r="H628" s="1" t="str">
        <f ca="1">IFERROR(__xludf.DUMMYFUNCTION("""COMPUTED_VALUE"""),"Yes")</f>
        <v>Yes</v>
      </c>
      <c r="I628" s="1" t="str">
        <f ca="1">IFERROR(__xludf.DUMMYFUNCTION("""COMPUTED_VALUE"""),"Will NOT work for them")</f>
        <v>Will NOT work for them</v>
      </c>
      <c r="J628" s="1">
        <f ca="1">IFERROR(__xludf.DUMMYFUNCTION("""COMPUTED_VALUE"""),4)</f>
        <v>4</v>
      </c>
      <c r="K628" s="1" t="str">
        <f ca="1">IFERROR(__xludf.DUMMYFUNCTION("""COMPUTED_VALUE"""),"Every Day Office Environment")</f>
        <v>Every Day Office Environment</v>
      </c>
      <c r="L628" s="1" t="str">
        <f ca="1">IFERROR(__xludf.DUMMYFUNCTION("""COMPUTED_VALUE"""),"Employer who appreciates learning and enables that environment")</f>
        <v>Employer who appreciates learning and enables that environment</v>
      </c>
      <c r="M628"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N628" s="1"/>
      <c r="O628" s="1" t="str">
        <f ca="1">IFERROR(__xludf.DUMMYFUNCTION("""COMPUTED_VALUE"""),"Manager who clearly describes what she/he needs")</f>
        <v>Manager who clearly describes what she/he needs</v>
      </c>
      <c r="P628" s="1" t="str">
        <f ca="1">IFERROR(__xludf.DUMMYFUNCTION("""COMPUTED_VALUE"""),"Work alone")</f>
        <v>Work alone</v>
      </c>
      <c r="Q628" s="1" t="s">
        <v>40</v>
      </c>
      <c r="R628" s="1"/>
    </row>
    <row r="629" spans="1:18" x14ac:dyDescent="0.25">
      <c r="A629" s="2">
        <f ca="1">IFERROR(__xludf.DUMMYFUNCTION("""COMPUTED_VALUE"""),45021.8478199074)</f>
        <v>45021.847819907402</v>
      </c>
      <c r="B629" s="1" t="str">
        <f ca="1">IFERROR(__xludf.DUMMYFUNCTION("""COMPUTED_VALUE"""),"India")</f>
        <v>India</v>
      </c>
      <c r="C629" s="1">
        <f ca="1">IFERROR(__xludf.DUMMYFUNCTION("""COMPUTED_VALUE"""),400059)</f>
        <v>400059</v>
      </c>
      <c r="D629" s="1" t="str">
        <f ca="1">IFERROR(__xludf.DUMMYFUNCTION("""COMPUTED_VALUE"""),"Female")</f>
        <v>Female</v>
      </c>
      <c r="E629" s="1" t="str">
        <f ca="1">IFERROR(__xludf.DUMMYFUNCTION("""COMPUTED_VALUE"""),"People who have changed the world for better")</f>
        <v>People who have changed the world for better</v>
      </c>
      <c r="F629" s="1" t="str">
        <f ca="1">IFERROR(__xludf.DUMMYFUNCTION("""COMPUTED_VALUE"""),"Yes, I will earn and do that")</f>
        <v>Yes, I will earn and do that</v>
      </c>
      <c r="G629" s="1" t="str">
        <f ca="1">IFERROR(__xludf.DUMMYFUNCTION("""COMPUTED_VALUE"""),"This will be hard to do, but if it is the right company I would try")</f>
        <v>This will be hard to do, but if it is the right company I would try</v>
      </c>
      <c r="H629" s="1" t="str">
        <f ca="1">IFERROR(__xludf.DUMMYFUNCTION("""COMPUTED_VALUE"""),"No")</f>
        <v>No</v>
      </c>
      <c r="I629" s="1" t="str">
        <f ca="1">IFERROR(__xludf.DUMMYFUNCTION("""COMPUTED_VALUE"""),"Will NOT work for them")</f>
        <v>Will NOT work for them</v>
      </c>
      <c r="J629" s="1">
        <f ca="1">IFERROR(__xludf.DUMMYFUNCTION("""COMPUTED_VALUE"""),5)</f>
        <v>5</v>
      </c>
      <c r="K629" s="1" t="str">
        <f ca="1">IFERROR(__xludf.DUMMYFUNCTION("""COMPUTED_VALUE"""),"Hybrid Working Environment with less than 3 days a month at office")</f>
        <v>Hybrid Working Environment with less than 3 days a month at office</v>
      </c>
      <c r="L629" s="1" t="str">
        <f ca="1">IFERROR(__xludf.DUMMYFUNCTION("""COMPUTED_VALUE"""),"Employer who pushes your limits by enabling an learning environment, and rewards you at the end")</f>
        <v>Employer who pushes your limits by enabling an learning environment, and rewards you at the end</v>
      </c>
      <c r="M6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629" s="1"/>
      <c r="O629" s="1" t="str">
        <f ca="1">IFERROR(__xludf.DUMMYFUNCTION("""COMPUTED_VALUE"""),"Manager who explains what is expected, sets a goal and helps achieve it")</f>
        <v>Manager who explains what is expected, sets a goal and helps achieve it</v>
      </c>
      <c r="P629" s="1" t="str">
        <f ca="1">IFERROR(__xludf.DUMMYFUNCTION("""COMPUTED_VALUE"""),"Work Alone, &lt;=6 in team")</f>
        <v>Work Alone, &lt;=6 in team</v>
      </c>
      <c r="Q629" s="1" t="s">
        <v>40</v>
      </c>
      <c r="R629" s="1"/>
    </row>
    <row r="630" spans="1:18" x14ac:dyDescent="0.25">
      <c r="A630" s="2">
        <f ca="1">IFERROR(__xludf.DUMMYFUNCTION("""COMPUTED_VALUE"""),45021.8485641319)</f>
        <v>45021.848564131898</v>
      </c>
      <c r="B630" s="1" t="str">
        <f ca="1">IFERROR(__xludf.DUMMYFUNCTION("""COMPUTED_VALUE"""),"India")</f>
        <v>India</v>
      </c>
      <c r="C630" s="1">
        <f ca="1">IFERROR(__xludf.DUMMYFUNCTION("""COMPUTED_VALUE"""),442902)</f>
        <v>442902</v>
      </c>
      <c r="D630" s="1" t="str">
        <f ca="1">IFERROR(__xludf.DUMMYFUNCTION("""COMPUTED_VALUE"""),"Male")</f>
        <v>Male</v>
      </c>
      <c r="E630" s="1" t="str">
        <f ca="1">IFERROR(__xludf.DUMMYFUNCTION("""COMPUTED_VALUE"""),"People from my circle, but not family members")</f>
        <v>People from my circle, but not family members</v>
      </c>
      <c r="F630" s="1" t="str">
        <f ca="1">IFERROR(__xludf.DUMMYFUNCTION("""COMPUTED_VALUE"""),"No I would not be pursuing Higher Education outside of India")</f>
        <v>No I would not be pursuing Higher Education outside of India</v>
      </c>
      <c r="G630" s="1" t="str">
        <f ca="1">IFERROR(__xludf.DUMMYFUNCTION("""COMPUTED_VALUE"""),"This will be hard to do, but if it is the right company I would try")</f>
        <v>This will be hard to do, but if it is the right company I would try</v>
      </c>
      <c r="H630" s="1" t="str">
        <f ca="1">IFERROR(__xludf.DUMMYFUNCTION("""COMPUTED_VALUE"""),"No")</f>
        <v>No</v>
      </c>
      <c r="I630" s="1" t="str">
        <f ca="1">IFERROR(__xludf.DUMMYFUNCTION("""COMPUTED_VALUE"""),"Will NOT work for them")</f>
        <v>Will NOT work for them</v>
      </c>
      <c r="J630" s="1">
        <f ca="1">IFERROR(__xludf.DUMMYFUNCTION("""COMPUTED_VALUE"""),5)</f>
        <v>5</v>
      </c>
      <c r="K630" s="1" t="str">
        <f ca="1">IFERROR(__xludf.DUMMYFUNCTION("""COMPUTED_VALUE"""),"Hybrid Working Environment with more than 15 days a month at office")</f>
        <v>Hybrid Working Environment with more than 15 days a month at office</v>
      </c>
      <c r="L630" s="1" t="str">
        <f ca="1">IFERROR(__xludf.DUMMYFUNCTION("""COMPUTED_VALUE"""),"Employer who appreciates learning and enables that environment")</f>
        <v>Employer who appreciates learning and enables that environment</v>
      </c>
      <c r="M630"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N630" s="1"/>
      <c r="O630" s="1" t="str">
        <f ca="1">IFERROR(__xludf.DUMMYFUNCTION("""COMPUTED_VALUE"""),"Manager who explains what is expected, sets a goal and helps achieve it")</f>
        <v>Manager who explains what is expected, sets a goal and helps achieve it</v>
      </c>
      <c r="P630" s="1" t="str">
        <f ca="1">IFERROR(__xludf.DUMMYFUNCTION("""COMPUTED_VALUE"""),"Work &lt;=6 People in the Team")</f>
        <v>Work &lt;=6 People in the Team</v>
      </c>
      <c r="Q630" s="1" t="s">
        <v>43</v>
      </c>
      <c r="R630" s="1"/>
    </row>
    <row r="631" spans="1:18" x14ac:dyDescent="0.25">
      <c r="A631" s="2">
        <f ca="1">IFERROR(__xludf.DUMMYFUNCTION("""COMPUTED_VALUE"""),45021.8489791435)</f>
        <v>45021.848979143499</v>
      </c>
      <c r="B631" s="1" t="str">
        <f ca="1">IFERROR(__xludf.DUMMYFUNCTION("""COMPUTED_VALUE"""),"India")</f>
        <v>India</v>
      </c>
      <c r="C631" s="1">
        <f ca="1">IFERROR(__xludf.DUMMYFUNCTION("""COMPUTED_VALUE"""),600088)</f>
        <v>600088</v>
      </c>
      <c r="D631" s="1" t="str">
        <f ca="1">IFERROR(__xludf.DUMMYFUNCTION("""COMPUTED_VALUE"""),"Male")</f>
        <v>Male</v>
      </c>
      <c r="E631" s="1" t="str">
        <f ca="1">IFERROR(__xludf.DUMMYFUNCTION("""COMPUTED_VALUE"""),"My Parents")</f>
        <v>My Parents</v>
      </c>
      <c r="F631" s="1" t="str">
        <f ca="1">IFERROR(__xludf.DUMMYFUNCTION("""COMPUTED_VALUE"""),"No I would not be pursuing Higher Education outside of India")</f>
        <v>No I would not be pursuing Higher Education outside of India</v>
      </c>
      <c r="G631" s="1" t="str">
        <f ca="1">IFERROR(__xludf.DUMMYFUNCTION("""COMPUTED_VALUE"""),"Will work for 3 years or more")</f>
        <v>Will work for 3 years or more</v>
      </c>
      <c r="H631" s="1" t="str">
        <f ca="1">IFERROR(__xludf.DUMMYFUNCTION("""COMPUTED_VALUE"""),"No")</f>
        <v>No</v>
      </c>
      <c r="I631" s="1" t="str">
        <f ca="1">IFERROR(__xludf.DUMMYFUNCTION("""COMPUTED_VALUE"""),"Will work for them")</f>
        <v>Will work for them</v>
      </c>
      <c r="J631" s="1">
        <f ca="1">IFERROR(__xludf.DUMMYFUNCTION("""COMPUTED_VALUE"""),4)</f>
        <v>4</v>
      </c>
      <c r="K631" s="1" t="str">
        <f ca="1">IFERROR(__xludf.DUMMYFUNCTION("""COMPUTED_VALUE"""),"Hybrid Working Environment with more than 15 days a month at office")</f>
        <v>Hybrid Working Environment with more than 15 days a month at office</v>
      </c>
      <c r="L631" s="1" t="str">
        <f ca="1">IFERROR(__xludf.DUMMYFUNCTION("""COMPUTED_VALUE"""),"Employer who pushes your limits by enabling an learning environment, and rewards you at the end")</f>
        <v>Employer who pushes your limits by enabling an learning environment, and rewards you at the end</v>
      </c>
      <c r="M63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631" s="1"/>
      <c r="O631" s="1" t="str">
        <f ca="1">IFERROR(__xludf.DUMMYFUNCTION("""COMPUTED_VALUE"""),"Manager who sets goal and helps me achieve it")</f>
        <v>Manager who sets goal and helps me achieve it</v>
      </c>
      <c r="P631" s="1" t="str">
        <f ca="1">IFERROR(__xludf.DUMMYFUNCTION("""COMPUTED_VALUE"""),"Work &lt;=6 People in the Team")</f>
        <v>Work &lt;=6 People in the Team</v>
      </c>
      <c r="Q631" s="1" t="s">
        <v>43</v>
      </c>
      <c r="R631" s="1"/>
    </row>
    <row r="632" spans="1:18" x14ac:dyDescent="0.25">
      <c r="A632" s="2">
        <f ca="1">IFERROR(__xludf.DUMMYFUNCTION("""COMPUTED_VALUE"""),45021.850055162)</f>
        <v>45021.850055162002</v>
      </c>
      <c r="B632" s="1" t="str">
        <f ca="1">IFERROR(__xludf.DUMMYFUNCTION("""COMPUTED_VALUE"""),"India")</f>
        <v>India</v>
      </c>
      <c r="C632" s="1">
        <f ca="1">IFERROR(__xludf.DUMMYFUNCTION("""COMPUTED_VALUE"""),641402)</f>
        <v>641402</v>
      </c>
      <c r="D632" s="1" t="str">
        <f ca="1">IFERROR(__xludf.DUMMYFUNCTION("""COMPUTED_VALUE"""),"Female")</f>
        <v>Female</v>
      </c>
      <c r="E632" s="1" t="str">
        <f ca="1">IFERROR(__xludf.DUMMYFUNCTION("""COMPUTED_VALUE"""),"My Parents")</f>
        <v>My Parents</v>
      </c>
      <c r="F632" s="1" t="str">
        <f ca="1">IFERROR(__xludf.DUMMYFUNCTION("""COMPUTED_VALUE"""),"No, But if someone could bare the cost I will")</f>
        <v>No, But if someone could bare the cost I will</v>
      </c>
      <c r="G632" s="1" t="str">
        <f ca="1">IFERROR(__xludf.DUMMYFUNCTION("""COMPUTED_VALUE"""),"No way")</f>
        <v>No way</v>
      </c>
      <c r="H632" s="1" t="str">
        <f ca="1">IFERROR(__xludf.DUMMYFUNCTION("""COMPUTED_VALUE"""),"No")</f>
        <v>No</v>
      </c>
      <c r="I632" s="1" t="str">
        <f ca="1">IFERROR(__xludf.DUMMYFUNCTION("""COMPUTED_VALUE"""),"Will work for them")</f>
        <v>Will work for them</v>
      </c>
      <c r="J632" s="1">
        <f ca="1">IFERROR(__xludf.DUMMYFUNCTION("""COMPUTED_VALUE"""),4)</f>
        <v>4</v>
      </c>
      <c r="K632" s="1" t="str">
        <f ca="1">IFERROR(__xludf.DUMMYFUNCTION("""COMPUTED_VALUE"""),"Hybrid Working Environment with less than 3 days a month at office")</f>
        <v>Hybrid Working Environment with less than 3 days a month at office</v>
      </c>
      <c r="L632" s="1" t="str">
        <f ca="1">IFERROR(__xludf.DUMMYFUNCTION("""COMPUTED_VALUE"""),"Employer who appreciates learning and enables that environment")</f>
        <v>Employer who appreciates learning and enables that environment</v>
      </c>
      <c r="M632" s="1" t="str">
        <f ca="1">IFERROR(__xludf.DUMMYFUNCTION("""COMPUTED_VALUE"""),"Teaching in any of the institutes/colleges/online or offline, Build and develop a Team, Design and Develop amazing software, I Want to sell things/Sales")</f>
        <v>Teaching in any of the institutes/colleges/online or offline, Build and develop a Team, Design and Develop amazing software, I Want to sell things/Sales</v>
      </c>
      <c r="N632" s="1"/>
      <c r="O632" s="1" t="str">
        <f ca="1">IFERROR(__xludf.DUMMYFUNCTION("""COMPUTED_VALUE"""),"Manager who clearly describes what she/he needs")</f>
        <v>Manager who clearly describes what she/he needs</v>
      </c>
      <c r="P632" s="1" t="str">
        <f ca="1">IFERROR(__xludf.DUMMYFUNCTION("""COMPUTED_VALUE"""),"Work &gt;10 people in Team")</f>
        <v>Work &gt;10 people in Team</v>
      </c>
      <c r="Q632" s="1" t="s">
        <v>42</v>
      </c>
      <c r="R632" s="1"/>
    </row>
    <row r="633" spans="1:18" x14ac:dyDescent="0.25">
      <c r="A633" s="2">
        <f ca="1">IFERROR(__xludf.DUMMYFUNCTION("""COMPUTED_VALUE"""),45021.85120103)</f>
        <v>45021.851201029996</v>
      </c>
      <c r="B633" s="1" t="str">
        <f ca="1">IFERROR(__xludf.DUMMYFUNCTION("""COMPUTED_VALUE"""),"India")</f>
        <v>India</v>
      </c>
      <c r="C633" s="1">
        <f ca="1">IFERROR(__xludf.DUMMYFUNCTION("""COMPUTED_VALUE"""),606601)</f>
        <v>606601</v>
      </c>
      <c r="D633" s="1" t="str">
        <f ca="1">IFERROR(__xludf.DUMMYFUNCTION("""COMPUTED_VALUE"""),"Male")</f>
        <v>Male</v>
      </c>
      <c r="E633" s="1" t="str">
        <f ca="1">IFERROR(__xludf.DUMMYFUNCTION("""COMPUTED_VALUE"""),"Influencers who had successful careers")</f>
        <v>Influencers who had successful careers</v>
      </c>
      <c r="F633" s="1" t="str">
        <f ca="1">IFERROR(__xludf.DUMMYFUNCTION("""COMPUTED_VALUE"""),"Yes, I will earn and do that")</f>
        <v>Yes, I will earn and do that</v>
      </c>
      <c r="G633" s="1" t="str">
        <f ca="1">IFERROR(__xludf.DUMMYFUNCTION("""COMPUTED_VALUE"""),"Will work for 3 years or more")</f>
        <v>Will work for 3 years or more</v>
      </c>
      <c r="H633" s="1" t="str">
        <f ca="1">IFERROR(__xludf.DUMMYFUNCTION("""COMPUTED_VALUE"""),"Yes")</f>
        <v>Yes</v>
      </c>
      <c r="I633" s="1" t="str">
        <f ca="1">IFERROR(__xludf.DUMMYFUNCTION("""COMPUTED_VALUE"""),"Will NOT work for them")</f>
        <v>Will NOT work for them</v>
      </c>
      <c r="J633" s="1">
        <f ca="1">IFERROR(__xludf.DUMMYFUNCTION("""COMPUTED_VALUE"""),7)</f>
        <v>7</v>
      </c>
      <c r="K633" s="1" t="str">
        <f ca="1">IFERROR(__xludf.DUMMYFUNCTION("""COMPUTED_VALUE"""),"Hybrid Working Environment with more than 15 days a month at office")</f>
        <v>Hybrid Working Environment with more than 15 days a month at office</v>
      </c>
      <c r="L633" s="1" t="str">
        <f ca="1">IFERROR(__xludf.DUMMYFUNCTION("""COMPUTED_VALUE"""),"Employer who appreciates learning and enables that environment")</f>
        <v>Employer who appreciates learning and enables that environment</v>
      </c>
      <c r="M633"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633" s="1"/>
      <c r="O633" s="1" t="str">
        <f ca="1">IFERROR(__xludf.DUMMYFUNCTION("""COMPUTED_VALUE"""),"Manager who explains what is expected, sets a goal and helps achieve it")</f>
        <v>Manager who explains what is expected, sets a goal and helps achieve it</v>
      </c>
      <c r="P633" s="1" t="str">
        <f ca="1">IFERROR(__xludf.DUMMYFUNCTION("""COMPUTED_VALUE"""),"Work &lt;=6 People in the Team")</f>
        <v>Work &lt;=6 People in the Team</v>
      </c>
      <c r="Q633" s="1" t="s">
        <v>40</v>
      </c>
      <c r="R633" s="1"/>
    </row>
    <row r="634" spans="1:18" x14ac:dyDescent="0.25">
      <c r="A634" s="2">
        <f ca="1">IFERROR(__xludf.DUMMYFUNCTION("""COMPUTED_VALUE"""),45021.8537056018)</f>
        <v>45021.853705601803</v>
      </c>
      <c r="B634" s="1" t="str">
        <f ca="1">IFERROR(__xludf.DUMMYFUNCTION("""COMPUTED_VALUE"""),"India")</f>
        <v>India</v>
      </c>
      <c r="C634" s="1">
        <f ca="1">IFERROR(__xludf.DUMMYFUNCTION("""COMPUTED_VALUE"""),400075)</f>
        <v>400075</v>
      </c>
      <c r="D634" s="1" t="str">
        <f ca="1">IFERROR(__xludf.DUMMYFUNCTION("""COMPUTED_VALUE"""),"Female")</f>
        <v>Female</v>
      </c>
      <c r="E634" s="1" t="str">
        <f ca="1">IFERROR(__xludf.DUMMYFUNCTION("""COMPUTED_VALUE"""),"My Parents")</f>
        <v>My Parents</v>
      </c>
      <c r="F634" s="1" t="str">
        <f ca="1">IFERROR(__xludf.DUMMYFUNCTION("""COMPUTED_VALUE"""),"No I would not be pursuing Higher Education outside of India")</f>
        <v>No I would not be pursuing Higher Education outside of India</v>
      </c>
      <c r="G634" s="1" t="str">
        <f ca="1">IFERROR(__xludf.DUMMYFUNCTION("""COMPUTED_VALUE"""),"This will be hard to do, but if it is the right company I would try")</f>
        <v>This will be hard to do, but if it is the right company I would try</v>
      </c>
      <c r="H634" s="1" t="str">
        <f ca="1">IFERROR(__xludf.DUMMYFUNCTION("""COMPUTED_VALUE"""),"No")</f>
        <v>No</v>
      </c>
      <c r="I634" s="1" t="str">
        <f ca="1">IFERROR(__xludf.DUMMYFUNCTION("""COMPUTED_VALUE"""),"Will work for them")</f>
        <v>Will work for them</v>
      </c>
      <c r="J634" s="1">
        <f ca="1">IFERROR(__xludf.DUMMYFUNCTION("""COMPUTED_VALUE"""),5)</f>
        <v>5</v>
      </c>
      <c r="K634" s="1" t="str">
        <f ca="1">IFERROR(__xludf.DUMMYFUNCTION("""COMPUTED_VALUE"""),"Every Day Office Environment")</f>
        <v>Every Day Office Environment</v>
      </c>
      <c r="L634" s="1" t="str">
        <f ca="1">IFERROR(__xludf.DUMMYFUNCTION("""COMPUTED_VALUE"""),"Employer who pushes your limits by enabling an learning environment, and rewards you at the end")</f>
        <v>Employer who pushes your limits by enabling an learning environment, and rewards you at the end</v>
      </c>
      <c r="M634"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634" s="1"/>
      <c r="O634" s="1" t="str">
        <f ca="1">IFERROR(__xludf.DUMMYFUNCTION("""COMPUTED_VALUE"""),"Manager who explains what is expected, sets a goal and helps achieve it")</f>
        <v>Manager who explains what is expected, sets a goal and helps achieve it</v>
      </c>
      <c r="P634" s="1" t="str">
        <f ca="1">IFERROR(__xludf.DUMMYFUNCTION("""COMPUTED_VALUE"""),"Work &lt;=6 People in the Team")</f>
        <v>Work &lt;=6 People in the Team</v>
      </c>
      <c r="Q634" s="1" t="s">
        <v>40</v>
      </c>
      <c r="R634" s="1"/>
    </row>
    <row r="635" spans="1:18" x14ac:dyDescent="0.25">
      <c r="A635" s="2">
        <f ca="1">IFERROR(__xludf.DUMMYFUNCTION("""COMPUTED_VALUE"""),45021.8540334722)</f>
        <v>45021.854033472198</v>
      </c>
      <c r="B635" s="1" t="str">
        <f ca="1">IFERROR(__xludf.DUMMYFUNCTION("""COMPUTED_VALUE"""),"Others")</f>
        <v>Others</v>
      </c>
      <c r="C635" s="1">
        <f ca="1">IFERROR(__xludf.DUMMYFUNCTION("""COMPUTED_VALUE"""),58200)</f>
        <v>58200</v>
      </c>
      <c r="D635" s="1" t="str">
        <f ca="1">IFERROR(__xludf.DUMMYFUNCTION("""COMPUTED_VALUE"""),"Male")</f>
        <v>Male</v>
      </c>
      <c r="E635" s="1" t="str">
        <f ca="1">IFERROR(__xludf.DUMMYFUNCTION("""COMPUTED_VALUE"""),"Social Media like LinkedIn")</f>
        <v>Social Media like LinkedIn</v>
      </c>
      <c r="F635" s="1" t="str">
        <f ca="1">IFERROR(__xludf.DUMMYFUNCTION("""COMPUTED_VALUE"""),"No, But if someone could bare the cost I will")</f>
        <v>No, But if someone could bare the cost I will</v>
      </c>
      <c r="G635" s="1" t="str">
        <f ca="1">IFERROR(__xludf.DUMMYFUNCTION("""COMPUTED_VALUE"""),"Will work for 3 years or more")</f>
        <v>Will work for 3 years or more</v>
      </c>
      <c r="H635" s="1" t="str">
        <f ca="1">IFERROR(__xludf.DUMMYFUNCTION("""COMPUTED_VALUE"""),"No")</f>
        <v>No</v>
      </c>
      <c r="I635" s="1" t="str">
        <f ca="1">IFERROR(__xludf.DUMMYFUNCTION("""COMPUTED_VALUE"""),"Will NOT work for them")</f>
        <v>Will NOT work for them</v>
      </c>
      <c r="J635" s="1">
        <f ca="1">IFERROR(__xludf.DUMMYFUNCTION("""COMPUTED_VALUE"""),7)</f>
        <v>7</v>
      </c>
      <c r="K635" s="1" t="str">
        <f ca="1">IFERROR(__xludf.DUMMYFUNCTION("""COMPUTED_VALUE"""),"Fully Remote with Options to travel as and when needed")</f>
        <v>Fully Remote with Options to travel as and when needed</v>
      </c>
      <c r="L635" s="1" t="str">
        <f ca="1">IFERROR(__xludf.DUMMYFUNCTION("""COMPUTED_VALUE"""),"Employer who pushes your limits by enabling an learning environment, and rewards you at the end")</f>
        <v>Employer who pushes your limits by enabling an learning environment, and rewards you at the end</v>
      </c>
      <c r="M635" s="1" t="str">
        <f ca="1">IFERROR(__xludf.DUMMYFUNCTION("""COMPUTED_VALUE"""),"Business Operations in any organization, Work in a BPO setup for some well known client, Work as a freelancer and do my thing my way, I Want to sell things/Sales")</f>
        <v>Business Operations in any organization, Work in a BPO setup for some well known client, Work as a freelancer and do my thing my way, I Want to sell things/Sales</v>
      </c>
      <c r="N635" s="1"/>
      <c r="O635" s="1" t="str">
        <f ca="1">IFERROR(__xludf.DUMMYFUNCTION("""COMPUTED_VALUE"""),"Manager who explains what is expected, sets a goal and helps achieve it")</f>
        <v>Manager who explains what is expected, sets a goal and helps achieve it</v>
      </c>
      <c r="P635" s="1" t="str">
        <f ca="1">IFERROR(__xludf.DUMMYFUNCTION("""COMPUTED_VALUE"""),"Work &gt;10 people in Team")</f>
        <v>Work &gt;10 people in Team</v>
      </c>
      <c r="Q635" s="1" t="s">
        <v>43</v>
      </c>
      <c r="R635" s="1"/>
    </row>
    <row r="636" spans="1:18" x14ac:dyDescent="0.25">
      <c r="A636" s="2">
        <f ca="1">IFERROR(__xludf.DUMMYFUNCTION("""COMPUTED_VALUE"""),45021.8549622685)</f>
        <v>45021.854962268502</v>
      </c>
      <c r="B636" s="1" t="str">
        <f ca="1">IFERROR(__xludf.DUMMYFUNCTION("""COMPUTED_VALUE"""),"India")</f>
        <v>India</v>
      </c>
      <c r="C636" s="1">
        <f ca="1">IFERROR(__xludf.DUMMYFUNCTION("""COMPUTED_VALUE"""),400067)</f>
        <v>400067</v>
      </c>
      <c r="D636" s="1" t="str">
        <f ca="1">IFERROR(__xludf.DUMMYFUNCTION("""COMPUTED_VALUE"""),"Male")</f>
        <v>Male</v>
      </c>
      <c r="E636" s="1" t="str">
        <f ca="1">IFERROR(__xludf.DUMMYFUNCTION("""COMPUTED_VALUE"""),"People who have changed the world for better")</f>
        <v>People who have changed the world for better</v>
      </c>
      <c r="F636" s="1" t="str">
        <f ca="1">IFERROR(__xludf.DUMMYFUNCTION("""COMPUTED_VALUE"""),"No I would not be pursuing Higher Education outside of India")</f>
        <v>No I would not be pursuing Higher Education outside of India</v>
      </c>
      <c r="G636" s="1" t="str">
        <f ca="1">IFERROR(__xludf.DUMMYFUNCTION("""COMPUTED_VALUE"""),"This will be hard to do, but if it is the right company I would try")</f>
        <v>This will be hard to do, but if it is the right company I would try</v>
      </c>
      <c r="H636" s="1" t="str">
        <f ca="1">IFERROR(__xludf.DUMMYFUNCTION("""COMPUTED_VALUE"""),"No")</f>
        <v>No</v>
      </c>
      <c r="I636" s="1" t="str">
        <f ca="1">IFERROR(__xludf.DUMMYFUNCTION("""COMPUTED_VALUE"""),"Will NOT work for them")</f>
        <v>Will NOT work for them</v>
      </c>
      <c r="J636" s="1">
        <f ca="1">IFERROR(__xludf.DUMMYFUNCTION("""COMPUTED_VALUE"""),4)</f>
        <v>4</v>
      </c>
      <c r="K636" s="1" t="str">
        <f ca="1">IFERROR(__xludf.DUMMYFUNCTION("""COMPUTED_VALUE"""),"Hybrid Working Environment with more than 15 days a month at office")</f>
        <v>Hybrid Working Environment with more than 15 days a month at office</v>
      </c>
      <c r="L636" s="1" t="str">
        <f ca="1">IFERROR(__xludf.DUMMYFUNCTION("""COMPUTED_VALUE"""),"Employer who pushes your limits by enabling an learning environment, and rewards you at the end")</f>
        <v>Employer who pushes your limits by enabling an learning environment, and rewards you at the end</v>
      </c>
      <c r="M63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636" s="1"/>
      <c r="O636" s="1" t="str">
        <f ca="1">IFERROR(__xludf.DUMMYFUNCTION("""COMPUTED_VALUE"""),"Manager who explains what is expected, sets a goal and helps achieve it")</f>
        <v>Manager who explains what is expected, sets a goal and helps achieve it</v>
      </c>
      <c r="P636" s="1" t="str">
        <f ca="1">IFERROR(__xludf.DUMMYFUNCTION("""COMPUTED_VALUE"""),"Work &lt;=6 People in the Team")</f>
        <v>Work &lt;=6 People in the Team</v>
      </c>
      <c r="Q636" s="1" t="s">
        <v>43</v>
      </c>
      <c r="R636" s="1"/>
    </row>
    <row r="637" spans="1:18" x14ac:dyDescent="0.25">
      <c r="A637" s="2">
        <f ca="1">IFERROR(__xludf.DUMMYFUNCTION("""COMPUTED_VALUE"""),45021.8559769675)</f>
        <v>45021.855976967498</v>
      </c>
      <c r="B637" s="1" t="str">
        <f ca="1">IFERROR(__xludf.DUMMYFUNCTION("""COMPUTED_VALUE"""),"India")</f>
        <v>India</v>
      </c>
      <c r="C637" s="1">
        <f ca="1">IFERROR(__xludf.DUMMYFUNCTION("""COMPUTED_VALUE"""),452002)</f>
        <v>452002</v>
      </c>
      <c r="D637" s="1" t="str">
        <f ca="1">IFERROR(__xludf.DUMMYFUNCTION("""COMPUTED_VALUE"""),"Male")</f>
        <v>Male</v>
      </c>
      <c r="E637" s="1" t="str">
        <f ca="1">IFERROR(__xludf.DUMMYFUNCTION("""COMPUTED_VALUE"""),"My Parents")</f>
        <v>My Parents</v>
      </c>
      <c r="F637" s="1" t="str">
        <f ca="1">IFERROR(__xludf.DUMMYFUNCTION("""COMPUTED_VALUE"""),"Yes, I will earn and do that")</f>
        <v>Yes, I will earn and do that</v>
      </c>
      <c r="G637" s="1" t="str">
        <f ca="1">IFERROR(__xludf.DUMMYFUNCTION("""COMPUTED_VALUE"""),"This will be hard to do, but if it is the right company I would try")</f>
        <v>This will be hard to do, but if it is the right company I would try</v>
      </c>
      <c r="H637" s="1" t="str">
        <f ca="1">IFERROR(__xludf.DUMMYFUNCTION("""COMPUTED_VALUE"""),"Yes")</f>
        <v>Yes</v>
      </c>
      <c r="I637" s="1" t="str">
        <f ca="1">IFERROR(__xludf.DUMMYFUNCTION("""COMPUTED_VALUE"""),"Will NOT work for them")</f>
        <v>Will NOT work for them</v>
      </c>
      <c r="J637" s="1">
        <f ca="1">IFERROR(__xludf.DUMMYFUNCTION("""COMPUTED_VALUE"""),2)</f>
        <v>2</v>
      </c>
      <c r="K637" s="1" t="str">
        <f ca="1">IFERROR(__xludf.DUMMYFUNCTION("""COMPUTED_VALUE"""),"Every Day Office Environment")</f>
        <v>Every Day Office Environment</v>
      </c>
      <c r="L637" s="1" t="str">
        <f ca="1">IFERROR(__xludf.DUMMYFUNCTION("""COMPUTED_VALUE"""),"Employer who appreciates learning and enables that environment")</f>
        <v>Employer who appreciates learning and enables that environment</v>
      </c>
      <c r="M637"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N637" s="1"/>
      <c r="O637" s="1" t="str">
        <f ca="1">IFERROR(__xludf.DUMMYFUNCTION("""COMPUTED_VALUE"""),"Manager who sets goal and helps me achieve it")</f>
        <v>Manager who sets goal and helps me achieve it</v>
      </c>
      <c r="P637" s="1" t="str">
        <f ca="1">IFERROR(__xludf.DUMMYFUNCTION("""COMPUTED_VALUE"""),"Work &lt;=6 People in the Team")</f>
        <v>Work &lt;=6 People in the Team</v>
      </c>
      <c r="Q637" s="1" t="s">
        <v>43</v>
      </c>
      <c r="R637" s="1"/>
    </row>
    <row r="638" spans="1:18" x14ac:dyDescent="0.25">
      <c r="A638" s="2">
        <f ca="1">IFERROR(__xludf.DUMMYFUNCTION("""COMPUTED_VALUE"""),45021.8583358449)</f>
        <v>45021.858335844903</v>
      </c>
      <c r="B638" s="1" t="str">
        <f ca="1">IFERROR(__xludf.DUMMYFUNCTION("""COMPUTED_VALUE"""),"India")</f>
        <v>India</v>
      </c>
      <c r="C638" s="1">
        <f ca="1">IFERROR(__xludf.DUMMYFUNCTION("""COMPUTED_VALUE"""),522101)</f>
        <v>522101</v>
      </c>
      <c r="D638" s="1" t="str">
        <f ca="1">IFERROR(__xludf.DUMMYFUNCTION("""COMPUTED_VALUE"""),"Male")</f>
        <v>Male</v>
      </c>
      <c r="E638" s="1" t="str">
        <f ca="1">IFERROR(__xludf.DUMMYFUNCTION("""COMPUTED_VALUE"""),"People who have changed the world for better")</f>
        <v>People who have changed the world for better</v>
      </c>
      <c r="F638" s="1" t="str">
        <f ca="1">IFERROR(__xludf.DUMMYFUNCTION("""COMPUTED_VALUE"""),"No I would not be pursuing Higher Education outside of India")</f>
        <v>No I would not be pursuing Higher Education outside of India</v>
      </c>
      <c r="G638" s="1" t="str">
        <f ca="1">IFERROR(__xludf.DUMMYFUNCTION("""COMPUTED_VALUE"""),"This will be hard to do, but if it is the right company I would try")</f>
        <v>This will be hard to do, but if it is the right company I would try</v>
      </c>
      <c r="H638" s="1" t="str">
        <f ca="1">IFERROR(__xludf.DUMMYFUNCTION("""COMPUTED_VALUE"""),"No")</f>
        <v>No</v>
      </c>
      <c r="I638" s="1" t="str">
        <f ca="1">IFERROR(__xludf.DUMMYFUNCTION("""COMPUTED_VALUE"""),"Will NOT work for them")</f>
        <v>Will NOT work for them</v>
      </c>
      <c r="J638" s="1">
        <f ca="1">IFERROR(__xludf.DUMMYFUNCTION("""COMPUTED_VALUE"""),5)</f>
        <v>5</v>
      </c>
      <c r="K638" s="1" t="str">
        <f ca="1">IFERROR(__xludf.DUMMYFUNCTION("""COMPUTED_VALUE"""),"Fully Remote with Options to travel as and when needed")</f>
        <v>Fully Remote with Options to travel as and when needed</v>
      </c>
      <c r="L638" s="1" t="str">
        <f ca="1">IFERROR(__xludf.DUMMYFUNCTION("""COMPUTED_VALUE"""),"Employer who pushes your limits by enabling an learning environment, and rewards you at the end")</f>
        <v>Employer who pushes your limits by enabling an learning environment, and rewards you at the end</v>
      </c>
      <c r="M638" s="1" t="str">
        <f ca="1">IFERROR(__xludf.DUMMYFUNCTION("""COMPUTED_VALUE"""),"Business Operations in any organization, Manage and drive End-to-End Projects or Products, Design and Develop amazing software, Work as a freelancer and do my thing my way")</f>
        <v>Business Operations in any organization, Manage and drive End-to-End Projects or Products, Design and Develop amazing software, Work as a freelancer and do my thing my way</v>
      </c>
      <c r="N638" s="1"/>
      <c r="O638" s="1" t="str">
        <f ca="1">IFERROR(__xludf.DUMMYFUNCTION("""COMPUTED_VALUE"""),"Manager who clearly describes what she/he needs")</f>
        <v>Manager who clearly describes what she/he needs</v>
      </c>
      <c r="P638" s="1" t="str">
        <f ca="1">IFERROR(__xludf.DUMMYFUNCTION("""COMPUTED_VALUE"""),"Work &lt;=6 People in the Team")</f>
        <v>Work &lt;=6 People in the Team</v>
      </c>
      <c r="Q638" s="1" t="s">
        <v>43</v>
      </c>
      <c r="R638" s="1"/>
    </row>
    <row r="639" spans="1:18" x14ac:dyDescent="0.25">
      <c r="A639" s="2">
        <f ca="1">IFERROR(__xludf.DUMMYFUNCTION("""COMPUTED_VALUE"""),45021.8602489814)</f>
        <v>45021.8602489814</v>
      </c>
      <c r="B639" s="1" t="str">
        <f ca="1">IFERROR(__xludf.DUMMYFUNCTION("""COMPUTED_VALUE"""),"India")</f>
        <v>India</v>
      </c>
      <c r="C639" s="1">
        <f ca="1">IFERROR(__xludf.DUMMYFUNCTION("""COMPUTED_VALUE"""),560023)</f>
        <v>560023</v>
      </c>
      <c r="D639" s="1" t="str">
        <f ca="1">IFERROR(__xludf.DUMMYFUNCTION("""COMPUTED_VALUE"""),"Female")</f>
        <v>Female</v>
      </c>
      <c r="E639" s="1" t="str">
        <f ca="1">IFERROR(__xludf.DUMMYFUNCTION("""COMPUTED_VALUE"""),"People who have changed the world for better")</f>
        <v>People who have changed the world for better</v>
      </c>
      <c r="F639" s="1" t="str">
        <f ca="1">IFERROR(__xludf.DUMMYFUNCTION("""COMPUTED_VALUE"""),"Yes, I will earn and do that")</f>
        <v>Yes, I will earn and do that</v>
      </c>
      <c r="G639" s="1" t="str">
        <f ca="1">IFERROR(__xludf.DUMMYFUNCTION("""COMPUTED_VALUE"""),"This will be hard to do, but if it is the right company I would try")</f>
        <v>This will be hard to do, but if it is the right company I would try</v>
      </c>
      <c r="H639" s="1" t="str">
        <f ca="1">IFERROR(__xludf.DUMMYFUNCTION("""COMPUTED_VALUE"""),"No")</f>
        <v>No</v>
      </c>
      <c r="I639" s="1" t="str">
        <f ca="1">IFERROR(__xludf.DUMMYFUNCTION("""COMPUTED_VALUE"""),"Will NOT work for them")</f>
        <v>Will NOT work for them</v>
      </c>
      <c r="J639" s="1">
        <f ca="1">IFERROR(__xludf.DUMMYFUNCTION("""COMPUTED_VALUE"""),4)</f>
        <v>4</v>
      </c>
      <c r="K639" s="1" t="str">
        <f ca="1">IFERROR(__xludf.DUMMYFUNCTION("""COMPUTED_VALUE"""),"Hybrid Working Environment with more than 15 days a month at office")</f>
        <v>Hybrid Working Environment with more than 15 days a month at office</v>
      </c>
      <c r="L639" s="1" t="str">
        <f ca="1">IFERROR(__xludf.DUMMYFUNCTION("""COMPUTED_VALUE"""),"Employer who pushes your limits by enabling an learning environment, and rewards you at the end")</f>
        <v>Employer who pushes your limits by enabling an learning environment, and rewards you at the end</v>
      </c>
      <c r="M6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639" s="1"/>
      <c r="O639" s="1" t="str">
        <f ca="1">IFERROR(__xludf.DUMMYFUNCTION("""COMPUTED_VALUE"""),"Manager who explains what is expected, sets a goal and helps achieve it")</f>
        <v>Manager who explains what is expected, sets a goal and helps achieve it</v>
      </c>
      <c r="P639" s="1" t="str">
        <f ca="1">IFERROR(__xludf.DUMMYFUNCTION("""COMPUTED_VALUE"""),"Work &lt;=6 People in the Team")</f>
        <v>Work &lt;=6 People in the Team</v>
      </c>
      <c r="Q639" s="1" t="s">
        <v>43</v>
      </c>
      <c r="R639" s="1"/>
    </row>
    <row r="640" spans="1:18" x14ac:dyDescent="0.25">
      <c r="A640" s="2">
        <f ca="1">IFERROR(__xludf.DUMMYFUNCTION("""COMPUTED_VALUE"""),45021.8647848842)</f>
        <v>45021.864784884201</v>
      </c>
      <c r="B640" s="1" t="str">
        <f ca="1">IFERROR(__xludf.DUMMYFUNCTION("""COMPUTED_VALUE"""),"India")</f>
        <v>India</v>
      </c>
      <c r="C640" s="1">
        <f ca="1">IFERROR(__xludf.DUMMYFUNCTION("""COMPUTED_VALUE"""),442902)</f>
        <v>442902</v>
      </c>
      <c r="D640" s="1" t="str">
        <f ca="1">IFERROR(__xludf.DUMMYFUNCTION("""COMPUTED_VALUE"""),"Female")</f>
        <v>Female</v>
      </c>
      <c r="E640" s="1" t="str">
        <f ca="1">IFERROR(__xludf.DUMMYFUNCTION("""COMPUTED_VALUE"""),"My Parents")</f>
        <v>My Parents</v>
      </c>
      <c r="F640" s="1" t="str">
        <f ca="1">IFERROR(__xludf.DUMMYFUNCTION("""COMPUTED_VALUE"""),"No, But if someone could bare the cost I will")</f>
        <v>No, But if someone could bare the cost I will</v>
      </c>
      <c r="G640" s="1" t="str">
        <f ca="1">IFERROR(__xludf.DUMMYFUNCTION("""COMPUTED_VALUE"""),"This will be hard to do, but if it is the right company I would try")</f>
        <v>This will be hard to do, but if it is the right company I would try</v>
      </c>
      <c r="H640" s="1" t="str">
        <f ca="1">IFERROR(__xludf.DUMMYFUNCTION("""COMPUTED_VALUE"""),"No")</f>
        <v>No</v>
      </c>
      <c r="I640" s="1" t="str">
        <f ca="1">IFERROR(__xludf.DUMMYFUNCTION("""COMPUTED_VALUE"""),"Will NOT work for them")</f>
        <v>Will NOT work for them</v>
      </c>
      <c r="J640" s="1">
        <f ca="1">IFERROR(__xludf.DUMMYFUNCTION("""COMPUTED_VALUE"""),5)</f>
        <v>5</v>
      </c>
      <c r="K640" s="1" t="str">
        <f ca="1">IFERROR(__xludf.DUMMYFUNCTION("""COMPUTED_VALUE"""),"Hybrid Working Environment with more than 15 days a month at office")</f>
        <v>Hybrid Working Environment with more than 15 days a month at office</v>
      </c>
      <c r="L640" s="1" t="str">
        <f ca="1">IFERROR(__xludf.DUMMYFUNCTION("""COMPUTED_VALUE"""),"Employer who pushes your limits by enabling an learning environment, and rewards you at the end")</f>
        <v>Employer who pushes your limits by enabling an learning environment, and rewards you at the end</v>
      </c>
      <c r="M64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640" s="1"/>
      <c r="O640" s="1" t="str">
        <f ca="1">IFERROR(__xludf.DUMMYFUNCTION("""COMPUTED_VALUE"""),"Manager who sets goal and helps me achieve it")</f>
        <v>Manager who sets goal and helps me achieve it</v>
      </c>
      <c r="P640" s="1" t="str">
        <f ca="1">IFERROR(__xludf.DUMMYFUNCTION("""COMPUTED_VALUE"""),"Work &gt;=7 People in the Team")</f>
        <v>Work &gt;=7 People in the Team</v>
      </c>
      <c r="Q640" s="1" t="s">
        <v>43</v>
      </c>
      <c r="R640" s="1"/>
    </row>
    <row r="641" spans="1:18" x14ac:dyDescent="0.25">
      <c r="A641" s="2">
        <f ca="1">IFERROR(__xludf.DUMMYFUNCTION("""COMPUTED_VALUE"""),45021.864796655)</f>
        <v>45021.864796654998</v>
      </c>
      <c r="B641" s="1" t="str">
        <f ca="1">IFERROR(__xludf.DUMMYFUNCTION("""COMPUTED_VALUE"""),"India")</f>
        <v>India</v>
      </c>
      <c r="C641" s="1">
        <f ca="1">IFERROR(__xludf.DUMMYFUNCTION("""COMPUTED_VALUE"""),442902)</f>
        <v>442902</v>
      </c>
      <c r="D641" s="1" t="str">
        <f ca="1">IFERROR(__xludf.DUMMYFUNCTION("""COMPUTED_VALUE"""),"Male")</f>
        <v>Male</v>
      </c>
      <c r="E641" s="1" t="str">
        <f ca="1">IFERROR(__xludf.DUMMYFUNCTION("""COMPUTED_VALUE"""),"My Parents")</f>
        <v>My Parents</v>
      </c>
      <c r="F641" s="1" t="str">
        <f ca="1">IFERROR(__xludf.DUMMYFUNCTION("""COMPUTED_VALUE"""),"No, But if someone could bare the cost I will")</f>
        <v>No, But if someone could bare the cost I will</v>
      </c>
      <c r="G641" s="1" t="str">
        <f ca="1">IFERROR(__xludf.DUMMYFUNCTION("""COMPUTED_VALUE"""),"This will be hard to do, but if it is the right company I would try")</f>
        <v>This will be hard to do, but if it is the right company I would try</v>
      </c>
      <c r="H641" s="1" t="str">
        <f ca="1">IFERROR(__xludf.DUMMYFUNCTION("""COMPUTED_VALUE"""),"No")</f>
        <v>No</v>
      </c>
      <c r="I641" s="1" t="str">
        <f ca="1">IFERROR(__xludf.DUMMYFUNCTION("""COMPUTED_VALUE"""),"Will NOT work for them")</f>
        <v>Will NOT work for them</v>
      </c>
      <c r="J641" s="1">
        <f ca="1">IFERROR(__xludf.DUMMYFUNCTION("""COMPUTED_VALUE"""),5)</f>
        <v>5</v>
      </c>
      <c r="K641" s="1" t="str">
        <f ca="1">IFERROR(__xludf.DUMMYFUNCTION("""COMPUTED_VALUE"""),"Fully Remote with Options to travel as and when needed")</f>
        <v>Fully Remote with Options to travel as and when needed</v>
      </c>
      <c r="L641" s="1" t="str">
        <f ca="1">IFERROR(__xludf.DUMMYFUNCTION("""COMPUTED_VALUE"""),"Employer who pushes your limits and doesn't enables learning environment and never rewards you")</f>
        <v>Employer who pushes your limits and doesn't enables learning environment and never rewards you</v>
      </c>
      <c r="M64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641" s="1"/>
      <c r="O641" s="1" t="str">
        <f ca="1">IFERROR(__xludf.DUMMYFUNCTION("""COMPUTED_VALUE"""),"Manager who explains what is expected, sets a goal and helps achieve it")</f>
        <v>Manager who explains what is expected, sets a goal and helps achieve it</v>
      </c>
      <c r="P641" s="1" t="str">
        <f ca="1">IFERROR(__xludf.DUMMYFUNCTION("""COMPUTED_VALUE"""),"Work &gt;=7 People in the Team")</f>
        <v>Work &gt;=7 People in the Team</v>
      </c>
      <c r="Q641" s="1" t="s">
        <v>43</v>
      </c>
      <c r="R641" s="1"/>
    </row>
    <row r="642" spans="1:18" x14ac:dyDescent="0.25">
      <c r="A642" s="2">
        <f ca="1">IFERROR(__xludf.DUMMYFUNCTION("""COMPUTED_VALUE"""),45021.8711031018)</f>
        <v>45021.871103101803</v>
      </c>
      <c r="B642" s="1" t="str">
        <f ca="1">IFERROR(__xludf.DUMMYFUNCTION("""COMPUTED_VALUE"""),"India")</f>
        <v>India</v>
      </c>
      <c r="C642" s="1">
        <f ca="1">IFERROR(__xludf.DUMMYFUNCTION("""COMPUTED_VALUE"""),560034)</f>
        <v>560034</v>
      </c>
      <c r="D642" s="1" t="str">
        <f ca="1">IFERROR(__xludf.DUMMYFUNCTION("""COMPUTED_VALUE"""),"Male")</f>
        <v>Male</v>
      </c>
      <c r="E642" s="1" t="str">
        <f ca="1">IFERROR(__xludf.DUMMYFUNCTION("""COMPUTED_VALUE"""),"Influencers who had successful careers")</f>
        <v>Influencers who had successful careers</v>
      </c>
      <c r="F642" s="1" t="str">
        <f ca="1">IFERROR(__xludf.DUMMYFUNCTION("""COMPUTED_VALUE"""),"Yes, I will earn and do that")</f>
        <v>Yes, I will earn and do that</v>
      </c>
      <c r="G642" s="1" t="str">
        <f ca="1">IFERROR(__xludf.DUMMYFUNCTION("""COMPUTED_VALUE"""),"This will be hard to do, but if it is the right company I would try")</f>
        <v>This will be hard to do, but if it is the right company I would try</v>
      </c>
      <c r="H642" s="1" t="str">
        <f ca="1">IFERROR(__xludf.DUMMYFUNCTION("""COMPUTED_VALUE"""),"No")</f>
        <v>No</v>
      </c>
      <c r="I642" s="1" t="str">
        <f ca="1">IFERROR(__xludf.DUMMYFUNCTION("""COMPUTED_VALUE"""),"Will NOT work for them")</f>
        <v>Will NOT work for them</v>
      </c>
      <c r="J642" s="1">
        <f ca="1">IFERROR(__xludf.DUMMYFUNCTION("""COMPUTED_VALUE"""),6)</f>
        <v>6</v>
      </c>
      <c r="K642" s="1" t="str">
        <f ca="1">IFERROR(__xludf.DUMMYFUNCTION("""COMPUTED_VALUE"""),"Hybrid Working Environment with more than 15 days a month at office")</f>
        <v>Hybrid Working Environment with more than 15 days a month at office</v>
      </c>
      <c r="L642" s="1" t="str">
        <f ca="1">IFERROR(__xludf.DUMMYFUNCTION("""COMPUTED_VALUE"""),"Employer who rewards learning and enables that environment")</f>
        <v>Employer who rewards learning and enables that environment</v>
      </c>
      <c r="M642"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N642" s="1"/>
      <c r="O642" s="1" t="str">
        <f ca="1">IFERROR(__xludf.DUMMYFUNCTION("""COMPUTED_VALUE"""),"Manager who explains what is expected, sets a goal and helps achieve it")</f>
        <v>Manager who explains what is expected, sets a goal and helps achieve it</v>
      </c>
      <c r="P642" s="1" t="str">
        <f ca="1">IFERROR(__xludf.DUMMYFUNCTION("""COMPUTED_VALUE"""),"Work alone, Work &gt;10 people in Team")</f>
        <v>Work alone, Work &gt;10 people in Team</v>
      </c>
      <c r="Q642" s="1" t="s">
        <v>40</v>
      </c>
      <c r="R642" s="1"/>
    </row>
    <row r="643" spans="1:18" x14ac:dyDescent="0.25">
      <c r="A643" s="2">
        <f ca="1">IFERROR(__xludf.DUMMYFUNCTION("""COMPUTED_VALUE"""),45021.8754044791)</f>
        <v>45021.875404479099</v>
      </c>
      <c r="B643" s="1" t="str">
        <f ca="1">IFERROR(__xludf.DUMMYFUNCTION("""COMPUTED_VALUE"""),"India")</f>
        <v>India</v>
      </c>
      <c r="C643" s="1">
        <f ca="1">IFERROR(__xludf.DUMMYFUNCTION("""COMPUTED_VALUE"""),560064)</f>
        <v>560064</v>
      </c>
      <c r="D643" s="1" t="str">
        <f ca="1">IFERROR(__xludf.DUMMYFUNCTION("""COMPUTED_VALUE"""),"Male")</f>
        <v>Male</v>
      </c>
      <c r="E643" s="1" t="str">
        <f ca="1">IFERROR(__xludf.DUMMYFUNCTION("""COMPUTED_VALUE"""),"My Parents")</f>
        <v>My Parents</v>
      </c>
      <c r="F643" s="1" t="str">
        <f ca="1">IFERROR(__xludf.DUMMYFUNCTION("""COMPUTED_VALUE"""),"Yes, I will earn and do that")</f>
        <v>Yes, I will earn and do that</v>
      </c>
      <c r="G643" s="1" t="str">
        <f ca="1">IFERROR(__xludf.DUMMYFUNCTION("""COMPUTED_VALUE"""),"This will be hard to do, but if it is the right company I would try")</f>
        <v>This will be hard to do, but if it is the right company I would try</v>
      </c>
      <c r="H643" s="1" t="str">
        <f ca="1">IFERROR(__xludf.DUMMYFUNCTION("""COMPUTED_VALUE"""),"No")</f>
        <v>No</v>
      </c>
      <c r="I643" s="1" t="str">
        <f ca="1">IFERROR(__xludf.DUMMYFUNCTION("""COMPUTED_VALUE"""),"Will NOT work for them")</f>
        <v>Will NOT work for them</v>
      </c>
      <c r="J643" s="1">
        <f ca="1">IFERROR(__xludf.DUMMYFUNCTION("""COMPUTED_VALUE"""),5)</f>
        <v>5</v>
      </c>
      <c r="K643" s="1" t="str">
        <f ca="1">IFERROR(__xludf.DUMMYFUNCTION("""COMPUTED_VALUE"""),"Hybrid Working Environment with more than 15 days a month at office")</f>
        <v>Hybrid Working Environment with more than 15 days a month at office</v>
      </c>
      <c r="L643" s="1" t="str">
        <f ca="1">IFERROR(__xludf.DUMMYFUNCTION("""COMPUTED_VALUE"""),"Employer who rewards learning and enables that environment")</f>
        <v>Employer who rewards learning and enables that environment</v>
      </c>
      <c r="M643"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N643" s="1"/>
      <c r="O643" s="1" t="str">
        <f ca="1">IFERROR(__xludf.DUMMYFUNCTION("""COMPUTED_VALUE"""),"Manager who explains what is expected, sets a goal and helps achieve it")</f>
        <v>Manager who explains what is expected, sets a goal and helps achieve it</v>
      </c>
      <c r="P643" s="1" t="str">
        <f ca="1">IFERROR(__xludf.DUMMYFUNCTION("""COMPUTED_VALUE"""),"Work &lt;=6 People in the Team")</f>
        <v>Work &lt;=6 People in the Team</v>
      </c>
      <c r="Q643" s="1" t="s">
        <v>43</v>
      </c>
      <c r="R643" s="1"/>
    </row>
    <row r="644" spans="1:18" x14ac:dyDescent="0.25">
      <c r="A644" s="2">
        <f ca="1">IFERROR(__xludf.DUMMYFUNCTION("""COMPUTED_VALUE"""),45021.8755624074)</f>
        <v>45021.875562407397</v>
      </c>
      <c r="B644" s="1" t="str">
        <f ca="1">IFERROR(__xludf.DUMMYFUNCTION("""COMPUTED_VALUE"""),"India")</f>
        <v>India</v>
      </c>
      <c r="C644" s="1">
        <f ca="1">IFERROR(__xludf.DUMMYFUNCTION("""COMPUTED_VALUE"""),560004)</f>
        <v>560004</v>
      </c>
      <c r="D644" s="1" t="str">
        <f ca="1">IFERROR(__xludf.DUMMYFUNCTION("""COMPUTED_VALUE"""),"Female")</f>
        <v>Female</v>
      </c>
      <c r="E644" s="1" t="str">
        <f ca="1">IFERROR(__xludf.DUMMYFUNCTION("""COMPUTED_VALUE"""),"People from my circle, but not family members")</f>
        <v>People from my circle, but not family members</v>
      </c>
      <c r="F644" s="1" t="str">
        <f ca="1">IFERROR(__xludf.DUMMYFUNCTION("""COMPUTED_VALUE"""),"Yes, I will earn and do that")</f>
        <v>Yes, I will earn and do that</v>
      </c>
      <c r="G644" s="1" t="str">
        <f ca="1">IFERROR(__xludf.DUMMYFUNCTION("""COMPUTED_VALUE"""),"This will be hard to do, but if it is the right company I would try")</f>
        <v>This will be hard to do, but if it is the right company I would try</v>
      </c>
      <c r="H644" s="1" t="str">
        <f ca="1">IFERROR(__xludf.DUMMYFUNCTION("""COMPUTED_VALUE"""),"No")</f>
        <v>No</v>
      </c>
      <c r="I644" s="1" t="str">
        <f ca="1">IFERROR(__xludf.DUMMYFUNCTION("""COMPUTED_VALUE"""),"Will NOT work for them")</f>
        <v>Will NOT work for them</v>
      </c>
      <c r="J644" s="1">
        <f ca="1">IFERROR(__xludf.DUMMYFUNCTION("""COMPUTED_VALUE"""),7)</f>
        <v>7</v>
      </c>
      <c r="K644" s="1" t="str">
        <f ca="1">IFERROR(__xludf.DUMMYFUNCTION("""COMPUTED_VALUE"""),"Fully Remote with Options to travel as and when needed")</f>
        <v>Fully Remote with Options to travel as and when needed</v>
      </c>
      <c r="L644" s="1" t="str">
        <f ca="1">IFERROR(__xludf.DUMMYFUNCTION("""COMPUTED_VALUE"""),"Employer who pushes your limits by enabling an learning environment, and rewards you at the end")</f>
        <v>Employer who pushes your limits by enabling an learning environment, and rewards you at the end</v>
      </c>
      <c r="M64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644" s="1"/>
      <c r="O644" s="1" t="str">
        <f ca="1">IFERROR(__xludf.DUMMYFUNCTION("""COMPUTED_VALUE"""),"Manager who explains what is expected, sets a goal and helps achieve it")</f>
        <v>Manager who explains what is expected, sets a goal and helps achieve it</v>
      </c>
      <c r="P644" s="1" t="str">
        <f ca="1">IFERROR(__xludf.DUMMYFUNCTION("""COMPUTED_VALUE"""),"Work &lt;=6 People in the Team")</f>
        <v>Work &lt;=6 People in the Team</v>
      </c>
      <c r="Q644" s="1" t="s">
        <v>40</v>
      </c>
      <c r="R644" s="1"/>
    </row>
    <row r="645" spans="1:18" x14ac:dyDescent="0.25">
      <c r="A645" s="2">
        <f ca="1">IFERROR(__xludf.DUMMYFUNCTION("""COMPUTED_VALUE"""),45021.8786224189)</f>
        <v>45021.878622418903</v>
      </c>
      <c r="B645" s="1" t="str">
        <f ca="1">IFERROR(__xludf.DUMMYFUNCTION("""COMPUTED_VALUE"""),"India")</f>
        <v>India</v>
      </c>
      <c r="C645" s="1">
        <f ca="1">IFERROR(__xludf.DUMMYFUNCTION("""COMPUTED_VALUE"""),603103)</f>
        <v>603103</v>
      </c>
      <c r="D645" s="1" t="str">
        <f ca="1">IFERROR(__xludf.DUMMYFUNCTION("""COMPUTED_VALUE"""),"Female")</f>
        <v>Female</v>
      </c>
      <c r="E645" s="1" t="str">
        <f ca="1">IFERROR(__xludf.DUMMYFUNCTION("""COMPUTED_VALUE"""),"Influencers who had successful careers")</f>
        <v>Influencers who had successful careers</v>
      </c>
      <c r="F645" s="1" t="str">
        <f ca="1">IFERROR(__xludf.DUMMYFUNCTION("""COMPUTED_VALUE"""),"No, But if someone could bare the cost I will")</f>
        <v>No, But if someone could bare the cost I will</v>
      </c>
      <c r="G645" s="1" t="str">
        <f ca="1">IFERROR(__xludf.DUMMYFUNCTION("""COMPUTED_VALUE"""),"This will be hard to do, but if it is the right company I would try")</f>
        <v>This will be hard to do, but if it is the right company I would try</v>
      </c>
      <c r="H645" s="1" t="str">
        <f ca="1">IFERROR(__xludf.DUMMYFUNCTION("""COMPUTED_VALUE"""),"No")</f>
        <v>No</v>
      </c>
      <c r="I645" s="1" t="str">
        <f ca="1">IFERROR(__xludf.DUMMYFUNCTION("""COMPUTED_VALUE"""),"Will NOT work for them")</f>
        <v>Will NOT work for them</v>
      </c>
      <c r="J645" s="1">
        <f ca="1">IFERROR(__xludf.DUMMYFUNCTION("""COMPUTED_VALUE"""),1)</f>
        <v>1</v>
      </c>
      <c r="K645" s="1" t="str">
        <f ca="1">IFERROR(__xludf.DUMMYFUNCTION("""COMPUTED_VALUE"""),"Hybrid Working Environment with less than 3 days a month at office")</f>
        <v>Hybrid Working Environment with less than 3 days a month at office</v>
      </c>
      <c r="L645" s="1" t="str">
        <f ca="1">IFERROR(__xludf.DUMMYFUNCTION("""COMPUTED_VALUE"""),"Employer who appreciates learning and enables that environment")</f>
        <v>Employer who appreciates learning and enables that environment</v>
      </c>
      <c r="M64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N645" s="1"/>
      <c r="O645" s="1" t="str">
        <f ca="1">IFERROR(__xludf.DUMMYFUNCTION("""COMPUTED_VALUE"""),"Manager who sets unrealistic targets")</f>
        <v>Manager who sets unrealistic targets</v>
      </c>
      <c r="P645" s="1" t="str">
        <f ca="1">IFERROR(__xludf.DUMMYFUNCTION("""COMPUTED_VALUE"""),"Work &gt;=7 People in the Team")</f>
        <v>Work &gt;=7 People in the Team</v>
      </c>
      <c r="Q645" s="1" t="s">
        <v>43</v>
      </c>
      <c r="R645" s="1"/>
    </row>
    <row r="646" spans="1:18" x14ac:dyDescent="0.25">
      <c r="A646" s="2">
        <f ca="1">IFERROR(__xludf.DUMMYFUNCTION("""COMPUTED_VALUE"""),45021.8788733912)</f>
        <v>45021.878873391201</v>
      </c>
      <c r="B646" s="1" t="str">
        <f ca="1">IFERROR(__xludf.DUMMYFUNCTION("""COMPUTED_VALUE"""),"India")</f>
        <v>India</v>
      </c>
      <c r="C646" s="1">
        <f ca="1">IFERROR(__xludf.DUMMYFUNCTION("""COMPUTED_VALUE"""),144003)</f>
        <v>144003</v>
      </c>
      <c r="D646" s="1" t="str">
        <f ca="1">IFERROR(__xludf.DUMMYFUNCTION("""COMPUTED_VALUE"""),"Male")</f>
        <v>Male</v>
      </c>
      <c r="E646" s="1" t="str">
        <f ca="1">IFERROR(__xludf.DUMMYFUNCTION("""COMPUTED_VALUE"""),"My Parents")</f>
        <v>My Parents</v>
      </c>
      <c r="F646" s="1" t="str">
        <f ca="1">IFERROR(__xludf.DUMMYFUNCTION("""COMPUTED_VALUE"""),"No I would not be pursuing Higher Education outside of India")</f>
        <v>No I would not be pursuing Higher Education outside of India</v>
      </c>
      <c r="G646" s="1" t="str">
        <f ca="1">IFERROR(__xludf.DUMMYFUNCTION("""COMPUTED_VALUE"""),"No way")</f>
        <v>No way</v>
      </c>
      <c r="H646" s="1" t="str">
        <f ca="1">IFERROR(__xludf.DUMMYFUNCTION("""COMPUTED_VALUE"""),"No")</f>
        <v>No</v>
      </c>
      <c r="I646" s="1" t="str">
        <f ca="1">IFERROR(__xludf.DUMMYFUNCTION("""COMPUTED_VALUE"""),"Will NOT work for them")</f>
        <v>Will NOT work for them</v>
      </c>
      <c r="J646" s="1">
        <f ca="1">IFERROR(__xludf.DUMMYFUNCTION("""COMPUTED_VALUE"""),1)</f>
        <v>1</v>
      </c>
      <c r="K646" s="1" t="str">
        <f ca="1">IFERROR(__xludf.DUMMYFUNCTION("""COMPUTED_VALUE"""),"Every Day Office Environment")</f>
        <v>Every Day Office Environment</v>
      </c>
      <c r="L646" s="1" t="str">
        <f ca="1">IFERROR(__xludf.DUMMYFUNCTION("""COMPUTED_VALUE"""),"Employer who pushes your limits by enabling an learning environment, and rewards you at the end")</f>
        <v>Employer who pushes your limits by enabling an learning environment, and rewards you at the end</v>
      </c>
      <c r="M64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646" s="1"/>
      <c r="O646" s="1" t="str">
        <f ca="1">IFERROR(__xludf.DUMMYFUNCTION("""COMPUTED_VALUE"""),"Manager who explains what is expected, sets a goal and helps achieve it")</f>
        <v>Manager who explains what is expected, sets a goal and helps achieve it</v>
      </c>
      <c r="P646" s="1" t="str">
        <f ca="1">IFERROR(__xludf.DUMMYFUNCTION("""COMPUTED_VALUE"""),"Work &lt;=6 People in the Team")</f>
        <v>Work &lt;=6 People in the Team</v>
      </c>
      <c r="Q646" s="1" t="s">
        <v>43</v>
      </c>
      <c r="R646" s="1"/>
    </row>
    <row r="647" spans="1:18" x14ac:dyDescent="0.25">
      <c r="A647" s="2">
        <f ca="1">IFERROR(__xludf.DUMMYFUNCTION("""COMPUTED_VALUE"""),45021.8795318402)</f>
        <v>45021.879531840197</v>
      </c>
      <c r="B647" s="1" t="str">
        <f ca="1">IFERROR(__xludf.DUMMYFUNCTION("""COMPUTED_VALUE"""),"India")</f>
        <v>India</v>
      </c>
      <c r="C647" s="1">
        <f ca="1">IFERROR(__xludf.DUMMYFUNCTION("""COMPUTED_VALUE"""),800003)</f>
        <v>800003</v>
      </c>
      <c r="D647" s="1" t="str">
        <f ca="1">IFERROR(__xludf.DUMMYFUNCTION("""COMPUTED_VALUE"""),"Female")</f>
        <v>Female</v>
      </c>
      <c r="E647" s="1" t="str">
        <f ca="1">IFERROR(__xludf.DUMMYFUNCTION("""COMPUTED_VALUE"""),"My Parents")</f>
        <v>My Parents</v>
      </c>
      <c r="F647" s="1" t="str">
        <f ca="1">IFERROR(__xludf.DUMMYFUNCTION("""COMPUTED_VALUE"""),"Yes, I will earn and do that")</f>
        <v>Yes, I will earn and do that</v>
      </c>
      <c r="G647" s="1" t="str">
        <f ca="1">IFERROR(__xludf.DUMMYFUNCTION("""COMPUTED_VALUE"""),"No way")</f>
        <v>No way</v>
      </c>
      <c r="H647" s="1" t="str">
        <f ca="1">IFERROR(__xludf.DUMMYFUNCTION("""COMPUTED_VALUE"""),"No")</f>
        <v>No</v>
      </c>
      <c r="I647" s="1" t="str">
        <f ca="1">IFERROR(__xludf.DUMMYFUNCTION("""COMPUTED_VALUE"""),"Will NOT work for them")</f>
        <v>Will NOT work for them</v>
      </c>
      <c r="J647" s="1">
        <f ca="1">IFERROR(__xludf.DUMMYFUNCTION("""COMPUTED_VALUE"""),2)</f>
        <v>2</v>
      </c>
      <c r="K647" s="1" t="str">
        <f ca="1">IFERROR(__xludf.DUMMYFUNCTION("""COMPUTED_VALUE"""),"Every Day Office Environment")</f>
        <v>Every Day Office Environment</v>
      </c>
      <c r="L647" s="1" t="str">
        <f ca="1">IFERROR(__xludf.DUMMYFUNCTION("""COMPUTED_VALUE"""),"Employers who appreciates learning but doesn't enables an learning environment")</f>
        <v>Employers who appreciates learning but doesn't enables an learning environment</v>
      </c>
      <c r="M647"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N647" s="1"/>
      <c r="O647" s="1" t="str">
        <f ca="1">IFERROR(__xludf.DUMMYFUNCTION("""COMPUTED_VALUE"""),"Manager who sets targets and expects me to achieve it")</f>
        <v>Manager who sets targets and expects me to achieve it</v>
      </c>
      <c r="P647" s="1" t="str">
        <f ca="1">IFERROR(__xludf.DUMMYFUNCTION("""COMPUTED_VALUE"""),"Work Alone, &lt;=6 in team")</f>
        <v>Work Alone, &lt;=6 in team</v>
      </c>
      <c r="Q647" s="1" t="s">
        <v>43</v>
      </c>
      <c r="R647" s="1"/>
    </row>
    <row r="648" spans="1:18" x14ac:dyDescent="0.25">
      <c r="A648" s="2">
        <f ca="1">IFERROR(__xludf.DUMMYFUNCTION("""COMPUTED_VALUE"""),45021.8810998611)</f>
        <v>45021.881099861101</v>
      </c>
      <c r="B648" s="1" t="str">
        <f ca="1">IFERROR(__xludf.DUMMYFUNCTION("""COMPUTED_VALUE"""),"India")</f>
        <v>India</v>
      </c>
      <c r="C648" s="1">
        <f ca="1">IFERROR(__xludf.DUMMYFUNCTION("""COMPUTED_VALUE"""),380058)</f>
        <v>380058</v>
      </c>
      <c r="D648" s="1" t="str">
        <f ca="1">IFERROR(__xludf.DUMMYFUNCTION("""COMPUTED_VALUE"""),"Female")</f>
        <v>Female</v>
      </c>
      <c r="E648" s="1" t="str">
        <f ca="1">IFERROR(__xludf.DUMMYFUNCTION("""COMPUTED_VALUE"""),"Social Media like LinkedIn")</f>
        <v>Social Media like LinkedIn</v>
      </c>
      <c r="F648" s="1" t="str">
        <f ca="1">IFERROR(__xludf.DUMMYFUNCTION("""COMPUTED_VALUE"""),"No, But if someone could bare the cost I will")</f>
        <v>No, But if someone could bare the cost I will</v>
      </c>
      <c r="G648" s="1" t="str">
        <f ca="1">IFERROR(__xludf.DUMMYFUNCTION("""COMPUTED_VALUE"""),"This will be hard to do, but if it is the right company I would try")</f>
        <v>This will be hard to do, but if it is the right company I would try</v>
      </c>
      <c r="H648" s="1" t="str">
        <f ca="1">IFERROR(__xludf.DUMMYFUNCTION("""COMPUTED_VALUE"""),"No")</f>
        <v>No</v>
      </c>
      <c r="I648" s="1" t="str">
        <f ca="1">IFERROR(__xludf.DUMMYFUNCTION("""COMPUTED_VALUE"""),"Will NOT work for them")</f>
        <v>Will NOT work for them</v>
      </c>
      <c r="J648" s="1">
        <f ca="1">IFERROR(__xludf.DUMMYFUNCTION("""COMPUTED_VALUE"""),2)</f>
        <v>2</v>
      </c>
      <c r="K648" s="1" t="str">
        <f ca="1">IFERROR(__xludf.DUMMYFUNCTION("""COMPUTED_VALUE"""),"Hybrid Working Environment with less than 3 days a month at office")</f>
        <v>Hybrid Working Environment with less than 3 days a month at office</v>
      </c>
      <c r="L648" s="1" t="str">
        <f ca="1">IFERROR(__xludf.DUMMYFUNCTION("""COMPUTED_VALUE"""),"Employer who rewards learning and enables that environment")</f>
        <v>Employer who rewards learning and enables that environment</v>
      </c>
      <c r="M64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648" s="1"/>
      <c r="O648" s="1" t="str">
        <f ca="1">IFERROR(__xludf.DUMMYFUNCTION("""COMPUTED_VALUE"""),"Manager who explains what is expected, sets a goal and helps achieve it")</f>
        <v>Manager who explains what is expected, sets a goal and helps achieve it</v>
      </c>
      <c r="P648" s="1" t="str">
        <f ca="1">IFERROR(__xludf.DUMMYFUNCTION("""COMPUTED_VALUE"""),"Work &lt;=6 People in the Team")</f>
        <v>Work &lt;=6 People in the Team</v>
      </c>
      <c r="Q648" s="1" t="s">
        <v>40</v>
      </c>
      <c r="R648" s="1"/>
    </row>
    <row r="649" spans="1:18" x14ac:dyDescent="0.25">
      <c r="A649" s="2">
        <f ca="1">IFERROR(__xludf.DUMMYFUNCTION("""COMPUTED_VALUE"""),45021.8811337615)</f>
        <v>45021.881133761497</v>
      </c>
      <c r="B649" s="1" t="str">
        <f ca="1">IFERROR(__xludf.DUMMYFUNCTION("""COMPUTED_VALUE"""),"India")</f>
        <v>India</v>
      </c>
      <c r="C649" s="1">
        <f ca="1">IFERROR(__xludf.DUMMYFUNCTION("""COMPUTED_VALUE"""),400037)</f>
        <v>400037</v>
      </c>
      <c r="D649" s="1" t="str">
        <f ca="1">IFERROR(__xludf.DUMMYFUNCTION("""COMPUTED_VALUE"""),"Male")</f>
        <v>Male</v>
      </c>
      <c r="E649" s="1" t="str">
        <f ca="1">IFERROR(__xludf.DUMMYFUNCTION("""COMPUTED_VALUE"""),"Influencers who had successful careers")</f>
        <v>Influencers who had successful careers</v>
      </c>
      <c r="F649" s="1" t="str">
        <f ca="1">IFERROR(__xludf.DUMMYFUNCTION("""COMPUTED_VALUE"""),"No, But if someone could bare the cost I will")</f>
        <v>No, But if someone could bare the cost I will</v>
      </c>
      <c r="G649" s="1" t="str">
        <f ca="1">IFERROR(__xludf.DUMMYFUNCTION("""COMPUTED_VALUE"""),"Will work for 3 years or more")</f>
        <v>Will work for 3 years or more</v>
      </c>
      <c r="H649" s="1" t="str">
        <f ca="1">IFERROR(__xludf.DUMMYFUNCTION("""COMPUTED_VALUE"""),"Yes")</f>
        <v>Yes</v>
      </c>
      <c r="I649" s="1" t="str">
        <f ca="1">IFERROR(__xludf.DUMMYFUNCTION("""COMPUTED_VALUE"""),"Will work for them")</f>
        <v>Will work for them</v>
      </c>
      <c r="J649" s="1">
        <f ca="1">IFERROR(__xludf.DUMMYFUNCTION("""COMPUTED_VALUE"""),3)</f>
        <v>3</v>
      </c>
      <c r="K649" s="1" t="str">
        <f ca="1">IFERROR(__xludf.DUMMYFUNCTION("""COMPUTED_VALUE"""),"Hybrid Working Environment with more than 15 days a month at office")</f>
        <v>Hybrid Working Environment with more than 15 days a month at office</v>
      </c>
      <c r="L649" s="1" t="str">
        <f ca="1">IFERROR(__xludf.DUMMYFUNCTION("""COMPUTED_VALUE"""),"Employer who pushes your limits and doesn't enables learning environment and never rewards you")</f>
        <v>Employer who pushes your limits and doesn't enables learning environment and never rewards you</v>
      </c>
      <c r="M64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N649" s="1"/>
      <c r="O649" s="1" t="str">
        <f ca="1">IFERROR(__xludf.DUMMYFUNCTION("""COMPUTED_VALUE"""),"Manager who sets goal and helps me achieve it")</f>
        <v>Manager who sets goal and helps me achieve it</v>
      </c>
      <c r="P649" s="1" t="str">
        <f ca="1">IFERROR(__xludf.DUMMYFUNCTION("""COMPUTED_VALUE"""),"Work &lt;=6 People in the Team")</f>
        <v>Work &lt;=6 People in the Team</v>
      </c>
      <c r="Q649" s="1" t="s">
        <v>40</v>
      </c>
      <c r="R649" s="1"/>
    </row>
    <row r="650" spans="1:18" x14ac:dyDescent="0.25">
      <c r="A650" s="2">
        <f ca="1">IFERROR(__xludf.DUMMYFUNCTION("""COMPUTED_VALUE"""),45021.8816676388)</f>
        <v>45021.881667638801</v>
      </c>
      <c r="B650" s="1" t="str">
        <f ca="1">IFERROR(__xludf.DUMMYFUNCTION("""COMPUTED_VALUE"""),"India")</f>
        <v>India</v>
      </c>
      <c r="C650" s="1">
        <f ca="1">IFERROR(__xludf.DUMMYFUNCTION("""COMPUTED_VALUE"""),411040)</f>
        <v>411040</v>
      </c>
      <c r="D650" s="1" t="str">
        <f ca="1">IFERROR(__xludf.DUMMYFUNCTION("""COMPUTED_VALUE"""),"Female")</f>
        <v>Female</v>
      </c>
      <c r="E650" s="1" t="str">
        <f ca="1">IFERROR(__xludf.DUMMYFUNCTION("""COMPUTED_VALUE"""),"My Parents")</f>
        <v>My Parents</v>
      </c>
      <c r="F650" s="1" t="str">
        <f ca="1">IFERROR(__xludf.DUMMYFUNCTION("""COMPUTED_VALUE"""),"Yes, I will earn and do that")</f>
        <v>Yes, I will earn and do that</v>
      </c>
      <c r="G650" s="1" t="str">
        <f ca="1">IFERROR(__xludf.DUMMYFUNCTION("""COMPUTED_VALUE"""),"Will work for 3 years or more")</f>
        <v>Will work for 3 years or more</v>
      </c>
      <c r="H650" s="1" t="str">
        <f ca="1">IFERROR(__xludf.DUMMYFUNCTION("""COMPUTED_VALUE"""),"No")</f>
        <v>No</v>
      </c>
      <c r="I650" s="1" t="str">
        <f ca="1">IFERROR(__xludf.DUMMYFUNCTION("""COMPUTED_VALUE"""),"Will NOT work for them")</f>
        <v>Will NOT work for them</v>
      </c>
      <c r="J650" s="1">
        <f ca="1">IFERROR(__xludf.DUMMYFUNCTION("""COMPUTED_VALUE"""),1)</f>
        <v>1</v>
      </c>
      <c r="K650" s="1" t="str">
        <f ca="1">IFERROR(__xludf.DUMMYFUNCTION("""COMPUTED_VALUE"""),"Hybrid Working Environment with more than 15 days a month at office")</f>
        <v>Hybrid Working Environment with more than 15 days a month at office</v>
      </c>
      <c r="L650" s="1" t="str">
        <f ca="1">IFERROR(__xludf.DUMMYFUNCTION("""COMPUTED_VALUE"""),"Employer who pushes your limits by enabling an learning environment, and rewards you at the end")</f>
        <v>Employer who pushes your limits by enabling an learning environment, and rewards you at the end</v>
      </c>
      <c r="M6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N650" s="1"/>
      <c r="O650" s="1" t="str">
        <f ca="1">IFERROR(__xludf.DUMMYFUNCTION("""COMPUTED_VALUE"""),"Manager who clearly describes what she/he needs")</f>
        <v>Manager who clearly describes what she/he needs</v>
      </c>
      <c r="P650" s="1" t="str">
        <f ca="1">IFERROR(__xludf.DUMMYFUNCTION("""COMPUTED_VALUE"""),"Work &lt;=6 People in the Team")</f>
        <v>Work &lt;=6 People in the Team</v>
      </c>
      <c r="Q650" s="1" t="s">
        <v>43</v>
      </c>
      <c r="R650" s="1"/>
    </row>
    <row r="651" spans="1:18" x14ac:dyDescent="0.25">
      <c r="A651" s="2">
        <f ca="1">IFERROR(__xludf.DUMMYFUNCTION("""COMPUTED_VALUE"""),45021.8837193981)</f>
        <v>45021.883719398102</v>
      </c>
      <c r="B651" s="1" t="str">
        <f ca="1">IFERROR(__xludf.DUMMYFUNCTION("""COMPUTED_VALUE"""),"India")</f>
        <v>India</v>
      </c>
      <c r="C651" s="1">
        <f ca="1">IFERROR(__xludf.DUMMYFUNCTION("""COMPUTED_VALUE"""),631209)</f>
        <v>631209</v>
      </c>
      <c r="D651" s="1" t="str">
        <f ca="1">IFERROR(__xludf.DUMMYFUNCTION("""COMPUTED_VALUE"""),"Female")</f>
        <v>Female</v>
      </c>
      <c r="E651" s="1" t="str">
        <f ca="1">IFERROR(__xludf.DUMMYFUNCTION("""COMPUTED_VALUE"""),"My Parents")</f>
        <v>My Parents</v>
      </c>
      <c r="F651" s="1" t="str">
        <f ca="1">IFERROR(__xludf.DUMMYFUNCTION("""COMPUTED_VALUE"""),"No I would not be pursuing Higher Education outside of India")</f>
        <v>No I would not be pursuing Higher Education outside of India</v>
      </c>
      <c r="G651" s="1" t="str">
        <f ca="1">IFERROR(__xludf.DUMMYFUNCTION("""COMPUTED_VALUE"""),"Will work for 3 years or more")</f>
        <v>Will work for 3 years or more</v>
      </c>
      <c r="H651" s="1" t="str">
        <f ca="1">IFERROR(__xludf.DUMMYFUNCTION("""COMPUTED_VALUE"""),"Yes")</f>
        <v>Yes</v>
      </c>
      <c r="I651" s="1" t="str">
        <f ca="1">IFERROR(__xludf.DUMMYFUNCTION("""COMPUTED_VALUE"""),"Will NOT work for them")</f>
        <v>Will NOT work for them</v>
      </c>
      <c r="J651" s="1">
        <f ca="1">IFERROR(__xludf.DUMMYFUNCTION("""COMPUTED_VALUE"""),5)</f>
        <v>5</v>
      </c>
      <c r="K651" s="1" t="str">
        <f ca="1">IFERROR(__xludf.DUMMYFUNCTION("""COMPUTED_VALUE"""),"Every Day Office Environment")</f>
        <v>Every Day Office Environment</v>
      </c>
      <c r="L651" s="1" t="str">
        <f ca="1">IFERROR(__xludf.DUMMYFUNCTION("""COMPUTED_VALUE"""),"Employer who appreciates learning and enables that environment")</f>
        <v>Employer who appreciates learning and enables that environment</v>
      </c>
      <c r="M651"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N651" s="1"/>
      <c r="O651" s="1" t="str">
        <f ca="1">IFERROR(__xludf.DUMMYFUNCTION("""COMPUTED_VALUE"""),"Manager who sets goal and helps me achieve it")</f>
        <v>Manager who sets goal and helps me achieve it</v>
      </c>
      <c r="P651" s="1" t="str">
        <f ca="1">IFERROR(__xludf.DUMMYFUNCTION("""COMPUTED_VALUE"""),"Work &lt;=6 People in the Team")</f>
        <v>Work &lt;=6 People in the Team</v>
      </c>
      <c r="Q651" s="1" t="s">
        <v>43</v>
      </c>
      <c r="R651" s="1"/>
    </row>
    <row r="652" spans="1:18" x14ac:dyDescent="0.25">
      <c r="A652" s="2">
        <f ca="1">IFERROR(__xludf.DUMMYFUNCTION("""COMPUTED_VALUE"""),45021.884564456)</f>
        <v>45021.884564455999</v>
      </c>
      <c r="B652" s="1" t="str">
        <f ca="1">IFERROR(__xludf.DUMMYFUNCTION("""COMPUTED_VALUE"""),"India")</f>
        <v>India</v>
      </c>
      <c r="C652" s="1">
        <f ca="1">IFERROR(__xludf.DUMMYFUNCTION("""COMPUTED_VALUE"""),364002)</f>
        <v>364002</v>
      </c>
      <c r="D652" s="1" t="str">
        <f ca="1">IFERROR(__xludf.DUMMYFUNCTION("""COMPUTED_VALUE"""),"Female")</f>
        <v>Female</v>
      </c>
      <c r="E652" s="1" t="str">
        <f ca="1">IFERROR(__xludf.DUMMYFUNCTION("""COMPUTED_VALUE"""),"My Parents")</f>
        <v>My Parents</v>
      </c>
      <c r="F652" s="1" t="str">
        <f ca="1">IFERROR(__xludf.DUMMYFUNCTION("""COMPUTED_VALUE"""),"No, But if someone could bare the cost I will")</f>
        <v>No, But if someone could bare the cost I will</v>
      </c>
      <c r="G652" s="1" t="str">
        <f ca="1">IFERROR(__xludf.DUMMYFUNCTION("""COMPUTED_VALUE"""),"This will be hard to do, but if it is the right company I would try")</f>
        <v>This will be hard to do, but if it is the right company I would try</v>
      </c>
      <c r="H652" s="1" t="str">
        <f ca="1">IFERROR(__xludf.DUMMYFUNCTION("""COMPUTED_VALUE"""),"Yes")</f>
        <v>Yes</v>
      </c>
      <c r="I652" s="1" t="str">
        <f ca="1">IFERROR(__xludf.DUMMYFUNCTION("""COMPUTED_VALUE"""),"Will work for them")</f>
        <v>Will work for them</v>
      </c>
      <c r="J652" s="1">
        <f ca="1">IFERROR(__xludf.DUMMYFUNCTION("""COMPUTED_VALUE"""),1)</f>
        <v>1</v>
      </c>
      <c r="K652" s="1" t="str">
        <f ca="1">IFERROR(__xludf.DUMMYFUNCTION("""COMPUTED_VALUE"""),"Fully Remote with Options to travel as and when needed")</f>
        <v>Fully Remote with Options to travel as and when needed</v>
      </c>
      <c r="L652" s="1" t="str">
        <f ca="1">IFERROR(__xludf.DUMMYFUNCTION("""COMPUTED_VALUE"""),"Employer who pushes your limits by enabling an learning environment, and rewards you at the end")</f>
        <v>Employer who pushes your limits by enabling an learning environment, and rewards you at the end</v>
      </c>
      <c r="M652" s="1" t="str">
        <f ca="1">IFERROR(__xludf.DUMMYFUNCTION("""COMPUTED_VALUE"""),"Design and Creative strategy in any company, Build and develop a Team, Become a content Creator in some platform, Entrepreneur or Start Up")</f>
        <v>Design and Creative strategy in any company, Build and develop a Team, Become a content Creator in some platform, Entrepreneur or Start Up</v>
      </c>
      <c r="N652" s="1"/>
      <c r="O652" s="1" t="str">
        <f ca="1">IFERROR(__xludf.DUMMYFUNCTION("""COMPUTED_VALUE"""),"Manager who explains what is expected, sets a goal and helps achieve it")</f>
        <v>Manager who explains what is expected, sets a goal and helps achieve it</v>
      </c>
      <c r="P652" s="1" t="str">
        <f ca="1">IFERROR(__xludf.DUMMYFUNCTION("""COMPUTED_VALUE"""),"Work &lt;=6 People in the Team")</f>
        <v>Work &lt;=6 People in the Team</v>
      </c>
      <c r="Q652" s="1" t="s">
        <v>43</v>
      </c>
      <c r="R652" s="1"/>
    </row>
    <row r="653" spans="1:18" x14ac:dyDescent="0.25">
      <c r="A653" s="2">
        <f ca="1">IFERROR(__xludf.DUMMYFUNCTION("""COMPUTED_VALUE"""),45021.8871447222)</f>
        <v>45021.887144722197</v>
      </c>
      <c r="B653" s="1" t="str">
        <f ca="1">IFERROR(__xludf.DUMMYFUNCTION("""COMPUTED_VALUE"""),"India")</f>
        <v>India</v>
      </c>
      <c r="C653" s="1">
        <f ca="1">IFERROR(__xludf.DUMMYFUNCTION("""COMPUTED_VALUE"""),500088)</f>
        <v>500088</v>
      </c>
      <c r="D653" s="1" t="str">
        <f ca="1">IFERROR(__xludf.DUMMYFUNCTION("""COMPUTED_VALUE"""),"Female")</f>
        <v>Female</v>
      </c>
      <c r="E653" s="1" t="str">
        <f ca="1">IFERROR(__xludf.DUMMYFUNCTION("""COMPUTED_VALUE"""),"My Parents")</f>
        <v>My Parents</v>
      </c>
      <c r="F653" s="1" t="str">
        <f ca="1">IFERROR(__xludf.DUMMYFUNCTION("""COMPUTED_VALUE"""),"Yes, I will earn and do that")</f>
        <v>Yes, I will earn and do that</v>
      </c>
      <c r="G653" s="1" t="str">
        <f ca="1">IFERROR(__xludf.DUMMYFUNCTION("""COMPUTED_VALUE"""),"This will be hard to do, but if it is the right company I would try")</f>
        <v>This will be hard to do, but if it is the right company I would try</v>
      </c>
      <c r="H653" s="1" t="str">
        <f ca="1">IFERROR(__xludf.DUMMYFUNCTION("""COMPUTED_VALUE"""),"No")</f>
        <v>No</v>
      </c>
      <c r="I653" s="1" t="str">
        <f ca="1">IFERROR(__xludf.DUMMYFUNCTION("""COMPUTED_VALUE"""),"Will NOT work for them")</f>
        <v>Will NOT work for them</v>
      </c>
      <c r="J653" s="1">
        <f ca="1">IFERROR(__xludf.DUMMYFUNCTION("""COMPUTED_VALUE"""),5)</f>
        <v>5</v>
      </c>
      <c r="K653" s="1" t="str">
        <f ca="1">IFERROR(__xludf.DUMMYFUNCTION("""COMPUTED_VALUE"""),"Fully Remote with Options to travel as and when needed")</f>
        <v>Fully Remote with Options to travel as and when needed</v>
      </c>
      <c r="L653" s="1" t="str">
        <f ca="1">IFERROR(__xludf.DUMMYFUNCTION("""COMPUTED_VALUE"""),"Employer who pushes your limits by enabling an learning environment, and rewards you at the end")</f>
        <v>Employer who pushes your limits by enabling an learning environment, and rewards you at the end</v>
      </c>
      <c r="M65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653" s="1"/>
      <c r="O653" s="1" t="str">
        <f ca="1">IFERROR(__xludf.DUMMYFUNCTION("""COMPUTED_VALUE"""),"Manager who explains what is expected, sets a goal and helps achieve it")</f>
        <v>Manager who explains what is expected, sets a goal and helps achieve it</v>
      </c>
      <c r="P653" s="1" t="str">
        <f ca="1">IFERROR(__xludf.DUMMYFUNCTION("""COMPUTED_VALUE"""),"Work &lt;=6 People in the Team")</f>
        <v>Work &lt;=6 People in the Team</v>
      </c>
      <c r="Q653" s="1" t="s">
        <v>43</v>
      </c>
      <c r="R653" s="1"/>
    </row>
    <row r="654" spans="1:18" x14ac:dyDescent="0.25">
      <c r="A654" s="2">
        <f ca="1">IFERROR(__xludf.DUMMYFUNCTION("""COMPUTED_VALUE"""),45021.8883457638)</f>
        <v>45021.8883457638</v>
      </c>
      <c r="B654" s="1" t="str">
        <f ca="1">IFERROR(__xludf.DUMMYFUNCTION("""COMPUTED_VALUE"""),"India")</f>
        <v>India</v>
      </c>
      <c r="C654" s="1">
        <f ca="1">IFERROR(__xludf.DUMMYFUNCTION("""COMPUTED_VALUE"""),524002)</f>
        <v>524002</v>
      </c>
      <c r="D654" s="1" t="str">
        <f ca="1">IFERROR(__xludf.DUMMYFUNCTION("""COMPUTED_VALUE"""),"Male")</f>
        <v>Male</v>
      </c>
      <c r="E654" s="1" t="str">
        <f ca="1">IFERROR(__xludf.DUMMYFUNCTION("""COMPUTED_VALUE"""),"Influencers who had successful careers")</f>
        <v>Influencers who had successful careers</v>
      </c>
      <c r="F654" s="1" t="str">
        <f ca="1">IFERROR(__xludf.DUMMYFUNCTION("""COMPUTED_VALUE"""),"No, But if someone could bare the cost I will")</f>
        <v>No, But if someone could bare the cost I will</v>
      </c>
      <c r="G654" s="1" t="str">
        <f ca="1">IFERROR(__xludf.DUMMYFUNCTION("""COMPUTED_VALUE"""),"This will be hard to do, but if it is the right company I would try")</f>
        <v>This will be hard to do, but if it is the right company I would try</v>
      </c>
      <c r="H654" s="1" t="str">
        <f ca="1">IFERROR(__xludf.DUMMYFUNCTION("""COMPUTED_VALUE"""),"No")</f>
        <v>No</v>
      </c>
      <c r="I654" s="1" t="str">
        <f ca="1">IFERROR(__xludf.DUMMYFUNCTION("""COMPUTED_VALUE"""),"Will NOT work for them")</f>
        <v>Will NOT work for them</v>
      </c>
      <c r="J654" s="1">
        <f ca="1">IFERROR(__xludf.DUMMYFUNCTION("""COMPUTED_VALUE"""),6)</f>
        <v>6</v>
      </c>
      <c r="K654" s="1" t="str">
        <f ca="1">IFERROR(__xludf.DUMMYFUNCTION("""COMPUTED_VALUE"""),"Fully Remote with Options to travel as and when needed")</f>
        <v>Fully Remote with Options to travel as and when needed</v>
      </c>
      <c r="L654" s="1" t="str">
        <f ca="1">IFERROR(__xludf.DUMMYFUNCTION("""COMPUTED_VALUE"""),"Employer who pushes your limits by enabling an learning environment, and rewards you at the end")</f>
        <v>Employer who pushes your limits by enabling an learning environment, and rewards you at the end</v>
      </c>
      <c r="M6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N654" s="1"/>
      <c r="O654" s="1" t="str">
        <f ca="1">IFERROR(__xludf.DUMMYFUNCTION("""COMPUTED_VALUE"""),"Manager who explains what is expected, sets a goal and helps achieve it")</f>
        <v>Manager who explains what is expected, sets a goal and helps achieve it</v>
      </c>
      <c r="P654" s="1" t="str">
        <f ca="1">IFERROR(__xludf.DUMMYFUNCTION("""COMPUTED_VALUE"""),"Work &lt;=6 People in the Team")</f>
        <v>Work &lt;=6 People in the Team</v>
      </c>
      <c r="Q654" s="1" t="s">
        <v>43</v>
      </c>
      <c r="R654" s="1"/>
    </row>
    <row r="655" spans="1:18" x14ac:dyDescent="0.25">
      <c r="A655" s="2">
        <f ca="1">IFERROR(__xludf.DUMMYFUNCTION("""COMPUTED_VALUE"""),45021.8886641087)</f>
        <v>45021.888664108701</v>
      </c>
      <c r="B655" s="1" t="str">
        <f ca="1">IFERROR(__xludf.DUMMYFUNCTION("""COMPUTED_VALUE"""),"India")</f>
        <v>India</v>
      </c>
      <c r="C655" s="1">
        <f ca="1">IFERROR(__xludf.DUMMYFUNCTION("""COMPUTED_VALUE"""),110059)</f>
        <v>110059</v>
      </c>
      <c r="D655" s="1" t="str">
        <f ca="1">IFERROR(__xludf.DUMMYFUNCTION("""COMPUTED_VALUE"""),"Male")</f>
        <v>Male</v>
      </c>
      <c r="E655" s="1" t="str">
        <f ca="1">IFERROR(__xludf.DUMMYFUNCTION("""COMPUTED_VALUE"""),"My Parents")</f>
        <v>My Parents</v>
      </c>
      <c r="F655" s="1" t="str">
        <f ca="1">IFERROR(__xludf.DUMMYFUNCTION("""COMPUTED_VALUE"""),"No, But if someone could bare the cost I will")</f>
        <v>No, But if someone could bare the cost I will</v>
      </c>
      <c r="G655" s="1" t="str">
        <f ca="1">IFERROR(__xludf.DUMMYFUNCTION("""COMPUTED_VALUE"""),"This will be hard to do, but if it is the right company I would try")</f>
        <v>This will be hard to do, but if it is the right company I would try</v>
      </c>
      <c r="H655" s="1" t="str">
        <f ca="1">IFERROR(__xludf.DUMMYFUNCTION("""COMPUTED_VALUE"""),"No")</f>
        <v>No</v>
      </c>
      <c r="I655" s="1" t="str">
        <f ca="1">IFERROR(__xludf.DUMMYFUNCTION("""COMPUTED_VALUE"""),"Will NOT work for them")</f>
        <v>Will NOT work for them</v>
      </c>
      <c r="J655" s="1">
        <f ca="1">IFERROR(__xludf.DUMMYFUNCTION("""COMPUTED_VALUE"""),7)</f>
        <v>7</v>
      </c>
      <c r="K655" s="1" t="str">
        <f ca="1">IFERROR(__xludf.DUMMYFUNCTION("""COMPUTED_VALUE"""),"Hybrid Working Environment with more than 15 days a month at office")</f>
        <v>Hybrid Working Environment with more than 15 days a month at office</v>
      </c>
      <c r="L655" s="1" t="str">
        <f ca="1">IFERROR(__xludf.DUMMYFUNCTION("""COMPUTED_VALUE"""),"Employer who pushes your limits by enabling an learning environment, and rewards you at the end")</f>
        <v>Employer who pushes your limits by enabling an learning environment, and rewards you at the end</v>
      </c>
      <c r="M65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N655" s="1"/>
      <c r="O655" s="1" t="str">
        <f ca="1">IFERROR(__xludf.DUMMYFUNCTION("""COMPUTED_VALUE"""),"Manager who sets targets and expects me to achieve it")</f>
        <v>Manager who sets targets and expects me to achieve it</v>
      </c>
      <c r="P655" s="1" t="str">
        <f ca="1">IFERROR(__xludf.DUMMYFUNCTION("""COMPUTED_VALUE"""),"Work Alone, &lt;=6 in team")</f>
        <v>Work Alone, &lt;=6 in team</v>
      </c>
      <c r="Q655" s="1" t="s">
        <v>40</v>
      </c>
      <c r="R655" s="1"/>
    </row>
    <row r="656" spans="1:18" x14ac:dyDescent="0.25">
      <c r="A656" s="2">
        <f ca="1">IFERROR(__xludf.DUMMYFUNCTION("""COMPUTED_VALUE"""),45021.8915075347)</f>
        <v>45021.891507534703</v>
      </c>
      <c r="B656" s="1" t="str">
        <f ca="1">IFERROR(__xludf.DUMMYFUNCTION("""COMPUTED_VALUE"""),"India")</f>
        <v>India</v>
      </c>
      <c r="C656" s="1">
        <f ca="1">IFERROR(__xludf.DUMMYFUNCTION("""COMPUTED_VALUE"""),20201)</f>
        <v>20201</v>
      </c>
      <c r="D656" s="1" t="str">
        <f ca="1">IFERROR(__xludf.DUMMYFUNCTION("""COMPUTED_VALUE"""),"Male")</f>
        <v>Male</v>
      </c>
      <c r="E656" s="1" t="str">
        <f ca="1">IFERROR(__xludf.DUMMYFUNCTION("""COMPUTED_VALUE"""),"People from my circle, but not family members")</f>
        <v>People from my circle, but not family members</v>
      </c>
      <c r="F656" s="1" t="str">
        <f ca="1">IFERROR(__xludf.DUMMYFUNCTION("""COMPUTED_VALUE"""),"Yes, I will earn and do that")</f>
        <v>Yes, I will earn and do that</v>
      </c>
      <c r="G656" s="1" t="str">
        <f ca="1">IFERROR(__xludf.DUMMYFUNCTION("""COMPUTED_VALUE"""),"No way")</f>
        <v>No way</v>
      </c>
      <c r="H656" s="1" t="str">
        <f ca="1">IFERROR(__xludf.DUMMYFUNCTION("""COMPUTED_VALUE"""),"No")</f>
        <v>No</v>
      </c>
      <c r="I656" s="1" t="str">
        <f ca="1">IFERROR(__xludf.DUMMYFUNCTION("""COMPUTED_VALUE"""),"Will work for them")</f>
        <v>Will work for them</v>
      </c>
      <c r="J656" s="1">
        <f ca="1">IFERROR(__xludf.DUMMYFUNCTION("""COMPUTED_VALUE"""),3)</f>
        <v>3</v>
      </c>
      <c r="K656" s="1" t="str">
        <f ca="1">IFERROR(__xludf.DUMMYFUNCTION("""COMPUTED_VALUE"""),"Fully Remote with No option to visit offices")</f>
        <v>Fully Remote with No option to visit offices</v>
      </c>
      <c r="L656" s="1" t="str">
        <f ca="1">IFERROR(__xludf.DUMMYFUNCTION("""COMPUTED_VALUE"""),"Employers who appreciates learning but doesn't enables an learning environment")</f>
        <v>Employers who appreciates learning but doesn't enables an learning environment</v>
      </c>
      <c r="M656"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N656" s="1"/>
      <c r="O656" s="1" t="str">
        <f ca="1">IFERROR(__xludf.DUMMYFUNCTION("""COMPUTED_VALUE"""),"Manager who sets goal and helps me achieve it")</f>
        <v>Manager who sets goal and helps me achieve it</v>
      </c>
      <c r="P656" s="1" t="str">
        <f ca="1">IFERROR(__xludf.DUMMYFUNCTION("""COMPUTED_VALUE"""),"Work Alone, &lt;67 people in team")</f>
        <v>Work Alone, &lt;67 people in team</v>
      </c>
      <c r="Q656" s="1" t="s">
        <v>43</v>
      </c>
      <c r="R656" s="1"/>
    </row>
    <row r="657" spans="1:18" x14ac:dyDescent="0.25">
      <c r="A657" s="2">
        <f ca="1">IFERROR(__xludf.DUMMYFUNCTION("""COMPUTED_VALUE"""),45021.8947746875)</f>
        <v>45021.894774687498</v>
      </c>
      <c r="B657" s="1" t="str">
        <f ca="1">IFERROR(__xludf.DUMMYFUNCTION("""COMPUTED_VALUE"""),"India")</f>
        <v>India</v>
      </c>
      <c r="C657" s="1">
        <f ca="1">IFERROR(__xludf.DUMMYFUNCTION("""COMPUTED_VALUE"""),800001)</f>
        <v>800001</v>
      </c>
      <c r="D657" s="1" t="str">
        <f ca="1">IFERROR(__xludf.DUMMYFUNCTION("""COMPUTED_VALUE"""),"Male")</f>
        <v>Male</v>
      </c>
      <c r="E657" s="1" t="str">
        <f ca="1">IFERROR(__xludf.DUMMYFUNCTION("""COMPUTED_VALUE"""),"Social Media like LinkedIn")</f>
        <v>Social Media like LinkedIn</v>
      </c>
      <c r="F657" s="1" t="str">
        <f ca="1">IFERROR(__xludf.DUMMYFUNCTION("""COMPUTED_VALUE"""),"Yes, I will earn and do that")</f>
        <v>Yes, I will earn and do that</v>
      </c>
      <c r="G657" s="1" t="str">
        <f ca="1">IFERROR(__xludf.DUMMYFUNCTION("""COMPUTED_VALUE"""),"No way")</f>
        <v>No way</v>
      </c>
      <c r="H657" s="1" t="str">
        <f ca="1">IFERROR(__xludf.DUMMYFUNCTION("""COMPUTED_VALUE"""),"Yes")</f>
        <v>Yes</v>
      </c>
      <c r="I657" s="1" t="str">
        <f ca="1">IFERROR(__xludf.DUMMYFUNCTION("""COMPUTED_VALUE"""),"Will work for them")</f>
        <v>Will work for them</v>
      </c>
      <c r="J657" s="1">
        <f ca="1">IFERROR(__xludf.DUMMYFUNCTION("""COMPUTED_VALUE"""),5)</f>
        <v>5</v>
      </c>
      <c r="K657" s="1" t="str">
        <f ca="1">IFERROR(__xludf.DUMMYFUNCTION("""COMPUTED_VALUE"""),"Hybrid Working Environment with more than 15 days a month at office")</f>
        <v>Hybrid Working Environment with more than 15 days a month at office</v>
      </c>
      <c r="L657" s="1" t="str">
        <f ca="1">IFERROR(__xludf.DUMMYFUNCTION("""COMPUTED_VALUE"""),"Employer who pushes your limits and doesn't enables learning environment and never rewards you")</f>
        <v>Employer who pushes your limits and doesn't enables learning environment and never rewards you</v>
      </c>
      <c r="M65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657" s="1"/>
      <c r="O657" s="1" t="str">
        <f ca="1">IFERROR(__xludf.DUMMYFUNCTION("""COMPUTED_VALUE"""),"Manager who explains what is expected, sets a goal and helps achieve it")</f>
        <v>Manager who explains what is expected, sets a goal and helps achieve it</v>
      </c>
      <c r="P657" s="1" t="str">
        <f ca="1">IFERROR(__xludf.DUMMYFUNCTION("""COMPUTED_VALUE"""),"Work &gt;=7 People in the Team")</f>
        <v>Work &gt;=7 People in the Team</v>
      </c>
      <c r="Q657" s="1" t="s">
        <v>43</v>
      </c>
      <c r="R657" s="1"/>
    </row>
    <row r="658" spans="1:18" x14ac:dyDescent="0.25">
      <c r="A658" s="2">
        <f ca="1">IFERROR(__xludf.DUMMYFUNCTION("""COMPUTED_VALUE"""),45021.8951543634)</f>
        <v>45021.895154363403</v>
      </c>
      <c r="B658" s="1" t="str">
        <f ca="1">IFERROR(__xludf.DUMMYFUNCTION("""COMPUTED_VALUE"""),"India")</f>
        <v>India</v>
      </c>
      <c r="C658" s="1">
        <f ca="1">IFERROR(__xludf.DUMMYFUNCTION("""COMPUTED_VALUE"""),515571)</f>
        <v>515571</v>
      </c>
      <c r="D658" s="1" t="str">
        <f ca="1">IFERROR(__xludf.DUMMYFUNCTION("""COMPUTED_VALUE"""),"Male")</f>
        <v>Male</v>
      </c>
      <c r="E658" s="1" t="str">
        <f ca="1">IFERROR(__xludf.DUMMYFUNCTION("""COMPUTED_VALUE"""),"My Parents")</f>
        <v>My Parents</v>
      </c>
      <c r="F658" s="1" t="str">
        <f ca="1">IFERROR(__xludf.DUMMYFUNCTION("""COMPUTED_VALUE"""),"Yes, I will earn and do that")</f>
        <v>Yes, I will earn and do that</v>
      </c>
      <c r="G658" s="1" t="str">
        <f ca="1">IFERROR(__xludf.DUMMYFUNCTION("""COMPUTED_VALUE"""),"Will work for 3 years or more")</f>
        <v>Will work for 3 years or more</v>
      </c>
      <c r="H658" s="1" t="str">
        <f ca="1">IFERROR(__xludf.DUMMYFUNCTION("""COMPUTED_VALUE"""),"Yes")</f>
        <v>Yes</v>
      </c>
      <c r="I658" s="1" t="str">
        <f ca="1">IFERROR(__xludf.DUMMYFUNCTION("""COMPUTED_VALUE"""),"Will work for them")</f>
        <v>Will work for them</v>
      </c>
      <c r="J658" s="1">
        <f ca="1">IFERROR(__xludf.DUMMYFUNCTION("""COMPUTED_VALUE"""),9)</f>
        <v>9</v>
      </c>
      <c r="K658" s="1" t="str">
        <f ca="1">IFERROR(__xludf.DUMMYFUNCTION("""COMPUTED_VALUE"""),"Every Day Office Environment")</f>
        <v>Every Day Office Environment</v>
      </c>
      <c r="L658" s="1" t="str">
        <f ca="1">IFERROR(__xludf.DUMMYFUNCTION("""COMPUTED_VALUE"""),"Employer who pushes your limits by enabling an learning environment, and rewards you at the end")</f>
        <v>Employer who pushes your limits by enabling an learning environment, and rewards you at the end</v>
      </c>
      <c r="M65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658" s="1"/>
      <c r="O658" s="1" t="str">
        <f ca="1">IFERROR(__xludf.DUMMYFUNCTION("""COMPUTED_VALUE"""),"Manager who clearly describes what she/he needs")</f>
        <v>Manager who clearly describes what she/he needs</v>
      </c>
      <c r="P658" s="1" t="str">
        <f ca="1">IFERROR(__xludf.DUMMYFUNCTION("""COMPUTED_VALUE"""),"Work &lt;=6 People in the Team")</f>
        <v>Work &lt;=6 People in the Team</v>
      </c>
      <c r="Q658" s="1" t="s">
        <v>40</v>
      </c>
      <c r="R658" s="1"/>
    </row>
    <row r="659" spans="1:18" x14ac:dyDescent="0.25">
      <c r="A659" s="2">
        <f ca="1">IFERROR(__xludf.DUMMYFUNCTION("""COMPUTED_VALUE"""),45021.8964926273)</f>
        <v>45021.896492627297</v>
      </c>
      <c r="B659" s="1" t="str">
        <f ca="1">IFERROR(__xludf.DUMMYFUNCTION("""COMPUTED_VALUE"""),"India")</f>
        <v>India</v>
      </c>
      <c r="C659" s="1">
        <f ca="1">IFERROR(__xludf.DUMMYFUNCTION("""COMPUTED_VALUE"""),517503)</f>
        <v>517503</v>
      </c>
      <c r="D659" s="1" t="str">
        <f ca="1">IFERROR(__xludf.DUMMYFUNCTION("""COMPUTED_VALUE"""),"Male")</f>
        <v>Male</v>
      </c>
      <c r="E659" s="1" t="str">
        <f ca="1">IFERROR(__xludf.DUMMYFUNCTION("""COMPUTED_VALUE"""),"Influencers who had successful careers")</f>
        <v>Influencers who had successful careers</v>
      </c>
      <c r="F659" s="1" t="str">
        <f ca="1">IFERROR(__xludf.DUMMYFUNCTION("""COMPUTED_VALUE"""),"No I would not be pursuing Higher Education outside of India")</f>
        <v>No I would not be pursuing Higher Education outside of India</v>
      </c>
      <c r="G659" s="1" t="str">
        <f ca="1">IFERROR(__xludf.DUMMYFUNCTION("""COMPUTED_VALUE"""),"This will be hard to do, but if it is the right company I would try")</f>
        <v>This will be hard to do, but if it is the right company I would try</v>
      </c>
      <c r="H659" s="1" t="str">
        <f ca="1">IFERROR(__xludf.DUMMYFUNCTION("""COMPUTED_VALUE"""),"Yes")</f>
        <v>Yes</v>
      </c>
      <c r="I659" s="1" t="str">
        <f ca="1">IFERROR(__xludf.DUMMYFUNCTION("""COMPUTED_VALUE"""),"Will work for them")</f>
        <v>Will work for them</v>
      </c>
      <c r="J659" s="1">
        <f ca="1">IFERROR(__xludf.DUMMYFUNCTION("""COMPUTED_VALUE"""),5)</f>
        <v>5</v>
      </c>
      <c r="K659" s="1" t="str">
        <f ca="1">IFERROR(__xludf.DUMMYFUNCTION("""COMPUTED_VALUE"""),"Fully Remote with No option to visit offices")</f>
        <v>Fully Remote with No option to visit offices</v>
      </c>
      <c r="L659" s="1" t="str">
        <f ca="1">IFERROR(__xludf.DUMMYFUNCTION("""COMPUTED_VALUE"""),"Employer who rewards learning and enables that environment")</f>
        <v>Employer who rewards learning and enables that environment</v>
      </c>
      <c r="M659"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659" s="1"/>
      <c r="O659" s="1" t="str">
        <f ca="1">IFERROR(__xludf.DUMMYFUNCTION("""COMPUTED_VALUE"""),"Manager who sets goal and helps me achieve it")</f>
        <v>Manager who sets goal and helps me achieve it</v>
      </c>
      <c r="P659" s="1" t="str">
        <f ca="1">IFERROR(__xludf.DUMMYFUNCTION("""COMPUTED_VALUE"""),"Work &lt;=6 People in the Team")</f>
        <v>Work &lt;=6 People in the Team</v>
      </c>
      <c r="Q659" s="1" t="s">
        <v>42</v>
      </c>
      <c r="R659" s="1"/>
    </row>
    <row r="660" spans="1:18" x14ac:dyDescent="0.25">
      <c r="A660" s="2">
        <f ca="1">IFERROR(__xludf.DUMMYFUNCTION("""COMPUTED_VALUE"""),45021.8974137731)</f>
        <v>45021.897413773098</v>
      </c>
      <c r="B660" s="1" t="str">
        <f ca="1">IFERROR(__xludf.DUMMYFUNCTION("""COMPUTED_VALUE"""),"India")</f>
        <v>India</v>
      </c>
      <c r="C660" s="1">
        <f ca="1">IFERROR(__xludf.DUMMYFUNCTION("""COMPUTED_VALUE"""),201306)</f>
        <v>201306</v>
      </c>
      <c r="D660" s="1" t="str">
        <f ca="1">IFERROR(__xludf.DUMMYFUNCTION("""COMPUTED_VALUE"""),"Female")</f>
        <v>Female</v>
      </c>
      <c r="E660" s="1" t="str">
        <f ca="1">IFERROR(__xludf.DUMMYFUNCTION("""COMPUTED_VALUE"""),"People who have changed the world for better")</f>
        <v>People who have changed the world for better</v>
      </c>
      <c r="F660" s="1" t="str">
        <f ca="1">IFERROR(__xludf.DUMMYFUNCTION("""COMPUTED_VALUE"""),"No I would not be pursuing Higher Education outside of India")</f>
        <v>No I would not be pursuing Higher Education outside of India</v>
      </c>
      <c r="G660" s="1" t="str">
        <f ca="1">IFERROR(__xludf.DUMMYFUNCTION("""COMPUTED_VALUE"""),"Will work for 3 years or more")</f>
        <v>Will work for 3 years or more</v>
      </c>
      <c r="H660" s="1" t="str">
        <f ca="1">IFERROR(__xludf.DUMMYFUNCTION("""COMPUTED_VALUE"""),"No")</f>
        <v>No</v>
      </c>
      <c r="I660" s="1" t="str">
        <f ca="1">IFERROR(__xludf.DUMMYFUNCTION("""COMPUTED_VALUE"""),"Will NOT work for them")</f>
        <v>Will NOT work for them</v>
      </c>
      <c r="J660" s="1">
        <f ca="1">IFERROR(__xludf.DUMMYFUNCTION("""COMPUTED_VALUE"""),2)</f>
        <v>2</v>
      </c>
      <c r="K660" s="1" t="str">
        <f ca="1">IFERROR(__xludf.DUMMYFUNCTION("""COMPUTED_VALUE"""),"Fully Remote with Options to travel as and when needed")</f>
        <v>Fully Remote with Options to travel as and when needed</v>
      </c>
      <c r="L660" s="1" t="str">
        <f ca="1">IFERROR(__xludf.DUMMYFUNCTION("""COMPUTED_VALUE"""),"Employer who appreciates learning and enables that environment")</f>
        <v>Employer who appreciates learning and enables that environment</v>
      </c>
      <c r="M66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N660" s="1"/>
      <c r="O660" s="1" t="str">
        <f ca="1">IFERROR(__xludf.DUMMYFUNCTION("""COMPUTED_VALUE"""),"Manager who explains what is expected, sets a goal and helps achieve it")</f>
        <v>Manager who explains what is expected, sets a goal and helps achieve it</v>
      </c>
      <c r="P660" s="1" t="str">
        <f ca="1">IFERROR(__xludf.DUMMYFUNCTION("""COMPUTED_VALUE"""),"Work  &lt;67 people in team")</f>
        <v>Work  &lt;67 people in team</v>
      </c>
      <c r="Q660" s="1" t="s">
        <v>40</v>
      </c>
      <c r="R660" s="1"/>
    </row>
    <row r="661" spans="1:18" x14ac:dyDescent="0.25">
      <c r="A661" s="2">
        <f ca="1">IFERROR(__xludf.DUMMYFUNCTION("""COMPUTED_VALUE"""),45021.8974579513)</f>
        <v>45021.897457951301</v>
      </c>
      <c r="B661" s="1" t="str">
        <f ca="1">IFERROR(__xludf.DUMMYFUNCTION("""COMPUTED_VALUE"""),"India")</f>
        <v>India</v>
      </c>
      <c r="C661" s="1">
        <f ca="1">IFERROR(__xludf.DUMMYFUNCTION("""COMPUTED_VALUE"""),602024)</f>
        <v>602024</v>
      </c>
      <c r="D661" s="1" t="str">
        <f ca="1">IFERROR(__xludf.DUMMYFUNCTION("""COMPUTED_VALUE"""),"Female")</f>
        <v>Female</v>
      </c>
      <c r="E661" s="1" t="str">
        <f ca="1">IFERROR(__xludf.DUMMYFUNCTION("""COMPUTED_VALUE"""),"My Parents")</f>
        <v>My Parents</v>
      </c>
      <c r="F661" s="1" t="str">
        <f ca="1">IFERROR(__xludf.DUMMYFUNCTION("""COMPUTED_VALUE"""),"No, But if someone could bare the cost I will")</f>
        <v>No, But if someone could bare the cost I will</v>
      </c>
      <c r="G661" s="1" t="str">
        <f ca="1">IFERROR(__xludf.DUMMYFUNCTION("""COMPUTED_VALUE"""),"This will be hard to do, but if it is the right company I would try")</f>
        <v>This will be hard to do, but if it is the right company I would try</v>
      </c>
      <c r="H661" s="1" t="str">
        <f ca="1">IFERROR(__xludf.DUMMYFUNCTION("""COMPUTED_VALUE"""),"No")</f>
        <v>No</v>
      </c>
      <c r="I661" s="1" t="str">
        <f ca="1">IFERROR(__xludf.DUMMYFUNCTION("""COMPUTED_VALUE"""),"Will NOT work for them")</f>
        <v>Will NOT work for them</v>
      </c>
      <c r="J661" s="1">
        <f ca="1">IFERROR(__xludf.DUMMYFUNCTION("""COMPUTED_VALUE"""),5)</f>
        <v>5</v>
      </c>
      <c r="K661" s="1" t="str">
        <f ca="1">IFERROR(__xludf.DUMMYFUNCTION("""COMPUTED_VALUE"""),"Hybrid Working Environment with less than 3 days a month at office")</f>
        <v>Hybrid Working Environment with less than 3 days a month at office</v>
      </c>
      <c r="L661" s="1" t="str">
        <f ca="1">IFERROR(__xludf.DUMMYFUNCTION("""COMPUTED_VALUE"""),"Employer who pushes your limits by enabling an learning environment, and rewards you at the end")</f>
        <v>Employer who pushes your limits by enabling an learning environment, and rewards you at the end</v>
      </c>
      <c r="M66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N661" s="1"/>
      <c r="O661" s="1" t="str">
        <f ca="1">IFERROR(__xludf.DUMMYFUNCTION("""COMPUTED_VALUE"""),"Manager who sets goal and helps me achieve it")</f>
        <v>Manager who sets goal and helps me achieve it</v>
      </c>
      <c r="P661" s="1" t="str">
        <f ca="1">IFERROR(__xludf.DUMMYFUNCTION("""COMPUTED_VALUE"""),"Work &gt;10 people in Team")</f>
        <v>Work &gt;10 people in Team</v>
      </c>
      <c r="Q661" s="1" t="s">
        <v>40</v>
      </c>
      <c r="R661" s="1"/>
    </row>
    <row r="662" spans="1:18" x14ac:dyDescent="0.25">
      <c r="A662" s="2">
        <f ca="1">IFERROR(__xludf.DUMMYFUNCTION("""COMPUTED_VALUE"""),45021.8999191666)</f>
        <v>45021.899919166601</v>
      </c>
      <c r="B662" s="1" t="str">
        <f ca="1">IFERROR(__xludf.DUMMYFUNCTION("""COMPUTED_VALUE"""),"India")</f>
        <v>India</v>
      </c>
      <c r="C662" s="1">
        <f ca="1">IFERROR(__xludf.DUMMYFUNCTION("""COMPUTED_VALUE"""),517501)</f>
        <v>517501</v>
      </c>
      <c r="D662" s="1" t="str">
        <f ca="1">IFERROR(__xludf.DUMMYFUNCTION("""COMPUTED_VALUE"""),"Male")</f>
        <v>Male</v>
      </c>
      <c r="E662" s="1" t="str">
        <f ca="1">IFERROR(__xludf.DUMMYFUNCTION("""COMPUTED_VALUE"""),"My Parents")</f>
        <v>My Parents</v>
      </c>
      <c r="F662" s="1" t="str">
        <f ca="1">IFERROR(__xludf.DUMMYFUNCTION("""COMPUTED_VALUE"""),"Yes, I will earn and do that")</f>
        <v>Yes, I will earn and do that</v>
      </c>
      <c r="G662" s="1" t="str">
        <f ca="1">IFERROR(__xludf.DUMMYFUNCTION("""COMPUTED_VALUE"""),"Will work for 3 years or more")</f>
        <v>Will work for 3 years or more</v>
      </c>
      <c r="H662" s="1" t="str">
        <f ca="1">IFERROR(__xludf.DUMMYFUNCTION("""COMPUTED_VALUE"""),"Yes")</f>
        <v>Yes</v>
      </c>
      <c r="I662" s="1" t="str">
        <f ca="1">IFERROR(__xludf.DUMMYFUNCTION("""COMPUTED_VALUE"""),"Will work for them")</f>
        <v>Will work for them</v>
      </c>
      <c r="J662" s="1">
        <f ca="1">IFERROR(__xludf.DUMMYFUNCTION("""COMPUTED_VALUE"""),1)</f>
        <v>1</v>
      </c>
      <c r="K662" s="1" t="str">
        <f ca="1">IFERROR(__xludf.DUMMYFUNCTION("""COMPUTED_VALUE"""),"Hybrid Working Environment with more than 15 days a month at office")</f>
        <v>Hybrid Working Environment with more than 15 days a month at office</v>
      </c>
      <c r="L662" s="1" t="str">
        <f ca="1">IFERROR(__xludf.DUMMYFUNCTION("""COMPUTED_VALUE"""),"Employer who appreciates learning and enables that environment")</f>
        <v>Employer who appreciates learning and enables that environment</v>
      </c>
      <c r="M662" s="1" t="str">
        <f ca="1">IFERROR(__xludf.DUMMYFUNCTION("""COMPUTED_VALUE"""),"Teaching in any of the institutes/colleges/online or offline, Build and develop a Team, Work as a freelancer and do my thing my way, I Want to sell things/Sales")</f>
        <v>Teaching in any of the institutes/colleges/online or offline, Build and develop a Team, Work as a freelancer and do my thing my way, I Want to sell things/Sales</v>
      </c>
      <c r="N662" s="1"/>
      <c r="O662" s="1" t="str">
        <f ca="1">IFERROR(__xludf.DUMMYFUNCTION("""COMPUTED_VALUE"""),"Manager who sets goal and helps me achieve it")</f>
        <v>Manager who sets goal and helps me achieve it</v>
      </c>
      <c r="P662" s="1" t="str">
        <f ca="1">IFERROR(__xludf.DUMMYFUNCTION("""COMPUTED_VALUE"""),"Work alone")</f>
        <v>Work alone</v>
      </c>
      <c r="Q662" s="1" t="s">
        <v>43</v>
      </c>
      <c r="R662" s="1"/>
    </row>
    <row r="663" spans="1:18" x14ac:dyDescent="0.25">
      <c r="A663" s="2">
        <f ca="1">IFERROR(__xludf.DUMMYFUNCTION("""COMPUTED_VALUE"""),45021.9001611805)</f>
        <v>45021.9001611805</v>
      </c>
      <c r="B663" s="1" t="str">
        <f ca="1">IFERROR(__xludf.DUMMYFUNCTION("""COMPUTED_VALUE"""),"India")</f>
        <v>India</v>
      </c>
      <c r="C663" s="1">
        <f ca="1">IFERROR(__xludf.DUMMYFUNCTION("""COMPUTED_VALUE"""),560064)</f>
        <v>560064</v>
      </c>
      <c r="D663" s="1" t="str">
        <f ca="1">IFERROR(__xludf.DUMMYFUNCTION("""COMPUTED_VALUE"""),"Male")</f>
        <v>Male</v>
      </c>
      <c r="E663" s="1" t="str">
        <f ca="1">IFERROR(__xludf.DUMMYFUNCTION("""COMPUTED_VALUE"""),"Influencers who had successful careers")</f>
        <v>Influencers who had successful careers</v>
      </c>
      <c r="F663" s="1" t="str">
        <f ca="1">IFERROR(__xludf.DUMMYFUNCTION("""COMPUTED_VALUE"""),"No, But if someone could bare the cost I will")</f>
        <v>No, But if someone could bare the cost I will</v>
      </c>
      <c r="G663" s="1" t="str">
        <f ca="1">IFERROR(__xludf.DUMMYFUNCTION("""COMPUTED_VALUE"""),"This will be hard to do, but if it is the right company I would try")</f>
        <v>This will be hard to do, but if it is the right company I would try</v>
      </c>
      <c r="H663" s="1" t="str">
        <f ca="1">IFERROR(__xludf.DUMMYFUNCTION("""COMPUTED_VALUE"""),"No")</f>
        <v>No</v>
      </c>
      <c r="I663" s="1" t="str">
        <f ca="1">IFERROR(__xludf.DUMMYFUNCTION("""COMPUTED_VALUE"""),"Will NOT work for them")</f>
        <v>Will NOT work for them</v>
      </c>
      <c r="J663" s="1">
        <f ca="1">IFERROR(__xludf.DUMMYFUNCTION("""COMPUTED_VALUE"""),4)</f>
        <v>4</v>
      </c>
      <c r="K663" s="1" t="str">
        <f ca="1">IFERROR(__xludf.DUMMYFUNCTION("""COMPUTED_VALUE"""),"Hybrid Working Environment with more than 15 days a month at office")</f>
        <v>Hybrid Working Environment with more than 15 days a month at office</v>
      </c>
      <c r="L663" s="1" t="str">
        <f ca="1">IFERROR(__xludf.DUMMYFUNCTION("""COMPUTED_VALUE"""),"Employer who rewards learning and enables that environment")</f>
        <v>Employer who rewards learning and enables that environment</v>
      </c>
      <c r="M663" s="1" t="str">
        <f ca="1">IFERROR(__xludf.DUMMYFUNCTION("""COMPUTED_VALUE"""),"Business Operations in any organization, Work in a BPO setup for some well known client, Entrepreneur or Start Up, I Want to sell things/Sales")</f>
        <v>Business Operations in any organization, Work in a BPO setup for some well known client, Entrepreneur or Start Up, I Want to sell things/Sales</v>
      </c>
      <c r="N663" s="1"/>
      <c r="O663" s="1" t="str">
        <f ca="1">IFERROR(__xludf.DUMMYFUNCTION("""COMPUTED_VALUE"""),"Manager who explains what is expected, sets a goal and helps achieve it")</f>
        <v>Manager who explains what is expected, sets a goal and helps achieve it</v>
      </c>
      <c r="P663" s="1" t="str">
        <f ca="1">IFERROR(__xludf.DUMMYFUNCTION("""COMPUTED_VALUE"""),"Work &lt;=6 People in the Team")</f>
        <v>Work &lt;=6 People in the Team</v>
      </c>
      <c r="Q663" s="1" t="s">
        <v>42</v>
      </c>
      <c r="R663" s="1"/>
    </row>
    <row r="664" spans="1:18" x14ac:dyDescent="0.25">
      <c r="A664" s="2">
        <f ca="1">IFERROR(__xludf.DUMMYFUNCTION("""COMPUTED_VALUE"""),45021.900895243)</f>
        <v>45021.900895243001</v>
      </c>
      <c r="B664" s="1" t="str">
        <f ca="1">IFERROR(__xludf.DUMMYFUNCTION("""COMPUTED_VALUE"""),"India")</f>
        <v>India</v>
      </c>
      <c r="C664" s="1">
        <f ca="1">IFERROR(__xludf.DUMMYFUNCTION("""COMPUTED_VALUE"""),422101)</f>
        <v>422101</v>
      </c>
      <c r="D664" s="1" t="str">
        <f ca="1">IFERROR(__xludf.DUMMYFUNCTION("""COMPUTED_VALUE"""),"Male")</f>
        <v>Male</v>
      </c>
      <c r="E664" s="1" t="str">
        <f ca="1">IFERROR(__xludf.DUMMYFUNCTION("""COMPUTED_VALUE"""),"Social Media like LinkedIn")</f>
        <v>Social Media like LinkedIn</v>
      </c>
      <c r="F664" s="1" t="str">
        <f ca="1">IFERROR(__xludf.DUMMYFUNCTION("""COMPUTED_VALUE"""),"Yes, I will earn and do that")</f>
        <v>Yes, I will earn and do that</v>
      </c>
      <c r="G664" s="1" t="str">
        <f ca="1">IFERROR(__xludf.DUMMYFUNCTION("""COMPUTED_VALUE"""),"Will work for 3 years or more")</f>
        <v>Will work for 3 years or more</v>
      </c>
      <c r="H664" s="1" t="str">
        <f ca="1">IFERROR(__xludf.DUMMYFUNCTION("""COMPUTED_VALUE"""),"Yes")</f>
        <v>Yes</v>
      </c>
      <c r="I664" s="1" t="str">
        <f ca="1">IFERROR(__xludf.DUMMYFUNCTION("""COMPUTED_VALUE"""),"Will NOT work for them")</f>
        <v>Will NOT work for them</v>
      </c>
      <c r="J664" s="1">
        <f ca="1">IFERROR(__xludf.DUMMYFUNCTION("""COMPUTED_VALUE"""),5)</f>
        <v>5</v>
      </c>
      <c r="K664" s="1" t="str">
        <f ca="1">IFERROR(__xludf.DUMMYFUNCTION("""COMPUTED_VALUE"""),"Fully Remote with No option to visit offices")</f>
        <v>Fully Remote with No option to visit offices</v>
      </c>
      <c r="L664" s="1" t="str">
        <f ca="1">IFERROR(__xludf.DUMMYFUNCTION("""COMPUTED_VALUE"""),"Employer who appreciates learning and enables that environment")</f>
        <v>Employer who appreciates learning and enables that environment</v>
      </c>
      <c r="M66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664" s="1"/>
      <c r="O664" s="1" t="str">
        <f ca="1">IFERROR(__xludf.DUMMYFUNCTION("""COMPUTED_VALUE"""),"Manager who explains what is expected, sets a goal and helps achieve it")</f>
        <v>Manager who explains what is expected, sets a goal and helps achieve it</v>
      </c>
      <c r="P664" s="1" t="str">
        <f ca="1">IFERROR(__xludf.DUMMYFUNCTION("""COMPUTED_VALUE"""),"Work Alone, &lt;67 people in team")</f>
        <v>Work Alone, &lt;67 people in team</v>
      </c>
      <c r="Q664" s="1" t="s">
        <v>43</v>
      </c>
      <c r="R664" s="1"/>
    </row>
    <row r="665" spans="1:18" x14ac:dyDescent="0.25">
      <c r="A665" s="2">
        <f ca="1">IFERROR(__xludf.DUMMYFUNCTION("""COMPUTED_VALUE"""),45021.9010560879)</f>
        <v>45021.901056087903</v>
      </c>
      <c r="B665" s="1" t="str">
        <f ca="1">IFERROR(__xludf.DUMMYFUNCTION("""COMPUTED_VALUE"""),"India")</f>
        <v>India</v>
      </c>
      <c r="C665" s="1">
        <f ca="1">IFERROR(__xludf.DUMMYFUNCTION("""COMPUTED_VALUE"""),560064)</f>
        <v>560064</v>
      </c>
      <c r="D665" s="1" t="str">
        <f ca="1">IFERROR(__xludf.DUMMYFUNCTION("""COMPUTED_VALUE"""),"Female")</f>
        <v>Female</v>
      </c>
      <c r="E665" s="1" t="str">
        <f ca="1">IFERROR(__xludf.DUMMYFUNCTION("""COMPUTED_VALUE"""),"My Parents")</f>
        <v>My Parents</v>
      </c>
      <c r="F665" s="1" t="str">
        <f ca="1">IFERROR(__xludf.DUMMYFUNCTION("""COMPUTED_VALUE"""),"No, But if someone could bare the cost I will")</f>
        <v>No, But if someone could bare the cost I will</v>
      </c>
      <c r="G665" s="1" t="str">
        <f ca="1">IFERROR(__xludf.DUMMYFUNCTION("""COMPUTED_VALUE"""),"This will be hard to do, but if it is the right company I would try")</f>
        <v>This will be hard to do, but if it is the right company I would try</v>
      </c>
      <c r="H665" s="1" t="str">
        <f ca="1">IFERROR(__xludf.DUMMYFUNCTION("""COMPUTED_VALUE"""),"No")</f>
        <v>No</v>
      </c>
      <c r="I665" s="1" t="str">
        <f ca="1">IFERROR(__xludf.DUMMYFUNCTION("""COMPUTED_VALUE"""),"Will NOT work for them")</f>
        <v>Will NOT work for them</v>
      </c>
      <c r="J665" s="1">
        <f ca="1">IFERROR(__xludf.DUMMYFUNCTION("""COMPUTED_VALUE"""),5)</f>
        <v>5</v>
      </c>
      <c r="K665" s="1" t="str">
        <f ca="1">IFERROR(__xludf.DUMMYFUNCTION("""COMPUTED_VALUE"""),"Fully Remote with Options to travel as and when needed")</f>
        <v>Fully Remote with Options to travel as and when needed</v>
      </c>
      <c r="L665" s="1" t="str">
        <f ca="1">IFERROR(__xludf.DUMMYFUNCTION("""COMPUTED_VALUE"""),"Employer who pushes your limits by enabling an learning environment, and rewards you at the end")</f>
        <v>Employer who pushes your limits by enabling an learning environment, and rewards you at the end</v>
      </c>
      <c r="M665" s="1" t="str">
        <f ca="1">IFERROR(__xludf.DUMMYFUNCTION("""COMPUTED_VALUE"""),"Build and develop a Team, Look deeply into Data and generate insights, Become a content Creator in some platform, Entrepreneur or Start Up")</f>
        <v>Build and develop a Team, Look deeply into Data and generate insights, Become a content Creator in some platform, Entrepreneur or Start Up</v>
      </c>
      <c r="N665" s="1"/>
      <c r="O665" s="1" t="str">
        <f ca="1">IFERROR(__xludf.DUMMYFUNCTION("""COMPUTED_VALUE"""),"Manager who explains what is expected, sets a goal and helps achieve it")</f>
        <v>Manager who explains what is expected, sets a goal and helps achieve it</v>
      </c>
      <c r="P665" s="1" t="str">
        <f ca="1">IFERROR(__xludf.DUMMYFUNCTION("""COMPUTED_VALUE"""),"Work &lt;=6 People in the Team")</f>
        <v>Work &lt;=6 People in the Team</v>
      </c>
      <c r="Q665" s="1" t="s">
        <v>43</v>
      </c>
      <c r="R665" s="1"/>
    </row>
    <row r="666" spans="1:18" x14ac:dyDescent="0.25">
      <c r="A666" s="2">
        <f ca="1">IFERROR(__xludf.DUMMYFUNCTION("""COMPUTED_VALUE"""),45021.9024404861)</f>
        <v>45021.902440486097</v>
      </c>
      <c r="B666" s="1" t="str">
        <f ca="1">IFERROR(__xludf.DUMMYFUNCTION("""COMPUTED_VALUE"""),"India")</f>
        <v>India</v>
      </c>
      <c r="C666" s="1">
        <f ca="1">IFERROR(__xludf.DUMMYFUNCTION("""COMPUTED_VALUE"""),517592)</f>
        <v>517592</v>
      </c>
      <c r="D666" s="1" t="str">
        <f ca="1">IFERROR(__xludf.DUMMYFUNCTION("""COMPUTED_VALUE"""),"Female")</f>
        <v>Female</v>
      </c>
      <c r="E666" s="1" t="str">
        <f ca="1">IFERROR(__xludf.DUMMYFUNCTION("""COMPUTED_VALUE"""),"Influencers who had successful careers")</f>
        <v>Influencers who had successful careers</v>
      </c>
      <c r="F666" s="1" t="str">
        <f ca="1">IFERROR(__xludf.DUMMYFUNCTION("""COMPUTED_VALUE"""),"No I would not be pursuing Higher Education outside of India")</f>
        <v>No I would not be pursuing Higher Education outside of India</v>
      </c>
      <c r="G666" s="1" t="str">
        <f ca="1">IFERROR(__xludf.DUMMYFUNCTION("""COMPUTED_VALUE"""),"This will be hard to do, but if it is the right company I would try")</f>
        <v>This will be hard to do, but if it is the right company I would try</v>
      </c>
      <c r="H666" s="1" t="str">
        <f ca="1">IFERROR(__xludf.DUMMYFUNCTION("""COMPUTED_VALUE"""),"No")</f>
        <v>No</v>
      </c>
      <c r="I666" s="1" t="str">
        <f ca="1">IFERROR(__xludf.DUMMYFUNCTION("""COMPUTED_VALUE"""),"Will NOT work for them")</f>
        <v>Will NOT work for them</v>
      </c>
      <c r="J666" s="1">
        <f ca="1">IFERROR(__xludf.DUMMYFUNCTION("""COMPUTED_VALUE"""),10)</f>
        <v>10</v>
      </c>
      <c r="K666" s="1" t="str">
        <f ca="1">IFERROR(__xludf.DUMMYFUNCTION("""COMPUTED_VALUE"""),"Hybrid Working Environment with less than 3 days a month at office")</f>
        <v>Hybrid Working Environment with less than 3 days a month at office</v>
      </c>
      <c r="L666" s="1" t="str">
        <f ca="1">IFERROR(__xludf.DUMMYFUNCTION("""COMPUTED_VALUE"""),"Employer who pushes your limits by enabling an learning environment, and rewards you at the end")</f>
        <v>Employer who pushes your limits by enabling an learning environment, and rewards you at the end</v>
      </c>
      <c r="M666" s="1" t="str">
        <f ca="1">IFERROR(__xludf.DUMMYFUNCTION("""COMPUTED_VALUE"""),"Manage and drive End-to-End Projects or Products, Work in a BPO setup for some well known client, Work as a freelancer and do my thing my way, Entrepreneur or Start Up")</f>
        <v>Manage and drive End-to-End Projects or Products, Work in a BPO setup for some well known client, Work as a freelancer and do my thing my way, Entrepreneur or Start Up</v>
      </c>
      <c r="N666" s="1"/>
      <c r="O666" s="1" t="str">
        <f ca="1">IFERROR(__xludf.DUMMYFUNCTION("""COMPUTED_VALUE"""),"Manager who sets goal and helps me achieve it")</f>
        <v>Manager who sets goal and helps me achieve it</v>
      </c>
      <c r="P666" s="1" t="str">
        <f ca="1">IFERROR(__xludf.DUMMYFUNCTION("""COMPUTED_VALUE"""),"Work &lt;=6 People in the Team")</f>
        <v>Work &lt;=6 People in the Team</v>
      </c>
      <c r="Q666" s="1" t="s">
        <v>40</v>
      </c>
      <c r="R666" s="1"/>
    </row>
    <row r="667" spans="1:18" x14ac:dyDescent="0.25">
      <c r="A667" s="2">
        <f ca="1">IFERROR(__xludf.DUMMYFUNCTION("""COMPUTED_VALUE"""),45021.9030680671)</f>
        <v>45021.903068067099</v>
      </c>
      <c r="B667" s="1" t="str">
        <f ca="1">IFERROR(__xludf.DUMMYFUNCTION("""COMPUTED_VALUE"""),"India")</f>
        <v>India</v>
      </c>
      <c r="C667" s="1">
        <f ca="1">IFERROR(__xludf.DUMMYFUNCTION("""COMPUTED_VALUE"""),641004)</f>
        <v>641004</v>
      </c>
      <c r="D667" s="1" t="str">
        <f ca="1">IFERROR(__xludf.DUMMYFUNCTION("""COMPUTED_VALUE"""),"Female")</f>
        <v>Female</v>
      </c>
      <c r="E667" s="1" t="str">
        <f ca="1">IFERROR(__xludf.DUMMYFUNCTION("""COMPUTED_VALUE"""),"My Parents")</f>
        <v>My Parents</v>
      </c>
      <c r="F667" s="1" t="str">
        <f ca="1">IFERROR(__xludf.DUMMYFUNCTION("""COMPUTED_VALUE"""),"No I would not be pursuing Higher Education outside of India")</f>
        <v>No I would not be pursuing Higher Education outside of India</v>
      </c>
      <c r="G667" s="1" t="str">
        <f ca="1">IFERROR(__xludf.DUMMYFUNCTION("""COMPUTED_VALUE"""),"Will work for 3 years or more")</f>
        <v>Will work for 3 years or more</v>
      </c>
      <c r="H667" s="1" t="str">
        <f ca="1">IFERROR(__xludf.DUMMYFUNCTION("""COMPUTED_VALUE"""),"Yes")</f>
        <v>Yes</v>
      </c>
      <c r="I667" s="1" t="str">
        <f ca="1">IFERROR(__xludf.DUMMYFUNCTION("""COMPUTED_VALUE"""),"Will NOT work for them")</f>
        <v>Will NOT work for them</v>
      </c>
      <c r="J667" s="1">
        <f ca="1">IFERROR(__xludf.DUMMYFUNCTION("""COMPUTED_VALUE"""),6)</f>
        <v>6</v>
      </c>
      <c r="K667" s="1" t="str">
        <f ca="1">IFERROR(__xludf.DUMMYFUNCTION("""COMPUTED_VALUE"""),"Fully Remote with No option to visit offices")</f>
        <v>Fully Remote with No option to visit offices</v>
      </c>
      <c r="L667" s="1" t="str">
        <f ca="1">IFERROR(__xludf.DUMMYFUNCTION("""COMPUTED_VALUE"""),"Employer who appreciates learning and enables that environment")</f>
        <v>Employer who appreciates learning and enables that environment</v>
      </c>
      <c r="M667"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667" s="1"/>
      <c r="O667" s="1" t="str">
        <f ca="1">IFERROR(__xludf.DUMMYFUNCTION("""COMPUTED_VALUE"""),"Manager who explains what is expected, sets a goal and helps achieve it")</f>
        <v>Manager who explains what is expected, sets a goal and helps achieve it</v>
      </c>
      <c r="P667" s="1" t="str">
        <f ca="1">IFERROR(__xludf.DUMMYFUNCTION("""COMPUTED_VALUE"""),"Work Alone, &lt;=6 in team")</f>
        <v>Work Alone, &lt;=6 in team</v>
      </c>
      <c r="Q667" s="1" t="s">
        <v>40</v>
      </c>
      <c r="R667" s="1"/>
    </row>
    <row r="668" spans="1:18" x14ac:dyDescent="0.25">
      <c r="A668" s="2">
        <f ca="1">IFERROR(__xludf.DUMMYFUNCTION("""COMPUTED_VALUE"""),45021.9038548611)</f>
        <v>45021.903854861099</v>
      </c>
      <c r="B668" s="1" t="str">
        <f ca="1">IFERROR(__xludf.DUMMYFUNCTION("""COMPUTED_VALUE"""),"India")</f>
        <v>India</v>
      </c>
      <c r="C668" s="1">
        <f ca="1">IFERROR(__xludf.DUMMYFUNCTION("""COMPUTED_VALUE"""),600099)</f>
        <v>600099</v>
      </c>
      <c r="D668" s="1" t="str">
        <f ca="1">IFERROR(__xludf.DUMMYFUNCTION("""COMPUTED_VALUE"""),"Female")</f>
        <v>Female</v>
      </c>
      <c r="E668" s="1" t="str">
        <f ca="1">IFERROR(__xludf.DUMMYFUNCTION("""COMPUTED_VALUE"""),"People who have changed the world for better")</f>
        <v>People who have changed the world for better</v>
      </c>
      <c r="F668" s="1" t="str">
        <f ca="1">IFERROR(__xludf.DUMMYFUNCTION("""COMPUTED_VALUE"""),"Yes, I will earn and do that")</f>
        <v>Yes, I will earn and do that</v>
      </c>
      <c r="G668" s="1" t="str">
        <f ca="1">IFERROR(__xludf.DUMMYFUNCTION("""COMPUTED_VALUE"""),"Will work for 3 years or more")</f>
        <v>Will work for 3 years or more</v>
      </c>
      <c r="H668" s="1" t="str">
        <f ca="1">IFERROR(__xludf.DUMMYFUNCTION("""COMPUTED_VALUE"""),"No")</f>
        <v>No</v>
      </c>
      <c r="I668" s="1" t="str">
        <f ca="1">IFERROR(__xludf.DUMMYFUNCTION("""COMPUTED_VALUE"""),"Will NOT work for them")</f>
        <v>Will NOT work for them</v>
      </c>
      <c r="J668" s="1">
        <f ca="1">IFERROR(__xludf.DUMMYFUNCTION("""COMPUTED_VALUE"""),7)</f>
        <v>7</v>
      </c>
      <c r="K668" s="1" t="str">
        <f ca="1">IFERROR(__xludf.DUMMYFUNCTION("""COMPUTED_VALUE"""),"Hybrid Working Environment with less than 3 days a month at office")</f>
        <v>Hybrid Working Environment with less than 3 days a month at office</v>
      </c>
      <c r="L668" s="1" t="str">
        <f ca="1">IFERROR(__xludf.DUMMYFUNCTION("""COMPUTED_VALUE"""),"Employer who pushes your limits by enabling an learning environment, and rewards you at the end")</f>
        <v>Employer who pushes your limits by enabling an learning environment, and rewards you at the end</v>
      </c>
      <c r="M668" s="1" t="str">
        <f ca="1">IFERROR(__xludf.DUMMYFUNCTION("""COMPUTED_VALUE"""),"Design and Creative strategy in any company, Look deeply into Data and generate insights, Work as a freelancer and do my thing my way, Entrepreneur or Start Up")</f>
        <v>Design and Creative strategy in any company, Look deeply into Data and generate insights, Work as a freelancer and do my thing my way, Entrepreneur or Start Up</v>
      </c>
      <c r="N668" s="1"/>
      <c r="O668" s="1" t="str">
        <f ca="1">IFERROR(__xludf.DUMMYFUNCTION("""COMPUTED_VALUE"""),"Manager who explains what is expected, sets a goal and helps achieve it")</f>
        <v>Manager who explains what is expected, sets a goal and helps achieve it</v>
      </c>
      <c r="P668" s="1" t="str">
        <f ca="1">IFERROR(__xludf.DUMMYFUNCTION("""COMPUTED_VALUE"""),"Work Alone, &lt;=6 in team")</f>
        <v>Work Alone, &lt;=6 in team</v>
      </c>
      <c r="Q668" s="1" t="s">
        <v>43</v>
      </c>
      <c r="R668" s="1"/>
    </row>
    <row r="669" spans="1:18" x14ac:dyDescent="0.25">
      <c r="A669" s="2">
        <f ca="1">IFERROR(__xludf.DUMMYFUNCTION("""COMPUTED_VALUE"""),45021.9041310762)</f>
        <v>45021.904131076197</v>
      </c>
      <c r="B669" s="1" t="str">
        <f ca="1">IFERROR(__xludf.DUMMYFUNCTION("""COMPUTED_VALUE"""),"India")</f>
        <v>India</v>
      </c>
      <c r="C669" s="1">
        <f ca="1">IFERROR(__xludf.DUMMYFUNCTION("""COMPUTED_VALUE"""),517123)</f>
        <v>517123</v>
      </c>
      <c r="D669" s="1" t="str">
        <f ca="1">IFERROR(__xludf.DUMMYFUNCTION("""COMPUTED_VALUE"""),"Male")</f>
        <v>Male</v>
      </c>
      <c r="E669" s="1" t="str">
        <f ca="1">IFERROR(__xludf.DUMMYFUNCTION("""COMPUTED_VALUE"""),"My Parents")</f>
        <v>My Parents</v>
      </c>
      <c r="F669" s="1" t="str">
        <f ca="1">IFERROR(__xludf.DUMMYFUNCTION("""COMPUTED_VALUE"""),"No, But if someone could bare the cost I will")</f>
        <v>No, But if someone could bare the cost I will</v>
      </c>
      <c r="G669" s="1" t="str">
        <f ca="1">IFERROR(__xludf.DUMMYFUNCTION("""COMPUTED_VALUE"""),"No way")</f>
        <v>No way</v>
      </c>
      <c r="H669" s="1" t="str">
        <f ca="1">IFERROR(__xludf.DUMMYFUNCTION("""COMPUTED_VALUE"""),"No")</f>
        <v>No</v>
      </c>
      <c r="I669" s="1" t="str">
        <f ca="1">IFERROR(__xludf.DUMMYFUNCTION("""COMPUTED_VALUE"""),"Will NOT work for them")</f>
        <v>Will NOT work for them</v>
      </c>
      <c r="J669" s="1">
        <f ca="1">IFERROR(__xludf.DUMMYFUNCTION("""COMPUTED_VALUE"""),1)</f>
        <v>1</v>
      </c>
      <c r="K669" s="1" t="str">
        <f ca="1">IFERROR(__xludf.DUMMYFUNCTION("""COMPUTED_VALUE"""),"Fully Remote with Options to travel as and when needed")</f>
        <v>Fully Remote with Options to travel as and when needed</v>
      </c>
      <c r="L669" s="1" t="str">
        <f ca="1">IFERROR(__xludf.DUMMYFUNCTION("""COMPUTED_VALUE"""),"Employer who rewards learning and enables that environment")</f>
        <v>Employer who rewards learning and enables that environment</v>
      </c>
      <c r="M66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N669" s="1"/>
      <c r="O669" s="1" t="str">
        <f ca="1">IFERROR(__xludf.DUMMYFUNCTION("""COMPUTED_VALUE"""),"Manager who clearly describes what she/he needs")</f>
        <v>Manager who clearly describes what she/he needs</v>
      </c>
      <c r="P669" s="1" t="str">
        <f ca="1">IFERROR(__xludf.DUMMYFUNCTION("""COMPUTED_VALUE"""),"Work  &lt;67 people in team")</f>
        <v>Work  &lt;67 people in team</v>
      </c>
      <c r="Q669" s="1" t="s">
        <v>43</v>
      </c>
      <c r="R669" s="1"/>
    </row>
    <row r="670" spans="1:18" x14ac:dyDescent="0.25">
      <c r="A670" s="2">
        <f ca="1">IFERROR(__xludf.DUMMYFUNCTION("""COMPUTED_VALUE"""),45021.9042666087)</f>
        <v>45021.904266608697</v>
      </c>
      <c r="B670" s="1" t="str">
        <f ca="1">IFERROR(__xludf.DUMMYFUNCTION("""COMPUTED_VALUE"""),"India")</f>
        <v>India</v>
      </c>
      <c r="C670" s="1">
        <f ca="1">IFERROR(__xludf.DUMMYFUNCTION("""COMPUTED_VALUE"""),641015)</f>
        <v>641015</v>
      </c>
      <c r="D670" s="1" t="str">
        <f ca="1">IFERROR(__xludf.DUMMYFUNCTION("""COMPUTED_VALUE"""),"Male")</f>
        <v>Male</v>
      </c>
      <c r="E670" s="1" t="str">
        <f ca="1">IFERROR(__xludf.DUMMYFUNCTION("""COMPUTED_VALUE"""),"My Parents")</f>
        <v>My Parents</v>
      </c>
      <c r="F670" s="1" t="str">
        <f ca="1">IFERROR(__xludf.DUMMYFUNCTION("""COMPUTED_VALUE"""),"Yes, I will earn and do that")</f>
        <v>Yes, I will earn and do that</v>
      </c>
      <c r="G670" s="1" t="str">
        <f ca="1">IFERROR(__xludf.DUMMYFUNCTION("""COMPUTED_VALUE"""),"Will work for 3 years or more")</f>
        <v>Will work for 3 years or more</v>
      </c>
      <c r="H670" s="1" t="str">
        <f ca="1">IFERROR(__xludf.DUMMYFUNCTION("""COMPUTED_VALUE"""),"Yes")</f>
        <v>Yes</v>
      </c>
      <c r="I670" s="1" t="str">
        <f ca="1">IFERROR(__xludf.DUMMYFUNCTION("""COMPUTED_VALUE"""),"Will work for them")</f>
        <v>Will work for them</v>
      </c>
      <c r="J670" s="1">
        <f ca="1">IFERROR(__xludf.DUMMYFUNCTION("""COMPUTED_VALUE"""),10)</f>
        <v>10</v>
      </c>
      <c r="K670" s="1" t="str">
        <f ca="1">IFERROR(__xludf.DUMMYFUNCTION("""COMPUTED_VALUE"""),"Every Day Office Environment")</f>
        <v>Every Day Office Environment</v>
      </c>
      <c r="L670" s="1" t="str">
        <f ca="1">IFERROR(__xludf.DUMMYFUNCTION("""COMPUTED_VALUE"""),"Employers who appreciates learning but doesn't enables an learning environment")</f>
        <v>Employers who appreciates learning but doesn't enables an learning environment</v>
      </c>
      <c r="M670" s="1" t="str">
        <f ca="1">IFERROR(__xludf.DUMMYFUNCTION("""COMPUTED_VALUE"""),"Look deeply into Data and generate insights, Work as a freelancer and do my thing my way, I Want to sell things/Sales, Manufacturing / Oil and Gas/ Construction / Hard Physical Work related")</f>
        <v>Look deeply into Data and generate insights, Work as a freelancer and do my thing my way, I Want to sell things/Sales, Manufacturing / Oil and Gas/ Construction / Hard Physical Work related</v>
      </c>
      <c r="N670" s="1"/>
      <c r="O670" s="1" t="str">
        <f ca="1">IFERROR(__xludf.DUMMYFUNCTION("""COMPUTED_VALUE"""),"Manager who sets goal and helps me achieve it")</f>
        <v>Manager who sets goal and helps me achieve it</v>
      </c>
      <c r="P670" s="1" t="str">
        <f ca="1">IFERROR(__xludf.DUMMYFUNCTION("""COMPUTED_VALUE"""),"Work &gt;10 people in Team")</f>
        <v>Work &gt;10 people in Team</v>
      </c>
      <c r="Q670" s="1" t="s">
        <v>44</v>
      </c>
      <c r="R670" s="1"/>
    </row>
    <row r="671" spans="1:18" x14ac:dyDescent="0.25">
      <c r="A671" s="2">
        <f ca="1">IFERROR(__xludf.DUMMYFUNCTION("""COMPUTED_VALUE"""),45021.9050727083)</f>
        <v>45021.905072708301</v>
      </c>
      <c r="B671" s="1" t="str">
        <f ca="1">IFERROR(__xludf.DUMMYFUNCTION("""COMPUTED_VALUE"""),"India")</f>
        <v>India</v>
      </c>
      <c r="C671" s="1">
        <f ca="1">IFERROR(__xludf.DUMMYFUNCTION("""COMPUTED_VALUE"""),560065)</f>
        <v>560065</v>
      </c>
      <c r="D671" s="1" t="str">
        <f ca="1">IFERROR(__xludf.DUMMYFUNCTION("""COMPUTED_VALUE"""),"Female")</f>
        <v>Female</v>
      </c>
      <c r="E671" s="1" t="str">
        <f ca="1">IFERROR(__xludf.DUMMYFUNCTION("""COMPUTED_VALUE"""),"Influencers who had successful careers")</f>
        <v>Influencers who had successful careers</v>
      </c>
      <c r="F671" s="1" t="str">
        <f ca="1">IFERROR(__xludf.DUMMYFUNCTION("""COMPUTED_VALUE"""),"Yes, I will earn and do that")</f>
        <v>Yes, I will earn and do that</v>
      </c>
      <c r="G671" s="1" t="str">
        <f ca="1">IFERROR(__xludf.DUMMYFUNCTION("""COMPUTED_VALUE"""),"This will be hard to do, but if it is the right company I would try")</f>
        <v>This will be hard to do, but if it is the right company I would try</v>
      </c>
      <c r="H671" s="1" t="str">
        <f ca="1">IFERROR(__xludf.DUMMYFUNCTION("""COMPUTED_VALUE"""),"No")</f>
        <v>No</v>
      </c>
      <c r="I671" s="1" t="str">
        <f ca="1">IFERROR(__xludf.DUMMYFUNCTION("""COMPUTED_VALUE"""),"Will NOT work for them")</f>
        <v>Will NOT work for them</v>
      </c>
      <c r="J671" s="1">
        <f ca="1">IFERROR(__xludf.DUMMYFUNCTION("""COMPUTED_VALUE"""),2)</f>
        <v>2</v>
      </c>
      <c r="K671" s="1" t="str">
        <f ca="1">IFERROR(__xludf.DUMMYFUNCTION("""COMPUTED_VALUE"""),"Hybrid Working Environment with more than 15 days a month at office")</f>
        <v>Hybrid Working Environment with more than 15 days a month at office</v>
      </c>
      <c r="L671" s="1" t="str">
        <f ca="1">IFERROR(__xludf.DUMMYFUNCTION("""COMPUTED_VALUE"""),"Employer who rewards learning and enables that environment")</f>
        <v>Employer who rewards learning and enables that environment</v>
      </c>
      <c r="M671"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671" s="1"/>
      <c r="O671" s="1" t="str">
        <f ca="1">IFERROR(__xludf.DUMMYFUNCTION("""COMPUTED_VALUE"""),"Manager who explains what is expected, sets a goal and helps achieve it")</f>
        <v>Manager who explains what is expected, sets a goal and helps achieve it</v>
      </c>
      <c r="P671" s="1" t="str">
        <f ca="1">IFERROR(__xludf.DUMMYFUNCTION("""COMPUTED_VALUE"""),"Work &gt;10 people in Team")</f>
        <v>Work &gt;10 people in Team</v>
      </c>
      <c r="Q671" s="1" t="s">
        <v>40</v>
      </c>
      <c r="R671" s="1"/>
    </row>
    <row r="672" spans="1:18" x14ac:dyDescent="0.25">
      <c r="A672" s="2">
        <f ca="1">IFERROR(__xludf.DUMMYFUNCTION("""COMPUTED_VALUE"""),45021.9058492939)</f>
        <v>45021.9058492939</v>
      </c>
      <c r="B672" s="1" t="str">
        <f ca="1">IFERROR(__xludf.DUMMYFUNCTION("""COMPUTED_VALUE"""),"India")</f>
        <v>India</v>
      </c>
      <c r="C672" s="1">
        <f ca="1">IFERROR(__xludf.DUMMYFUNCTION("""COMPUTED_VALUE"""),518501)</f>
        <v>518501</v>
      </c>
      <c r="D672" s="1" t="str">
        <f ca="1">IFERROR(__xludf.DUMMYFUNCTION("""COMPUTED_VALUE"""),"Male")</f>
        <v>Male</v>
      </c>
      <c r="E672" s="1" t="str">
        <f ca="1">IFERROR(__xludf.DUMMYFUNCTION("""COMPUTED_VALUE"""),"People who have changed the world for better")</f>
        <v>People who have changed the world for better</v>
      </c>
      <c r="F672" s="1" t="str">
        <f ca="1">IFERROR(__xludf.DUMMYFUNCTION("""COMPUTED_VALUE"""),"Yes, I will earn and do that")</f>
        <v>Yes, I will earn and do that</v>
      </c>
      <c r="G672" s="1" t="str">
        <f ca="1">IFERROR(__xludf.DUMMYFUNCTION("""COMPUTED_VALUE"""),"This will be hard to do, but if it is the right company I would try")</f>
        <v>This will be hard to do, but if it is the right company I would try</v>
      </c>
      <c r="H672" s="1" t="str">
        <f ca="1">IFERROR(__xludf.DUMMYFUNCTION("""COMPUTED_VALUE"""),"No")</f>
        <v>No</v>
      </c>
      <c r="I672" s="1" t="str">
        <f ca="1">IFERROR(__xludf.DUMMYFUNCTION("""COMPUTED_VALUE"""),"Will NOT work for them")</f>
        <v>Will NOT work for them</v>
      </c>
      <c r="J672" s="1">
        <f ca="1">IFERROR(__xludf.DUMMYFUNCTION("""COMPUTED_VALUE"""),6)</f>
        <v>6</v>
      </c>
      <c r="K672" s="1" t="str">
        <f ca="1">IFERROR(__xludf.DUMMYFUNCTION("""COMPUTED_VALUE"""),"Hybrid Working Environment with less than 3 days a month at office")</f>
        <v>Hybrid Working Environment with less than 3 days a month at office</v>
      </c>
      <c r="L672" s="1" t="str">
        <f ca="1">IFERROR(__xludf.DUMMYFUNCTION("""COMPUTED_VALUE"""),"Employer who rewards learning and enables that environment")</f>
        <v>Employer who rewards learning and enables that environment</v>
      </c>
      <c r="M67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N672" s="1"/>
      <c r="O672" s="1" t="str">
        <f ca="1">IFERROR(__xludf.DUMMYFUNCTION("""COMPUTED_VALUE"""),"Manager who explains what is expected, sets a goal and helps achieve it")</f>
        <v>Manager who explains what is expected, sets a goal and helps achieve it</v>
      </c>
      <c r="P672" s="1" t="str">
        <f ca="1">IFERROR(__xludf.DUMMYFUNCTION("""COMPUTED_VALUE"""),"Work &lt;=6 People in the Team")</f>
        <v>Work &lt;=6 People in the Team</v>
      </c>
      <c r="Q672" s="1" t="s">
        <v>43</v>
      </c>
      <c r="R672" s="1"/>
    </row>
    <row r="673" spans="1:18" x14ac:dyDescent="0.25">
      <c r="A673" s="2">
        <f ca="1">IFERROR(__xludf.DUMMYFUNCTION("""COMPUTED_VALUE"""),45021.9062612731)</f>
        <v>45021.9062612731</v>
      </c>
      <c r="B673" s="1" t="str">
        <f ca="1">IFERROR(__xludf.DUMMYFUNCTION("""COMPUTED_VALUE"""),"India")</f>
        <v>India</v>
      </c>
      <c r="C673" s="1">
        <f ca="1">IFERROR(__xludf.DUMMYFUNCTION("""COMPUTED_VALUE"""),442902)</f>
        <v>442902</v>
      </c>
      <c r="D673" s="1" t="str">
        <f ca="1">IFERROR(__xludf.DUMMYFUNCTION("""COMPUTED_VALUE"""),"Female")</f>
        <v>Female</v>
      </c>
      <c r="E673" s="1" t="str">
        <f ca="1">IFERROR(__xludf.DUMMYFUNCTION("""COMPUTED_VALUE"""),"People from my circle, but not family members")</f>
        <v>People from my circle, but not family members</v>
      </c>
      <c r="F673" s="1" t="str">
        <f ca="1">IFERROR(__xludf.DUMMYFUNCTION("""COMPUTED_VALUE"""),"No I would not be pursuing Higher Education outside of India")</f>
        <v>No I would not be pursuing Higher Education outside of India</v>
      </c>
      <c r="G673" s="1" t="str">
        <f ca="1">IFERROR(__xludf.DUMMYFUNCTION("""COMPUTED_VALUE"""),"This will be hard to do, but if it is the right company I would try")</f>
        <v>This will be hard to do, but if it is the right company I would try</v>
      </c>
      <c r="H673" s="1" t="str">
        <f ca="1">IFERROR(__xludf.DUMMYFUNCTION("""COMPUTED_VALUE"""),"No")</f>
        <v>No</v>
      </c>
      <c r="I673" s="1" t="str">
        <f ca="1">IFERROR(__xludf.DUMMYFUNCTION("""COMPUTED_VALUE"""),"Will NOT work for them")</f>
        <v>Will NOT work for them</v>
      </c>
      <c r="J673" s="1">
        <f ca="1">IFERROR(__xludf.DUMMYFUNCTION("""COMPUTED_VALUE"""),5)</f>
        <v>5</v>
      </c>
      <c r="K673" s="1" t="str">
        <f ca="1">IFERROR(__xludf.DUMMYFUNCTION("""COMPUTED_VALUE"""),"Every Day Office Environment")</f>
        <v>Every Day Office Environment</v>
      </c>
      <c r="L673" s="1" t="str">
        <f ca="1">IFERROR(__xludf.DUMMYFUNCTION("""COMPUTED_VALUE"""),"Employer who pushes your limits by enabling an learning environment, and rewards you at the end")</f>
        <v>Employer who pushes your limits by enabling an learning environment, and rewards you at the end</v>
      </c>
      <c r="M6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673" s="1"/>
      <c r="O673" s="1" t="str">
        <f ca="1">IFERROR(__xludf.DUMMYFUNCTION("""COMPUTED_VALUE"""),"Manager who sets goal and helps me achieve it")</f>
        <v>Manager who sets goal and helps me achieve it</v>
      </c>
      <c r="P673" s="1" t="str">
        <f ca="1">IFERROR(__xludf.DUMMYFUNCTION("""COMPUTED_VALUE"""),"Work &gt;10 people in Team")</f>
        <v>Work &gt;10 people in Team</v>
      </c>
      <c r="Q673" s="1" t="s">
        <v>40</v>
      </c>
      <c r="R673" s="1"/>
    </row>
    <row r="674" spans="1:18" x14ac:dyDescent="0.25">
      <c r="A674" s="2">
        <f ca="1">IFERROR(__xludf.DUMMYFUNCTION("""COMPUTED_VALUE"""),45021.9068706828)</f>
        <v>45021.906870682797</v>
      </c>
      <c r="B674" s="1" t="str">
        <f ca="1">IFERROR(__xludf.DUMMYFUNCTION("""COMPUTED_VALUE"""),"India")</f>
        <v>India</v>
      </c>
      <c r="C674" s="1">
        <f ca="1">IFERROR(__xludf.DUMMYFUNCTION("""COMPUTED_VALUE"""),500036)</f>
        <v>500036</v>
      </c>
      <c r="D674" s="1" t="str">
        <f ca="1">IFERROR(__xludf.DUMMYFUNCTION("""COMPUTED_VALUE"""),"Female")</f>
        <v>Female</v>
      </c>
      <c r="E674" s="1" t="str">
        <f ca="1">IFERROR(__xludf.DUMMYFUNCTION("""COMPUTED_VALUE"""),"My Parents")</f>
        <v>My Parents</v>
      </c>
      <c r="F674" s="1" t="str">
        <f ca="1">IFERROR(__xludf.DUMMYFUNCTION("""COMPUTED_VALUE"""),"Yes, I will earn and do that")</f>
        <v>Yes, I will earn and do that</v>
      </c>
      <c r="G674" s="1" t="str">
        <f ca="1">IFERROR(__xludf.DUMMYFUNCTION("""COMPUTED_VALUE"""),"Will work for 3 years or more")</f>
        <v>Will work for 3 years or more</v>
      </c>
      <c r="H674" s="1" t="str">
        <f ca="1">IFERROR(__xludf.DUMMYFUNCTION("""COMPUTED_VALUE"""),"No")</f>
        <v>No</v>
      </c>
      <c r="I674" s="1" t="str">
        <f ca="1">IFERROR(__xludf.DUMMYFUNCTION("""COMPUTED_VALUE"""),"Will NOT work for them")</f>
        <v>Will NOT work for them</v>
      </c>
      <c r="J674" s="1">
        <f ca="1">IFERROR(__xludf.DUMMYFUNCTION("""COMPUTED_VALUE"""),5)</f>
        <v>5</v>
      </c>
      <c r="K674" s="1" t="str">
        <f ca="1">IFERROR(__xludf.DUMMYFUNCTION("""COMPUTED_VALUE"""),"Every Day Office Environment")</f>
        <v>Every Day Office Environment</v>
      </c>
      <c r="L674" s="1" t="str">
        <f ca="1">IFERROR(__xludf.DUMMYFUNCTION("""COMPUTED_VALUE"""),"Employer who pushes your limits by enabling an learning environment, and rewards you at the end")</f>
        <v>Employer who pushes your limits by enabling an learning environment, and rewards you at the end</v>
      </c>
      <c r="M6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674" s="1"/>
      <c r="O674" s="1" t="str">
        <f ca="1">IFERROR(__xludf.DUMMYFUNCTION("""COMPUTED_VALUE"""),"Manager who sets goal and helps me achieve it")</f>
        <v>Manager who sets goal and helps me achieve it</v>
      </c>
      <c r="P674" s="1" t="str">
        <f ca="1">IFERROR(__xludf.DUMMYFUNCTION("""COMPUTED_VALUE"""),"Work &lt;=6 People in the Team")</f>
        <v>Work &lt;=6 People in the Team</v>
      </c>
      <c r="Q674" s="1" t="s">
        <v>40</v>
      </c>
      <c r="R674" s="1"/>
    </row>
    <row r="675" spans="1:18" x14ac:dyDescent="0.25">
      <c r="A675" s="2">
        <f ca="1">IFERROR(__xludf.DUMMYFUNCTION("""COMPUTED_VALUE"""),45021.9080079166)</f>
        <v>45021.908007916601</v>
      </c>
      <c r="B675" s="1" t="str">
        <f ca="1">IFERROR(__xludf.DUMMYFUNCTION("""COMPUTED_VALUE"""),"India")</f>
        <v>India</v>
      </c>
      <c r="C675" s="1">
        <f ca="1">IFERROR(__xludf.DUMMYFUNCTION("""COMPUTED_VALUE"""),631209)</f>
        <v>631209</v>
      </c>
      <c r="D675" s="1" t="str">
        <f ca="1">IFERROR(__xludf.DUMMYFUNCTION("""COMPUTED_VALUE"""),"Female")</f>
        <v>Female</v>
      </c>
      <c r="E675" s="1" t="str">
        <f ca="1">IFERROR(__xludf.DUMMYFUNCTION("""COMPUTED_VALUE"""),"Influencers who had successful careers")</f>
        <v>Influencers who had successful careers</v>
      </c>
      <c r="F675" s="1" t="str">
        <f ca="1">IFERROR(__xludf.DUMMYFUNCTION("""COMPUTED_VALUE"""),"Yes, I will earn and do that")</f>
        <v>Yes, I will earn and do that</v>
      </c>
      <c r="G675" s="1" t="str">
        <f ca="1">IFERROR(__xludf.DUMMYFUNCTION("""COMPUTED_VALUE"""),"Will work for 3 years or more")</f>
        <v>Will work for 3 years or more</v>
      </c>
      <c r="H675" s="1" t="str">
        <f ca="1">IFERROR(__xludf.DUMMYFUNCTION("""COMPUTED_VALUE"""),"No")</f>
        <v>No</v>
      </c>
      <c r="I675" s="1" t="str">
        <f ca="1">IFERROR(__xludf.DUMMYFUNCTION("""COMPUTED_VALUE"""),"Will NOT work for them")</f>
        <v>Will NOT work for them</v>
      </c>
      <c r="J675" s="1">
        <f ca="1">IFERROR(__xludf.DUMMYFUNCTION("""COMPUTED_VALUE"""),6)</f>
        <v>6</v>
      </c>
      <c r="K675" s="1" t="str">
        <f ca="1">IFERROR(__xludf.DUMMYFUNCTION("""COMPUTED_VALUE"""),"Every Day Office Environment")</f>
        <v>Every Day Office Environment</v>
      </c>
      <c r="L675" s="1" t="str">
        <f ca="1">IFERROR(__xludf.DUMMYFUNCTION("""COMPUTED_VALUE"""),"Employer who rewards learning and enables that environment")</f>
        <v>Employer who rewards learning and enables that environment</v>
      </c>
      <c r="M67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675" s="1"/>
      <c r="O675" s="1" t="str">
        <f ca="1">IFERROR(__xludf.DUMMYFUNCTION("""COMPUTED_VALUE"""),"Manager who sets goal and helps me achieve it")</f>
        <v>Manager who sets goal and helps me achieve it</v>
      </c>
      <c r="P675" s="1" t="str">
        <f ca="1">IFERROR(__xludf.DUMMYFUNCTION("""COMPUTED_VALUE"""),"Work &gt;10 people in Team")</f>
        <v>Work &gt;10 people in Team</v>
      </c>
      <c r="Q675" s="1" t="s">
        <v>44</v>
      </c>
      <c r="R675" s="1"/>
    </row>
    <row r="676" spans="1:18" x14ac:dyDescent="0.25">
      <c r="A676" s="2">
        <f ca="1">IFERROR(__xludf.DUMMYFUNCTION("""COMPUTED_VALUE"""),45021.9109790972)</f>
        <v>45021.9109790972</v>
      </c>
      <c r="B676" s="1" t="str">
        <f ca="1">IFERROR(__xludf.DUMMYFUNCTION("""COMPUTED_VALUE"""),"India")</f>
        <v>India</v>
      </c>
      <c r="C676" s="1">
        <f ca="1">IFERROR(__xludf.DUMMYFUNCTION("""COMPUTED_VALUE"""),632007)</f>
        <v>632007</v>
      </c>
      <c r="D676" s="1" t="str">
        <f ca="1">IFERROR(__xludf.DUMMYFUNCTION("""COMPUTED_VALUE"""),"Female")</f>
        <v>Female</v>
      </c>
      <c r="E676" s="1" t="str">
        <f ca="1">IFERROR(__xludf.DUMMYFUNCTION("""COMPUTED_VALUE"""),"My Parents")</f>
        <v>My Parents</v>
      </c>
      <c r="F676" s="1" t="str">
        <f ca="1">IFERROR(__xludf.DUMMYFUNCTION("""COMPUTED_VALUE"""),"Yes, I will earn and do that")</f>
        <v>Yes, I will earn and do that</v>
      </c>
      <c r="G676" s="1" t="str">
        <f ca="1">IFERROR(__xludf.DUMMYFUNCTION("""COMPUTED_VALUE"""),"Will work for 3 years or more")</f>
        <v>Will work for 3 years or more</v>
      </c>
      <c r="H676" s="1" t="str">
        <f ca="1">IFERROR(__xludf.DUMMYFUNCTION("""COMPUTED_VALUE"""),"Yes")</f>
        <v>Yes</v>
      </c>
      <c r="I676" s="1" t="str">
        <f ca="1">IFERROR(__xludf.DUMMYFUNCTION("""COMPUTED_VALUE"""),"Will work for them")</f>
        <v>Will work for them</v>
      </c>
      <c r="J676" s="1">
        <f ca="1">IFERROR(__xludf.DUMMYFUNCTION("""COMPUTED_VALUE"""),6)</f>
        <v>6</v>
      </c>
      <c r="K676" s="1" t="str">
        <f ca="1">IFERROR(__xludf.DUMMYFUNCTION("""COMPUTED_VALUE"""),"Every Day Office Environment")</f>
        <v>Every Day Office Environment</v>
      </c>
      <c r="L676" s="1" t="str">
        <f ca="1">IFERROR(__xludf.DUMMYFUNCTION("""COMPUTED_VALUE"""),"Employer who rewards learning and enables that environment")</f>
        <v>Employer who rewards learning and enables that environment</v>
      </c>
      <c r="M676"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N676" s="1"/>
      <c r="O676" s="1" t="str">
        <f ca="1">IFERROR(__xludf.DUMMYFUNCTION("""COMPUTED_VALUE"""),"Manager who sets goal and helps me achieve it")</f>
        <v>Manager who sets goal and helps me achieve it</v>
      </c>
      <c r="P676" s="1" t="str">
        <f ca="1">IFERROR(__xludf.DUMMYFUNCTION("""COMPUTED_VALUE"""),"Work alone")</f>
        <v>Work alone</v>
      </c>
      <c r="Q676" s="1" t="s">
        <v>43</v>
      </c>
      <c r="R676" s="1"/>
    </row>
    <row r="677" spans="1:18" x14ac:dyDescent="0.25">
      <c r="A677" s="2">
        <f ca="1">IFERROR(__xludf.DUMMYFUNCTION("""COMPUTED_VALUE"""),45021.9132312731)</f>
        <v>45021.913231273102</v>
      </c>
      <c r="B677" s="1" t="str">
        <f ca="1">IFERROR(__xludf.DUMMYFUNCTION("""COMPUTED_VALUE"""),"India")</f>
        <v>India</v>
      </c>
      <c r="C677" s="1">
        <f ca="1">IFERROR(__xludf.DUMMYFUNCTION("""COMPUTED_VALUE"""),515721)</f>
        <v>515721</v>
      </c>
      <c r="D677" s="1" t="str">
        <f ca="1">IFERROR(__xludf.DUMMYFUNCTION("""COMPUTED_VALUE"""),"Male")</f>
        <v>Male</v>
      </c>
      <c r="E677" s="1" t="str">
        <f ca="1">IFERROR(__xludf.DUMMYFUNCTION("""COMPUTED_VALUE"""),"People from my circle, but not family members")</f>
        <v>People from my circle, but not family members</v>
      </c>
      <c r="F677" s="1" t="str">
        <f ca="1">IFERROR(__xludf.DUMMYFUNCTION("""COMPUTED_VALUE"""),"Yes, I will earn and do that")</f>
        <v>Yes, I will earn and do that</v>
      </c>
      <c r="G677" s="1" t="str">
        <f ca="1">IFERROR(__xludf.DUMMYFUNCTION("""COMPUTED_VALUE"""),"This will be hard to do, but if it is the right company I would try")</f>
        <v>This will be hard to do, but if it is the right company I would try</v>
      </c>
      <c r="H677" s="1" t="str">
        <f ca="1">IFERROR(__xludf.DUMMYFUNCTION("""COMPUTED_VALUE"""),"No")</f>
        <v>No</v>
      </c>
      <c r="I677" s="1" t="str">
        <f ca="1">IFERROR(__xludf.DUMMYFUNCTION("""COMPUTED_VALUE"""),"Will NOT work for them")</f>
        <v>Will NOT work for them</v>
      </c>
      <c r="J677" s="1">
        <f ca="1">IFERROR(__xludf.DUMMYFUNCTION("""COMPUTED_VALUE"""),5)</f>
        <v>5</v>
      </c>
      <c r="K677" s="1" t="str">
        <f ca="1">IFERROR(__xludf.DUMMYFUNCTION("""COMPUTED_VALUE"""),"Fully Remote with Options to travel as and when needed")</f>
        <v>Fully Remote with Options to travel as and when needed</v>
      </c>
      <c r="L677" s="1" t="str">
        <f ca="1">IFERROR(__xludf.DUMMYFUNCTION("""COMPUTED_VALUE"""),"Employer who rewards learning and enables that environment")</f>
        <v>Employer who rewards learning and enables that environment</v>
      </c>
      <c r="M67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N677" s="1"/>
      <c r="O677" s="1" t="str">
        <f ca="1">IFERROR(__xludf.DUMMYFUNCTION("""COMPUTED_VALUE"""),"Manager who explains what is expected, sets a goal and helps achieve it")</f>
        <v>Manager who explains what is expected, sets a goal and helps achieve it</v>
      </c>
      <c r="P677" s="1" t="str">
        <f ca="1">IFERROR(__xludf.DUMMYFUNCTION("""COMPUTED_VALUE"""),"Work &lt;=6 People in the Team")</f>
        <v>Work &lt;=6 People in the Team</v>
      </c>
      <c r="Q677" s="1" t="s">
        <v>40</v>
      </c>
      <c r="R677" s="1"/>
    </row>
    <row r="678" spans="1:18" x14ac:dyDescent="0.25">
      <c r="A678" s="2">
        <f ca="1">IFERROR(__xludf.DUMMYFUNCTION("""COMPUTED_VALUE"""),45021.9136563078)</f>
        <v>45021.913656307799</v>
      </c>
      <c r="B678" s="1" t="str">
        <f ca="1">IFERROR(__xludf.DUMMYFUNCTION("""COMPUTED_VALUE"""),"India")</f>
        <v>India</v>
      </c>
      <c r="C678" s="1">
        <f ca="1">IFERROR(__xludf.DUMMYFUNCTION("""COMPUTED_VALUE"""),641015)</f>
        <v>641015</v>
      </c>
      <c r="D678" s="1" t="str">
        <f ca="1">IFERROR(__xludf.DUMMYFUNCTION("""COMPUTED_VALUE"""),"Male")</f>
        <v>Male</v>
      </c>
      <c r="E678" s="1" t="str">
        <f ca="1">IFERROR(__xludf.DUMMYFUNCTION("""COMPUTED_VALUE"""),"People from my circle, but not family members")</f>
        <v>People from my circle, but not family members</v>
      </c>
      <c r="F678" s="1" t="str">
        <f ca="1">IFERROR(__xludf.DUMMYFUNCTION("""COMPUTED_VALUE"""),"Yes, I will earn and do that")</f>
        <v>Yes, I will earn and do that</v>
      </c>
      <c r="G678" s="1" t="str">
        <f ca="1">IFERROR(__xludf.DUMMYFUNCTION("""COMPUTED_VALUE"""),"This will be hard to do, but if it is the right company I would try")</f>
        <v>This will be hard to do, but if it is the right company I would try</v>
      </c>
      <c r="H678" s="1" t="str">
        <f ca="1">IFERROR(__xludf.DUMMYFUNCTION("""COMPUTED_VALUE"""),"No")</f>
        <v>No</v>
      </c>
      <c r="I678" s="1" t="str">
        <f ca="1">IFERROR(__xludf.DUMMYFUNCTION("""COMPUTED_VALUE"""),"Will NOT work for them")</f>
        <v>Will NOT work for them</v>
      </c>
      <c r="J678" s="1">
        <f ca="1">IFERROR(__xludf.DUMMYFUNCTION("""COMPUTED_VALUE"""),5)</f>
        <v>5</v>
      </c>
      <c r="K678" s="1" t="str">
        <f ca="1">IFERROR(__xludf.DUMMYFUNCTION("""COMPUTED_VALUE"""),"Fully Remote with Options to travel as and when needed")</f>
        <v>Fully Remote with Options to travel as and when needed</v>
      </c>
      <c r="L678" s="1" t="str">
        <f ca="1">IFERROR(__xludf.DUMMYFUNCTION("""COMPUTED_VALUE"""),"Employer who rewards learning and enables that environment")</f>
        <v>Employer who rewards learning and enables that environment</v>
      </c>
      <c r="M678"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N678" s="1"/>
      <c r="O678" s="1" t="str">
        <f ca="1">IFERROR(__xludf.DUMMYFUNCTION("""COMPUTED_VALUE"""),"Manager who explains what is expected, sets a goal and helps achieve it")</f>
        <v>Manager who explains what is expected, sets a goal and helps achieve it</v>
      </c>
      <c r="P678" s="1" t="str">
        <f ca="1">IFERROR(__xludf.DUMMYFUNCTION("""COMPUTED_VALUE"""),"Work  &lt;67 people in team")</f>
        <v>Work  &lt;67 people in team</v>
      </c>
      <c r="Q678" s="1" t="s">
        <v>43</v>
      </c>
      <c r="R678" s="1"/>
    </row>
    <row r="679" spans="1:18" x14ac:dyDescent="0.25">
      <c r="A679" s="2">
        <f ca="1">IFERROR(__xludf.DUMMYFUNCTION("""COMPUTED_VALUE"""),45021.9136950578)</f>
        <v>45021.913695057803</v>
      </c>
      <c r="B679" s="1" t="str">
        <f ca="1">IFERROR(__xludf.DUMMYFUNCTION("""COMPUTED_VALUE"""),"India")</f>
        <v>India</v>
      </c>
      <c r="C679" s="1">
        <f ca="1">IFERROR(__xludf.DUMMYFUNCTION("""COMPUTED_VALUE"""),500072)</f>
        <v>500072</v>
      </c>
      <c r="D679" s="1" t="str">
        <f ca="1">IFERROR(__xludf.DUMMYFUNCTION("""COMPUTED_VALUE"""),"Male")</f>
        <v>Male</v>
      </c>
      <c r="E679" s="1" t="str">
        <f ca="1">IFERROR(__xludf.DUMMYFUNCTION("""COMPUTED_VALUE"""),"My Parents")</f>
        <v>My Parents</v>
      </c>
      <c r="F679" s="1" t="str">
        <f ca="1">IFERROR(__xludf.DUMMYFUNCTION("""COMPUTED_VALUE"""),"No I would not be pursuing Higher Education outside of India")</f>
        <v>No I would not be pursuing Higher Education outside of India</v>
      </c>
      <c r="G679" s="1" t="str">
        <f ca="1">IFERROR(__xludf.DUMMYFUNCTION("""COMPUTED_VALUE"""),"This will be hard to do, but if it is the right company I would try")</f>
        <v>This will be hard to do, but if it is the right company I would try</v>
      </c>
      <c r="H679" s="1" t="str">
        <f ca="1">IFERROR(__xludf.DUMMYFUNCTION("""COMPUTED_VALUE"""),"Yes")</f>
        <v>Yes</v>
      </c>
      <c r="I679" s="1" t="str">
        <f ca="1">IFERROR(__xludf.DUMMYFUNCTION("""COMPUTED_VALUE"""),"Will NOT work for them")</f>
        <v>Will NOT work for them</v>
      </c>
      <c r="J679" s="1">
        <f ca="1">IFERROR(__xludf.DUMMYFUNCTION("""COMPUTED_VALUE"""),6)</f>
        <v>6</v>
      </c>
      <c r="K679" s="1" t="str">
        <f ca="1">IFERROR(__xludf.DUMMYFUNCTION("""COMPUTED_VALUE"""),"Fully Remote with No option to visit offices")</f>
        <v>Fully Remote with No option to visit offices</v>
      </c>
      <c r="L679" s="1" t="str">
        <f ca="1">IFERROR(__xludf.DUMMYFUNCTION("""COMPUTED_VALUE"""),"Employer who pushes your limits by enabling an learning environment, and rewards you at the end")</f>
        <v>Employer who pushes your limits by enabling an learning environment, and rewards you at the end</v>
      </c>
      <c r="M679"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679" s="1"/>
      <c r="O679" s="1" t="str">
        <f ca="1">IFERROR(__xludf.DUMMYFUNCTION("""COMPUTED_VALUE"""),"Manager who clearly describes what she/he needs")</f>
        <v>Manager who clearly describes what she/he needs</v>
      </c>
      <c r="P679" s="1" t="str">
        <f ca="1">IFERROR(__xludf.DUMMYFUNCTION("""COMPUTED_VALUE"""),"Work &lt;=6 People in the Team")</f>
        <v>Work &lt;=6 People in the Team</v>
      </c>
      <c r="Q679" s="1" t="s">
        <v>43</v>
      </c>
      <c r="R679" s="1"/>
    </row>
    <row r="680" spans="1:18" x14ac:dyDescent="0.25">
      <c r="A680" s="2">
        <f ca="1">IFERROR(__xludf.DUMMYFUNCTION("""COMPUTED_VALUE"""),45021.9203919675)</f>
        <v>45021.920391967498</v>
      </c>
      <c r="B680" s="1" t="str">
        <f ca="1">IFERROR(__xludf.DUMMYFUNCTION("""COMPUTED_VALUE"""),"India")</f>
        <v>India</v>
      </c>
      <c r="C680" s="1">
        <f ca="1">IFERROR(__xludf.DUMMYFUNCTION("""COMPUTED_VALUE"""),410206)</f>
        <v>410206</v>
      </c>
      <c r="D680" s="1" t="str">
        <f ca="1">IFERROR(__xludf.DUMMYFUNCTION("""COMPUTED_VALUE"""),"Male")</f>
        <v>Male</v>
      </c>
      <c r="E680" s="1" t="str">
        <f ca="1">IFERROR(__xludf.DUMMYFUNCTION("""COMPUTED_VALUE"""),"People from my circle, but not family members")</f>
        <v>People from my circle, but not family members</v>
      </c>
      <c r="F680" s="1" t="str">
        <f ca="1">IFERROR(__xludf.DUMMYFUNCTION("""COMPUTED_VALUE"""),"No I would not be pursuing Higher Education outside of India")</f>
        <v>No I would not be pursuing Higher Education outside of India</v>
      </c>
      <c r="G680" s="1" t="str">
        <f ca="1">IFERROR(__xludf.DUMMYFUNCTION("""COMPUTED_VALUE"""),"This will be hard to do, but if it is the right company I would try")</f>
        <v>This will be hard to do, but if it is the right company I would try</v>
      </c>
      <c r="H680" s="1" t="str">
        <f ca="1">IFERROR(__xludf.DUMMYFUNCTION("""COMPUTED_VALUE"""),"No")</f>
        <v>No</v>
      </c>
      <c r="I680" s="1" t="str">
        <f ca="1">IFERROR(__xludf.DUMMYFUNCTION("""COMPUTED_VALUE"""),"Will NOT work for them")</f>
        <v>Will NOT work for them</v>
      </c>
      <c r="J680" s="1">
        <f ca="1">IFERROR(__xludf.DUMMYFUNCTION("""COMPUTED_VALUE"""),5)</f>
        <v>5</v>
      </c>
      <c r="K680" s="1" t="str">
        <f ca="1">IFERROR(__xludf.DUMMYFUNCTION("""COMPUTED_VALUE"""),"Fully Remote with No option to visit offices")</f>
        <v>Fully Remote with No option to visit offices</v>
      </c>
      <c r="L680" s="1" t="str">
        <f ca="1">IFERROR(__xludf.DUMMYFUNCTION("""COMPUTED_VALUE"""),"Employer who appreciates learning and enables that environment")</f>
        <v>Employer who appreciates learning and enables that environment</v>
      </c>
      <c r="M68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680" s="1"/>
      <c r="O680" s="1" t="str">
        <f ca="1">IFERROR(__xludf.DUMMYFUNCTION("""COMPUTED_VALUE"""),"Manager who explains what is expected, sets a goal and helps achieve it")</f>
        <v>Manager who explains what is expected, sets a goal and helps achieve it</v>
      </c>
      <c r="P680" s="1" t="str">
        <f ca="1">IFERROR(__xludf.DUMMYFUNCTION("""COMPUTED_VALUE"""),"Work &lt;67 People in the Team")</f>
        <v>Work &lt;67 People in the Team</v>
      </c>
      <c r="Q680" s="1" t="s">
        <v>43</v>
      </c>
      <c r="R680" s="1"/>
    </row>
    <row r="681" spans="1:18" x14ac:dyDescent="0.25">
      <c r="A681" s="2">
        <f ca="1">IFERROR(__xludf.DUMMYFUNCTION("""COMPUTED_VALUE"""),45021.9209098148)</f>
        <v>45021.920909814799</v>
      </c>
      <c r="B681" s="1" t="str">
        <f ca="1">IFERROR(__xludf.DUMMYFUNCTION("""COMPUTED_VALUE"""),"India")</f>
        <v>India</v>
      </c>
      <c r="C681" s="1">
        <f ca="1">IFERROR(__xludf.DUMMYFUNCTION("""COMPUTED_VALUE"""),577201)</f>
        <v>577201</v>
      </c>
      <c r="D681" s="1" t="str">
        <f ca="1">IFERROR(__xludf.DUMMYFUNCTION("""COMPUTED_VALUE"""),"Female")</f>
        <v>Female</v>
      </c>
      <c r="E681" s="1" t="str">
        <f ca="1">IFERROR(__xludf.DUMMYFUNCTION("""COMPUTED_VALUE"""),"People who have changed the world for better")</f>
        <v>People who have changed the world for better</v>
      </c>
      <c r="F681" s="1" t="str">
        <f ca="1">IFERROR(__xludf.DUMMYFUNCTION("""COMPUTED_VALUE"""),"No I would not be pursuing Higher Education outside of India")</f>
        <v>No I would not be pursuing Higher Education outside of India</v>
      </c>
      <c r="G681" s="1" t="str">
        <f ca="1">IFERROR(__xludf.DUMMYFUNCTION("""COMPUTED_VALUE"""),"Will work for 3 years or more")</f>
        <v>Will work for 3 years or more</v>
      </c>
      <c r="H681" s="1" t="str">
        <f ca="1">IFERROR(__xludf.DUMMYFUNCTION("""COMPUTED_VALUE"""),"No")</f>
        <v>No</v>
      </c>
      <c r="I681" s="1" t="str">
        <f ca="1">IFERROR(__xludf.DUMMYFUNCTION("""COMPUTED_VALUE"""),"Will NOT work for them")</f>
        <v>Will NOT work for them</v>
      </c>
      <c r="J681" s="1">
        <f ca="1">IFERROR(__xludf.DUMMYFUNCTION("""COMPUTED_VALUE"""),1)</f>
        <v>1</v>
      </c>
      <c r="K681" s="1" t="str">
        <f ca="1">IFERROR(__xludf.DUMMYFUNCTION("""COMPUTED_VALUE"""),"Hybrid Working Environment with more than 15 days a month at office")</f>
        <v>Hybrid Working Environment with more than 15 days a month at office</v>
      </c>
      <c r="L681" s="1" t="str">
        <f ca="1">IFERROR(__xludf.DUMMYFUNCTION("""COMPUTED_VALUE"""),"Employer who pushes your limits by enabling an learning environment, and rewards you at the end")</f>
        <v>Employer who pushes your limits by enabling an learning environment, and rewards you at the end</v>
      </c>
      <c r="M681"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N681" s="1"/>
      <c r="O681" s="1" t="str">
        <f ca="1">IFERROR(__xludf.DUMMYFUNCTION("""COMPUTED_VALUE"""),"Manager who explains what is expected, sets a goal and helps achieve it")</f>
        <v>Manager who explains what is expected, sets a goal and helps achieve it</v>
      </c>
      <c r="P681" s="1" t="str">
        <f ca="1">IFERROR(__xludf.DUMMYFUNCTION("""COMPUTED_VALUE"""),"Work &gt;10 people in Team")</f>
        <v>Work &gt;10 people in Team</v>
      </c>
      <c r="Q681" s="1" t="s">
        <v>43</v>
      </c>
      <c r="R681" s="1"/>
    </row>
    <row r="682" spans="1:18" x14ac:dyDescent="0.25">
      <c r="A682" s="2">
        <f ca="1">IFERROR(__xludf.DUMMYFUNCTION("""COMPUTED_VALUE"""),45021.9227192245)</f>
        <v>45021.922719224502</v>
      </c>
      <c r="B682" s="1" t="str">
        <f ca="1">IFERROR(__xludf.DUMMYFUNCTION("""COMPUTED_VALUE"""),"India")</f>
        <v>India</v>
      </c>
      <c r="C682" s="1">
        <f ca="1">IFERROR(__xludf.DUMMYFUNCTION("""COMPUTED_VALUE"""),632007)</f>
        <v>632007</v>
      </c>
      <c r="D682" s="1" t="str">
        <f ca="1">IFERROR(__xludf.DUMMYFUNCTION("""COMPUTED_VALUE"""),"Male")</f>
        <v>Male</v>
      </c>
      <c r="E682" s="1" t="str">
        <f ca="1">IFERROR(__xludf.DUMMYFUNCTION("""COMPUTED_VALUE"""),"Influencers who had successful careers")</f>
        <v>Influencers who had successful careers</v>
      </c>
      <c r="F682" s="1" t="str">
        <f ca="1">IFERROR(__xludf.DUMMYFUNCTION("""COMPUTED_VALUE"""),"No, But if someone could bare the cost I will")</f>
        <v>No, But if someone could bare the cost I will</v>
      </c>
      <c r="G682" s="1" t="str">
        <f ca="1">IFERROR(__xludf.DUMMYFUNCTION("""COMPUTED_VALUE"""),"This will be hard to do, but if it is the right company I would try")</f>
        <v>This will be hard to do, but if it is the right company I would try</v>
      </c>
      <c r="H682" s="1" t="str">
        <f ca="1">IFERROR(__xludf.DUMMYFUNCTION("""COMPUTED_VALUE"""),"No")</f>
        <v>No</v>
      </c>
      <c r="I682" s="1" t="str">
        <f ca="1">IFERROR(__xludf.DUMMYFUNCTION("""COMPUTED_VALUE"""),"Will NOT work for them")</f>
        <v>Will NOT work for them</v>
      </c>
      <c r="J682" s="1">
        <f ca="1">IFERROR(__xludf.DUMMYFUNCTION("""COMPUTED_VALUE"""),8)</f>
        <v>8</v>
      </c>
      <c r="K682" s="1" t="str">
        <f ca="1">IFERROR(__xludf.DUMMYFUNCTION("""COMPUTED_VALUE"""),"Fully Remote with Options to travel as and when needed")</f>
        <v>Fully Remote with Options to travel as and when needed</v>
      </c>
      <c r="L682" s="1" t="str">
        <f ca="1">IFERROR(__xludf.DUMMYFUNCTION("""COMPUTED_VALUE"""),"Employer who pushes your limits by enabling an learning environment, and rewards you at the end")</f>
        <v>Employer who pushes your limits by enabling an learning environment, and rewards you at the end</v>
      </c>
      <c r="M68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682" s="1"/>
      <c r="O682" s="1" t="str">
        <f ca="1">IFERROR(__xludf.DUMMYFUNCTION("""COMPUTED_VALUE"""),"Manager who sets goal and helps me achieve it")</f>
        <v>Manager who sets goal and helps me achieve it</v>
      </c>
      <c r="P682" s="1" t="str">
        <f ca="1">IFERROR(__xludf.DUMMYFUNCTION("""COMPUTED_VALUE"""),"Work &lt;=6 People in the Team")</f>
        <v>Work &lt;=6 People in the Team</v>
      </c>
      <c r="Q682" s="1" t="s">
        <v>43</v>
      </c>
      <c r="R682" s="1"/>
    </row>
    <row r="683" spans="1:18" x14ac:dyDescent="0.25">
      <c r="A683" s="2">
        <f ca="1">IFERROR(__xludf.DUMMYFUNCTION("""COMPUTED_VALUE"""),45021.9292091319)</f>
        <v>45021.9292091319</v>
      </c>
      <c r="B683" s="1" t="str">
        <f ca="1">IFERROR(__xludf.DUMMYFUNCTION("""COMPUTED_VALUE"""),"India")</f>
        <v>India</v>
      </c>
      <c r="C683" s="1">
        <f ca="1">IFERROR(__xludf.DUMMYFUNCTION("""COMPUTED_VALUE"""),201009)</f>
        <v>201009</v>
      </c>
      <c r="D683" s="1" t="str">
        <f ca="1">IFERROR(__xludf.DUMMYFUNCTION("""COMPUTED_VALUE"""),"Male")</f>
        <v>Male</v>
      </c>
      <c r="E683" s="1" t="str">
        <f ca="1">IFERROR(__xludf.DUMMYFUNCTION("""COMPUTED_VALUE"""),"People who have changed the world for better")</f>
        <v>People who have changed the world for better</v>
      </c>
      <c r="F683" s="1" t="str">
        <f ca="1">IFERROR(__xludf.DUMMYFUNCTION("""COMPUTED_VALUE"""),"No I would not be pursuing Higher Education outside of India")</f>
        <v>No I would not be pursuing Higher Education outside of India</v>
      </c>
      <c r="G683" s="1" t="str">
        <f ca="1">IFERROR(__xludf.DUMMYFUNCTION("""COMPUTED_VALUE"""),"Will work for 3 years or more")</f>
        <v>Will work for 3 years or more</v>
      </c>
      <c r="H683" s="1" t="str">
        <f ca="1">IFERROR(__xludf.DUMMYFUNCTION("""COMPUTED_VALUE"""),"No")</f>
        <v>No</v>
      </c>
      <c r="I683" s="1" t="str">
        <f ca="1">IFERROR(__xludf.DUMMYFUNCTION("""COMPUTED_VALUE"""),"Will NOT work for them")</f>
        <v>Will NOT work for them</v>
      </c>
      <c r="J683" s="1">
        <f ca="1">IFERROR(__xludf.DUMMYFUNCTION("""COMPUTED_VALUE"""),2)</f>
        <v>2</v>
      </c>
      <c r="K683" s="1" t="str">
        <f ca="1">IFERROR(__xludf.DUMMYFUNCTION("""COMPUTED_VALUE"""),"Hybrid Working Environment with less than 3 days a month at office")</f>
        <v>Hybrid Working Environment with less than 3 days a month at office</v>
      </c>
      <c r="L683" s="1" t="str">
        <f ca="1">IFERROR(__xludf.DUMMYFUNCTION("""COMPUTED_VALUE"""),"Employer who pushes your limits by enabling an learning environment, and rewards you at the end")</f>
        <v>Employer who pushes your limits by enabling an learning environment, and rewards you at the end</v>
      </c>
      <c r="M683"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N683" s="1"/>
      <c r="O683" s="1" t="str">
        <f ca="1">IFERROR(__xludf.DUMMYFUNCTION("""COMPUTED_VALUE"""),"Manager who explains what is expected, sets a goal and helps achieve it")</f>
        <v>Manager who explains what is expected, sets a goal and helps achieve it</v>
      </c>
      <c r="P683" s="1" t="str">
        <f ca="1">IFERROR(__xludf.DUMMYFUNCTION("""COMPUTED_VALUE"""),"Work &lt;=6 People in the Team")</f>
        <v>Work &lt;=6 People in the Team</v>
      </c>
      <c r="Q683" s="1" t="s">
        <v>43</v>
      </c>
      <c r="R683" s="1"/>
    </row>
    <row r="684" spans="1:18" x14ac:dyDescent="0.25">
      <c r="A684" s="2">
        <f ca="1">IFERROR(__xludf.DUMMYFUNCTION("""COMPUTED_VALUE"""),45021.9364751851)</f>
        <v>45021.936475185103</v>
      </c>
      <c r="B684" s="1" t="str">
        <f ca="1">IFERROR(__xludf.DUMMYFUNCTION("""COMPUTED_VALUE"""),"India")</f>
        <v>India</v>
      </c>
      <c r="C684" s="1">
        <f ca="1">IFERROR(__xludf.DUMMYFUNCTION("""COMPUTED_VALUE"""),510101)</f>
        <v>510101</v>
      </c>
      <c r="D684" s="1" t="str">
        <f ca="1">IFERROR(__xludf.DUMMYFUNCTION("""COMPUTED_VALUE"""),"Male")</f>
        <v>Male</v>
      </c>
      <c r="E684" s="1" t="str">
        <f ca="1">IFERROR(__xludf.DUMMYFUNCTION("""COMPUTED_VALUE"""),"Influencers who had successful careers")</f>
        <v>Influencers who had successful careers</v>
      </c>
      <c r="F684" s="1" t="str">
        <f ca="1">IFERROR(__xludf.DUMMYFUNCTION("""COMPUTED_VALUE"""),"No, But if someone could bare the cost I will")</f>
        <v>No, But if someone could bare the cost I will</v>
      </c>
      <c r="G684" s="1" t="str">
        <f ca="1">IFERROR(__xludf.DUMMYFUNCTION("""COMPUTED_VALUE"""),"Will work for 3 years or more")</f>
        <v>Will work for 3 years or more</v>
      </c>
      <c r="H684" s="1" t="str">
        <f ca="1">IFERROR(__xludf.DUMMYFUNCTION("""COMPUTED_VALUE"""),"No")</f>
        <v>No</v>
      </c>
      <c r="I684" s="1" t="str">
        <f ca="1">IFERROR(__xludf.DUMMYFUNCTION("""COMPUTED_VALUE"""),"Will NOT work for them")</f>
        <v>Will NOT work for them</v>
      </c>
      <c r="J684" s="1">
        <f ca="1">IFERROR(__xludf.DUMMYFUNCTION("""COMPUTED_VALUE"""),10)</f>
        <v>10</v>
      </c>
      <c r="K684" s="1" t="str">
        <f ca="1">IFERROR(__xludf.DUMMYFUNCTION("""COMPUTED_VALUE"""),"Every Day Office Environment")</f>
        <v>Every Day Office Environment</v>
      </c>
      <c r="L684" s="1" t="str">
        <f ca="1">IFERROR(__xludf.DUMMYFUNCTION("""COMPUTED_VALUE"""),"Employers who appreciates learning but doesn't enables an learning environment")</f>
        <v>Employers who appreciates learning but doesn't enables an learning environment</v>
      </c>
      <c r="M68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684" s="1"/>
      <c r="O684" s="1" t="str">
        <f ca="1">IFERROR(__xludf.DUMMYFUNCTION("""COMPUTED_VALUE"""),"Manager who sets goal and helps me achieve it")</f>
        <v>Manager who sets goal and helps me achieve it</v>
      </c>
      <c r="P684" s="1" t="str">
        <f ca="1">IFERROR(__xludf.DUMMYFUNCTION("""COMPUTED_VALUE"""),"Work alone")</f>
        <v>Work alone</v>
      </c>
      <c r="Q684" s="1" t="s">
        <v>40</v>
      </c>
      <c r="R684" s="1"/>
    </row>
    <row r="685" spans="1:18" x14ac:dyDescent="0.25">
      <c r="A685" s="2">
        <f ca="1">IFERROR(__xludf.DUMMYFUNCTION("""COMPUTED_VALUE"""),45021.9400012037)</f>
        <v>45021.9400012037</v>
      </c>
      <c r="B685" s="1" t="str">
        <f ca="1">IFERROR(__xludf.DUMMYFUNCTION("""COMPUTED_VALUE"""),"India")</f>
        <v>India</v>
      </c>
      <c r="C685" s="1">
        <f ca="1">IFERROR(__xludf.DUMMYFUNCTION("""COMPUTED_VALUE"""),122001)</f>
        <v>122001</v>
      </c>
      <c r="D685" s="1" t="str">
        <f ca="1">IFERROR(__xludf.DUMMYFUNCTION("""COMPUTED_VALUE"""),"Male")</f>
        <v>Male</v>
      </c>
      <c r="E685" s="1" t="str">
        <f ca="1">IFERROR(__xludf.DUMMYFUNCTION("""COMPUTED_VALUE"""),"People who have changed the world for better")</f>
        <v>People who have changed the world for better</v>
      </c>
      <c r="F685" s="1" t="str">
        <f ca="1">IFERROR(__xludf.DUMMYFUNCTION("""COMPUTED_VALUE"""),"No I would not be pursuing Higher Education outside of India")</f>
        <v>No I would not be pursuing Higher Education outside of India</v>
      </c>
      <c r="G685" s="1" t="str">
        <f ca="1">IFERROR(__xludf.DUMMYFUNCTION("""COMPUTED_VALUE"""),"Will work for 3 years or more")</f>
        <v>Will work for 3 years or more</v>
      </c>
      <c r="H685" s="1" t="str">
        <f ca="1">IFERROR(__xludf.DUMMYFUNCTION("""COMPUTED_VALUE"""),"Yes")</f>
        <v>Yes</v>
      </c>
      <c r="I685" s="1" t="str">
        <f ca="1">IFERROR(__xludf.DUMMYFUNCTION("""COMPUTED_VALUE"""),"Will work for them")</f>
        <v>Will work for them</v>
      </c>
      <c r="J685" s="1">
        <f ca="1">IFERROR(__xludf.DUMMYFUNCTION("""COMPUTED_VALUE"""),10)</f>
        <v>10</v>
      </c>
      <c r="K685" s="1" t="str">
        <f ca="1">IFERROR(__xludf.DUMMYFUNCTION("""COMPUTED_VALUE"""),"Fully Remote with Options to travel as and when needed")</f>
        <v>Fully Remote with Options to travel as and when needed</v>
      </c>
      <c r="L685" s="1" t="str">
        <f ca="1">IFERROR(__xludf.DUMMYFUNCTION("""COMPUTED_VALUE"""),"Employer who pushes your limits by enabling an learning environment, and rewards you at the end")</f>
        <v>Employer who pushes your limits by enabling an learning environment, and rewards you at the end</v>
      </c>
      <c r="M685"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N685" s="1"/>
      <c r="O685" s="1" t="str">
        <f ca="1">IFERROR(__xludf.DUMMYFUNCTION("""COMPUTED_VALUE"""),"Manager who clearly describes what she/he needs")</f>
        <v>Manager who clearly describes what she/he needs</v>
      </c>
      <c r="P685" s="1" t="str">
        <f ca="1">IFERROR(__xludf.DUMMYFUNCTION("""COMPUTED_VALUE"""),"Work Alone, &lt;=6 in team")</f>
        <v>Work Alone, &lt;=6 in team</v>
      </c>
      <c r="Q685" s="1" t="s">
        <v>43</v>
      </c>
      <c r="R685" s="1"/>
    </row>
    <row r="686" spans="1:18" x14ac:dyDescent="0.25">
      <c r="A686" s="2">
        <f ca="1">IFERROR(__xludf.DUMMYFUNCTION("""COMPUTED_VALUE"""),45021.9435191782)</f>
        <v>45021.943519178203</v>
      </c>
      <c r="B686" s="1" t="str">
        <f ca="1">IFERROR(__xludf.DUMMYFUNCTION("""COMPUTED_VALUE"""),"India")</f>
        <v>India</v>
      </c>
      <c r="C686" s="1">
        <f ca="1">IFERROR(__xludf.DUMMYFUNCTION("""COMPUTED_VALUE"""),305001)</f>
        <v>305001</v>
      </c>
      <c r="D686" s="1" t="str">
        <f ca="1">IFERROR(__xludf.DUMMYFUNCTION("""COMPUTED_VALUE"""),"Male")</f>
        <v>Male</v>
      </c>
      <c r="E686" s="1" t="str">
        <f ca="1">IFERROR(__xludf.DUMMYFUNCTION("""COMPUTED_VALUE"""),"My Parents")</f>
        <v>My Parents</v>
      </c>
      <c r="F686" s="1" t="str">
        <f ca="1">IFERROR(__xludf.DUMMYFUNCTION("""COMPUTED_VALUE"""),"No, But if someone could bare the cost I will")</f>
        <v>No, But if someone could bare the cost I will</v>
      </c>
      <c r="G686" s="1" t="str">
        <f ca="1">IFERROR(__xludf.DUMMYFUNCTION("""COMPUTED_VALUE"""),"Will work for 3 years or more")</f>
        <v>Will work for 3 years or more</v>
      </c>
      <c r="H686" s="1" t="str">
        <f ca="1">IFERROR(__xludf.DUMMYFUNCTION("""COMPUTED_VALUE"""),"Yes")</f>
        <v>Yes</v>
      </c>
      <c r="I686" s="1" t="str">
        <f ca="1">IFERROR(__xludf.DUMMYFUNCTION("""COMPUTED_VALUE"""),"Will work for them")</f>
        <v>Will work for them</v>
      </c>
      <c r="J686" s="1">
        <f ca="1">IFERROR(__xludf.DUMMYFUNCTION("""COMPUTED_VALUE"""),2)</f>
        <v>2</v>
      </c>
      <c r="K686" s="1" t="str">
        <f ca="1">IFERROR(__xludf.DUMMYFUNCTION("""COMPUTED_VALUE"""),"Hybrid Working Environment with more than 15 days a month at office")</f>
        <v>Hybrid Working Environment with more than 15 days a month at office</v>
      </c>
      <c r="L686" s="1" t="str">
        <f ca="1">IFERROR(__xludf.DUMMYFUNCTION("""COMPUTED_VALUE"""),"Employer who appreciates learning and enables that environment")</f>
        <v>Employer who appreciates learning and enables that environment</v>
      </c>
      <c r="M686"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N686" s="1"/>
      <c r="O686" s="1" t="str">
        <f ca="1">IFERROR(__xludf.DUMMYFUNCTION("""COMPUTED_VALUE"""),"Manager who explains what is expected, sets a goal and helps achieve it")</f>
        <v>Manager who explains what is expected, sets a goal and helps achieve it</v>
      </c>
      <c r="P686" s="1" t="str">
        <f ca="1">IFERROR(__xludf.DUMMYFUNCTION("""COMPUTED_VALUE"""),"Work &lt;=6 People in the Team")</f>
        <v>Work &lt;=6 People in the Team</v>
      </c>
      <c r="Q686" s="1" t="s">
        <v>40</v>
      </c>
      <c r="R686" s="1"/>
    </row>
    <row r="687" spans="1:18" x14ac:dyDescent="0.25">
      <c r="A687" s="2">
        <f ca="1">IFERROR(__xludf.DUMMYFUNCTION("""COMPUTED_VALUE"""),45021.9439414004)</f>
        <v>45021.943941400401</v>
      </c>
      <c r="B687" s="1" t="str">
        <f ca="1">IFERROR(__xludf.DUMMYFUNCTION("""COMPUTED_VALUE"""),"India")</f>
        <v>India</v>
      </c>
      <c r="C687" s="1">
        <f ca="1">IFERROR(__xludf.DUMMYFUNCTION("""COMPUTED_VALUE"""),110059)</f>
        <v>110059</v>
      </c>
      <c r="D687" s="1" t="str">
        <f ca="1">IFERROR(__xludf.DUMMYFUNCTION("""COMPUTED_VALUE"""),"Female")</f>
        <v>Female</v>
      </c>
      <c r="E687" s="1" t="str">
        <f ca="1">IFERROR(__xludf.DUMMYFUNCTION("""COMPUTED_VALUE"""),"People who have changed the world for better")</f>
        <v>People who have changed the world for better</v>
      </c>
      <c r="F687" s="1" t="str">
        <f ca="1">IFERROR(__xludf.DUMMYFUNCTION("""COMPUTED_VALUE"""),"Yes, I will earn and do that")</f>
        <v>Yes, I will earn and do that</v>
      </c>
      <c r="G687" s="1" t="str">
        <f ca="1">IFERROR(__xludf.DUMMYFUNCTION("""COMPUTED_VALUE"""),"This will be hard to do, but if it is the right company I would try")</f>
        <v>This will be hard to do, but if it is the right company I would try</v>
      </c>
      <c r="H687" s="1" t="str">
        <f ca="1">IFERROR(__xludf.DUMMYFUNCTION("""COMPUTED_VALUE"""),"Yes")</f>
        <v>Yes</v>
      </c>
      <c r="I687" s="1" t="str">
        <f ca="1">IFERROR(__xludf.DUMMYFUNCTION("""COMPUTED_VALUE"""),"Will NOT work for them")</f>
        <v>Will NOT work for them</v>
      </c>
      <c r="J687" s="1">
        <f ca="1">IFERROR(__xludf.DUMMYFUNCTION("""COMPUTED_VALUE"""),6)</f>
        <v>6</v>
      </c>
      <c r="K687" s="1" t="str">
        <f ca="1">IFERROR(__xludf.DUMMYFUNCTION("""COMPUTED_VALUE"""),"Fully Remote with No option to visit offices")</f>
        <v>Fully Remote with No option to visit offices</v>
      </c>
      <c r="L687" s="1" t="str">
        <f ca="1">IFERROR(__xludf.DUMMYFUNCTION("""COMPUTED_VALUE"""),"Employer who appreciates learning and enables that environment")</f>
        <v>Employer who appreciates learning and enables that environment</v>
      </c>
      <c r="M687"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N687" s="1"/>
      <c r="O687" s="1" t="str">
        <f ca="1">IFERROR(__xludf.DUMMYFUNCTION("""COMPUTED_VALUE"""),"Manager who explains what is expected, sets a goal and helps achieve it")</f>
        <v>Manager who explains what is expected, sets a goal and helps achieve it</v>
      </c>
      <c r="P687" s="1" t="str">
        <f ca="1">IFERROR(__xludf.DUMMYFUNCTION("""COMPUTED_VALUE"""),"Work &gt;=7 People in the Team")</f>
        <v>Work &gt;=7 People in the Team</v>
      </c>
      <c r="Q687" s="1" t="s">
        <v>43</v>
      </c>
      <c r="R687" s="1"/>
    </row>
    <row r="688" spans="1:18" x14ac:dyDescent="0.25">
      <c r="A688" s="2">
        <f ca="1">IFERROR(__xludf.DUMMYFUNCTION("""COMPUTED_VALUE"""),45021.9440803703)</f>
        <v>45021.944080370296</v>
      </c>
      <c r="B688" s="1" t="str">
        <f ca="1">IFERROR(__xludf.DUMMYFUNCTION("""COMPUTED_VALUE"""),"India")</f>
        <v>India</v>
      </c>
      <c r="C688" s="1">
        <f ca="1">IFERROR(__xludf.DUMMYFUNCTION("""COMPUTED_VALUE"""),400072)</f>
        <v>400072</v>
      </c>
      <c r="D688" s="1" t="str">
        <f ca="1">IFERROR(__xludf.DUMMYFUNCTION("""COMPUTED_VALUE"""),"Male")</f>
        <v>Male</v>
      </c>
      <c r="E688" s="1" t="str">
        <f ca="1">IFERROR(__xludf.DUMMYFUNCTION("""COMPUTED_VALUE"""),"Influencers who had successful careers")</f>
        <v>Influencers who had successful careers</v>
      </c>
      <c r="F688" s="1" t="str">
        <f ca="1">IFERROR(__xludf.DUMMYFUNCTION("""COMPUTED_VALUE"""),"Yes, I will earn and do that")</f>
        <v>Yes, I will earn and do that</v>
      </c>
      <c r="G688" s="1" t="str">
        <f ca="1">IFERROR(__xludf.DUMMYFUNCTION("""COMPUTED_VALUE"""),"This will be hard to do, but if it is the right company I would try")</f>
        <v>This will be hard to do, but if it is the right company I would try</v>
      </c>
      <c r="H688" s="1" t="str">
        <f ca="1">IFERROR(__xludf.DUMMYFUNCTION("""COMPUTED_VALUE"""),"No")</f>
        <v>No</v>
      </c>
      <c r="I688" s="1" t="str">
        <f ca="1">IFERROR(__xludf.DUMMYFUNCTION("""COMPUTED_VALUE"""),"Will NOT work for them")</f>
        <v>Will NOT work for them</v>
      </c>
      <c r="J688" s="1">
        <f ca="1">IFERROR(__xludf.DUMMYFUNCTION("""COMPUTED_VALUE"""),5)</f>
        <v>5</v>
      </c>
      <c r="K688" s="1" t="str">
        <f ca="1">IFERROR(__xludf.DUMMYFUNCTION("""COMPUTED_VALUE"""),"Hybrid Working Environment with less than 3 days a month at office")</f>
        <v>Hybrid Working Environment with less than 3 days a month at office</v>
      </c>
      <c r="L688" s="1" t="str">
        <f ca="1">IFERROR(__xludf.DUMMYFUNCTION("""COMPUTED_VALUE"""),"Employer who pushes your limits by enabling an learning environment, and rewards you at the end")</f>
        <v>Employer who pushes your limits by enabling an learning environment, and rewards you at the end</v>
      </c>
      <c r="M68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688" s="1"/>
      <c r="O688" s="1" t="str">
        <f ca="1">IFERROR(__xludf.DUMMYFUNCTION("""COMPUTED_VALUE"""),"Manager who explains what is expected, sets a goal and helps achieve it")</f>
        <v>Manager who explains what is expected, sets a goal and helps achieve it</v>
      </c>
      <c r="P688" s="1" t="str">
        <f ca="1">IFERROR(__xludf.DUMMYFUNCTION("""COMPUTED_VALUE"""),"Work Alone, &lt;67 people in team")</f>
        <v>Work Alone, &lt;67 people in team</v>
      </c>
      <c r="Q688" s="1" t="s">
        <v>40</v>
      </c>
      <c r="R688" s="1"/>
    </row>
    <row r="689" spans="1:18" x14ac:dyDescent="0.25">
      <c r="A689" s="2">
        <f ca="1">IFERROR(__xludf.DUMMYFUNCTION("""COMPUTED_VALUE"""),45021.9465811805)</f>
        <v>45021.946581180498</v>
      </c>
      <c r="B689" s="1" t="str">
        <f ca="1">IFERROR(__xludf.DUMMYFUNCTION("""COMPUTED_VALUE"""),"India")</f>
        <v>India</v>
      </c>
      <c r="C689" s="1">
        <f ca="1">IFERROR(__xludf.DUMMYFUNCTION("""COMPUTED_VALUE"""),620011)</f>
        <v>620011</v>
      </c>
      <c r="D689" s="1" t="str">
        <f ca="1">IFERROR(__xludf.DUMMYFUNCTION("""COMPUTED_VALUE"""),"Female")</f>
        <v>Female</v>
      </c>
      <c r="E689" s="1" t="str">
        <f ca="1">IFERROR(__xludf.DUMMYFUNCTION("""COMPUTED_VALUE"""),"People from my circle, but not family members")</f>
        <v>People from my circle, but not family members</v>
      </c>
      <c r="F689" s="1" t="str">
        <f ca="1">IFERROR(__xludf.DUMMYFUNCTION("""COMPUTED_VALUE"""),"No, But if someone could bare the cost I will")</f>
        <v>No, But if someone could bare the cost I will</v>
      </c>
      <c r="G689" s="1" t="str">
        <f ca="1">IFERROR(__xludf.DUMMYFUNCTION("""COMPUTED_VALUE"""),"This will be hard to do, but if it is the right company I would try")</f>
        <v>This will be hard to do, but if it is the right company I would try</v>
      </c>
      <c r="H689" s="1" t="str">
        <f ca="1">IFERROR(__xludf.DUMMYFUNCTION("""COMPUTED_VALUE"""),"Yes")</f>
        <v>Yes</v>
      </c>
      <c r="I689" s="1" t="str">
        <f ca="1">IFERROR(__xludf.DUMMYFUNCTION("""COMPUTED_VALUE"""),"Will NOT work for them")</f>
        <v>Will NOT work for them</v>
      </c>
      <c r="J689" s="1">
        <f ca="1">IFERROR(__xludf.DUMMYFUNCTION("""COMPUTED_VALUE"""),3)</f>
        <v>3</v>
      </c>
      <c r="K689" s="1" t="str">
        <f ca="1">IFERROR(__xludf.DUMMYFUNCTION("""COMPUTED_VALUE"""),"Hybrid Working Environment with more than 15 days a month at office")</f>
        <v>Hybrid Working Environment with more than 15 days a month at office</v>
      </c>
      <c r="L689" s="1" t="str">
        <f ca="1">IFERROR(__xludf.DUMMYFUNCTION("""COMPUTED_VALUE"""),"Employer who pushes your limits by enabling an learning environment, and rewards you at the end")</f>
        <v>Employer who pushes your limits by enabling an learning environment, and rewards you at the end</v>
      </c>
      <c r="M689"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N689" s="1"/>
      <c r="O689" s="1" t="str">
        <f ca="1">IFERROR(__xludf.DUMMYFUNCTION("""COMPUTED_VALUE"""),"Manager who sets targets and expects me to achieve it")</f>
        <v>Manager who sets targets and expects me to achieve it</v>
      </c>
      <c r="P689" s="1" t="str">
        <f ca="1">IFERROR(__xludf.DUMMYFUNCTION("""COMPUTED_VALUE"""),"Work &lt;=6 People in the Team")</f>
        <v>Work &lt;=6 People in the Team</v>
      </c>
      <c r="Q689" s="1" t="s">
        <v>40</v>
      </c>
      <c r="R689" s="1"/>
    </row>
    <row r="690" spans="1:18" x14ac:dyDescent="0.25">
      <c r="A690" s="2">
        <f ca="1">IFERROR(__xludf.DUMMYFUNCTION("""COMPUTED_VALUE"""),45021.9483440855)</f>
        <v>45021.948344085497</v>
      </c>
      <c r="B690" s="1" t="str">
        <f ca="1">IFERROR(__xludf.DUMMYFUNCTION("""COMPUTED_VALUE"""),"India")</f>
        <v>India</v>
      </c>
      <c r="C690" s="1">
        <f ca="1">IFERROR(__xludf.DUMMYFUNCTION("""COMPUTED_VALUE"""),110059)</f>
        <v>110059</v>
      </c>
      <c r="D690" s="1" t="str">
        <f ca="1">IFERROR(__xludf.DUMMYFUNCTION("""COMPUTED_VALUE"""),"Female")</f>
        <v>Female</v>
      </c>
      <c r="E690" s="1" t="str">
        <f ca="1">IFERROR(__xludf.DUMMYFUNCTION("""COMPUTED_VALUE"""),"People who have changed the world for better")</f>
        <v>People who have changed the world for better</v>
      </c>
      <c r="F690" s="1" t="str">
        <f ca="1">IFERROR(__xludf.DUMMYFUNCTION("""COMPUTED_VALUE"""),"Yes, I will earn and do that")</f>
        <v>Yes, I will earn and do that</v>
      </c>
      <c r="G690" s="1" t="str">
        <f ca="1">IFERROR(__xludf.DUMMYFUNCTION("""COMPUTED_VALUE"""),"No way")</f>
        <v>No way</v>
      </c>
      <c r="H690" s="1" t="str">
        <f ca="1">IFERROR(__xludf.DUMMYFUNCTION("""COMPUTED_VALUE"""),"Yes")</f>
        <v>Yes</v>
      </c>
      <c r="I690" s="1" t="str">
        <f ca="1">IFERROR(__xludf.DUMMYFUNCTION("""COMPUTED_VALUE"""),"Will NOT work for them")</f>
        <v>Will NOT work for them</v>
      </c>
      <c r="J690" s="1">
        <f ca="1">IFERROR(__xludf.DUMMYFUNCTION("""COMPUTED_VALUE"""),4)</f>
        <v>4</v>
      </c>
      <c r="K690" s="1" t="str">
        <f ca="1">IFERROR(__xludf.DUMMYFUNCTION("""COMPUTED_VALUE"""),"Hybrid Working Environment with less than 3 days a month at office")</f>
        <v>Hybrid Working Environment with less than 3 days a month at office</v>
      </c>
      <c r="L690" s="1" t="str">
        <f ca="1">IFERROR(__xludf.DUMMYFUNCTION("""COMPUTED_VALUE"""),"Employer who rewards learning and enables that environment")</f>
        <v>Employer who rewards learning and enables that environment</v>
      </c>
      <c r="M690"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N690" s="1"/>
      <c r="O690" s="1" t="str">
        <f ca="1">IFERROR(__xludf.DUMMYFUNCTION("""COMPUTED_VALUE"""),"Manager who explains what is expected, sets a goal and helps achieve it")</f>
        <v>Manager who explains what is expected, sets a goal and helps achieve it</v>
      </c>
      <c r="P690" s="1" t="str">
        <f ca="1">IFERROR(__xludf.DUMMYFUNCTION("""COMPUTED_VALUE"""),"Work &lt;=6 People in the Team")</f>
        <v>Work &lt;=6 People in the Team</v>
      </c>
      <c r="Q690" s="1" t="s">
        <v>43</v>
      </c>
      <c r="R690" s="1"/>
    </row>
    <row r="691" spans="1:18" x14ac:dyDescent="0.25">
      <c r="A691" s="2">
        <f ca="1">IFERROR(__xludf.DUMMYFUNCTION("""COMPUTED_VALUE"""),45021.9570057523)</f>
        <v>45021.957005752301</v>
      </c>
      <c r="B691" s="1" t="str">
        <f ca="1">IFERROR(__xludf.DUMMYFUNCTION("""COMPUTED_VALUE"""),"India")</f>
        <v>India</v>
      </c>
      <c r="C691" s="1">
        <f ca="1">IFERROR(__xludf.DUMMYFUNCTION("""COMPUTED_VALUE"""),641663)</f>
        <v>641663</v>
      </c>
      <c r="D691" s="1" t="str">
        <f ca="1">IFERROR(__xludf.DUMMYFUNCTION("""COMPUTED_VALUE"""),"Female")</f>
        <v>Female</v>
      </c>
      <c r="E691" s="1" t="str">
        <f ca="1">IFERROR(__xludf.DUMMYFUNCTION("""COMPUTED_VALUE"""),"People who have changed the world for better")</f>
        <v>People who have changed the world for better</v>
      </c>
      <c r="F691" s="1" t="str">
        <f ca="1">IFERROR(__xludf.DUMMYFUNCTION("""COMPUTED_VALUE"""),"No, But if someone could bare the cost I will")</f>
        <v>No, But if someone could bare the cost I will</v>
      </c>
      <c r="G691" s="1" t="str">
        <f ca="1">IFERROR(__xludf.DUMMYFUNCTION("""COMPUTED_VALUE"""),"This will be hard to do, but if it is the right company I would try")</f>
        <v>This will be hard to do, but if it is the right company I would try</v>
      </c>
      <c r="H691" s="1" t="str">
        <f ca="1">IFERROR(__xludf.DUMMYFUNCTION("""COMPUTED_VALUE"""),"Yes")</f>
        <v>Yes</v>
      </c>
      <c r="I691" s="1" t="str">
        <f ca="1">IFERROR(__xludf.DUMMYFUNCTION("""COMPUTED_VALUE"""),"Will NOT work for them")</f>
        <v>Will NOT work for them</v>
      </c>
      <c r="J691" s="1">
        <f ca="1">IFERROR(__xludf.DUMMYFUNCTION("""COMPUTED_VALUE"""),3)</f>
        <v>3</v>
      </c>
      <c r="K691" s="1" t="str">
        <f ca="1">IFERROR(__xludf.DUMMYFUNCTION("""COMPUTED_VALUE"""),"Fully Remote with No option to visit offices")</f>
        <v>Fully Remote with No option to visit offices</v>
      </c>
      <c r="L691" s="1" t="str">
        <f ca="1">IFERROR(__xludf.DUMMYFUNCTION("""COMPUTED_VALUE"""),"Employer who pushes your limits by enabling an learning environment, and rewards you at the end")</f>
        <v>Employer who pushes your limits by enabling an learning environment, and rewards you at the end</v>
      </c>
      <c r="M691" s="1" t="str">
        <f ca="1">IFERROR(__xludf.DUMMYFUNCTION("""COMPUTED_VALUE"""),"Teaching in any of the institutes/colleges/online or offline, Business Operations in any organization, Become a content Creator in some platform, Entrepreneur or Start Up")</f>
        <v>Teaching in any of the institutes/colleges/online or offline, Business Operations in any organization, Become a content Creator in some platform, Entrepreneur or Start Up</v>
      </c>
      <c r="N691" s="1"/>
      <c r="O691" s="1" t="str">
        <f ca="1">IFERROR(__xludf.DUMMYFUNCTION("""COMPUTED_VALUE"""),"Manager who explains what is expected, sets a goal and helps achieve it")</f>
        <v>Manager who explains what is expected, sets a goal and helps achieve it</v>
      </c>
      <c r="P691" s="1" t="str">
        <f ca="1">IFERROR(__xludf.DUMMYFUNCTION("""COMPUTED_VALUE"""),"Work alone")</f>
        <v>Work alone</v>
      </c>
      <c r="Q691" s="1" t="s">
        <v>42</v>
      </c>
      <c r="R691" s="1"/>
    </row>
    <row r="692" spans="1:18" x14ac:dyDescent="0.25">
      <c r="A692" s="2">
        <f ca="1">IFERROR(__xludf.DUMMYFUNCTION("""COMPUTED_VALUE"""),45021.9576743171)</f>
        <v>45021.957674317098</v>
      </c>
      <c r="B692" s="1" t="str">
        <f ca="1">IFERROR(__xludf.DUMMYFUNCTION("""COMPUTED_VALUE"""),"India")</f>
        <v>India</v>
      </c>
      <c r="C692" s="1">
        <f ca="1">IFERROR(__xludf.DUMMYFUNCTION("""COMPUTED_VALUE"""),641004)</f>
        <v>641004</v>
      </c>
      <c r="D692" s="1" t="str">
        <f ca="1">IFERROR(__xludf.DUMMYFUNCTION("""COMPUTED_VALUE"""),"Male")</f>
        <v>Male</v>
      </c>
      <c r="E692" s="1" t="str">
        <f ca="1">IFERROR(__xludf.DUMMYFUNCTION("""COMPUTED_VALUE"""),"My Parents")</f>
        <v>My Parents</v>
      </c>
      <c r="F692" s="1" t="str">
        <f ca="1">IFERROR(__xludf.DUMMYFUNCTION("""COMPUTED_VALUE"""),"No I would not be pursuing Higher Education outside of India")</f>
        <v>No I would not be pursuing Higher Education outside of India</v>
      </c>
      <c r="G692" s="1" t="str">
        <f ca="1">IFERROR(__xludf.DUMMYFUNCTION("""COMPUTED_VALUE"""),"This will be hard to do, but if it is the right company I would try")</f>
        <v>This will be hard to do, but if it is the right company I would try</v>
      </c>
      <c r="H692" s="1" t="str">
        <f ca="1">IFERROR(__xludf.DUMMYFUNCTION("""COMPUTED_VALUE"""),"Yes")</f>
        <v>Yes</v>
      </c>
      <c r="I692" s="1" t="str">
        <f ca="1">IFERROR(__xludf.DUMMYFUNCTION("""COMPUTED_VALUE"""),"Will work for them")</f>
        <v>Will work for them</v>
      </c>
      <c r="J692" s="1">
        <f ca="1">IFERROR(__xludf.DUMMYFUNCTION("""COMPUTED_VALUE"""),8)</f>
        <v>8</v>
      </c>
      <c r="K692" s="1" t="str">
        <f ca="1">IFERROR(__xludf.DUMMYFUNCTION("""COMPUTED_VALUE"""),"Hybrid Working Environment with more than 15 days a month at office")</f>
        <v>Hybrid Working Environment with more than 15 days a month at office</v>
      </c>
      <c r="L692" s="1" t="str">
        <f ca="1">IFERROR(__xludf.DUMMYFUNCTION("""COMPUTED_VALUE"""),"Employer who rewards learning and enables that environment")</f>
        <v>Employer who rewards learning and enables that environment</v>
      </c>
      <c r="M69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692" s="1"/>
      <c r="O692" s="1" t="str">
        <f ca="1">IFERROR(__xludf.DUMMYFUNCTION("""COMPUTED_VALUE"""),"Manager who sets goal and helps me achieve it")</f>
        <v>Manager who sets goal and helps me achieve it</v>
      </c>
      <c r="P692" s="1" t="str">
        <f ca="1">IFERROR(__xludf.DUMMYFUNCTION("""COMPUTED_VALUE"""),"Work Alone, &lt;=6 in team")</f>
        <v>Work Alone, &lt;=6 in team</v>
      </c>
      <c r="Q692" s="1" t="s">
        <v>40</v>
      </c>
      <c r="R692" s="1"/>
    </row>
    <row r="693" spans="1:18" x14ac:dyDescent="0.25">
      <c r="A693" s="2">
        <f ca="1">IFERROR(__xludf.DUMMYFUNCTION("""COMPUTED_VALUE"""),45021.9648668518)</f>
        <v>45021.964866851798</v>
      </c>
      <c r="B693" s="1" t="str">
        <f ca="1">IFERROR(__xludf.DUMMYFUNCTION("""COMPUTED_VALUE"""),"India")</f>
        <v>India</v>
      </c>
      <c r="C693" s="1">
        <f ca="1">IFERROR(__xludf.DUMMYFUNCTION("""COMPUTED_VALUE"""),673005)</f>
        <v>673005</v>
      </c>
      <c r="D693" s="1" t="str">
        <f ca="1">IFERROR(__xludf.DUMMYFUNCTION("""COMPUTED_VALUE"""),"Female")</f>
        <v>Female</v>
      </c>
      <c r="E693" s="1" t="str">
        <f ca="1">IFERROR(__xludf.DUMMYFUNCTION("""COMPUTED_VALUE"""),"People from my circle, but not family members")</f>
        <v>People from my circle, but not family members</v>
      </c>
      <c r="F693" s="1" t="str">
        <f ca="1">IFERROR(__xludf.DUMMYFUNCTION("""COMPUTED_VALUE"""),"Yes, I will earn and do that")</f>
        <v>Yes, I will earn and do that</v>
      </c>
      <c r="G693" s="1" t="str">
        <f ca="1">IFERROR(__xludf.DUMMYFUNCTION("""COMPUTED_VALUE"""),"This will be hard to do, but if it is the right company I would try")</f>
        <v>This will be hard to do, but if it is the right company I would try</v>
      </c>
      <c r="H693" s="1" t="str">
        <f ca="1">IFERROR(__xludf.DUMMYFUNCTION("""COMPUTED_VALUE"""),"No")</f>
        <v>No</v>
      </c>
      <c r="I693" s="1" t="str">
        <f ca="1">IFERROR(__xludf.DUMMYFUNCTION("""COMPUTED_VALUE"""),"Will NOT work for them")</f>
        <v>Will NOT work for them</v>
      </c>
      <c r="J693" s="1">
        <f ca="1">IFERROR(__xludf.DUMMYFUNCTION("""COMPUTED_VALUE"""),5)</f>
        <v>5</v>
      </c>
      <c r="K693" s="1" t="str">
        <f ca="1">IFERROR(__xludf.DUMMYFUNCTION("""COMPUTED_VALUE"""),"Fully Remote with Options to travel as and when needed")</f>
        <v>Fully Remote with Options to travel as and when needed</v>
      </c>
      <c r="L693" s="1" t="str">
        <f ca="1">IFERROR(__xludf.DUMMYFUNCTION("""COMPUTED_VALUE"""),"Employer who rewards learning and enables that environment")</f>
        <v>Employer who rewards learning and enables that environment</v>
      </c>
      <c r="M69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693" s="1"/>
      <c r="O693" s="1" t="str">
        <f ca="1">IFERROR(__xludf.DUMMYFUNCTION("""COMPUTED_VALUE"""),"Manager who explains what is expected, sets a goal and helps achieve it")</f>
        <v>Manager who explains what is expected, sets a goal and helps achieve it</v>
      </c>
      <c r="P693" s="1" t="str">
        <f ca="1">IFERROR(__xludf.DUMMYFUNCTION("""COMPUTED_VALUE"""),"Work &lt;=6 People in the Team")</f>
        <v>Work &lt;=6 People in the Team</v>
      </c>
      <c r="Q693" s="1" t="s">
        <v>43</v>
      </c>
      <c r="R693" s="1"/>
    </row>
    <row r="694" spans="1:18" x14ac:dyDescent="0.25">
      <c r="A694" s="2">
        <f ca="1">IFERROR(__xludf.DUMMYFUNCTION("""COMPUTED_VALUE"""),45021.9666325)</f>
        <v>45021.9666325</v>
      </c>
      <c r="B694" s="1" t="str">
        <f ca="1">IFERROR(__xludf.DUMMYFUNCTION("""COMPUTED_VALUE"""),"India")</f>
        <v>India</v>
      </c>
      <c r="C694" s="1">
        <f ca="1">IFERROR(__xludf.DUMMYFUNCTION("""COMPUTED_VALUE"""),400067)</f>
        <v>400067</v>
      </c>
      <c r="D694" s="1" t="str">
        <f ca="1">IFERROR(__xludf.DUMMYFUNCTION("""COMPUTED_VALUE"""),"Male")</f>
        <v>Male</v>
      </c>
      <c r="E694" s="1" t="str">
        <f ca="1">IFERROR(__xludf.DUMMYFUNCTION("""COMPUTED_VALUE"""),"My Parents")</f>
        <v>My Parents</v>
      </c>
      <c r="F694" s="1" t="str">
        <f ca="1">IFERROR(__xludf.DUMMYFUNCTION("""COMPUTED_VALUE"""),"No I would not be pursuing Higher Education outside of India")</f>
        <v>No I would not be pursuing Higher Education outside of India</v>
      </c>
      <c r="G694" s="1" t="str">
        <f ca="1">IFERROR(__xludf.DUMMYFUNCTION("""COMPUTED_VALUE"""),"This will be hard to do, but if it is the right company I would try")</f>
        <v>This will be hard to do, but if it is the right company I would try</v>
      </c>
      <c r="H694" s="1" t="str">
        <f ca="1">IFERROR(__xludf.DUMMYFUNCTION("""COMPUTED_VALUE"""),"Yes")</f>
        <v>Yes</v>
      </c>
      <c r="I694" s="1" t="str">
        <f ca="1">IFERROR(__xludf.DUMMYFUNCTION("""COMPUTED_VALUE"""),"Will work for them")</f>
        <v>Will work for them</v>
      </c>
      <c r="J694" s="1">
        <f ca="1">IFERROR(__xludf.DUMMYFUNCTION("""COMPUTED_VALUE"""),10)</f>
        <v>10</v>
      </c>
      <c r="K694" s="1" t="str">
        <f ca="1">IFERROR(__xludf.DUMMYFUNCTION("""COMPUTED_VALUE"""),"Hybrid Working Environment with less than 3 days a month at office")</f>
        <v>Hybrid Working Environment with less than 3 days a month at office</v>
      </c>
      <c r="L694" s="1" t="str">
        <f ca="1">IFERROR(__xludf.DUMMYFUNCTION("""COMPUTED_VALUE"""),"Employer who pushes your limits by enabling an learning environment, and rewards you at the end")</f>
        <v>Employer who pushes your limits by enabling an learning environment, and rewards you at the end</v>
      </c>
      <c r="M6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694" s="1"/>
      <c r="O694" s="1" t="str">
        <f ca="1">IFERROR(__xludf.DUMMYFUNCTION("""COMPUTED_VALUE"""),"Manager who explains what is expected, sets a goal and helps achieve it")</f>
        <v>Manager who explains what is expected, sets a goal and helps achieve it</v>
      </c>
      <c r="P694" s="1" t="str">
        <f ca="1">IFERROR(__xludf.DUMMYFUNCTION("""COMPUTED_VALUE"""),"Work &gt;10 people in Team")</f>
        <v>Work &gt;10 people in Team</v>
      </c>
      <c r="Q694" s="1" t="s">
        <v>43</v>
      </c>
      <c r="R694" s="1"/>
    </row>
    <row r="695" spans="1:18" x14ac:dyDescent="0.25">
      <c r="A695" s="2">
        <f ca="1">IFERROR(__xludf.DUMMYFUNCTION("""COMPUTED_VALUE"""),45021.9707482175)</f>
        <v>45021.9707482175</v>
      </c>
      <c r="B695" s="1" t="str">
        <f ca="1">IFERROR(__xludf.DUMMYFUNCTION("""COMPUTED_VALUE"""),"India")</f>
        <v>India</v>
      </c>
      <c r="C695" s="1">
        <f ca="1">IFERROR(__xludf.DUMMYFUNCTION("""COMPUTED_VALUE"""),400067)</f>
        <v>400067</v>
      </c>
      <c r="D695" s="1" t="str">
        <f ca="1">IFERROR(__xludf.DUMMYFUNCTION("""COMPUTED_VALUE"""),"Female")</f>
        <v>Female</v>
      </c>
      <c r="E695" s="1" t="str">
        <f ca="1">IFERROR(__xludf.DUMMYFUNCTION("""COMPUTED_VALUE"""),"My Parents")</f>
        <v>My Parents</v>
      </c>
      <c r="F695" s="1" t="str">
        <f ca="1">IFERROR(__xludf.DUMMYFUNCTION("""COMPUTED_VALUE"""),"No I would not be pursuing Higher Education outside of India")</f>
        <v>No I would not be pursuing Higher Education outside of India</v>
      </c>
      <c r="G695" s="1" t="str">
        <f ca="1">IFERROR(__xludf.DUMMYFUNCTION("""COMPUTED_VALUE"""),"No way")</f>
        <v>No way</v>
      </c>
      <c r="H695" s="1" t="str">
        <f ca="1">IFERROR(__xludf.DUMMYFUNCTION("""COMPUTED_VALUE"""),"No")</f>
        <v>No</v>
      </c>
      <c r="I695" s="1" t="str">
        <f ca="1">IFERROR(__xludf.DUMMYFUNCTION("""COMPUTED_VALUE"""),"Will NOT work for them")</f>
        <v>Will NOT work for them</v>
      </c>
      <c r="J695" s="1">
        <f ca="1">IFERROR(__xludf.DUMMYFUNCTION("""COMPUTED_VALUE"""),1)</f>
        <v>1</v>
      </c>
      <c r="K695" s="1" t="str">
        <f ca="1">IFERROR(__xludf.DUMMYFUNCTION("""COMPUTED_VALUE"""),"Hybrid Working Environment with more than 15 days a month at office")</f>
        <v>Hybrid Working Environment with more than 15 days a month at office</v>
      </c>
      <c r="L695" s="1" t="str">
        <f ca="1">IFERROR(__xludf.DUMMYFUNCTION("""COMPUTED_VALUE"""),"Employer who pushes your limits by enabling an learning environment, and rewards you at the end")</f>
        <v>Employer who pushes your limits by enabling an learning environment, and rewards you at the end</v>
      </c>
      <c r="M695"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N695" s="1"/>
      <c r="O695" s="1" t="str">
        <f ca="1">IFERROR(__xludf.DUMMYFUNCTION("""COMPUTED_VALUE"""),"Manager who explains what is expected, sets a goal and helps achieve it")</f>
        <v>Manager who explains what is expected, sets a goal and helps achieve it</v>
      </c>
      <c r="P695" s="1" t="str">
        <f ca="1">IFERROR(__xludf.DUMMYFUNCTION("""COMPUTED_VALUE"""),"Work  &lt;67 people in team")</f>
        <v>Work  &lt;67 people in team</v>
      </c>
      <c r="Q695" s="1" t="s">
        <v>40</v>
      </c>
      <c r="R695" s="1"/>
    </row>
    <row r="696" spans="1:18" x14ac:dyDescent="0.25">
      <c r="A696" s="2">
        <f ca="1">IFERROR(__xludf.DUMMYFUNCTION("""COMPUTED_VALUE"""),45021.979421412)</f>
        <v>45021.979421411997</v>
      </c>
      <c r="B696" s="1" t="str">
        <f ca="1">IFERROR(__xludf.DUMMYFUNCTION("""COMPUTED_VALUE"""),"India")</f>
        <v>India</v>
      </c>
      <c r="C696" s="1">
        <f ca="1">IFERROR(__xludf.DUMMYFUNCTION("""COMPUTED_VALUE"""),507002)</f>
        <v>507002</v>
      </c>
      <c r="D696" s="1" t="str">
        <f ca="1">IFERROR(__xludf.DUMMYFUNCTION("""COMPUTED_VALUE"""),"Male")</f>
        <v>Male</v>
      </c>
      <c r="E696" s="1" t="str">
        <f ca="1">IFERROR(__xludf.DUMMYFUNCTION("""COMPUTED_VALUE"""),"People from my circle, but not family members")</f>
        <v>People from my circle, but not family members</v>
      </c>
      <c r="F696" s="1" t="str">
        <f ca="1">IFERROR(__xludf.DUMMYFUNCTION("""COMPUTED_VALUE"""),"Yes, I will earn and do that")</f>
        <v>Yes, I will earn and do that</v>
      </c>
      <c r="G696" s="1" t="str">
        <f ca="1">IFERROR(__xludf.DUMMYFUNCTION("""COMPUTED_VALUE"""),"This will be hard to do, but if it is the right company I would try")</f>
        <v>This will be hard to do, but if it is the right company I would try</v>
      </c>
      <c r="H696" s="1" t="str">
        <f ca="1">IFERROR(__xludf.DUMMYFUNCTION("""COMPUTED_VALUE"""),"Yes")</f>
        <v>Yes</v>
      </c>
      <c r="I696" s="1" t="str">
        <f ca="1">IFERROR(__xludf.DUMMYFUNCTION("""COMPUTED_VALUE"""),"Will NOT work for them")</f>
        <v>Will NOT work for them</v>
      </c>
      <c r="J696" s="1">
        <f ca="1">IFERROR(__xludf.DUMMYFUNCTION("""COMPUTED_VALUE"""),8)</f>
        <v>8</v>
      </c>
      <c r="K696" s="1" t="str">
        <f ca="1">IFERROR(__xludf.DUMMYFUNCTION("""COMPUTED_VALUE"""),"Hybrid Working Environment with less than 3 days a month at office")</f>
        <v>Hybrid Working Environment with less than 3 days a month at office</v>
      </c>
      <c r="L696" s="1" t="str">
        <f ca="1">IFERROR(__xludf.DUMMYFUNCTION("""COMPUTED_VALUE"""),"Employer who pushes your limits by enabling an learning environment, and rewards you at the end")</f>
        <v>Employer who pushes your limits by enabling an learning environment, and rewards you at the end</v>
      </c>
      <c r="M696"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N696" s="1"/>
      <c r="O696" s="1" t="str">
        <f ca="1">IFERROR(__xludf.DUMMYFUNCTION("""COMPUTED_VALUE"""),"Manager who sets goal and helps me achieve it")</f>
        <v>Manager who sets goal and helps me achieve it</v>
      </c>
      <c r="P696" s="1" t="str">
        <f ca="1">IFERROR(__xludf.DUMMYFUNCTION("""COMPUTED_VALUE"""),"Work &lt;=6 People in the Team")</f>
        <v>Work &lt;=6 People in the Team</v>
      </c>
      <c r="Q696" s="1" t="s">
        <v>40</v>
      </c>
      <c r="R696" s="1"/>
    </row>
    <row r="697" spans="1:18" x14ac:dyDescent="0.25">
      <c r="A697" s="2">
        <f ca="1">IFERROR(__xludf.DUMMYFUNCTION("""COMPUTED_VALUE"""),45021.9795420138)</f>
        <v>45021.979542013803</v>
      </c>
      <c r="B697" s="1" t="str">
        <f ca="1">IFERROR(__xludf.DUMMYFUNCTION("""COMPUTED_VALUE"""),"India")</f>
        <v>India</v>
      </c>
      <c r="C697" s="1">
        <f ca="1">IFERROR(__xludf.DUMMYFUNCTION("""COMPUTED_VALUE"""),574102)</f>
        <v>574102</v>
      </c>
      <c r="D697" s="1" t="str">
        <f ca="1">IFERROR(__xludf.DUMMYFUNCTION("""COMPUTED_VALUE"""),"Male")</f>
        <v>Male</v>
      </c>
      <c r="E697" s="1" t="str">
        <f ca="1">IFERROR(__xludf.DUMMYFUNCTION("""COMPUTED_VALUE"""),"Influencers who had successful careers")</f>
        <v>Influencers who had successful careers</v>
      </c>
      <c r="F697" s="1" t="str">
        <f ca="1">IFERROR(__xludf.DUMMYFUNCTION("""COMPUTED_VALUE"""),"No I would not be pursuing Higher Education outside of India")</f>
        <v>No I would not be pursuing Higher Education outside of India</v>
      </c>
      <c r="G697" s="1" t="str">
        <f ca="1">IFERROR(__xludf.DUMMYFUNCTION("""COMPUTED_VALUE"""),"Will work for 3 years or more")</f>
        <v>Will work for 3 years or more</v>
      </c>
      <c r="H697" s="1" t="str">
        <f ca="1">IFERROR(__xludf.DUMMYFUNCTION("""COMPUTED_VALUE"""),"No")</f>
        <v>No</v>
      </c>
      <c r="I697" s="1" t="str">
        <f ca="1">IFERROR(__xludf.DUMMYFUNCTION("""COMPUTED_VALUE"""),"Will work for them")</f>
        <v>Will work for them</v>
      </c>
      <c r="J697" s="1">
        <f ca="1">IFERROR(__xludf.DUMMYFUNCTION("""COMPUTED_VALUE"""),10)</f>
        <v>10</v>
      </c>
      <c r="K697" s="1" t="str">
        <f ca="1">IFERROR(__xludf.DUMMYFUNCTION("""COMPUTED_VALUE"""),"Hybrid Working Environment with more than 15 days a month at office")</f>
        <v>Hybrid Working Environment with more than 15 days a month at office</v>
      </c>
      <c r="L697" s="1" t="str">
        <f ca="1">IFERROR(__xludf.DUMMYFUNCTION("""COMPUTED_VALUE"""),"Employer who rewards learning and enables that environment")</f>
        <v>Employer who rewards learning and enables that environment</v>
      </c>
      <c r="M69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697" s="1"/>
      <c r="O697" s="1" t="str">
        <f ca="1">IFERROR(__xludf.DUMMYFUNCTION("""COMPUTED_VALUE"""),"Manager who sets targets and expects me to achieve it")</f>
        <v>Manager who sets targets and expects me to achieve it</v>
      </c>
      <c r="P697" s="1" t="str">
        <f ca="1">IFERROR(__xludf.DUMMYFUNCTION("""COMPUTED_VALUE"""),"Work &gt;10 people in Team")</f>
        <v>Work &gt;10 people in Team</v>
      </c>
      <c r="Q697" s="1" t="s">
        <v>43</v>
      </c>
      <c r="R697" s="1"/>
    </row>
    <row r="698" spans="1:18" x14ac:dyDescent="0.25">
      <c r="A698" s="2">
        <f ca="1">IFERROR(__xludf.DUMMYFUNCTION("""COMPUTED_VALUE"""),45022.0030956828)</f>
        <v>45022.003095682798</v>
      </c>
      <c r="B698" s="1" t="str">
        <f ca="1">IFERROR(__xludf.DUMMYFUNCTION("""COMPUTED_VALUE"""),"India")</f>
        <v>India</v>
      </c>
      <c r="C698" s="1">
        <f ca="1">IFERROR(__xludf.DUMMYFUNCTION("""COMPUTED_VALUE"""),507002)</f>
        <v>507002</v>
      </c>
      <c r="D698" s="1" t="str">
        <f ca="1">IFERROR(__xludf.DUMMYFUNCTION("""COMPUTED_VALUE"""),"Male")</f>
        <v>Male</v>
      </c>
      <c r="E698" s="1" t="str">
        <f ca="1">IFERROR(__xludf.DUMMYFUNCTION("""COMPUTED_VALUE"""),"My Parents")</f>
        <v>My Parents</v>
      </c>
      <c r="F698" s="1" t="str">
        <f ca="1">IFERROR(__xludf.DUMMYFUNCTION("""COMPUTED_VALUE"""),"Yes, I will earn and do that")</f>
        <v>Yes, I will earn and do that</v>
      </c>
      <c r="G698" s="1" t="str">
        <f ca="1">IFERROR(__xludf.DUMMYFUNCTION("""COMPUTED_VALUE"""),"Will work for 3 years or more")</f>
        <v>Will work for 3 years or more</v>
      </c>
      <c r="H698" s="1" t="str">
        <f ca="1">IFERROR(__xludf.DUMMYFUNCTION("""COMPUTED_VALUE"""),"Yes")</f>
        <v>Yes</v>
      </c>
      <c r="I698" s="1" t="str">
        <f ca="1">IFERROR(__xludf.DUMMYFUNCTION("""COMPUTED_VALUE"""),"Will work for them")</f>
        <v>Will work for them</v>
      </c>
      <c r="J698" s="1">
        <f ca="1">IFERROR(__xludf.DUMMYFUNCTION("""COMPUTED_VALUE"""),8)</f>
        <v>8</v>
      </c>
      <c r="K698" s="1" t="str">
        <f ca="1">IFERROR(__xludf.DUMMYFUNCTION("""COMPUTED_VALUE"""),"Fully Remote with Options to travel as and when needed")</f>
        <v>Fully Remote with Options to travel as and when needed</v>
      </c>
      <c r="L698" s="1" t="str">
        <f ca="1">IFERROR(__xludf.DUMMYFUNCTION("""COMPUTED_VALUE"""),"Employer who pushes your limits by enabling an learning environment, and rewards you at the end")</f>
        <v>Employer who pushes your limits by enabling an learning environment, and rewards you at the end</v>
      </c>
      <c r="M698"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698" s="1"/>
      <c r="O698" s="1" t="str">
        <f ca="1">IFERROR(__xludf.DUMMYFUNCTION("""COMPUTED_VALUE"""),"Manager who explains what is expected, sets a goal and helps achieve it")</f>
        <v>Manager who explains what is expected, sets a goal and helps achieve it</v>
      </c>
      <c r="P698" s="1" t="str">
        <f ca="1">IFERROR(__xludf.DUMMYFUNCTION("""COMPUTED_VALUE"""),"Work &lt;=6 People in the Team")</f>
        <v>Work &lt;=6 People in the Team</v>
      </c>
      <c r="Q698" s="1" t="s">
        <v>43</v>
      </c>
      <c r="R698" s="1"/>
    </row>
    <row r="699" spans="1:18" x14ac:dyDescent="0.25">
      <c r="A699" s="2">
        <f ca="1">IFERROR(__xludf.DUMMYFUNCTION("""COMPUTED_VALUE"""),45022.0034594444)</f>
        <v>45022.003459444401</v>
      </c>
      <c r="B699" s="1" t="str">
        <f ca="1">IFERROR(__xludf.DUMMYFUNCTION("""COMPUTED_VALUE"""),"India")</f>
        <v>India</v>
      </c>
      <c r="C699" s="1">
        <f ca="1">IFERROR(__xludf.DUMMYFUNCTION("""COMPUTED_VALUE"""),132001)</f>
        <v>132001</v>
      </c>
      <c r="D699" s="1" t="str">
        <f ca="1">IFERROR(__xludf.DUMMYFUNCTION("""COMPUTED_VALUE"""),"Male")</f>
        <v>Male</v>
      </c>
      <c r="E699" s="1" t="str">
        <f ca="1">IFERROR(__xludf.DUMMYFUNCTION("""COMPUTED_VALUE"""),"My Parents")</f>
        <v>My Parents</v>
      </c>
      <c r="F699" s="1" t="str">
        <f ca="1">IFERROR(__xludf.DUMMYFUNCTION("""COMPUTED_VALUE"""),"Yes, I will earn and do that")</f>
        <v>Yes, I will earn and do that</v>
      </c>
      <c r="G699" s="1" t="str">
        <f ca="1">IFERROR(__xludf.DUMMYFUNCTION("""COMPUTED_VALUE"""),"This will be hard to do, but if it is the right company I would try")</f>
        <v>This will be hard to do, but if it is the right company I would try</v>
      </c>
      <c r="H699" s="1" t="str">
        <f ca="1">IFERROR(__xludf.DUMMYFUNCTION("""COMPUTED_VALUE"""),"No")</f>
        <v>No</v>
      </c>
      <c r="I699" s="1" t="str">
        <f ca="1">IFERROR(__xludf.DUMMYFUNCTION("""COMPUTED_VALUE"""),"Will NOT work for them")</f>
        <v>Will NOT work for them</v>
      </c>
      <c r="J699" s="1">
        <f ca="1">IFERROR(__xludf.DUMMYFUNCTION("""COMPUTED_VALUE"""),5)</f>
        <v>5</v>
      </c>
      <c r="K699" s="1" t="str">
        <f ca="1">IFERROR(__xludf.DUMMYFUNCTION("""COMPUTED_VALUE"""),"Fully Remote with No option to visit offices")</f>
        <v>Fully Remote with No option to visit offices</v>
      </c>
      <c r="L699" s="1" t="str">
        <f ca="1">IFERROR(__xludf.DUMMYFUNCTION("""COMPUTED_VALUE"""),"Employer who appreciates learning and enables that environment")</f>
        <v>Employer who appreciates learning and enables that environment</v>
      </c>
      <c r="M699" s="1" t="str">
        <f ca="1">IFERROR(__xludf.DUMMYFUNCTION("""COMPUTED_VALUE"""),"Manage and drive End-to-End Projects or Products, Work in a BPO setup for some well known client, Work as a freelancer and do my thing my way, Manufacturing / Oil and Gas/ Construction / Hard Physical Work related")</f>
        <v>Manage and drive End-to-End Projects or Products, Work in a BPO setup for some well known client, Work as a freelancer and do my thing my way, Manufacturing / Oil and Gas/ Construction / Hard Physical Work related</v>
      </c>
      <c r="N699" s="1"/>
      <c r="O699" s="1" t="str">
        <f ca="1">IFERROR(__xludf.DUMMYFUNCTION("""COMPUTED_VALUE"""),"Manager who explains what is expected, sets a goal and helps achieve it")</f>
        <v>Manager who explains what is expected, sets a goal and helps achieve it</v>
      </c>
      <c r="P699" s="1" t="str">
        <f ca="1">IFERROR(__xludf.DUMMYFUNCTION("""COMPUTED_VALUE"""),"Work &gt;=7 People in the Team")</f>
        <v>Work &gt;=7 People in the Team</v>
      </c>
      <c r="Q699" s="1" t="s">
        <v>43</v>
      </c>
      <c r="R699" s="1"/>
    </row>
    <row r="700" spans="1:18" x14ac:dyDescent="0.25">
      <c r="A700" s="2">
        <f ca="1">IFERROR(__xludf.DUMMYFUNCTION("""COMPUTED_VALUE"""),45022.003497118)</f>
        <v>45022.003497117999</v>
      </c>
      <c r="B700" s="1" t="str">
        <f ca="1">IFERROR(__xludf.DUMMYFUNCTION("""COMPUTED_VALUE"""),"India")</f>
        <v>India</v>
      </c>
      <c r="C700" s="1">
        <f ca="1">IFERROR(__xludf.DUMMYFUNCTION("""COMPUTED_VALUE"""),314025)</f>
        <v>314025</v>
      </c>
      <c r="D700" s="1" t="str">
        <f ca="1">IFERROR(__xludf.DUMMYFUNCTION("""COMPUTED_VALUE"""),"Male")</f>
        <v>Male</v>
      </c>
      <c r="E700" s="1" t="str">
        <f ca="1">IFERROR(__xludf.DUMMYFUNCTION("""COMPUTED_VALUE"""),"People who have changed the world for better")</f>
        <v>People who have changed the world for better</v>
      </c>
      <c r="F700" s="1" t="str">
        <f ca="1">IFERROR(__xludf.DUMMYFUNCTION("""COMPUTED_VALUE"""),"Yes, I will earn and do that")</f>
        <v>Yes, I will earn and do that</v>
      </c>
      <c r="G700" s="1" t="str">
        <f ca="1">IFERROR(__xludf.DUMMYFUNCTION("""COMPUTED_VALUE"""),"This will be hard to do, but if it is the right company I would try")</f>
        <v>This will be hard to do, but if it is the right company I would try</v>
      </c>
      <c r="H700" s="1" t="str">
        <f ca="1">IFERROR(__xludf.DUMMYFUNCTION("""COMPUTED_VALUE"""),"Yes")</f>
        <v>Yes</v>
      </c>
      <c r="I700" s="1" t="str">
        <f ca="1">IFERROR(__xludf.DUMMYFUNCTION("""COMPUTED_VALUE"""),"Will NOT work for them")</f>
        <v>Will NOT work for them</v>
      </c>
      <c r="J700" s="1">
        <f ca="1">IFERROR(__xludf.DUMMYFUNCTION("""COMPUTED_VALUE"""),7)</f>
        <v>7</v>
      </c>
      <c r="K700" s="1" t="str">
        <f ca="1">IFERROR(__xludf.DUMMYFUNCTION("""COMPUTED_VALUE"""),"Every Day Office Environment")</f>
        <v>Every Day Office Environment</v>
      </c>
      <c r="L700" s="1" t="str">
        <f ca="1">IFERROR(__xludf.DUMMYFUNCTION("""COMPUTED_VALUE"""),"Employer who appreciates learning and enables that environment")</f>
        <v>Employer who appreciates learning and enables that environment</v>
      </c>
      <c r="M700"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N700" s="1"/>
      <c r="O700" s="1" t="str">
        <f ca="1">IFERROR(__xludf.DUMMYFUNCTION("""COMPUTED_VALUE"""),"Manager who explains what is expected, sets a goal and helps achieve it")</f>
        <v>Manager who explains what is expected, sets a goal and helps achieve it</v>
      </c>
      <c r="P700" s="1" t="str">
        <f ca="1">IFERROR(__xludf.DUMMYFUNCTION("""COMPUTED_VALUE"""),"Work &gt;10 people in Team")</f>
        <v>Work &gt;10 people in Team</v>
      </c>
      <c r="Q700" s="1" t="s">
        <v>43</v>
      </c>
      <c r="R700" s="1"/>
    </row>
    <row r="701" spans="1:18" x14ac:dyDescent="0.25">
      <c r="A701" s="2">
        <f ca="1">IFERROR(__xludf.DUMMYFUNCTION("""COMPUTED_VALUE"""),45022.0116214004)</f>
        <v>45022.011621400401</v>
      </c>
      <c r="B701" s="1" t="str">
        <f ca="1">IFERROR(__xludf.DUMMYFUNCTION("""COMPUTED_VALUE"""),"India")</f>
        <v>India</v>
      </c>
      <c r="C701" s="1">
        <f ca="1">IFERROR(__xludf.DUMMYFUNCTION("""COMPUTED_VALUE"""),305001)</f>
        <v>305001</v>
      </c>
      <c r="D701" s="1" t="str">
        <f ca="1">IFERROR(__xludf.DUMMYFUNCTION("""COMPUTED_VALUE"""),"Female")</f>
        <v>Female</v>
      </c>
      <c r="E701" s="1" t="str">
        <f ca="1">IFERROR(__xludf.DUMMYFUNCTION("""COMPUTED_VALUE"""),"My Parents")</f>
        <v>My Parents</v>
      </c>
      <c r="F701" s="1" t="str">
        <f ca="1">IFERROR(__xludf.DUMMYFUNCTION("""COMPUTED_VALUE"""),"No, But if someone could bare the cost I will")</f>
        <v>No, But if someone could bare the cost I will</v>
      </c>
      <c r="G701" s="1" t="str">
        <f ca="1">IFERROR(__xludf.DUMMYFUNCTION("""COMPUTED_VALUE"""),"This will be hard to do, but if it is the right company I would try")</f>
        <v>This will be hard to do, but if it is the right company I would try</v>
      </c>
      <c r="H701" s="1" t="str">
        <f ca="1">IFERROR(__xludf.DUMMYFUNCTION("""COMPUTED_VALUE"""),"Yes")</f>
        <v>Yes</v>
      </c>
      <c r="I701" s="1" t="str">
        <f ca="1">IFERROR(__xludf.DUMMYFUNCTION("""COMPUTED_VALUE"""),"Will NOT work for them")</f>
        <v>Will NOT work for them</v>
      </c>
      <c r="J701" s="1">
        <f ca="1">IFERROR(__xludf.DUMMYFUNCTION("""COMPUTED_VALUE"""),6)</f>
        <v>6</v>
      </c>
      <c r="K701" s="1" t="str">
        <f ca="1">IFERROR(__xludf.DUMMYFUNCTION("""COMPUTED_VALUE"""),"Hybrid Working Environment with less than 3 days a month at office")</f>
        <v>Hybrid Working Environment with less than 3 days a month at office</v>
      </c>
      <c r="L701" s="1" t="str">
        <f ca="1">IFERROR(__xludf.DUMMYFUNCTION("""COMPUTED_VALUE"""),"Employer who pushes your limits by enabling an learning environment, and rewards you at the end")</f>
        <v>Employer who pushes your limits by enabling an learning environment, and rewards you at the end</v>
      </c>
      <c r="M70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N701" s="1"/>
      <c r="O701" s="1" t="str">
        <f ca="1">IFERROR(__xludf.DUMMYFUNCTION("""COMPUTED_VALUE"""),"Manager who explains what is expected, sets a goal and helps achieve it")</f>
        <v>Manager who explains what is expected, sets a goal and helps achieve it</v>
      </c>
      <c r="P701" s="1" t="str">
        <f ca="1">IFERROR(__xludf.DUMMYFUNCTION("""COMPUTED_VALUE"""),"Work &gt;=7 People in the Team")</f>
        <v>Work &gt;=7 People in the Team</v>
      </c>
      <c r="Q701" s="1" t="s">
        <v>43</v>
      </c>
      <c r="R701" s="1"/>
    </row>
    <row r="702" spans="1:18" x14ac:dyDescent="0.25">
      <c r="A702" s="2">
        <f ca="1">IFERROR(__xludf.DUMMYFUNCTION("""COMPUTED_VALUE"""),45022.02115478)</f>
        <v>45022.021154779999</v>
      </c>
      <c r="B702" s="1" t="str">
        <f ca="1">IFERROR(__xludf.DUMMYFUNCTION("""COMPUTED_VALUE"""),"India")</f>
        <v>India</v>
      </c>
      <c r="C702" s="1">
        <f ca="1">IFERROR(__xludf.DUMMYFUNCTION("""COMPUTED_VALUE"""),382418)</f>
        <v>382418</v>
      </c>
      <c r="D702" s="1" t="str">
        <f ca="1">IFERROR(__xludf.DUMMYFUNCTION("""COMPUTED_VALUE"""),"Female")</f>
        <v>Female</v>
      </c>
      <c r="E702" s="1" t="str">
        <f ca="1">IFERROR(__xludf.DUMMYFUNCTION("""COMPUTED_VALUE"""),"My Parents")</f>
        <v>My Parents</v>
      </c>
      <c r="F702" s="1" t="str">
        <f ca="1">IFERROR(__xludf.DUMMYFUNCTION("""COMPUTED_VALUE"""),"No I would not be pursuing Higher Education outside of India")</f>
        <v>No I would not be pursuing Higher Education outside of India</v>
      </c>
      <c r="G702" s="1" t="str">
        <f ca="1">IFERROR(__xludf.DUMMYFUNCTION("""COMPUTED_VALUE"""),"This will be hard to do, but if it is the right company I would try")</f>
        <v>This will be hard to do, but if it is the right company I would try</v>
      </c>
      <c r="H702" s="1" t="str">
        <f ca="1">IFERROR(__xludf.DUMMYFUNCTION("""COMPUTED_VALUE"""),"No")</f>
        <v>No</v>
      </c>
      <c r="I702" s="1" t="str">
        <f ca="1">IFERROR(__xludf.DUMMYFUNCTION("""COMPUTED_VALUE"""),"Will NOT work for them")</f>
        <v>Will NOT work for them</v>
      </c>
      <c r="J702" s="1">
        <f ca="1">IFERROR(__xludf.DUMMYFUNCTION("""COMPUTED_VALUE"""),1)</f>
        <v>1</v>
      </c>
      <c r="K702" s="1" t="str">
        <f ca="1">IFERROR(__xludf.DUMMYFUNCTION("""COMPUTED_VALUE"""),"Fully Remote with Options to travel as and when needed")</f>
        <v>Fully Remote with Options to travel as and when needed</v>
      </c>
      <c r="L702" s="1" t="str">
        <f ca="1">IFERROR(__xludf.DUMMYFUNCTION("""COMPUTED_VALUE"""),"Employer who pushes your limits by enabling an learning environment, and rewards you at the end")</f>
        <v>Employer who pushes your limits by enabling an learning environment, and rewards you at the end</v>
      </c>
      <c r="M70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N702" s="1"/>
      <c r="O702" s="1" t="str">
        <f ca="1">IFERROR(__xludf.DUMMYFUNCTION("""COMPUTED_VALUE"""),"Manager who explains what is expected, sets a goal and helps achieve it")</f>
        <v>Manager who explains what is expected, sets a goal and helps achieve it</v>
      </c>
      <c r="P702" s="1" t="str">
        <f ca="1">IFERROR(__xludf.DUMMYFUNCTION("""COMPUTED_VALUE"""),"Work &lt;=6 People in the Team")</f>
        <v>Work &lt;=6 People in the Team</v>
      </c>
      <c r="Q702" s="1" t="s">
        <v>43</v>
      </c>
      <c r="R702" s="1"/>
    </row>
    <row r="703" spans="1:18" x14ac:dyDescent="0.25">
      <c r="A703" s="2">
        <f ca="1">IFERROR(__xludf.DUMMYFUNCTION("""COMPUTED_VALUE"""),45022.0321581365)</f>
        <v>45022.032158136499</v>
      </c>
      <c r="B703" s="1" t="str">
        <f ca="1">IFERROR(__xludf.DUMMYFUNCTION("""COMPUTED_VALUE"""),"India")</f>
        <v>India</v>
      </c>
      <c r="C703" s="1">
        <f ca="1">IFERROR(__xludf.DUMMYFUNCTION("""COMPUTED_VALUE"""),132001)</f>
        <v>132001</v>
      </c>
      <c r="D703" s="1" t="str">
        <f ca="1">IFERROR(__xludf.DUMMYFUNCTION("""COMPUTED_VALUE"""),"Female")</f>
        <v>Female</v>
      </c>
      <c r="E703" s="1" t="str">
        <f ca="1">IFERROR(__xludf.DUMMYFUNCTION("""COMPUTED_VALUE"""),"My Parents")</f>
        <v>My Parents</v>
      </c>
      <c r="F703" s="1" t="str">
        <f ca="1">IFERROR(__xludf.DUMMYFUNCTION("""COMPUTED_VALUE"""),"Yes, I will earn and do that")</f>
        <v>Yes, I will earn and do that</v>
      </c>
      <c r="G703" s="1" t="str">
        <f ca="1">IFERROR(__xludf.DUMMYFUNCTION("""COMPUTED_VALUE"""),"This will be hard to do, but if it is the right company I would try")</f>
        <v>This will be hard to do, but if it is the right company I would try</v>
      </c>
      <c r="H703" s="1" t="str">
        <f ca="1">IFERROR(__xludf.DUMMYFUNCTION("""COMPUTED_VALUE"""),"No")</f>
        <v>No</v>
      </c>
      <c r="I703" s="1" t="str">
        <f ca="1">IFERROR(__xludf.DUMMYFUNCTION("""COMPUTED_VALUE"""),"Will NOT work for them")</f>
        <v>Will NOT work for them</v>
      </c>
      <c r="J703" s="1">
        <f ca="1">IFERROR(__xludf.DUMMYFUNCTION("""COMPUTED_VALUE"""),5)</f>
        <v>5</v>
      </c>
      <c r="K703" s="1" t="str">
        <f ca="1">IFERROR(__xludf.DUMMYFUNCTION("""COMPUTED_VALUE"""),"Hybrid Working Environment with less than 3 days a month at office")</f>
        <v>Hybrid Working Environment with less than 3 days a month at office</v>
      </c>
      <c r="L703" s="1" t="str">
        <f ca="1">IFERROR(__xludf.DUMMYFUNCTION("""COMPUTED_VALUE"""),"Employer who pushes your limits by enabling an learning environment, and rewards you at the end")</f>
        <v>Employer who pushes your limits by enabling an learning environment, and rewards you at the end</v>
      </c>
      <c r="M703"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703" s="1"/>
      <c r="O703" s="1" t="str">
        <f ca="1">IFERROR(__xludf.DUMMYFUNCTION("""COMPUTED_VALUE"""),"Manager who explains what is expected, sets a goal and helps achieve it")</f>
        <v>Manager who explains what is expected, sets a goal and helps achieve it</v>
      </c>
      <c r="P703" s="1" t="str">
        <f ca="1">IFERROR(__xludf.DUMMYFUNCTION("""COMPUTED_VALUE"""),"Work &gt;10 people in Team")</f>
        <v>Work &gt;10 people in Team</v>
      </c>
      <c r="Q703" s="1" t="s">
        <v>43</v>
      </c>
      <c r="R703" s="1"/>
    </row>
    <row r="704" spans="1:18" x14ac:dyDescent="0.25">
      <c r="A704" s="2">
        <f ca="1">IFERROR(__xludf.DUMMYFUNCTION("""COMPUTED_VALUE"""),45022.066252662)</f>
        <v>45022.066252662</v>
      </c>
      <c r="B704" s="1" t="str">
        <f ca="1">IFERROR(__xludf.DUMMYFUNCTION("""COMPUTED_VALUE"""),"Others")</f>
        <v>Others</v>
      </c>
      <c r="C704" s="1" t="str">
        <f ca="1">IFERROR(__xludf.DUMMYFUNCTION("""COMPUTED_VALUE"""),"01-923")</f>
        <v>01-923</v>
      </c>
      <c r="D704" s="1" t="str">
        <f ca="1">IFERROR(__xludf.DUMMYFUNCTION("""COMPUTED_VALUE"""),"Female")</f>
        <v>Female</v>
      </c>
      <c r="E704" s="1" t="str">
        <f ca="1">IFERROR(__xludf.DUMMYFUNCTION("""COMPUTED_VALUE"""),"People who have changed the world for better")</f>
        <v>People who have changed the world for better</v>
      </c>
      <c r="F704" s="1" t="str">
        <f ca="1">IFERROR(__xludf.DUMMYFUNCTION("""COMPUTED_VALUE"""),"Yes, I will earn and do that")</f>
        <v>Yes, I will earn and do that</v>
      </c>
      <c r="G704" s="1" t="str">
        <f ca="1">IFERROR(__xludf.DUMMYFUNCTION("""COMPUTED_VALUE"""),"This will be hard to do, but if it is the right company I would try")</f>
        <v>This will be hard to do, but if it is the right company I would try</v>
      </c>
      <c r="H704" s="1" t="str">
        <f ca="1">IFERROR(__xludf.DUMMYFUNCTION("""COMPUTED_VALUE"""),"Yes")</f>
        <v>Yes</v>
      </c>
      <c r="I704" s="1" t="str">
        <f ca="1">IFERROR(__xludf.DUMMYFUNCTION("""COMPUTED_VALUE"""),"Will NOT work for them")</f>
        <v>Will NOT work for them</v>
      </c>
      <c r="J704" s="1">
        <f ca="1">IFERROR(__xludf.DUMMYFUNCTION("""COMPUTED_VALUE"""),7)</f>
        <v>7</v>
      </c>
      <c r="K704" s="1" t="str">
        <f ca="1">IFERROR(__xludf.DUMMYFUNCTION("""COMPUTED_VALUE"""),"Fully Remote with No option to visit offices")</f>
        <v>Fully Remote with No option to visit offices</v>
      </c>
      <c r="L704" s="1" t="str">
        <f ca="1">IFERROR(__xludf.DUMMYFUNCTION("""COMPUTED_VALUE"""),"Employer who pushes your limits by enabling an learning environment, and rewards you at the end")</f>
        <v>Employer who pushes your limits by enabling an learning environment, and rewards you at the end</v>
      </c>
      <c r="M704"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N704" s="1"/>
      <c r="O704" s="1" t="str">
        <f ca="1">IFERROR(__xludf.DUMMYFUNCTION("""COMPUTED_VALUE"""),"Manager who explains what is expected, sets a goal and helps achieve it")</f>
        <v>Manager who explains what is expected, sets a goal and helps achieve it</v>
      </c>
      <c r="P704" s="1" t="str">
        <f ca="1">IFERROR(__xludf.DUMMYFUNCTION("""COMPUTED_VALUE"""),"Work alone")</f>
        <v>Work alone</v>
      </c>
      <c r="Q704" s="1" t="s">
        <v>42</v>
      </c>
      <c r="R704" s="1"/>
    </row>
    <row r="705" spans="1:18" x14ac:dyDescent="0.25">
      <c r="A705" s="2">
        <f ca="1">IFERROR(__xludf.DUMMYFUNCTION("""COMPUTED_VALUE"""),45022.0782620023)</f>
        <v>45022.078262002302</v>
      </c>
      <c r="B705" s="1" t="str">
        <f ca="1">IFERROR(__xludf.DUMMYFUNCTION("""COMPUTED_VALUE"""),"India")</f>
        <v>India</v>
      </c>
      <c r="C705" s="1">
        <f ca="1">IFERROR(__xludf.DUMMYFUNCTION("""COMPUTED_VALUE"""),670562)</f>
        <v>670562</v>
      </c>
      <c r="D705" s="1" t="str">
        <f ca="1">IFERROR(__xludf.DUMMYFUNCTION("""COMPUTED_VALUE"""),"Male")</f>
        <v>Male</v>
      </c>
      <c r="E705" s="1" t="str">
        <f ca="1">IFERROR(__xludf.DUMMYFUNCTION("""COMPUTED_VALUE"""),"People who have changed the world for better")</f>
        <v>People who have changed the world for better</v>
      </c>
      <c r="F705" s="1" t="str">
        <f ca="1">IFERROR(__xludf.DUMMYFUNCTION("""COMPUTED_VALUE"""),"Yes, I will earn and do that")</f>
        <v>Yes, I will earn and do that</v>
      </c>
      <c r="G705" s="1" t="str">
        <f ca="1">IFERROR(__xludf.DUMMYFUNCTION("""COMPUTED_VALUE"""),"This will be hard to do, but if it is the right company I would try")</f>
        <v>This will be hard to do, but if it is the right company I would try</v>
      </c>
      <c r="H705" s="1" t="str">
        <f ca="1">IFERROR(__xludf.DUMMYFUNCTION("""COMPUTED_VALUE"""),"No")</f>
        <v>No</v>
      </c>
      <c r="I705" s="1" t="str">
        <f ca="1">IFERROR(__xludf.DUMMYFUNCTION("""COMPUTED_VALUE"""),"Will work for them")</f>
        <v>Will work for them</v>
      </c>
      <c r="J705" s="1">
        <f ca="1">IFERROR(__xludf.DUMMYFUNCTION("""COMPUTED_VALUE"""),8)</f>
        <v>8</v>
      </c>
      <c r="K705" s="1" t="str">
        <f ca="1">IFERROR(__xludf.DUMMYFUNCTION("""COMPUTED_VALUE"""),"Every Day Office Environment")</f>
        <v>Every Day Office Environment</v>
      </c>
      <c r="L705" s="1" t="str">
        <f ca="1">IFERROR(__xludf.DUMMYFUNCTION("""COMPUTED_VALUE"""),"Employer who pushes your limits by enabling an learning environment, and rewards you at the end")</f>
        <v>Employer who pushes your limits by enabling an learning environment, and rewards you at the end</v>
      </c>
      <c r="M705"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N705" s="1"/>
      <c r="O705" s="1" t="str">
        <f ca="1">IFERROR(__xludf.DUMMYFUNCTION("""COMPUTED_VALUE"""),"Manager who explains what is expected, sets a goal and helps achieve it")</f>
        <v>Manager who explains what is expected, sets a goal and helps achieve it</v>
      </c>
      <c r="P705" s="1" t="str">
        <f ca="1">IFERROR(__xludf.DUMMYFUNCTION("""COMPUTED_VALUE"""),"Work &lt;=6 People in the Team")</f>
        <v>Work &lt;=6 People in the Team</v>
      </c>
      <c r="Q705" s="1" t="s">
        <v>40</v>
      </c>
      <c r="R705" s="1"/>
    </row>
    <row r="706" spans="1:18" x14ac:dyDescent="0.25">
      <c r="A706" s="2">
        <f ca="1">IFERROR(__xludf.DUMMYFUNCTION("""COMPUTED_VALUE"""),45022.108504618)</f>
        <v>45022.108504618001</v>
      </c>
      <c r="B706" s="1" t="str">
        <f ca="1">IFERROR(__xludf.DUMMYFUNCTION("""COMPUTED_VALUE"""),"India")</f>
        <v>India</v>
      </c>
      <c r="C706" s="1">
        <f ca="1">IFERROR(__xludf.DUMMYFUNCTION("""COMPUTED_VALUE"""),560094)</f>
        <v>560094</v>
      </c>
      <c r="D706" s="1" t="str">
        <f ca="1">IFERROR(__xludf.DUMMYFUNCTION("""COMPUTED_VALUE"""),"Male")</f>
        <v>Male</v>
      </c>
      <c r="E706" s="1" t="str">
        <f ca="1">IFERROR(__xludf.DUMMYFUNCTION("""COMPUTED_VALUE"""),"People who have changed the world for better")</f>
        <v>People who have changed the world for better</v>
      </c>
      <c r="F706" s="1" t="str">
        <f ca="1">IFERROR(__xludf.DUMMYFUNCTION("""COMPUTED_VALUE"""),"Yes, I will earn and do that")</f>
        <v>Yes, I will earn and do that</v>
      </c>
      <c r="G706" s="1" t="str">
        <f ca="1">IFERROR(__xludf.DUMMYFUNCTION("""COMPUTED_VALUE"""),"Will work for 3 years or more")</f>
        <v>Will work for 3 years or more</v>
      </c>
      <c r="H706" s="1" t="str">
        <f ca="1">IFERROR(__xludf.DUMMYFUNCTION("""COMPUTED_VALUE"""),"No")</f>
        <v>No</v>
      </c>
      <c r="I706" s="1" t="str">
        <f ca="1">IFERROR(__xludf.DUMMYFUNCTION("""COMPUTED_VALUE"""),"Will NOT work for them")</f>
        <v>Will NOT work for them</v>
      </c>
      <c r="J706" s="1">
        <f ca="1">IFERROR(__xludf.DUMMYFUNCTION("""COMPUTED_VALUE"""),5)</f>
        <v>5</v>
      </c>
      <c r="K706" s="1" t="str">
        <f ca="1">IFERROR(__xludf.DUMMYFUNCTION("""COMPUTED_VALUE"""),"Fully Remote with Options to travel as and when needed")</f>
        <v>Fully Remote with Options to travel as and when needed</v>
      </c>
      <c r="L706" s="1" t="str">
        <f ca="1">IFERROR(__xludf.DUMMYFUNCTION("""COMPUTED_VALUE"""),"Employer who pushes your limits by enabling an learning environment, and rewards you at the end")</f>
        <v>Employer who pushes your limits by enabling an learning environment, and rewards you at the end</v>
      </c>
      <c r="M70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706" s="1"/>
      <c r="O706" s="1" t="str">
        <f ca="1">IFERROR(__xludf.DUMMYFUNCTION("""COMPUTED_VALUE"""),"Manager who explains what is expected, sets a goal and helps achieve it")</f>
        <v>Manager who explains what is expected, sets a goal and helps achieve it</v>
      </c>
      <c r="P706" s="1" t="str">
        <f ca="1">IFERROR(__xludf.DUMMYFUNCTION("""COMPUTED_VALUE"""),"Work Alone, &lt;=6 in team")</f>
        <v>Work Alone, &lt;=6 in team</v>
      </c>
      <c r="Q706" s="1" t="s">
        <v>42</v>
      </c>
      <c r="R706" s="1"/>
    </row>
    <row r="707" spans="1:18" x14ac:dyDescent="0.25">
      <c r="A707" s="2">
        <f ca="1">IFERROR(__xludf.DUMMYFUNCTION("""COMPUTED_VALUE"""),45022.1750761342)</f>
        <v>45022.175076134197</v>
      </c>
      <c r="B707" s="1" t="str">
        <f ca="1">IFERROR(__xludf.DUMMYFUNCTION("""COMPUTED_VALUE"""),"India")</f>
        <v>India</v>
      </c>
      <c r="C707" s="1">
        <f ca="1">IFERROR(__xludf.DUMMYFUNCTION("""COMPUTED_VALUE"""),560050)</f>
        <v>560050</v>
      </c>
      <c r="D707" s="1" t="str">
        <f ca="1">IFERROR(__xludf.DUMMYFUNCTION("""COMPUTED_VALUE"""),"Male")</f>
        <v>Male</v>
      </c>
      <c r="E707" s="1" t="str">
        <f ca="1">IFERROR(__xludf.DUMMYFUNCTION("""COMPUTED_VALUE"""),"People from my circle, but not family members")</f>
        <v>People from my circle, but not family members</v>
      </c>
      <c r="F707" s="1" t="str">
        <f ca="1">IFERROR(__xludf.DUMMYFUNCTION("""COMPUTED_VALUE"""),"Yes, I will earn and do that")</f>
        <v>Yes, I will earn and do that</v>
      </c>
      <c r="G707" s="1" t="str">
        <f ca="1">IFERROR(__xludf.DUMMYFUNCTION("""COMPUTED_VALUE"""),"Will work for 3 years or more")</f>
        <v>Will work for 3 years or more</v>
      </c>
      <c r="H707" s="1" t="str">
        <f ca="1">IFERROR(__xludf.DUMMYFUNCTION("""COMPUTED_VALUE"""),"Yes")</f>
        <v>Yes</v>
      </c>
      <c r="I707" s="1" t="str">
        <f ca="1">IFERROR(__xludf.DUMMYFUNCTION("""COMPUTED_VALUE"""),"Will work for them")</f>
        <v>Will work for them</v>
      </c>
      <c r="J707" s="1">
        <f ca="1">IFERROR(__xludf.DUMMYFUNCTION("""COMPUTED_VALUE"""),10)</f>
        <v>10</v>
      </c>
      <c r="K707" s="1" t="str">
        <f ca="1">IFERROR(__xludf.DUMMYFUNCTION("""COMPUTED_VALUE"""),"Every Day Office Environment")</f>
        <v>Every Day Office Environment</v>
      </c>
      <c r="L707" s="1" t="str">
        <f ca="1">IFERROR(__xludf.DUMMYFUNCTION("""COMPUTED_VALUE"""),"Employer who pushes your limits by enabling an learning environment, and rewards you at the end")</f>
        <v>Employer who pushes your limits by enabling an learning environment, and rewards you at the end</v>
      </c>
      <c r="M70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N707" s="1"/>
      <c r="O707" s="1" t="str">
        <f ca="1">IFERROR(__xludf.DUMMYFUNCTION("""COMPUTED_VALUE"""),"Manager who explains what is expected, sets a goal and helps achieve it")</f>
        <v>Manager who explains what is expected, sets a goal and helps achieve it</v>
      </c>
      <c r="P707" s="1" t="str">
        <f ca="1">IFERROR(__xludf.DUMMYFUNCTION("""COMPUTED_VALUE"""),"Work &lt;=6 People in the Team")</f>
        <v>Work &lt;=6 People in the Team</v>
      </c>
      <c r="Q707" s="1" t="s">
        <v>43</v>
      </c>
      <c r="R707" s="1"/>
    </row>
    <row r="708" spans="1:18" x14ac:dyDescent="0.25">
      <c r="A708" s="2">
        <f ca="1">IFERROR(__xludf.DUMMYFUNCTION("""COMPUTED_VALUE"""),45022.2340270254)</f>
        <v>45022.234027025399</v>
      </c>
      <c r="B708" s="1" t="str">
        <f ca="1">IFERROR(__xludf.DUMMYFUNCTION("""COMPUTED_VALUE"""),"India")</f>
        <v>India</v>
      </c>
      <c r="C708" s="1">
        <f ca="1">IFERROR(__xludf.DUMMYFUNCTION("""COMPUTED_VALUE"""),577127)</f>
        <v>577127</v>
      </c>
      <c r="D708" s="1" t="str">
        <f ca="1">IFERROR(__xludf.DUMMYFUNCTION("""COMPUTED_VALUE"""),"Female")</f>
        <v>Female</v>
      </c>
      <c r="E708" s="1" t="str">
        <f ca="1">IFERROR(__xludf.DUMMYFUNCTION("""COMPUTED_VALUE"""),"Social Media like LinkedIn")</f>
        <v>Social Media like LinkedIn</v>
      </c>
      <c r="F708" s="1" t="str">
        <f ca="1">IFERROR(__xludf.DUMMYFUNCTION("""COMPUTED_VALUE"""),"No, But if someone could bare the cost I will")</f>
        <v>No, But if someone could bare the cost I will</v>
      </c>
      <c r="G708" s="1" t="str">
        <f ca="1">IFERROR(__xludf.DUMMYFUNCTION("""COMPUTED_VALUE"""),"Will work for 3 years or more")</f>
        <v>Will work for 3 years or more</v>
      </c>
      <c r="H708" s="1" t="str">
        <f ca="1">IFERROR(__xludf.DUMMYFUNCTION("""COMPUTED_VALUE"""),"No")</f>
        <v>No</v>
      </c>
      <c r="I708" s="1" t="str">
        <f ca="1">IFERROR(__xludf.DUMMYFUNCTION("""COMPUTED_VALUE"""),"Will NOT work for them")</f>
        <v>Will NOT work for them</v>
      </c>
      <c r="J708" s="1">
        <f ca="1">IFERROR(__xludf.DUMMYFUNCTION("""COMPUTED_VALUE"""),1)</f>
        <v>1</v>
      </c>
      <c r="K708" s="1" t="str">
        <f ca="1">IFERROR(__xludf.DUMMYFUNCTION("""COMPUTED_VALUE"""),"Fully Remote with Options to travel as and when needed")</f>
        <v>Fully Remote with Options to travel as and when needed</v>
      </c>
      <c r="L708" s="1" t="str">
        <f ca="1">IFERROR(__xludf.DUMMYFUNCTION("""COMPUTED_VALUE"""),"Employer who appreciates learning and enables that environment")</f>
        <v>Employer who appreciates learning and enables that environment</v>
      </c>
      <c r="M708" s="1" t="str">
        <f ca="1">IFERROR(__xludf.DUMMYFUNCTION("""COMPUTED_VALUE"""),"Design and Creative strategy in any company, Design and Develop amazing software, Work as a freelancer and do my thing my way, I Want to sell things/Sales")</f>
        <v>Design and Creative strategy in any company, Design and Develop amazing software, Work as a freelancer and do my thing my way, I Want to sell things/Sales</v>
      </c>
      <c r="N708" s="1"/>
      <c r="O708" s="1" t="str">
        <f ca="1">IFERROR(__xludf.DUMMYFUNCTION("""COMPUTED_VALUE"""),"Manager who sets goal and helps me achieve it")</f>
        <v>Manager who sets goal and helps me achieve it</v>
      </c>
      <c r="P708" s="1" t="str">
        <f ca="1">IFERROR(__xludf.DUMMYFUNCTION("""COMPUTED_VALUE"""),"Work alone")</f>
        <v>Work alone</v>
      </c>
      <c r="Q708" s="1" t="s">
        <v>42</v>
      </c>
      <c r="R708" s="1"/>
    </row>
    <row r="709" spans="1:18" x14ac:dyDescent="0.25">
      <c r="A709" s="2">
        <f ca="1">IFERROR(__xludf.DUMMYFUNCTION("""COMPUTED_VALUE"""),45022.2463726967)</f>
        <v>45022.246372696703</v>
      </c>
      <c r="B709" s="1" t="str">
        <f ca="1">IFERROR(__xludf.DUMMYFUNCTION("""COMPUTED_VALUE"""),"India")</f>
        <v>India</v>
      </c>
      <c r="C709" s="1">
        <f ca="1">IFERROR(__xludf.DUMMYFUNCTION("""COMPUTED_VALUE"""),151001)</f>
        <v>151001</v>
      </c>
      <c r="D709" s="1" t="str">
        <f ca="1">IFERROR(__xludf.DUMMYFUNCTION("""COMPUTED_VALUE"""),"Male")</f>
        <v>Male</v>
      </c>
      <c r="E709" s="1" t="str">
        <f ca="1">IFERROR(__xludf.DUMMYFUNCTION("""COMPUTED_VALUE"""),"Influencers who had successful careers")</f>
        <v>Influencers who had successful careers</v>
      </c>
      <c r="F709" s="1" t="str">
        <f ca="1">IFERROR(__xludf.DUMMYFUNCTION("""COMPUTED_VALUE"""),"Yes, I will earn and do that")</f>
        <v>Yes, I will earn and do that</v>
      </c>
      <c r="G709" s="1" t="str">
        <f ca="1">IFERROR(__xludf.DUMMYFUNCTION("""COMPUTED_VALUE"""),"Will work for 3 years or more")</f>
        <v>Will work for 3 years or more</v>
      </c>
      <c r="H709" s="1" t="str">
        <f ca="1">IFERROR(__xludf.DUMMYFUNCTION("""COMPUTED_VALUE"""),"No")</f>
        <v>No</v>
      </c>
      <c r="I709" s="1" t="str">
        <f ca="1">IFERROR(__xludf.DUMMYFUNCTION("""COMPUTED_VALUE"""),"Will work for them")</f>
        <v>Will work for them</v>
      </c>
      <c r="J709" s="1">
        <f ca="1">IFERROR(__xludf.DUMMYFUNCTION("""COMPUTED_VALUE"""),6)</f>
        <v>6</v>
      </c>
      <c r="K709" s="1" t="str">
        <f ca="1">IFERROR(__xludf.DUMMYFUNCTION("""COMPUTED_VALUE"""),"Hybrid Working Environment with more than 15 days a month at office")</f>
        <v>Hybrid Working Environment with more than 15 days a month at office</v>
      </c>
      <c r="L709" s="1" t="str">
        <f ca="1">IFERROR(__xludf.DUMMYFUNCTION("""COMPUTED_VALUE"""),"Employer who pushes your limits by enabling an learning environment, and rewards you at the end")</f>
        <v>Employer who pushes your limits by enabling an learning environment, and rewards you at the end</v>
      </c>
      <c r="M709"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N709" s="1"/>
      <c r="O709" s="1" t="str">
        <f ca="1">IFERROR(__xludf.DUMMYFUNCTION("""COMPUTED_VALUE"""),"Manager who explains what is expected, sets a goal and helps achieve it")</f>
        <v>Manager who explains what is expected, sets a goal and helps achieve it</v>
      </c>
      <c r="P709" s="1" t="str">
        <f ca="1">IFERROR(__xludf.DUMMYFUNCTION("""COMPUTED_VALUE"""),"Work Alone, &lt;67 people in team")</f>
        <v>Work Alone, &lt;67 people in team</v>
      </c>
      <c r="Q709" s="1" t="s">
        <v>43</v>
      </c>
      <c r="R709" s="1"/>
    </row>
    <row r="710" spans="1:18" x14ac:dyDescent="0.25">
      <c r="A710" s="2">
        <f ca="1">IFERROR(__xludf.DUMMYFUNCTION("""COMPUTED_VALUE"""),45022.2503601041)</f>
        <v>45022.250360104103</v>
      </c>
      <c r="B710" s="1" t="str">
        <f ca="1">IFERROR(__xludf.DUMMYFUNCTION("""COMPUTED_VALUE"""),"Canada")</f>
        <v>Canada</v>
      </c>
      <c r="C710" s="1" t="str">
        <f ca="1">IFERROR(__xludf.DUMMYFUNCTION("""COMPUTED_VALUE"""),"N5v3c4")</f>
        <v>N5v3c4</v>
      </c>
      <c r="D710" s="1" t="str">
        <f ca="1">IFERROR(__xludf.DUMMYFUNCTION("""COMPUTED_VALUE"""),"Male")</f>
        <v>Male</v>
      </c>
      <c r="E710" s="1" t="str">
        <f ca="1">IFERROR(__xludf.DUMMYFUNCTION("""COMPUTED_VALUE"""),"Social Media like LinkedIn")</f>
        <v>Social Media like LinkedIn</v>
      </c>
      <c r="F710" s="1" t="str">
        <f ca="1">IFERROR(__xludf.DUMMYFUNCTION("""COMPUTED_VALUE"""),"Yes, I will earn and do that")</f>
        <v>Yes, I will earn and do that</v>
      </c>
      <c r="G710" s="1" t="str">
        <f ca="1">IFERROR(__xludf.DUMMYFUNCTION("""COMPUTED_VALUE"""),"Will work for 3 years or more")</f>
        <v>Will work for 3 years or more</v>
      </c>
      <c r="H710" s="1" t="str">
        <f ca="1">IFERROR(__xludf.DUMMYFUNCTION("""COMPUTED_VALUE"""),"No")</f>
        <v>No</v>
      </c>
      <c r="I710" s="1" t="str">
        <f ca="1">IFERROR(__xludf.DUMMYFUNCTION("""COMPUTED_VALUE"""),"Will NOT work for them")</f>
        <v>Will NOT work for them</v>
      </c>
      <c r="J710" s="1">
        <f ca="1">IFERROR(__xludf.DUMMYFUNCTION("""COMPUTED_VALUE"""),6)</f>
        <v>6</v>
      </c>
      <c r="K710" s="1" t="str">
        <f ca="1">IFERROR(__xludf.DUMMYFUNCTION("""COMPUTED_VALUE"""),"Fully Remote with Options to travel as and when needed")</f>
        <v>Fully Remote with Options to travel as and when needed</v>
      </c>
      <c r="L710" s="1" t="str">
        <f ca="1">IFERROR(__xludf.DUMMYFUNCTION("""COMPUTED_VALUE"""),"Employer who pushes your limits by enabling an learning environment, and rewards you at the end")</f>
        <v>Employer who pushes your limits by enabling an learning environment, and rewards you at the end</v>
      </c>
      <c r="M71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710" s="1"/>
      <c r="O710" s="1" t="str">
        <f ca="1">IFERROR(__xludf.DUMMYFUNCTION("""COMPUTED_VALUE"""),"Manager who explains what is expected, sets a goal and helps achieve it")</f>
        <v>Manager who explains what is expected, sets a goal and helps achieve it</v>
      </c>
      <c r="P710" s="1" t="str">
        <f ca="1">IFERROR(__xludf.DUMMYFUNCTION("""COMPUTED_VALUE"""),"Work &lt;=6 People in the Team")</f>
        <v>Work &lt;=6 People in the Team</v>
      </c>
      <c r="Q710" s="1" t="s">
        <v>42</v>
      </c>
      <c r="R710" s="1"/>
    </row>
    <row r="711" spans="1:18" x14ac:dyDescent="0.25">
      <c r="A711" s="2">
        <f ca="1">IFERROR(__xludf.DUMMYFUNCTION("""COMPUTED_VALUE"""),45022.2517667592)</f>
        <v>45022.251766759196</v>
      </c>
      <c r="B711" s="1" t="str">
        <f ca="1">IFERROR(__xludf.DUMMYFUNCTION("""COMPUTED_VALUE"""),"India")</f>
        <v>India</v>
      </c>
      <c r="C711" s="1">
        <f ca="1">IFERROR(__xludf.DUMMYFUNCTION("""COMPUTED_VALUE"""),441009)</f>
        <v>441009</v>
      </c>
      <c r="D711" s="1" t="str">
        <f ca="1">IFERROR(__xludf.DUMMYFUNCTION("""COMPUTED_VALUE"""),"Male")</f>
        <v>Male</v>
      </c>
      <c r="E711" s="1" t="str">
        <f ca="1">IFERROR(__xludf.DUMMYFUNCTION("""COMPUTED_VALUE"""),"Social Media like LinkedIn")</f>
        <v>Social Media like LinkedIn</v>
      </c>
      <c r="F711" s="1" t="str">
        <f ca="1">IFERROR(__xludf.DUMMYFUNCTION("""COMPUTED_VALUE"""),"No I would not be pursuing Higher Education outside of India")</f>
        <v>No I would not be pursuing Higher Education outside of India</v>
      </c>
      <c r="G711" s="1" t="str">
        <f ca="1">IFERROR(__xludf.DUMMYFUNCTION("""COMPUTED_VALUE"""),"Will work for 3 years or more")</f>
        <v>Will work for 3 years or more</v>
      </c>
      <c r="H711" s="1" t="str">
        <f ca="1">IFERROR(__xludf.DUMMYFUNCTION("""COMPUTED_VALUE"""),"No")</f>
        <v>No</v>
      </c>
      <c r="I711" s="1" t="str">
        <f ca="1">IFERROR(__xludf.DUMMYFUNCTION("""COMPUTED_VALUE"""),"Will NOT work for them")</f>
        <v>Will NOT work for them</v>
      </c>
      <c r="J711" s="1">
        <f ca="1">IFERROR(__xludf.DUMMYFUNCTION("""COMPUTED_VALUE"""),7)</f>
        <v>7</v>
      </c>
      <c r="K711" s="1" t="str">
        <f ca="1">IFERROR(__xludf.DUMMYFUNCTION("""COMPUTED_VALUE"""),"Hybrid Working Environment with more than 15 days a month at office")</f>
        <v>Hybrid Working Environment with more than 15 days a month at office</v>
      </c>
      <c r="L711" s="1" t="str">
        <f ca="1">IFERROR(__xludf.DUMMYFUNCTION("""COMPUTED_VALUE"""),"Employer who pushes your limits by enabling an learning environment, and rewards you at the end")</f>
        <v>Employer who pushes your limits by enabling an learning environment, and rewards you at the end</v>
      </c>
      <c r="M71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711" s="1"/>
      <c r="O711" s="1" t="str">
        <f ca="1">IFERROR(__xludf.DUMMYFUNCTION("""COMPUTED_VALUE"""),"Manager who explains what is expected, sets a goal and helps achieve it")</f>
        <v>Manager who explains what is expected, sets a goal and helps achieve it</v>
      </c>
      <c r="P711" s="1" t="str">
        <f ca="1">IFERROR(__xludf.DUMMYFUNCTION("""COMPUTED_VALUE"""),"Work &lt;=6 People in the Team")</f>
        <v>Work &lt;=6 People in the Team</v>
      </c>
      <c r="Q711" s="1" t="s">
        <v>43</v>
      </c>
      <c r="R711" s="1"/>
    </row>
    <row r="712" spans="1:18" x14ac:dyDescent="0.25">
      <c r="A712" s="2">
        <f ca="1">IFERROR(__xludf.DUMMYFUNCTION("""COMPUTED_VALUE"""),45022.2573698495)</f>
        <v>45022.257369849503</v>
      </c>
      <c r="B712" s="1" t="str">
        <f ca="1">IFERROR(__xludf.DUMMYFUNCTION("""COMPUTED_VALUE"""),"India")</f>
        <v>India</v>
      </c>
      <c r="C712" s="1">
        <f ca="1">IFERROR(__xludf.DUMMYFUNCTION("""COMPUTED_VALUE"""),201310)</f>
        <v>201310</v>
      </c>
      <c r="D712" s="1" t="str">
        <f ca="1">IFERROR(__xludf.DUMMYFUNCTION("""COMPUTED_VALUE"""),"Male")</f>
        <v>Male</v>
      </c>
      <c r="E712" s="1" t="str">
        <f ca="1">IFERROR(__xludf.DUMMYFUNCTION("""COMPUTED_VALUE"""),"People from my circle, but not family members")</f>
        <v>People from my circle, but not family members</v>
      </c>
      <c r="F712" s="1" t="str">
        <f ca="1">IFERROR(__xludf.DUMMYFUNCTION("""COMPUTED_VALUE"""),"No, But if someone could bare the cost I will")</f>
        <v>No, But if someone could bare the cost I will</v>
      </c>
      <c r="G712" s="1" t="str">
        <f ca="1">IFERROR(__xludf.DUMMYFUNCTION("""COMPUTED_VALUE"""),"This will be hard to do, but if it is the right company I would try")</f>
        <v>This will be hard to do, but if it is the right company I would try</v>
      </c>
      <c r="H712" s="1" t="str">
        <f ca="1">IFERROR(__xludf.DUMMYFUNCTION("""COMPUTED_VALUE"""),"No")</f>
        <v>No</v>
      </c>
      <c r="I712" s="1" t="str">
        <f ca="1">IFERROR(__xludf.DUMMYFUNCTION("""COMPUTED_VALUE"""),"Will NOT work for them")</f>
        <v>Will NOT work for them</v>
      </c>
      <c r="J712" s="1">
        <f ca="1">IFERROR(__xludf.DUMMYFUNCTION("""COMPUTED_VALUE"""),5)</f>
        <v>5</v>
      </c>
      <c r="K712" s="1" t="str">
        <f ca="1">IFERROR(__xludf.DUMMYFUNCTION("""COMPUTED_VALUE"""),"Hybrid Working Environment with more than 15 days a month at office")</f>
        <v>Hybrid Working Environment with more than 15 days a month at office</v>
      </c>
      <c r="L712" s="1" t="str">
        <f ca="1">IFERROR(__xludf.DUMMYFUNCTION("""COMPUTED_VALUE"""),"Employer who appreciates learning and enables that environment")</f>
        <v>Employer who appreciates learning and enables that environment</v>
      </c>
      <c r="M712"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712" s="1"/>
      <c r="O712" s="1" t="str">
        <f ca="1">IFERROR(__xludf.DUMMYFUNCTION("""COMPUTED_VALUE"""),"Manager who explains what is expected, sets a goal and helps achieve it")</f>
        <v>Manager who explains what is expected, sets a goal and helps achieve it</v>
      </c>
      <c r="P712" s="1" t="str">
        <f ca="1">IFERROR(__xludf.DUMMYFUNCTION("""COMPUTED_VALUE"""),"Work &lt;=6 People in the Team")</f>
        <v>Work &lt;=6 People in the Team</v>
      </c>
      <c r="Q712" s="1" t="s">
        <v>43</v>
      </c>
      <c r="R712" s="1"/>
    </row>
    <row r="713" spans="1:18" x14ac:dyDescent="0.25">
      <c r="A713" s="2">
        <f ca="1">IFERROR(__xludf.DUMMYFUNCTION("""COMPUTED_VALUE"""),45022.2981129398)</f>
        <v>45022.298112939803</v>
      </c>
      <c r="B713" s="1" t="str">
        <f ca="1">IFERROR(__xludf.DUMMYFUNCTION("""COMPUTED_VALUE"""),"India")</f>
        <v>India</v>
      </c>
      <c r="C713" s="1">
        <f ca="1">IFERROR(__xludf.DUMMYFUNCTION("""COMPUTED_VALUE"""),445402)</f>
        <v>445402</v>
      </c>
      <c r="D713" s="1" t="str">
        <f ca="1">IFERROR(__xludf.DUMMYFUNCTION("""COMPUTED_VALUE"""),"Male")</f>
        <v>Male</v>
      </c>
      <c r="E713" s="1" t="str">
        <f ca="1">IFERROR(__xludf.DUMMYFUNCTION("""COMPUTED_VALUE"""),"People who have changed the world for better")</f>
        <v>People who have changed the world for better</v>
      </c>
      <c r="F713" s="1" t="str">
        <f ca="1">IFERROR(__xludf.DUMMYFUNCTION("""COMPUTED_VALUE"""),"Yes, I will earn and do that")</f>
        <v>Yes, I will earn and do that</v>
      </c>
      <c r="G713" s="1" t="str">
        <f ca="1">IFERROR(__xludf.DUMMYFUNCTION("""COMPUTED_VALUE"""),"This will be hard to do, but if it is the right company I would try")</f>
        <v>This will be hard to do, but if it is the right company I would try</v>
      </c>
      <c r="H713" s="1" t="str">
        <f ca="1">IFERROR(__xludf.DUMMYFUNCTION("""COMPUTED_VALUE"""),"No")</f>
        <v>No</v>
      </c>
      <c r="I713" s="1" t="str">
        <f ca="1">IFERROR(__xludf.DUMMYFUNCTION("""COMPUTED_VALUE"""),"Will NOT work for them")</f>
        <v>Will NOT work for them</v>
      </c>
      <c r="J713" s="1">
        <f ca="1">IFERROR(__xludf.DUMMYFUNCTION("""COMPUTED_VALUE"""),10)</f>
        <v>10</v>
      </c>
      <c r="K713" s="1" t="str">
        <f ca="1">IFERROR(__xludf.DUMMYFUNCTION("""COMPUTED_VALUE"""),"Fully Remote with Options to travel as and when needed")</f>
        <v>Fully Remote with Options to travel as and when needed</v>
      </c>
      <c r="L713" s="1" t="str">
        <f ca="1">IFERROR(__xludf.DUMMYFUNCTION("""COMPUTED_VALUE"""),"Employer who appreciates learning and enables that environment")</f>
        <v>Employer who appreciates learning and enables that environment</v>
      </c>
      <c r="M713"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N713" s="1"/>
      <c r="O713" s="1" t="str">
        <f ca="1">IFERROR(__xludf.DUMMYFUNCTION("""COMPUTED_VALUE"""),"Manager who sets unrealistic targets")</f>
        <v>Manager who sets unrealistic targets</v>
      </c>
      <c r="P713" s="1" t="str">
        <f ca="1">IFERROR(__xludf.DUMMYFUNCTION("""COMPUTED_VALUE"""),"Work &lt;=6 People in the Team")</f>
        <v>Work &lt;=6 People in the Team</v>
      </c>
      <c r="Q713" s="1" t="s">
        <v>43</v>
      </c>
      <c r="R713" s="1"/>
    </row>
    <row r="714" spans="1:18" x14ac:dyDescent="0.25">
      <c r="A714" s="2">
        <f ca="1">IFERROR(__xludf.DUMMYFUNCTION("""COMPUTED_VALUE"""),45022.3134262615)</f>
        <v>45022.313426261499</v>
      </c>
      <c r="B714" s="1" t="str">
        <f ca="1">IFERROR(__xludf.DUMMYFUNCTION("""COMPUTED_VALUE"""),"India")</f>
        <v>India</v>
      </c>
      <c r="C714" s="1">
        <f ca="1">IFERROR(__xludf.DUMMYFUNCTION("""COMPUTED_VALUE"""),110059)</f>
        <v>110059</v>
      </c>
      <c r="D714" s="1" t="str">
        <f ca="1">IFERROR(__xludf.DUMMYFUNCTION("""COMPUTED_VALUE"""),"Male")</f>
        <v>Male</v>
      </c>
      <c r="E714" s="1" t="str">
        <f ca="1">IFERROR(__xludf.DUMMYFUNCTION("""COMPUTED_VALUE"""),"Influencers who had successful careers")</f>
        <v>Influencers who had successful careers</v>
      </c>
      <c r="F714" s="1" t="str">
        <f ca="1">IFERROR(__xludf.DUMMYFUNCTION("""COMPUTED_VALUE"""),"Yes, I will earn and do that")</f>
        <v>Yes, I will earn and do that</v>
      </c>
      <c r="G714" s="1" t="str">
        <f ca="1">IFERROR(__xludf.DUMMYFUNCTION("""COMPUTED_VALUE"""),"No way")</f>
        <v>No way</v>
      </c>
      <c r="H714" s="1" t="str">
        <f ca="1">IFERROR(__xludf.DUMMYFUNCTION("""COMPUTED_VALUE"""),"Yes")</f>
        <v>Yes</v>
      </c>
      <c r="I714" s="1" t="str">
        <f ca="1">IFERROR(__xludf.DUMMYFUNCTION("""COMPUTED_VALUE"""),"Will NOT work for them")</f>
        <v>Will NOT work for them</v>
      </c>
      <c r="J714" s="1">
        <f ca="1">IFERROR(__xludf.DUMMYFUNCTION("""COMPUTED_VALUE"""),5)</f>
        <v>5</v>
      </c>
      <c r="K714" s="1" t="str">
        <f ca="1">IFERROR(__xludf.DUMMYFUNCTION("""COMPUTED_VALUE"""),"Fully Remote with No option to visit offices")</f>
        <v>Fully Remote with No option to visit offices</v>
      </c>
      <c r="L714" s="1" t="str">
        <f ca="1">IFERROR(__xludf.DUMMYFUNCTION("""COMPUTED_VALUE"""),"Employer who rewards learning and enables that environment")</f>
        <v>Employer who rewards learning and enables that environment</v>
      </c>
      <c r="M714"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N714" s="1"/>
      <c r="O714" s="1" t="str">
        <f ca="1">IFERROR(__xludf.DUMMYFUNCTION("""COMPUTED_VALUE"""),"Manager who clearly describes what she/he needs")</f>
        <v>Manager who clearly describes what she/he needs</v>
      </c>
      <c r="P714" s="1" t="str">
        <f ca="1">IFERROR(__xludf.DUMMYFUNCTION("""COMPUTED_VALUE"""),"Work &gt;=7 People in the Team")</f>
        <v>Work &gt;=7 People in the Team</v>
      </c>
      <c r="Q714" s="1" t="s">
        <v>43</v>
      </c>
      <c r="R714" s="1"/>
    </row>
    <row r="715" spans="1:18" x14ac:dyDescent="0.25">
      <c r="A715" s="2">
        <f ca="1">IFERROR(__xludf.DUMMYFUNCTION("""COMPUTED_VALUE"""),45022.3277223958)</f>
        <v>45022.327722395799</v>
      </c>
      <c r="B715" s="1" t="str">
        <f ca="1">IFERROR(__xludf.DUMMYFUNCTION("""COMPUTED_VALUE"""),"India")</f>
        <v>India</v>
      </c>
      <c r="C715" s="1">
        <f ca="1">IFERROR(__xludf.DUMMYFUNCTION("""COMPUTED_VALUE"""),395009)</f>
        <v>395009</v>
      </c>
      <c r="D715" s="1" t="str">
        <f ca="1">IFERROR(__xludf.DUMMYFUNCTION("""COMPUTED_VALUE"""),"Female")</f>
        <v>Female</v>
      </c>
      <c r="E715" s="1" t="str">
        <f ca="1">IFERROR(__xludf.DUMMYFUNCTION("""COMPUTED_VALUE"""),"Influencers who had successful careers")</f>
        <v>Influencers who had successful careers</v>
      </c>
      <c r="F715" s="1" t="str">
        <f ca="1">IFERROR(__xludf.DUMMYFUNCTION("""COMPUTED_VALUE"""),"Yes, I will earn and do that")</f>
        <v>Yes, I will earn and do that</v>
      </c>
      <c r="G715" s="1" t="str">
        <f ca="1">IFERROR(__xludf.DUMMYFUNCTION("""COMPUTED_VALUE"""),"This will be hard to do, but if it is the right company I would try")</f>
        <v>This will be hard to do, but if it is the right company I would try</v>
      </c>
      <c r="H715" s="1" t="str">
        <f ca="1">IFERROR(__xludf.DUMMYFUNCTION("""COMPUTED_VALUE"""),"No")</f>
        <v>No</v>
      </c>
      <c r="I715" s="1" t="str">
        <f ca="1">IFERROR(__xludf.DUMMYFUNCTION("""COMPUTED_VALUE"""),"Will NOT work for them")</f>
        <v>Will NOT work for them</v>
      </c>
      <c r="J715" s="1">
        <f ca="1">IFERROR(__xludf.DUMMYFUNCTION("""COMPUTED_VALUE"""),5)</f>
        <v>5</v>
      </c>
      <c r="K715" s="1" t="str">
        <f ca="1">IFERROR(__xludf.DUMMYFUNCTION("""COMPUTED_VALUE"""),"Every Day Office Environment")</f>
        <v>Every Day Office Environment</v>
      </c>
      <c r="L715" s="1" t="str">
        <f ca="1">IFERROR(__xludf.DUMMYFUNCTION("""COMPUTED_VALUE"""),"Employer who pushes your limits by enabling an learning environment, and rewards you at the end")</f>
        <v>Employer who pushes your limits by enabling an learning environment, and rewards you at the end</v>
      </c>
      <c r="M71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715" s="1"/>
      <c r="O715" s="1" t="str">
        <f ca="1">IFERROR(__xludf.DUMMYFUNCTION("""COMPUTED_VALUE"""),"Manager who explains what is expected, sets a goal and helps achieve it")</f>
        <v>Manager who explains what is expected, sets a goal and helps achieve it</v>
      </c>
      <c r="P715" s="1" t="str">
        <f ca="1">IFERROR(__xludf.DUMMYFUNCTION("""COMPUTED_VALUE"""),"Work &lt;=6 People in the Team")</f>
        <v>Work &lt;=6 People in the Team</v>
      </c>
      <c r="Q715" s="1" t="s">
        <v>40</v>
      </c>
      <c r="R715" s="1"/>
    </row>
    <row r="716" spans="1:18" x14ac:dyDescent="0.25">
      <c r="A716" s="2">
        <f ca="1">IFERROR(__xludf.DUMMYFUNCTION("""COMPUTED_VALUE"""),45022.3375505208)</f>
        <v>45022.337550520802</v>
      </c>
      <c r="B716" s="1" t="str">
        <f ca="1">IFERROR(__xludf.DUMMYFUNCTION("""COMPUTED_VALUE"""),"India")</f>
        <v>India</v>
      </c>
      <c r="C716" s="1">
        <f ca="1">IFERROR(__xludf.DUMMYFUNCTION("""COMPUTED_VALUE"""),462041)</f>
        <v>462041</v>
      </c>
      <c r="D716" s="1" t="str">
        <f ca="1">IFERROR(__xludf.DUMMYFUNCTION("""COMPUTED_VALUE"""),"Male")</f>
        <v>Male</v>
      </c>
      <c r="E716" s="1" t="str">
        <f ca="1">IFERROR(__xludf.DUMMYFUNCTION("""COMPUTED_VALUE"""),"My Parents")</f>
        <v>My Parents</v>
      </c>
      <c r="F716" s="1" t="str">
        <f ca="1">IFERROR(__xludf.DUMMYFUNCTION("""COMPUTED_VALUE"""),"Yes, I will earn and do that")</f>
        <v>Yes, I will earn and do that</v>
      </c>
      <c r="G716" s="1" t="str">
        <f ca="1">IFERROR(__xludf.DUMMYFUNCTION("""COMPUTED_VALUE"""),"This will be hard to do, but if it is the right company I would try")</f>
        <v>This will be hard to do, but if it is the right company I would try</v>
      </c>
      <c r="H716" s="1" t="str">
        <f ca="1">IFERROR(__xludf.DUMMYFUNCTION("""COMPUTED_VALUE"""),"No")</f>
        <v>No</v>
      </c>
      <c r="I716" s="1" t="str">
        <f ca="1">IFERROR(__xludf.DUMMYFUNCTION("""COMPUTED_VALUE"""),"Will NOT work for them")</f>
        <v>Will NOT work for them</v>
      </c>
      <c r="J716" s="1">
        <f ca="1">IFERROR(__xludf.DUMMYFUNCTION("""COMPUTED_VALUE"""),4)</f>
        <v>4</v>
      </c>
      <c r="K716" s="1" t="str">
        <f ca="1">IFERROR(__xludf.DUMMYFUNCTION("""COMPUTED_VALUE"""),"Fully Remote with Options to travel as and when needed")</f>
        <v>Fully Remote with Options to travel as and when needed</v>
      </c>
      <c r="L716" s="1" t="str">
        <f ca="1">IFERROR(__xludf.DUMMYFUNCTION("""COMPUTED_VALUE"""),"Employer who pushes your limits by enabling an learning environment, and rewards you at the end")</f>
        <v>Employer who pushes your limits by enabling an learning environment, and rewards you at the end</v>
      </c>
      <c r="M716" s="1" t="str">
        <f ca="1">IFERROR(__xludf.DUMMYFUNCTION("""COMPUTED_VALUE"""),"Business Operations in any organization, Look deeply into Data and generate insights, Entrepreneur or Start Up, Manufacturing / Oil and Gas/ Construction / Hard Physical Work related")</f>
        <v>Business Operations in any organization, Look deeply into Data and generate insights, Entrepreneur or Start Up, Manufacturing / Oil and Gas/ Construction / Hard Physical Work related</v>
      </c>
      <c r="N716" s="1"/>
      <c r="O716" s="1" t="str">
        <f ca="1">IFERROR(__xludf.DUMMYFUNCTION("""COMPUTED_VALUE"""),"Manager who sets goal and helps me achieve it")</f>
        <v>Manager who sets goal and helps me achieve it</v>
      </c>
      <c r="P716" s="1" t="str">
        <f ca="1">IFERROR(__xludf.DUMMYFUNCTION("""COMPUTED_VALUE"""),"Work &lt;=6 People in the Team")</f>
        <v>Work &lt;=6 People in the Team</v>
      </c>
      <c r="Q716" s="1" t="s">
        <v>43</v>
      </c>
      <c r="R716" s="1"/>
    </row>
    <row r="717" spans="1:18" x14ac:dyDescent="0.25">
      <c r="A717" s="2">
        <f ca="1">IFERROR(__xludf.DUMMYFUNCTION("""COMPUTED_VALUE"""),45022.3699236458)</f>
        <v>45022.369923645798</v>
      </c>
      <c r="B717" s="1" t="str">
        <f ca="1">IFERROR(__xludf.DUMMYFUNCTION("""COMPUTED_VALUE"""),"India")</f>
        <v>India</v>
      </c>
      <c r="C717" s="1">
        <f ca="1">IFERROR(__xludf.DUMMYFUNCTION("""COMPUTED_VALUE"""),110077)</f>
        <v>110077</v>
      </c>
      <c r="D717" s="1" t="str">
        <f ca="1">IFERROR(__xludf.DUMMYFUNCTION("""COMPUTED_VALUE"""),"Male")</f>
        <v>Male</v>
      </c>
      <c r="E717" s="1" t="str">
        <f ca="1">IFERROR(__xludf.DUMMYFUNCTION("""COMPUTED_VALUE"""),"People from my circle, but not family members")</f>
        <v>People from my circle, but not family members</v>
      </c>
      <c r="F717" s="1" t="str">
        <f ca="1">IFERROR(__xludf.DUMMYFUNCTION("""COMPUTED_VALUE"""),"No I would not be pursuing Higher Education outside of India")</f>
        <v>No I would not be pursuing Higher Education outside of India</v>
      </c>
      <c r="G717" s="1" t="str">
        <f ca="1">IFERROR(__xludf.DUMMYFUNCTION("""COMPUTED_VALUE"""),"Will work for 3 years or more")</f>
        <v>Will work for 3 years or more</v>
      </c>
      <c r="H717" s="1" t="str">
        <f ca="1">IFERROR(__xludf.DUMMYFUNCTION("""COMPUTED_VALUE"""),"Yes")</f>
        <v>Yes</v>
      </c>
      <c r="I717" s="1" t="str">
        <f ca="1">IFERROR(__xludf.DUMMYFUNCTION("""COMPUTED_VALUE"""),"Will NOT work for them")</f>
        <v>Will NOT work for them</v>
      </c>
      <c r="J717" s="1">
        <f ca="1">IFERROR(__xludf.DUMMYFUNCTION("""COMPUTED_VALUE"""),7)</f>
        <v>7</v>
      </c>
      <c r="K717" s="1" t="str">
        <f ca="1">IFERROR(__xludf.DUMMYFUNCTION("""COMPUTED_VALUE"""),"Fully Remote with Options to travel as and when needed")</f>
        <v>Fully Remote with Options to travel as and when needed</v>
      </c>
      <c r="L717" s="1" t="str">
        <f ca="1">IFERROR(__xludf.DUMMYFUNCTION("""COMPUTED_VALUE"""),"Employer who pushes your limits by enabling an learning environment, and rewards you at the end")</f>
        <v>Employer who pushes your limits by enabling an learning environment, and rewards you at the end</v>
      </c>
      <c r="M717"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N717" s="1"/>
      <c r="O717" s="1" t="str">
        <f ca="1">IFERROR(__xludf.DUMMYFUNCTION("""COMPUTED_VALUE"""),"Manager who explains what is expected, sets a goal and helps achieve it")</f>
        <v>Manager who explains what is expected, sets a goal and helps achieve it</v>
      </c>
      <c r="P717" s="1" t="str">
        <f ca="1">IFERROR(__xludf.DUMMYFUNCTION("""COMPUTED_VALUE"""),"Work &lt;=6 People in the Team")</f>
        <v>Work &lt;=6 People in the Team</v>
      </c>
      <c r="Q717" s="1" t="s">
        <v>40</v>
      </c>
      <c r="R717" s="1"/>
    </row>
    <row r="718" spans="1:18" x14ac:dyDescent="0.25">
      <c r="A718" s="2">
        <f ca="1">IFERROR(__xludf.DUMMYFUNCTION("""COMPUTED_VALUE"""),45022.3754539351)</f>
        <v>45022.375453935099</v>
      </c>
      <c r="B718" s="1" t="str">
        <f ca="1">IFERROR(__xludf.DUMMYFUNCTION("""COMPUTED_VALUE"""),"India")</f>
        <v>India</v>
      </c>
      <c r="C718" s="1">
        <f ca="1">IFERROR(__xludf.DUMMYFUNCTION("""COMPUTED_VALUE"""),400072)</f>
        <v>400072</v>
      </c>
      <c r="D718" s="1" t="str">
        <f ca="1">IFERROR(__xludf.DUMMYFUNCTION("""COMPUTED_VALUE"""),"Male")</f>
        <v>Male</v>
      </c>
      <c r="E718" s="1" t="str">
        <f ca="1">IFERROR(__xludf.DUMMYFUNCTION("""COMPUTED_VALUE"""),"People from my circle, but not family members")</f>
        <v>People from my circle, but not family members</v>
      </c>
      <c r="F718" s="1" t="str">
        <f ca="1">IFERROR(__xludf.DUMMYFUNCTION("""COMPUTED_VALUE"""),"Yes, I will earn and do that")</f>
        <v>Yes, I will earn and do that</v>
      </c>
      <c r="G718" s="1" t="str">
        <f ca="1">IFERROR(__xludf.DUMMYFUNCTION("""COMPUTED_VALUE"""),"Will work for 3 years or more")</f>
        <v>Will work for 3 years or more</v>
      </c>
      <c r="H718" s="1" t="str">
        <f ca="1">IFERROR(__xludf.DUMMYFUNCTION("""COMPUTED_VALUE"""),"No")</f>
        <v>No</v>
      </c>
      <c r="I718" s="1" t="str">
        <f ca="1">IFERROR(__xludf.DUMMYFUNCTION("""COMPUTED_VALUE"""),"Will NOT work for them")</f>
        <v>Will NOT work for them</v>
      </c>
      <c r="J718" s="1">
        <f ca="1">IFERROR(__xludf.DUMMYFUNCTION("""COMPUTED_VALUE"""),4)</f>
        <v>4</v>
      </c>
      <c r="K718" s="1" t="str">
        <f ca="1">IFERROR(__xludf.DUMMYFUNCTION("""COMPUTED_VALUE"""),"Hybrid Working Environment with more than 15 days a month at office")</f>
        <v>Hybrid Working Environment with more than 15 days a month at office</v>
      </c>
      <c r="L718" s="1" t="str">
        <f ca="1">IFERROR(__xludf.DUMMYFUNCTION("""COMPUTED_VALUE"""),"Employer who appreciates learning and enables that environment")</f>
        <v>Employer who appreciates learning and enables that environment</v>
      </c>
      <c r="M71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718" s="1"/>
      <c r="O718" s="1" t="str">
        <f ca="1">IFERROR(__xludf.DUMMYFUNCTION("""COMPUTED_VALUE"""),"Manager who explains what is expected, sets a goal and helps achieve it")</f>
        <v>Manager who explains what is expected, sets a goal and helps achieve it</v>
      </c>
      <c r="P718" s="1" t="str">
        <f ca="1">IFERROR(__xludf.DUMMYFUNCTION("""COMPUTED_VALUE"""),"Work &gt;10 people in Team")</f>
        <v>Work &gt;10 people in Team</v>
      </c>
      <c r="Q718" s="1" t="s">
        <v>43</v>
      </c>
      <c r="R718" s="1"/>
    </row>
    <row r="719" spans="1:18" x14ac:dyDescent="0.25">
      <c r="A719" s="2">
        <f ca="1">IFERROR(__xludf.DUMMYFUNCTION("""COMPUTED_VALUE"""),45022.3808359722)</f>
        <v>45022.380835972202</v>
      </c>
      <c r="B719" s="1" t="str">
        <f ca="1">IFERROR(__xludf.DUMMYFUNCTION("""COMPUTED_VALUE"""),"India")</f>
        <v>India</v>
      </c>
      <c r="C719" s="1">
        <f ca="1">IFERROR(__xludf.DUMMYFUNCTION("""COMPUTED_VALUE"""),680508)</f>
        <v>680508</v>
      </c>
      <c r="D719" s="1" t="str">
        <f ca="1">IFERROR(__xludf.DUMMYFUNCTION("""COMPUTED_VALUE"""),"Male")</f>
        <v>Male</v>
      </c>
      <c r="E719" s="1" t="str">
        <f ca="1">IFERROR(__xludf.DUMMYFUNCTION("""COMPUTED_VALUE"""),"My Parents")</f>
        <v>My Parents</v>
      </c>
      <c r="F719" s="1" t="str">
        <f ca="1">IFERROR(__xludf.DUMMYFUNCTION("""COMPUTED_VALUE"""),"Yes, I will earn and do that")</f>
        <v>Yes, I will earn and do that</v>
      </c>
      <c r="G719" s="1" t="str">
        <f ca="1">IFERROR(__xludf.DUMMYFUNCTION("""COMPUTED_VALUE"""),"This will be hard to do, but if it is the right company I would try")</f>
        <v>This will be hard to do, but if it is the right company I would try</v>
      </c>
      <c r="H719" s="1" t="str">
        <f ca="1">IFERROR(__xludf.DUMMYFUNCTION("""COMPUTED_VALUE"""),"No")</f>
        <v>No</v>
      </c>
      <c r="I719" s="1" t="str">
        <f ca="1">IFERROR(__xludf.DUMMYFUNCTION("""COMPUTED_VALUE"""),"Will NOT work for them")</f>
        <v>Will NOT work for them</v>
      </c>
      <c r="J719" s="1">
        <f ca="1">IFERROR(__xludf.DUMMYFUNCTION("""COMPUTED_VALUE"""),9)</f>
        <v>9</v>
      </c>
      <c r="K719" s="1" t="str">
        <f ca="1">IFERROR(__xludf.DUMMYFUNCTION("""COMPUTED_VALUE"""),"Fully Remote with Options to travel as and when needed")</f>
        <v>Fully Remote with Options to travel as and when needed</v>
      </c>
      <c r="L719" s="1" t="str">
        <f ca="1">IFERROR(__xludf.DUMMYFUNCTION("""COMPUTED_VALUE"""),"Employer who rewards learning and enables that environment")</f>
        <v>Employer who rewards learning and enables that environment</v>
      </c>
      <c r="M719" s="1" t="str">
        <f ca="1">IFERROR(__xludf.DUMMYFUNCTION("""COMPUTED_VALUE"""),"Design and Creative strategy in any company, Build and develop a Team, I Want to sell things/Sales, Manufacturing / Oil and Gas/ Construction / Hard Physical Work related")</f>
        <v>Design and Creative strategy in any company, Build and develop a Team, I Want to sell things/Sales, Manufacturing / Oil and Gas/ Construction / Hard Physical Work related</v>
      </c>
      <c r="N719" s="1"/>
      <c r="O719" s="1" t="str">
        <f ca="1">IFERROR(__xludf.DUMMYFUNCTION("""COMPUTED_VALUE"""),"Manager who clearly describes what she/he needs")</f>
        <v>Manager who clearly describes what she/he needs</v>
      </c>
      <c r="P719" s="1" t="str">
        <f ca="1">IFERROR(__xludf.DUMMYFUNCTION("""COMPUTED_VALUE"""),"Work &lt;=6 People in the Team")</f>
        <v>Work &lt;=6 People in the Team</v>
      </c>
      <c r="Q719" s="1" t="s">
        <v>40</v>
      </c>
      <c r="R719" s="1"/>
    </row>
    <row r="720" spans="1:18" x14ac:dyDescent="0.25">
      <c r="A720" s="2">
        <f ca="1">IFERROR(__xludf.DUMMYFUNCTION("""COMPUTED_VALUE"""),45022.3892279513)</f>
        <v>45022.389227951302</v>
      </c>
      <c r="B720" s="1" t="str">
        <f ca="1">IFERROR(__xludf.DUMMYFUNCTION("""COMPUTED_VALUE"""),"India")</f>
        <v>India</v>
      </c>
      <c r="C720" s="1">
        <f ca="1">IFERROR(__xludf.DUMMYFUNCTION("""COMPUTED_VALUE"""),670011)</f>
        <v>670011</v>
      </c>
      <c r="D720" s="1" t="str">
        <f ca="1">IFERROR(__xludf.DUMMYFUNCTION("""COMPUTED_VALUE"""),"Female")</f>
        <v>Female</v>
      </c>
      <c r="E720" s="1" t="str">
        <f ca="1">IFERROR(__xludf.DUMMYFUNCTION("""COMPUTED_VALUE"""),"Social Media like LinkedIn")</f>
        <v>Social Media like LinkedIn</v>
      </c>
      <c r="F720" s="1" t="str">
        <f ca="1">IFERROR(__xludf.DUMMYFUNCTION("""COMPUTED_VALUE"""),"No I would not be pursuing Higher Education outside of India")</f>
        <v>No I would not be pursuing Higher Education outside of India</v>
      </c>
      <c r="G720" s="1" t="str">
        <f ca="1">IFERROR(__xludf.DUMMYFUNCTION("""COMPUTED_VALUE"""),"This will be hard to do, but if it is the right company I would try")</f>
        <v>This will be hard to do, but if it is the right company I would try</v>
      </c>
      <c r="H720" s="1" t="str">
        <f ca="1">IFERROR(__xludf.DUMMYFUNCTION("""COMPUTED_VALUE"""),"No")</f>
        <v>No</v>
      </c>
      <c r="I720" s="1" t="str">
        <f ca="1">IFERROR(__xludf.DUMMYFUNCTION("""COMPUTED_VALUE"""),"Will NOT work for them")</f>
        <v>Will NOT work for them</v>
      </c>
      <c r="J720" s="1">
        <f ca="1">IFERROR(__xludf.DUMMYFUNCTION("""COMPUTED_VALUE"""),6)</f>
        <v>6</v>
      </c>
      <c r="K720" s="1" t="str">
        <f ca="1">IFERROR(__xludf.DUMMYFUNCTION("""COMPUTED_VALUE"""),"Hybrid Working Environment with more than 15 days a month at office")</f>
        <v>Hybrid Working Environment with more than 15 days a month at office</v>
      </c>
      <c r="L720" s="1" t="str">
        <f ca="1">IFERROR(__xludf.DUMMYFUNCTION("""COMPUTED_VALUE"""),"Employer who pushes your limits by enabling an learning environment, and rewards you at the end")</f>
        <v>Employer who pushes your limits by enabling an learning environment, and rewards you at the end</v>
      </c>
      <c r="M720"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N720" s="1"/>
      <c r="O720" s="1" t="str">
        <f ca="1">IFERROR(__xludf.DUMMYFUNCTION("""COMPUTED_VALUE"""),"Manager who explains what is expected, sets a goal and helps achieve it")</f>
        <v>Manager who explains what is expected, sets a goal and helps achieve it</v>
      </c>
      <c r="P720" s="1" t="str">
        <f ca="1">IFERROR(__xludf.DUMMYFUNCTION("""COMPUTED_VALUE"""),"Work &lt;=6 People in the Team")</f>
        <v>Work &lt;=6 People in the Team</v>
      </c>
      <c r="Q720" s="1" t="s">
        <v>43</v>
      </c>
      <c r="R720" s="1"/>
    </row>
    <row r="721" spans="1:18" x14ac:dyDescent="0.25">
      <c r="A721" s="2">
        <f ca="1">IFERROR(__xludf.DUMMYFUNCTION("""COMPUTED_VALUE"""),45022.4110270833)</f>
        <v>45022.411027083297</v>
      </c>
      <c r="B721" s="1" t="str">
        <f ca="1">IFERROR(__xludf.DUMMYFUNCTION("""COMPUTED_VALUE"""),"India")</f>
        <v>India</v>
      </c>
      <c r="C721" s="1">
        <f ca="1">IFERROR(__xludf.DUMMYFUNCTION("""COMPUTED_VALUE"""),201009)</f>
        <v>201009</v>
      </c>
      <c r="D721" s="1" t="str">
        <f ca="1">IFERROR(__xludf.DUMMYFUNCTION("""COMPUTED_VALUE"""),"Female")</f>
        <v>Female</v>
      </c>
      <c r="E721" s="1" t="str">
        <f ca="1">IFERROR(__xludf.DUMMYFUNCTION("""COMPUTED_VALUE"""),"People from my circle, but not family members")</f>
        <v>People from my circle, but not family members</v>
      </c>
      <c r="F721" s="1" t="str">
        <f ca="1">IFERROR(__xludf.DUMMYFUNCTION("""COMPUTED_VALUE"""),"No, But if someone could bare the cost I will")</f>
        <v>No, But if someone could bare the cost I will</v>
      </c>
      <c r="G721" s="1" t="str">
        <f ca="1">IFERROR(__xludf.DUMMYFUNCTION("""COMPUTED_VALUE"""),"This will be hard to do, but if it is the right company I would try")</f>
        <v>This will be hard to do, but if it is the right company I would try</v>
      </c>
      <c r="H721" s="1" t="str">
        <f ca="1">IFERROR(__xludf.DUMMYFUNCTION("""COMPUTED_VALUE"""),"Yes")</f>
        <v>Yes</v>
      </c>
      <c r="I721" s="1" t="str">
        <f ca="1">IFERROR(__xludf.DUMMYFUNCTION("""COMPUTED_VALUE"""),"Will work for them")</f>
        <v>Will work for them</v>
      </c>
      <c r="J721" s="1">
        <f ca="1">IFERROR(__xludf.DUMMYFUNCTION("""COMPUTED_VALUE"""),6)</f>
        <v>6</v>
      </c>
      <c r="K721" s="1" t="str">
        <f ca="1">IFERROR(__xludf.DUMMYFUNCTION("""COMPUTED_VALUE"""),"Fully Remote with No option to visit offices")</f>
        <v>Fully Remote with No option to visit offices</v>
      </c>
      <c r="L721" s="1" t="str">
        <f ca="1">IFERROR(__xludf.DUMMYFUNCTION("""COMPUTED_VALUE"""),"Employer who appreciates learning and enables that environment")</f>
        <v>Employer who appreciates learning and enables that environment</v>
      </c>
      <c r="M72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721" s="1"/>
      <c r="O721" s="1" t="str">
        <f ca="1">IFERROR(__xludf.DUMMYFUNCTION("""COMPUTED_VALUE"""),"Manager who explains what is expected, sets a goal and helps achieve it")</f>
        <v>Manager who explains what is expected, sets a goal and helps achieve it</v>
      </c>
      <c r="P721" s="1" t="str">
        <f ca="1">IFERROR(__xludf.DUMMYFUNCTION("""COMPUTED_VALUE"""),"Work Alone, &lt;=6 in team")</f>
        <v>Work Alone, &lt;=6 in team</v>
      </c>
      <c r="Q721" s="1" t="s">
        <v>43</v>
      </c>
      <c r="R721" s="1"/>
    </row>
    <row r="722" spans="1:18" x14ac:dyDescent="0.25">
      <c r="A722" s="2">
        <f ca="1">IFERROR(__xludf.DUMMYFUNCTION("""COMPUTED_VALUE"""),45022.4126948495)</f>
        <v>45022.412694849503</v>
      </c>
      <c r="B722" s="1" t="str">
        <f ca="1">IFERROR(__xludf.DUMMYFUNCTION("""COMPUTED_VALUE"""),"India")</f>
        <v>India</v>
      </c>
      <c r="C722" s="1">
        <f ca="1">IFERROR(__xludf.DUMMYFUNCTION("""COMPUTED_VALUE"""),201009)</f>
        <v>201009</v>
      </c>
      <c r="D722" s="1" t="str">
        <f ca="1">IFERROR(__xludf.DUMMYFUNCTION("""COMPUTED_VALUE"""),"Male")</f>
        <v>Male</v>
      </c>
      <c r="E722" s="1" t="str">
        <f ca="1">IFERROR(__xludf.DUMMYFUNCTION("""COMPUTED_VALUE"""),"People who have changed the world for better")</f>
        <v>People who have changed the world for better</v>
      </c>
      <c r="F722" s="1" t="str">
        <f ca="1">IFERROR(__xludf.DUMMYFUNCTION("""COMPUTED_VALUE"""),"No, But if someone could bare the cost I will")</f>
        <v>No, But if someone could bare the cost I will</v>
      </c>
      <c r="G722" s="1" t="str">
        <f ca="1">IFERROR(__xludf.DUMMYFUNCTION("""COMPUTED_VALUE"""),"This will be hard to do, but if it is the right company I would try")</f>
        <v>This will be hard to do, but if it is the right company I would try</v>
      </c>
      <c r="H722" s="1" t="str">
        <f ca="1">IFERROR(__xludf.DUMMYFUNCTION("""COMPUTED_VALUE"""),"No")</f>
        <v>No</v>
      </c>
      <c r="I722" s="1" t="str">
        <f ca="1">IFERROR(__xludf.DUMMYFUNCTION("""COMPUTED_VALUE"""),"Will work for them")</f>
        <v>Will work for them</v>
      </c>
      <c r="J722" s="1">
        <f ca="1">IFERROR(__xludf.DUMMYFUNCTION("""COMPUTED_VALUE"""),10)</f>
        <v>10</v>
      </c>
      <c r="K722" s="1" t="str">
        <f ca="1">IFERROR(__xludf.DUMMYFUNCTION("""COMPUTED_VALUE"""),"Hybrid Working Environment with more than 15 days a month at office")</f>
        <v>Hybrid Working Environment with more than 15 days a month at office</v>
      </c>
      <c r="L722" s="1" t="str">
        <f ca="1">IFERROR(__xludf.DUMMYFUNCTION("""COMPUTED_VALUE"""),"Employer who pushes your limits by enabling an learning environment, and rewards you at the end")</f>
        <v>Employer who pushes your limits by enabling an learning environment, and rewards you at the end</v>
      </c>
      <c r="M72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N722" s="1"/>
      <c r="O722" s="1" t="str">
        <f ca="1">IFERROR(__xludf.DUMMYFUNCTION("""COMPUTED_VALUE"""),"Manager who explains what is expected, sets a goal and helps achieve it")</f>
        <v>Manager who explains what is expected, sets a goal and helps achieve it</v>
      </c>
      <c r="P722" s="1" t="str">
        <f ca="1">IFERROR(__xludf.DUMMYFUNCTION("""COMPUTED_VALUE"""),"Work Alone, &lt;=6 in team")</f>
        <v>Work Alone, &lt;=6 in team</v>
      </c>
      <c r="Q722" s="1" t="s">
        <v>43</v>
      </c>
      <c r="R722" s="1"/>
    </row>
    <row r="723" spans="1:18" x14ac:dyDescent="0.25">
      <c r="A723" s="2">
        <f ca="1">IFERROR(__xludf.DUMMYFUNCTION("""COMPUTED_VALUE"""),45022.4171973032)</f>
        <v>45022.417197303199</v>
      </c>
      <c r="B723" s="1" t="str">
        <f ca="1">IFERROR(__xludf.DUMMYFUNCTION("""COMPUTED_VALUE"""),"India")</f>
        <v>India</v>
      </c>
      <c r="C723" s="1">
        <f ca="1">IFERROR(__xludf.DUMMYFUNCTION("""COMPUTED_VALUE"""),500072)</f>
        <v>500072</v>
      </c>
      <c r="D723" s="1" t="str">
        <f ca="1">IFERROR(__xludf.DUMMYFUNCTION("""COMPUTED_VALUE"""),"Male")</f>
        <v>Male</v>
      </c>
      <c r="E723" s="1" t="str">
        <f ca="1">IFERROR(__xludf.DUMMYFUNCTION("""COMPUTED_VALUE"""),"Social Media like LinkedIn")</f>
        <v>Social Media like LinkedIn</v>
      </c>
      <c r="F723" s="1" t="str">
        <f ca="1">IFERROR(__xludf.DUMMYFUNCTION("""COMPUTED_VALUE"""),"Yes, I will earn and do that")</f>
        <v>Yes, I will earn and do that</v>
      </c>
      <c r="G723" s="1" t="str">
        <f ca="1">IFERROR(__xludf.DUMMYFUNCTION("""COMPUTED_VALUE"""),"Will work for 3 years or more")</f>
        <v>Will work for 3 years or more</v>
      </c>
      <c r="H723" s="1" t="str">
        <f ca="1">IFERROR(__xludf.DUMMYFUNCTION("""COMPUTED_VALUE"""),"Yes")</f>
        <v>Yes</v>
      </c>
      <c r="I723" s="1" t="str">
        <f ca="1">IFERROR(__xludf.DUMMYFUNCTION("""COMPUTED_VALUE"""),"Will NOT work for them")</f>
        <v>Will NOT work for them</v>
      </c>
      <c r="J723" s="1">
        <f ca="1">IFERROR(__xludf.DUMMYFUNCTION("""COMPUTED_VALUE"""),1)</f>
        <v>1</v>
      </c>
      <c r="K723" s="1" t="str">
        <f ca="1">IFERROR(__xludf.DUMMYFUNCTION("""COMPUTED_VALUE"""),"Fully Remote with Options to travel as and when needed")</f>
        <v>Fully Remote with Options to travel as and when needed</v>
      </c>
      <c r="L723" s="1" t="str">
        <f ca="1">IFERROR(__xludf.DUMMYFUNCTION("""COMPUTED_VALUE"""),"Employer who pushes your limits by enabling an learning environment, and rewards you at the end")</f>
        <v>Employer who pushes your limits by enabling an learning environment, and rewards you at the end</v>
      </c>
      <c r="M7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723" s="1"/>
      <c r="O723" s="1" t="str">
        <f ca="1">IFERROR(__xludf.DUMMYFUNCTION("""COMPUTED_VALUE"""),"Manager who sets targets and expects me to achieve it")</f>
        <v>Manager who sets targets and expects me to achieve it</v>
      </c>
      <c r="P723" s="1" t="str">
        <f ca="1">IFERROR(__xludf.DUMMYFUNCTION("""COMPUTED_VALUE"""),"Work &gt;10 people in Team")</f>
        <v>Work &gt;10 people in Team</v>
      </c>
      <c r="Q723" s="1" t="s">
        <v>42</v>
      </c>
      <c r="R723" s="1"/>
    </row>
    <row r="724" spans="1:18" x14ac:dyDescent="0.25">
      <c r="A724" s="2">
        <f ca="1">IFERROR(__xludf.DUMMYFUNCTION("""COMPUTED_VALUE"""),45022.4183474074)</f>
        <v>45022.418347407402</v>
      </c>
      <c r="B724" s="1" t="str">
        <f ca="1">IFERROR(__xludf.DUMMYFUNCTION("""COMPUTED_VALUE"""),"India")</f>
        <v>India</v>
      </c>
      <c r="C724" s="1">
        <f ca="1">IFERROR(__xludf.DUMMYFUNCTION("""COMPUTED_VALUE"""),201009)</f>
        <v>201009</v>
      </c>
      <c r="D724" s="1" t="str">
        <f ca="1">IFERROR(__xludf.DUMMYFUNCTION("""COMPUTED_VALUE"""),"Female")</f>
        <v>Female</v>
      </c>
      <c r="E724" s="1" t="str">
        <f ca="1">IFERROR(__xludf.DUMMYFUNCTION("""COMPUTED_VALUE"""),"People who have changed the world for better")</f>
        <v>People who have changed the world for better</v>
      </c>
      <c r="F724" s="1" t="str">
        <f ca="1">IFERROR(__xludf.DUMMYFUNCTION("""COMPUTED_VALUE"""),"No, But if someone could bare the cost I will")</f>
        <v>No, But if someone could bare the cost I will</v>
      </c>
      <c r="G724" s="1" t="str">
        <f ca="1">IFERROR(__xludf.DUMMYFUNCTION("""COMPUTED_VALUE"""),"This will be hard to do, but if it is the right company I would try")</f>
        <v>This will be hard to do, but if it is the right company I would try</v>
      </c>
      <c r="H724" s="1" t="str">
        <f ca="1">IFERROR(__xludf.DUMMYFUNCTION("""COMPUTED_VALUE"""),"No")</f>
        <v>No</v>
      </c>
      <c r="I724" s="1" t="str">
        <f ca="1">IFERROR(__xludf.DUMMYFUNCTION("""COMPUTED_VALUE"""),"Will NOT work for them")</f>
        <v>Will NOT work for them</v>
      </c>
      <c r="J724" s="1">
        <f ca="1">IFERROR(__xludf.DUMMYFUNCTION("""COMPUTED_VALUE"""),2)</f>
        <v>2</v>
      </c>
      <c r="K724" s="1" t="str">
        <f ca="1">IFERROR(__xludf.DUMMYFUNCTION("""COMPUTED_VALUE"""),"Hybrid Working Environment with more than 15 days a month at office")</f>
        <v>Hybrid Working Environment with more than 15 days a month at office</v>
      </c>
      <c r="L724" s="1" t="str">
        <f ca="1">IFERROR(__xludf.DUMMYFUNCTION("""COMPUTED_VALUE"""),"Employer who rewards learning and enables that environment")</f>
        <v>Employer who rewards learning and enables that environment</v>
      </c>
      <c r="M724" s="1" t="str">
        <f ca="1">IFERROR(__xludf.DUMMYFUNCTION("""COMPUTED_VALUE"""),"Design and Creative strategy in any company, Teaching in any of the institutes/colleges/online or offline, Work in a BPO setup for some well known client, Work as a freelancer and do my thing my way")</f>
        <v>Design and Creative strategy in any company, Teaching in any of the institutes/colleges/online or offline, Work in a BPO setup for some well known client, Work as a freelancer and do my thing my way</v>
      </c>
      <c r="N724" s="1"/>
      <c r="O724" s="1" t="str">
        <f ca="1">IFERROR(__xludf.DUMMYFUNCTION("""COMPUTED_VALUE"""),"Manager who sets targets and expects me to achieve it")</f>
        <v>Manager who sets targets and expects me to achieve it</v>
      </c>
      <c r="P724" s="1" t="str">
        <f ca="1">IFERROR(__xludf.DUMMYFUNCTION("""COMPUTED_VALUE"""),"Work alone")</f>
        <v>Work alone</v>
      </c>
      <c r="Q724" s="1" t="s">
        <v>40</v>
      </c>
      <c r="R724" s="1"/>
    </row>
    <row r="725" spans="1:18" x14ac:dyDescent="0.25">
      <c r="A725" s="2">
        <f ca="1">IFERROR(__xludf.DUMMYFUNCTION("""COMPUTED_VALUE"""),45022.4297910416)</f>
        <v>45022.429791041599</v>
      </c>
      <c r="B725" s="1" t="str">
        <f ca="1">IFERROR(__xludf.DUMMYFUNCTION("""COMPUTED_VALUE"""),"India")</f>
        <v>India</v>
      </c>
      <c r="C725" s="1">
        <f ca="1">IFERROR(__xludf.DUMMYFUNCTION("""COMPUTED_VALUE"""),110017)</f>
        <v>110017</v>
      </c>
      <c r="D725" s="1" t="str">
        <f ca="1">IFERROR(__xludf.DUMMYFUNCTION("""COMPUTED_VALUE"""),"Male")</f>
        <v>Male</v>
      </c>
      <c r="E725" s="1" t="str">
        <f ca="1">IFERROR(__xludf.DUMMYFUNCTION("""COMPUTED_VALUE"""),"People from my circle, but not family members")</f>
        <v>People from my circle, but not family members</v>
      </c>
      <c r="F725" s="1" t="str">
        <f ca="1">IFERROR(__xludf.DUMMYFUNCTION("""COMPUTED_VALUE"""),"Yes, I will earn and do that")</f>
        <v>Yes, I will earn and do that</v>
      </c>
      <c r="G725" s="1" t="str">
        <f ca="1">IFERROR(__xludf.DUMMYFUNCTION("""COMPUTED_VALUE"""),"This will be hard to do, but if it is the right company I would try")</f>
        <v>This will be hard to do, but if it is the right company I would try</v>
      </c>
      <c r="H725" s="1" t="str">
        <f ca="1">IFERROR(__xludf.DUMMYFUNCTION("""COMPUTED_VALUE"""),"No")</f>
        <v>No</v>
      </c>
      <c r="I725" s="1" t="str">
        <f ca="1">IFERROR(__xludf.DUMMYFUNCTION("""COMPUTED_VALUE"""),"Will NOT work for them")</f>
        <v>Will NOT work for them</v>
      </c>
      <c r="J725" s="1">
        <f ca="1">IFERROR(__xludf.DUMMYFUNCTION("""COMPUTED_VALUE"""),6)</f>
        <v>6</v>
      </c>
      <c r="K725" s="1" t="str">
        <f ca="1">IFERROR(__xludf.DUMMYFUNCTION("""COMPUTED_VALUE"""),"Fully Remote with Options to travel as and when needed")</f>
        <v>Fully Remote with Options to travel as and when needed</v>
      </c>
      <c r="L725" s="1" t="str">
        <f ca="1">IFERROR(__xludf.DUMMYFUNCTION("""COMPUTED_VALUE"""),"Employer who pushes your limits by enabling an learning environment, and rewards you at the end")</f>
        <v>Employer who pushes your limits by enabling an learning environment, and rewards you at the end</v>
      </c>
      <c r="M725"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N725" s="1"/>
      <c r="O725" s="1" t="str">
        <f ca="1">IFERROR(__xludf.DUMMYFUNCTION("""COMPUTED_VALUE"""),"Manager who sets goal and helps me achieve it")</f>
        <v>Manager who sets goal and helps me achieve it</v>
      </c>
      <c r="P725" s="1" t="str">
        <f ca="1">IFERROR(__xludf.DUMMYFUNCTION("""COMPUTED_VALUE"""),"Work &lt;=6 People in the Team")</f>
        <v>Work &lt;=6 People in the Team</v>
      </c>
      <c r="Q725" s="1" t="s">
        <v>43</v>
      </c>
      <c r="R725" s="1"/>
    </row>
    <row r="726" spans="1:18" x14ac:dyDescent="0.25">
      <c r="A726" s="2">
        <f ca="1">IFERROR(__xludf.DUMMYFUNCTION("""COMPUTED_VALUE"""),45022.4314708217)</f>
        <v>45022.431470821699</v>
      </c>
      <c r="B726" s="1" t="str">
        <f ca="1">IFERROR(__xludf.DUMMYFUNCTION("""COMPUTED_VALUE"""),"India")</f>
        <v>India</v>
      </c>
      <c r="C726" s="1">
        <f ca="1">IFERROR(__xludf.DUMMYFUNCTION("""COMPUTED_VALUE"""),721422)</f>
        <v>721422</v>
      </c>
      <c r="D726" s="1" t="str">
        <f ca="1">IFERROR(__xludf.DUMMYFUNCTION("""COMPUTED_VALUE"""),"Male")</f>
        <v>Male</v>
      </c>
      <c r="E726" s="1" t="str">
        <f ca="1">IFERROR(__xludf.DUMMYFUNCTION("""COMPUTED_VALUE"""),"My Parents")</f>
        <v>My Parents</v>
      </c>
      <c r="F726" s="1" t="str">
        <f ca="1">IFERROR(__xludf.DUMMYFUNCTION("""COMPUTED_VALUE"""),"No I would not be pursuing Higher Education outside of India")</f>
        <v>No I would not be pursuing Higher Education outside of India</v>
      </c>
      <c r="G726" s="1" t="str">
        <f ca="1">IFERROR(__xludf.DUMMYFUNCTION("""COMPUTED_VALUE"""),"Will work for 3 years or more")</f>
        <v>Will work for 3 years or more</v>
      </c>
      <c r="H726" s="1" t="str">
        <f ca="1">IFERROR(__xludf.DUMMYFUNCTION("""COMPUTED_VALUE"""),"Yes")</f>
        <v>Yes</v>
      </c>
      <c r="I726" s="1" t="str">
        <f ca="1">IFERROR(__xludf.DUMMYFUNCTION("""COMPUTED_VALUE"""),"Will NOT work for them")</f>
        <v>Will NOT work for them</v>
      </c>
      <c r="J726" s="1">
        <f ca="1">IFERROR(__xludf.DUMMYFUNCTION("""COMPUTED_VALUE"""),4)</f>
        <v>4</v>
      </c>
      <c r="K726" s="1" t="str">
        <f ca="1">IFERROR(__xludf.DUMMYFUNCTION("""COMPUTED_VALUE"""),"Fully Remote with Options to travel as and when needed")</f>
        <v>Fully Remote with Options to travel as and when needed</v>
      </c>
      <c r="L726" s="1" t="str">
        <f ca="1">IFERROR(__xludf.DUMMYFUNCTION("""COMPUTED_VALUE"""),"Employer who rewards learning and enables that environment")</f>
        <v>Employer who rewards learning and enables that environment</v>
      </c>
      <c r="M726"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726" s="1"/>
      <c r="O726" s="1" t="str">
        <f ca="1">IFERROR(__xludf.DUMMYFUNCTION("""COMPUTED_VALUE"""),"Manager who clearly describes what she/he needs")</f>
        <v>Manager who clearly describes what she/he needs</v>
      </c>
      <c r="P726" s="1" t="str">
        <f ca="1">IFERROR(__xludf.DUMMYFUNCTION("""COMPUTED_VALUE"""),"Work &lt;=6 People in the Team")</f>
        <v>Work &lt;=6 People in the Team</v>
      </c>
      <c r="Q726" s="1" t="s">
        <v>43</v>
      </c>
      <c r="R726" s="1"/>
    </row>
    <row r="727" spans="1:18" x14ac:dyDescent="0.25">
      <c r="A727" s="2">
        <f ca="1">IFERROR(__xludf.DUMMYFUNCTION("""COMPUTED_VALUE"""),45022.4345817013)</f>
        <v>45022.434581701302</v>
      </c>
      <c r="B727" s="1" t="str">
        <f ca="1">IFERROR(__xludf.DUMMYFUNCTION("""COMPUTED_VALUE"""),"India")</f>
        <v>India</v>
      </c>
      <c r="C727" s="1">
        <f ca="1">IFERROR(__xludf.DUMMYFUNCTION("""COMPUTED_VALUE"""),400610)</f>
        <v>400610</v>
      </c>
      <c r="D727" s="1" t="str">
        <f ca="1">IFERROR(__xludf.DUMMYFUNCTION("""COMPUTED_VALUE"""),"Male")</f>
        <v>Male</v>
      </c>
      <c r="E727" s="1" t="str">
        <f ca="1">IFERROR(__xludf.DUMMYFUNCTION("""COMPUTED_VALUE"""),"Influencers who had successful careers")</f>
        <v>Influencers who had successful careers</v>
      </c>
      <c r="F727" s="1" t="str">
        <f ca="1">IFERROR(__xludf.DUMMYFUNCTION("""COMPUTED_VALUE"""),"No, But if someone could bare the cost I will")</f>
        <v>No, But if someone could bare the cost I will</v>
      </c>
      <c r="G727" s="1" t="str">
        <f ca="1">IFERROR(__xludf.DUMMYFUNCTION("""COMPUTED_VALUE"""),"Will work for 3 years or more")</f>
        <v>Will work for 3 years or more</v>
      </c>
      <c r="H727" s="1" t="str">
        <f ca="1">IFERROR(__xludf.DUMMYFUNCTION("""COMPUTED_VALUE"""),"No")</f>
        <v>No</v>
      </c>
      <c r="I727" s="1" t="str">
        <f ca="1">IFERROR(__xludf.DUMMYFUNCTION("""COMPUTED_VALUE"""),"Will NOT work for them")</f>
        <v>Will NOT work for them</v>
      </c>
      <c r="J727" s="1">
        <f ca="1">IFERROR(__xludf.DUMMYFUNCTION("""COMPUTED_VALUE"""),1)</f>
        <v>1</v>
      </c>
      <c r="K727" s="1" t="str">
        <f ca="1">IFERROR(__xludf.DUMMYFUNCTION("""COMPUTED_VALUE"""),"Hybrid Working Environment with more than 15 days a month at office")</f>
        <v>Hybrid Working Environment with more than 15 days a month at office</v>
      </c>
      <c r="L727" s="1" t="str">
        <f ca="1">IFERROR(__xludf.DUMMYFUNCTION("""COMPUTED_VALUE"""),"Employer who pushes your limits by enabling an learning environment, and rewards you at the end")</f>
        <v>Employer who pushes your limits by enabling an learning environment, and rewards you at the end</v>
      </c>
      <c r="M727"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N727" s="1"/>
      <c r="O727" s="1" t="str">
        <f ca="1">IFERROR(__xludf.DUMMYFUNCTION("""COMPUTED_VALUE"""),"Manager who sets goal and helps me achieve it")</f>
        <v>Manager who sets goal and helps me achieve it</v>
      </c>
      <c r="P727" s="1" t="str">
        <f ca="1">IFERROR(__xludf.DUMMYFUNCTION("""COMPUTED_VALUE"""),"Work &gt;10 people in Team")</f>
        <v>Work &gt;10 people in Team</v>
      </c>
      <c r="Q727" s="1" t="s">
        <v>43</v>
      </c>
      <c r="R727" s="1"/>
    </row>
    <row r="728" spans="1:18" x14ac:dyDescent="0.25">
      <c r="A728" s="2">
        <f ca="1">IFERROR(__xludf.DUMMYFUNCTION("""COMPUTED_VALUE"""),45022.4359605902)</f>
        <v>45022.435960590199</v>
      </c>
      <c r="B728" s="1" t="str">
        <f ca="1">IFERROR(__xludf.DUMMYFUNCTION("""COMPUTED_VALUE"""),"India")</f>
        <v>India</v>
      </c>
      <c r="C728" s="1">
        <f ca="1">IFERROR(__xludf.DUMMYFUNCTION("""COMPUTED_VALUE"""),201301)</f>
        <v>201301</v>
      </c>
      <c r="D728" s="1" t="str">
        <f ca="1">IFERROR(__xludf.DUMMYFUNCTION("""COMPUTED_VALUE"""),"Male")</f>
        <v>Male</v>
      </c>
      <c r="E728" s="1" t="str">
        <f ca="1">IFERROR(__xludf.DUMMYFUNCTION("""COMPUTED_VALUE"""),"Social Media like LinkedIn")</f>
        <v>Social Media like LinkedIn</v>
      </c>
      <c r="F728" s="1" t="str">
        <f ca="1">IFERROR(__xludf.DUMMYFUNCTION("""COMPUTED_VALUE"""),"Yes, I will earn and do that")</f>
        <v>Yes, I will earn and do that</v>
      </c>
      <c r="G728" s="1" t="str">
        <f ca="1">IFERROR(__xludf.DUMMYFUNCTION("""COMPUTED_VALUE"""),"Will work for 3 years or more")</f>
        <v>Will work for 3 years or more</v>
      </c>
      <c r="H728" s="1" t="str">
        <f ca="1">IFERROR(__xludf.DUMMYFUNCTION("""COMPUTED_VALUE"""),"No")</f>
        <v>No</v>
      </c>
      <c r="I728" s="1" t="str">
        <f ca="1">IFERROR(__xludf.DUMMYFUNCTION("""COMPUTED_VALUE"""),"Will NOT work for them")</f>
        <v>Will NOT work for them</v>
      </c>
      <c r="J728" s="1">
        <f ca="1">IFERROR(__xludf.DUMMYFUNCTION("""COMPUTED_VALUE"""),9)</f>
        <v>9</v>
      </c>
      <c r="K728" s="1" t="str">
        <f ca="1">IFERROR(__xludf.DUMMYFUNCTION("""COMPUTED_VALUE"""),"Hybrid Working Environment with less than 3 days a month at office")</f>
        <v>Hybrid Working Environment with less than 3 days a month at office</v>
      </c>
      <c r="L728" s="1" t="str">
        <f ca="1">IFERROR(__xludf.DUMMYFUNCTION("""COMPUTED_VALUE"""),"Employer who appreciates learning and enables that environment")</f>
        <v>Employer who appreciates learning and enables that environment</v>
      </c>
      <c r="M728"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728" s="1"/>
      <c r="O728" s="1" t="str">
        <f ca="1">IFERROR(__xludf.DUMMYFUNCTION("""COMPUTED_VALUE"""),"Manager who clearly describes what she/he needs")</f>
        <v>Manager who clearly describes what she/he needs</v>
      </c>
      <c r="P728" s="1" t="str">
        <f ca="1">IFERROR(__xludf.DUMMYFUNCTION("""COMPUTED_VALUE"""),"Work &lt;=6 People in the Team")</f>
        <v>Work &lt;=6 People in the Team</v>
      </c>
      <c r="Q728" s="1" t="s">
        <v>43</v>
      </c>
      <c r="R728" s="1"/>
    </row>
    <row r="729" spans="1:18" x14ac:dyDescent="0.25">
      <c r="A729" s="2">
        <f ca="1">IFERROR(__xludf.DUMMYFUNCTION("""COMPUTED_VALUE"""),45022.4426861689)</f>
        <v>45022.442686168899</v>
      </c>
      <c r="B729" s="1" t="str">
        <f ca="1">IFERROR(__xludf.DUMMYFUNCTION("""COMPUTED_VALUE"""),"India")</f>
        <v>India</v>
      </c>
      <c r="C729" s="1">
        <f ca="1">IFERROR(__xludf.DUMMYFUNCTION("""COMPUTED_VALUE"""),201301)</f>
        <v>201301</v>
      </c>
      <c r="D729" s="1" t="str">
        <f ca="1">IFERROR(__xludf.DUMMYFUNCTION("""COMPUTED_VALUE"""),"Male")</f>
        <v>Male</v>
      </c>
      <c r="E729" s="1" t="str">
        <f ca="1">IFERROR(__xludf.DUMMYFUNCTION("""COMPUTED_VALUE"""),"My Parents")</f>
        <v>My Parents</v>
      </c>
      <c r="F729" s="1" t="str">
        <f ca="1">IFERROR(__xludf.DUMMYFUNCTION("""COMPUTED_VALUE"""),"Yes, I will earn and do that")</f>
        <v>Yes, I will earn and do that</v>
      </c>
      <c r="G729" s="1" t="str">
        <f ca="1">IFERROR(__xludf.DUMMYFUNCTION("""COMPUTED_VALUE"""),"Will work for 3 years or more")</f>
        <v>Will work for 3 years or more</v>
      </c>
      <c r="H729" s="1" t="str">
        <f ca="1">IFERROR(__xludf.DUMMYFUNCTION("""COMPUTED_VALUE"""),"No")</f>
        <v>No</v>
      </c>
      <c r="I729" s="1" t="str">
        <f ca="1">IFERROR(__xludf.DUMMYFUNCTION("""COMPUTED_VALUE"""),"Will NOT work for them")</f>
        <v>Will NOT work for them</v>
      </c>
      <c r="J729" s="1">
        <f ca="1">IFERROR(__xludf.DUMMYFUNCTION("""COMPUTED_VALUE"""),3)</f>
        <v>3</v>
      </c>
      <c r="K729" s="1" t="str">
        <f ca="1">IFERROR(__xludf.DUMMYFUNCTION("""COMPUTED_VALUE"""),"Hybrid Working Environment with more than 15 days a month at office")</f>
        <v>Hybrid Working Environment with more than 15 days a month at office</v>
      </c>
      <c r="L729" s="1" t="str">
        <f ca="1">IFERROR(__xludf.DUMMYFUNCTION("""COMPUTED_VALUE"""),"Employer who pushes your limits by enabling an learning environment, and rewards you at the end")</f>
        <v>Employer who pushes your limits by enabling an learning environment, and rewards you at the end</v>
      </c>
      <c r="M72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729" s="1"/>
      <c r="O729" s="1" t="str">
        <f ca="1">IFERROR(__xludf.DUMMYFUNCTION("""COMPUTED_VALUE"""),"Manager who explains what is expected, sets a goal and helps achieve it")</f>
        <v>Manager who explains what is expected, sets a goal and helps achieve it</v>
      </c>
      <c r="P729" s="1" t="str">
        <f ca="1">IFERROR(__xludf.DUMMYFUNCTION("""COMPUTED_VALUE"""),"Work &lt;=6 People in the Team")</f>
        <v>Work &lt;=6 People in the Team</v>
      </c>
      <c r="Q729" s="1" t="s">
        <v>43</v>
      </c>
      <c r="R729" s="1"/>
    </row>
    <row r="730" spans="1:18" x14ac:dyDescent="0.25">
      <c r="A730" s="2">
        <f ca="1">IFERROR(__xludf.DUMMYFUNCTION("""COMPUTED_VALUE"""),45022.4460272453)</f>
        <v>45022.4460272453</v>
      </c>
      <c r="B730" s="1" t="str">
        <f ca="1">IFERROR(__xludf.DUMMYFUNCTION("""COMPUTED_VALUE"""),"India")</f>
        <v>India</v>
      </c>
      <c r="C730" s="1">
        <f ca="1">IFERROR(__xludf.DUMMYFUNCTION("""COMPUTED_VALUE"""),110059)</f>
        <v>110059</v>
      </c>
      <c r="D730" s="1" t="str">
        <f ca="1">IFERROR(__xludf.DUMMYFUNCTION("""COMPUTED_VALUE"""),"Female")</f>
        <v>Female</v>
      </c>
      <c r="E730" s="1" t="str">
        <f ca="1">IFERROR(__xludf.DUMMYFUNCTION("""COMPUTED_VALUE"""),"Social Media like LinkedIn")</f>
        <v>Social Media like LinkedIn</v>
      </c>
      <c r="F730" s="1" t="str">
        <f ca="1">IFERROR(__xludf.DUMMYFUNCTION("""COMPUTED_VALUE"""),"Yes, I will earn and do that")</f>
        <v>Yes, I will earn and do that</v>
      </c>
      <c r="G730" s="1" t="str">
        <f ca="1">IFERROR(__xludf.DUMMYFUNCTION("""COMPUTED_VALUE"""),"Will work for 3 years or more")</f>
        <v>Will work for 3 years or more</v>
      </c>
      <c r="H730" s="1" t="str">
        <f ca="1">IFERROR(__xludf.DUMMYFUNCTION("""COMPUTED_VALUE"""),"No")</f>
        <v>No</v>
      </c>
      <c r="I730" s="1" t="str">
        <f ca="1">IFERROR(__xludf.DUMMYFUNCTION("""COMPUTED_VALUE"""),"Will NOT work for them")</f>
        <v>Will NOT work for them</v>
      </c>
      <c r="J730" s="1">
        <f ca="1">IFERROR(__xludf.DUMMYFUNCTION("""COMPUTED_VALUE"""),3)</f>
        <v>3</v>
      </c>
      <c r="K730" s="1" t="str">
        <f ca="1">IFERROR(__xludf.DUMMYFUNCTION("""COMPUTED_VALUE"""),"Fully Remote with No option to visit offices")</f>
        <v>Fully Remote with No option to visit offices</v>
      </c>
      <c r="L730" s="1" t="str">
        <f ca="1">IFERROR(__xludf.DUMMYFUNCTION("""COMPUTED_VALUE"""),"Employer who appreciates learning and enables that environment")</f>
        <v>Employer who appreciates learning and enables that environment</v>
      </c>
      <c r="M730" s="1" t="str">
        <f ca="1">IFERROR(__xludf.DUMMYFUNCTION("""COMPUTED_VALUE"""),"Design and Creative strategy in any company, Business Operations in any organization, An Artificial Intelligence Specialist / Talking to Robots, Manufacturing / Oil and Gas/ Construction / Hard Physical Work related")</f>
        <v>Design and Creative strategy in any company, Business Operations in any organization, An Artificial Intelligence Specialist / Talking to Robots, Manufacturing / Oil and Gas/ Construction / Hard Physical Work related</v>
      </c>
      <c r="N730" s="1"/>
      <c r="O730" s="1" t="str">
        <f ca="1">IFERROR(__xludf.DUMMYFUNCTION("""COMPUTED_VALUE"""),"Manager who clearly describes what she/he needs")</f>
        <v>Manager who clearly describes what she/he needs</v>
      </c>
      <c r="P730" s="1" t="str">
        <f ca="1">IFERROR(__xludf.DUMMYFUNCTION("""COMPUTED_VALUE"""),"Work &lt;=6 People in the Team")</f>
        <v>Work &lt;=6 People in the Team</v>
      </c>
      <c r="Q730" s="1" t="s">
        <v>43</v>
      </c>
      <c r="R730" s="1"/>
    </row>
    <row r="731" spans="1:18" x14ac:dyDescent="0.25">
      <c r="A731" s="2">
        <f ca="1">IFERROR(__xludf.DUMMYFUNCTION("""COMPUTED_VALUE"""),45022.451627905)</f>
        <v>45022.451627905</v>
      </c>
      <c r="B731" s="1" t="str">
        <f ca="1">IFERROR(__xludf.DUMMYFUNCTION("""COMPUTED_VALUE"""),"India")</f>
        <v>India</v>
      </c>
      <c r="C731" s="1">
        <f ca="1">IFERROR(__xludf.DUMMYFUNCTION("""COMPUTED_VALUE"""),110008)</f>
        <v>110008</v>
      </c>
      <c r="D731" s="1" t="str">
        <f ca="1">IFERROR(__xludf.DUMMYFUNCTION("""COMPUTED_VALUE"""),"Male")</f>
        <v>Male</v>
      </c>
      <c r="E731" s="1" t="str">
        <f ca="1">IFERROR(__xludf.DUMMYFUNCTION("""COMPUTED_VALUE"""),"Influencers who had successful careers")</f>
        <v>Influencers who had successful careers</v>
      </c>
      <c r="F731" s="1" t="str">
        <f ca="1">IFERROR(__xludf.DUMMYFUNCTION("""COMPUTED_VALUE"""),"Yes, I will earn and do that")</f>
        <v>Yes, I will earn and do that</v>
      </c>
      <c r="G731" s="1" t="str">
        <f ca="1">IFERROR(__xludf.DUMMYFUNCTION("""COMPUTED_VALUE"""),"Will work for 3 years or more")</f>
        <v>Will work for 3 years or more</v>
      </c>
      <c r="H731" s="1" t="str">
        <f ca="1">IFERROR(__xludf.DUMMYFUNCTION("""COMPUTED_VALUE"""),"Yes")</f>
        <v>Yes</v>
      </c>
      <c r="I731" s="1" t="str">
        <f ca="1">IFERROR(__xludf.DUMMYFUNCTION("""COMPUTED_VALUE"""),"Will work for them")</f>
        <v>Will work for them</v>
      </c>
      <c r="J731" s="1">
        <f ca="1">IFERROR(__xludf.DUMMYFUNCTION("""COMPUTED_VALUE"""),9)</f>
        <v>9</v>
      </c>
      <c r="K731" s="1" t="str">
        <f ca="1">IFERROR(__xludf.DUMMYFUNCTION("""COMPUTED_VALUE"""),"Fully Remote with No option to visit offices")</f>
        <v>Fully Remote with No option to visit offices</v>
      </c>
      <c r="L731" s="1" t="str">
        <f ca="1">IFERROR(__xludf.DUMMYFUNCTION("""COMPUTED_VALUE"""),"Employer who rewards learning and enables that environment")</f>
        <v>Employer who rewards learning and enables that environment</v>
      </c>
      <c r="M73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731" s="1"/>
      <c r="O731" s="1" t="str">
        <f ca="1">IFERROR(__xludf.DUMMYFUNCTION("""COMPUTED_VALUE"""),"Manager who clearly describes what she/he needs")</f>
        <v>Manager who clearly describes what she/he needs</v>
      </c>
      <c r="P731" s="1" t="str">
        <f ca="1">IFERROR(__xludf.DUMMYFUNCTION("""COMPUTED_VALUE"""),"Work &gt;=7 People in the Team")</f>
        <v>Work &gt;=7 People in the Team</v>
      </c>
      <c r="Q731" s="1" t="s">
        <v>43</v>
      </c>
      <c r="R731" s="1"/>
    </row>
    <row r="732" spans="1:18" x14ac:dyDescent="0.25">
      <c r="A732" s="2">
        <f ca="1">IFERROR(__xludf.DUMMYFUNCTION("""COMPUTED_VALUE"""),45022.4557877199)</f>
        <v>45022.455787719897</v>
      </c>
      <c r="B732" s="1" t="str">
        <f ca="1">IFERROR(__xludf.DUMMYFUNCTION("""COMPUTED_VALUE"""),"India")</f>
        <v>India</v>
      </c>
      <c r="C732" s="1">
        <f ca="1">IFERROR(__xludf.DUMMYFUNCTION("""COMPUTED_VALUE"""),110067)</f>
        <v>110067</v>
      </c>
      <c r="D732" s="1" t="str">
        <f ca="1">IFERROR(__xludf.DUMMYFUNCTION("""COMPUTED_VALUE"""),"Female")</f>
        <v>Female</v>
      </c>
      <c r="E732" s="1" t="str">
        <f ca="1">IFERROR(__xludf.DUMMYFUNCTION("""COMPUTED_VALUE"""),"Influencers who had successful careers")</f>
        <v>Influencers who had successful careers</v>
      </c>
      <c r="F732" s="1" t="str">
        <f ca="1">IFERROR(__xludf.DUMMYFUNCTION("""COMPUTED_VALUE"""),"Yes, I will earn and do that")</f>
        <v>Yes, I will earn and do that</v>
      </c>
      <c r="G732" s="1" t="str">
        <f ca="1">IFERROR(__xludf.DUMMYFUNCTION("""COMPUTED_VALUE"""),"This will be hard to do, but if it is the right company I would try")</f>
        <v>This will be hard to do, but if it is the right company I would try</v>
      </c>
      <c r="H732" s="1" t="str">
        <f ca="1">IFERROR(__xludf.DUMMYFUNCTION("""COMPUTED_VALUE"""),"Yes")</f>
        <v>Yes</v>
      </c>
      <c r="I732" s="1" t="str">
        <f ca="1">IFERROR(__xludf.DUMMYFUNCTION("""COMPUTED_VALUE"""),"Will work for them")</f>
        <v>Will work for them</v>
      </c>
      <c r="J732" s="1">
        <f ca="1">IFERROR(__xludf.DUMMYFUNCTION("""COMPUTED_VALUE"""),8)</f>
        <v>8</v>
      </c>
      <c r="K732" s="1" t="str">
        <f ca="1">IFERROR(__xludf.DUMMYFUNCTION("""COMPUTED_VALUE"""),"Fully Remote with No option to visit offices")</f>
        <v>Fully Remote with No option to visit offices</v>
      </c>
      <c r="L732" s="1" t="str">
        <f ca="1">IFERROR(__xludf.DUMMYFUNCTION("""COMPUTED_VALUE"""),"Employer who appreciates learning and enables that environment")</f>
        <v>Employer who appreciates learning and enables that environment</v>
      </c>
      <c r="M732"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N732" s="1"/>
      <c r="O732" s="1" t="str">
        <f ca="1">IFERROR(__xludf.DUMMYFUNCTION("""COMPUTED_VALUE"""),"Manager who clearly describes what she/he needs")</f>
        <v>Manager who clearly describes what she/he needs</v>
      </c>
      <c r="P732" s="1" t="str">
        <f ca="1">IFERROR(__xludf.DUMMYFUNCTION("""COMPUTED_VALUE"""),"Work &gt;10 people in Team")</f>
        <v>Work &gt;10 people in Team</v>
      </c>
      <c r="Q732" s="1" t="s">
        <v>43</v>
      </c>
      <c r="R732" s="1"/>
    </row>
    <row r="733" spans="1:18" x14ac:dyDescent="0.25">
      <c r="A733" s="2">
        <f ca="1">IFERROR(__xludf.DUMMYFUNCTION("""COMPUTED_VALUE"""),45022.4570683101)</f>
        <v>45022.457068310097</v>
      </c>
      <c r="B733" s="1" t="str">
        <f ca="1">IFERROR(__xludf.DUMMYFUNCTION("""COMPUTED_VALUE"""),"India")</f>
        <v>India</v>
      </c>
      <c r="C733" s="1">
        <f ca="1">IFERROR(__xludf.DUMMYFUNCTION("""COMPUTED_VALUE"""),122022)</f>
        <v>122022</v>
      </c>
      <c r="D733" s="1" t="str">
        <f ca="1">IFERROR(__xludf.DUMMYFUNCTION("""COMPUTED_VALUE"""),"Female")</f>
        <v>Female</v>
      </c>
      <c r="E733" s="1" t="str">
        <f ca="1">IFERROR(__xludf.DUMMYFUNCTION("""COMPUTED_VALUE"""),"Influencers who had successful careers")</f>
        <v>Influencers who had successful careers</v>
      </c>
      <c r="F733" s="1" t="str">
        <f ca="1">IFERROR(__xludf.DUMMYFUNCTION("""COMPUTED_VALUE"""),"Yes, I will earn and do that")</f>
        <v>Yes, I will earn and do that</v>
      </c>
      <c r="G733" s="1" t="str">
        <f ca="1">IFERROR(__xludf.DUMMYFUNCTION("""COMPUTED_VALUE"""),"Will work for 3 years or more")</f>
        <v>Will work for 3 years or more</v>
      </c>
      <c r="H733" s="1" t="str">
        <f ca="1">IFERROR(__xludf.DUMMYFUNCTION("""COMPUTED_VALUE"""),"No")</f>
        <v>No</v>
      </c>
      <c r="I733" s="1" t="str">
        <f ca="1">IFERROR(__xludf.DUMMYFUNCTION("""COMPUTED_VALUE"""),"Will NOT work for them")</f>
        <v>Will NOT work for them</v>
      </c>
      <c r="J733" s="1">
        <f ca="1">IFERROR(__xludf.DUMMYFUNCTION("""COMPUTED_VALUE"""),5)</f>
        <v>5</v>
      </c>
      <c r="K733" s="1" t="str">
        <f ca="1">IFERROR(__xludf.DUMMYFUNCTION("""COMPUTED_VALUE"""),"Fully Remote with Options to travel as and when needed")</f>
        <v>Fully Remote with Options to travel as and when needed</v>
      </c>
      <c r="L733" s="1" t="str">
        <f ca="1">IFERROR(__xludf.DUMMYFUNCTION("""COMPUTED_VALUE"""),"Employer who pushes your limits by enabling an learning environment, and rewards you at the end")</f>
        <v>Employer who pushes your limits by enabling an learning environment, and rewards you at the end</v>
      </c>
      <c r="M733"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733" s="1"/>
      <c r="O733" s="1" t="str">
        <f ca="1">IFERROR(__xludf.DUMMYFUNCTION("""COMPUTED_VALUE"""),"Manager who explains what is expected, sets a goal and helps achieve it")</f>
        <v>Manager who explains what is expected, sets a goal and helps achieve it</v>
      </c>
      <c r="P733" s="1" t="str">
        <f ca="1">IFERROR(__xludf.DUMMYFUNCTION("""COMPUTED_VALUE"""),"Work &lt;=6 People in the Team")</f>
        <v>Work &lt;=6 People in the Team</v>
      </c>
      <c r="Q733" s="1" t="s">
        <v>43</v>
      </c>
      <c r="R733" s="1"/>
    </row>
    <row r="734" spans="1:18" x14ac:dyDescent="0.25">
      <c r="A734" s="2">
        <f ca="1">IFERROR(__xludf.DUMMYFUNCTION("""COMPUTED_VALUE"""),45022.4617673842)</f>
        <v>45022.4617673842</v>
      </c>
      <c r="B734" s="1" t="str">
        <f ca="1">IFERROR(__xludf.DUMMYFUNCTION("""COMPUTED_VALUE"""),"India")</f>
        <v>India</v>
      </c>
      <c r="C734" s="1">
        <f ca="1">IFERROR(__xludf.DUMMYFUNCTION("""COMPUTED_VALUE"""),110078)</f>
        <v>110078</v>
      </c>
      <c r="D734" s="1" t="str">
        <f ca="1">IFERROR(__xludf.DUMMYFUNCTION("""COMPUTED_VALUE"""),"Male")</f>
        <v>Male</v>
      </c>
      <c r="E734" s="1" t="str">
        <f ca="1">IFERROR(__xludf.DUMMYFUNCTION("""COMPUTED_VALUE"""),"Influencers who had successful careers")</f>
        <v>Influencers who had successful careers</v>
      </c>
      <c r="F734" s="1" t="str">
        <f ca="1">IFERROR(__xludf.DUMMYFUNCTION("""COMPUTED_VALUE"""),"Yes, I will earn and do that")</f>
        <v>Yes, I will earn and do that</v>
      </c>
      <c r="G734" s="1" t="str">
        <f ca="1">IFERROR(__xludf.DUMMYFUNCTION("""COMPUTED_VALUE"""),"Will work for 3 years or more")</f>
        <v>Will work for 3 years or more</v>
      </c>
      <c r="H734" s="1" t="str">
        <f ca="1">IFERROR(__xludf.DUMMYFUNCTION("""COMPUTED_VALUE"""),"Yes")</f>
        <v>Yes</v>
      </c>
      <c r="I734" s="1" t="str">
        <f ca="1">IFERROR(__xludf.DUMMYFUNCTION("""COMPUTED_VALUE"""),"Will work for them")</f>
        <v>Will work for them</v>
      </c>
      <c r="J734" s="1">
        <f ca="1">IFERROR(__xludf.DUMMYFUNCTION("""COMPUTED_VALUE"""),10)</f>
        <v>10</v>
      </c>
      <c r="K734" s="1" t="str">
        <f ca="1">IFERROR(__xludf.DUMMYFUNCTION("""COMPUTED_VALUE"""),"Fully Remote with No option to visit offices")</f>
        <v>Fully Remote with No option to visit offices</v>
      </c>
      <c r="L734" s="1" t="str">
        <f ca="1">IFERROR(__xludf.DUMMYFUNCTION("""COMPUTED_VALUE"""),"Employer who appreciates learning and enables that environment")</f>
        <v>Employer who appreciates learning and enables that environment</v>
      </c>
      <c r="M734"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N734" s="1"/>
      <c r="O734" s="1" t="str">
        <f ca="1">IFERROR(__xludf.DUMMYFUNCTION("""COMPUTED_VALUE"""),"Manager who sets goal and helps me achieve it")</f>
        <v>Manager who sets goal and helps me achieve it</v>
      </c>
      <c r="P734" s="1" t="str">
        <f ca="1">IFERROR(__xludf.DUMMYFUNCTION("""COMPUTED_VALUE"""),"Work &gt;=7 People in the Team")</f>
        <v>Work &gt;=7 People in the Team</v>
      </c>
      <c r="Q734" s="1" t="s">
        <v>43</v>
      </c>
      <c r="R734" s="1"/>
    </row>
    <row r="735" spans="1:18" x14ac:dyDescent="0.25">
      <c r="A735" s="2">
        <f ca="1">IFERROR(__xludf.DUMMYFUNCTION("""COMPUTED_VALUE"""),45022.4663414583)</f>
        <v>45022.466341458297</v>
      </c>
      <c r="B735" s="1" t="str">
        <f ca="1">IFERROR(__xludf.DUMMYFUNCTION("""COMPUTED_VALUE"""),"India")</f>
        <v>India</v>
      </c>
      <c r="C735" s="1">
        <f ca="1">IFERROR(__xludf.DUMMYFUNCTION("""COMPUTED_VALUE"""),442906)</f>
        <v>442906</v>
      </c>
      <c r="D735" s="1" t="str">
        <f ca="1">IFERROR(__xludf.DUMMYFUNCTION("""COMPUTED_VALUE"""),"Male")</f>
        <v>Male</v>
      </c>
      <c r="E735" s="1" t="str">
        <f ca="1">IFERROR(__xludf.DUMMYFUNCTION("""COMPUTED_VALUE"""),"My Parents")</f>
        <v>My Parents</v>
      </c>
      <c r="F735" s="1" t="str">
        <f ca="1">IFERROR(__xludf.DUMMYFUNCTION("""COMPUTED_VALUE"""),"No I would not be pursuing Higher Education outside of India")</f>
        <v>No I would not be pursuing Higher Education outside of India</v>
      </c>
      <c r="G735" s="1" t="str">
        <f ca="1">IFERROR(__xludf.DUMMYFUNCTION("""COMPUTED_VALUE"""),"This will be hard to do, but if it is the right company I would try")</f>
        <v>This will be hard to do, but if it is the right company I would try</v>
      </c>
      <c r="H735" s="1" t="str">
        <f ca="1">IFERROR(__xludf.DUMMYFUNCTION("""COMPUTED_VALUE"""),"Yes")</f>
        <v>Yes</v>
      </c>
      <c r="I735" s="1" t="str">
        <f ca="1">IFERROR(__xludf.DUMMYFUNCTION("""COMPUTED_VALUE"""),"Will work for them")</f>
        <v>Will work for them</v>
      </c>
      <c r="J735" s="1">
        <f ca="1">IFERROR(__xludf.DUMMYFUNCTION("""COMPUTED_VALUE"""),7)</f>
        <v>7</v>
      </c>
      <c r="K735" s="1" t="str">
        <f ca="1">IFERROR(__xludf.DUMMYFUNCTION("""COMPUTED_VALUE"""),"Every Day Office Environment")</f>
        <v>Every Day Office Environment</v>
      </c>
      <c r="L735" s="1" t="str">
        <f ca="1">IFERROR(__xludf.DUMMYFUNCTION("""COMPUTED_VALUE"""),"Employer who appreciates learning and enables that environment")</f>
        <v>Employer who appreciates learning and enables that environment</v>
      </c>
      <c r="M735"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N735" s="1"/>
      <c r="O735" s="1" t="str">
        <f ca="1">IFERROR(__xludf.DUMMYFUNCTION("""COMPUTED_VALUE"""),"Manager who clearly describes what she/he needs")</f>
        <v>Manager who clearly describes what she/he needs</v>
      </c>
      <c r="P735" s="1" t="str">
        <f ca="1">IFERROR(__xludf.DUMMYFUNCTION("""COMPUTED_VALUE"""),"Work Alone, &lt;=6 in team")</f>
        <v>Work Alone, &lt;=6 in team</v>
      </c>
      <c r="Q735" s="1" t="s">
        <v>43</v>
      </c>
      <c r="R735" s="1"/>
    </row>
    <row r="736" spans="1:18" x14ac:dyDescent="0.25">
      <c r="A736" s="2">
        <f ca="1">IFERROR(__xludf.DUMMYFUNCTION("""COMPUTED_VALUE"""),45022.4684222106)</f>
        <v>45022.468422210601</v>
      </c>
      <c r="B736" s="1" t="str">
        <f ca="1">IFERROR(__xludf.DUMMYFUNCTION("""COMPUTED_VALUE"""),"India")</f>
        <v>India</v>
      </c>
      <c r="C736" s="1">
        <f ca="1">IFERROR(__xludf.DUMMYFUNCTION("""COMPUTED_VALUE"""),122102)</f>
        <v>122102</v>
      </c>
      <c r="D736" s="1" t="str">
        <f ca="1">IFERROR(__xludf.DUMMYFUNCTION("""COMPUTED_VALUE"""),"Female")</f>
        <v>Female</v>
      </c>
      <c r="E736" s="1" t="str">
        <f ca="1">IFERROR(__xludf.DUMMYFUNCTION("""COMPUTED_VALUE"""),"My Parents")</f>
        <v>My Parents</v>
      </c>
      <c r="F736" s="1" t="str">
        <f ca="1">IFERROR(__xludf.DUMMYFUNCTION("""COMPUTED_VALUE"""),"No I would not be pursuing Higher Education outside of India")</f>
        <v>No I would not be pursuing Higher Education outside of India</v>
      </c>
      <c r="G736" s="1" t="str">
        <f ca="1">IFERROR(__xludf.DUMMYFUNCTION("""COMPUTED_VALUE"""),"Will work for 3 years or more")</f>
        <v>Will work for 3 years or more</v>
      </c>
      <c r="H736" s="1" t="str">
        <f ca="1">IFERROR(__xludf.DUMMYFUNCTION("""COMPUTED_VALUE"""),"No")</f>
        <v>No</v>
      </c>
      <c r="I736" s="1" t="str">
        <f ca="1">IFERROR(__xludf.DUMMYFUNCTION("""COMPUTED_VALUE"""),"Will NOT work for them")</f>
        <v>Will NOT work for them</v>
      </c>
      <c r="J736" s="1">
        <f ca="1">IFERROR(__xludf.DUMMYFUNCTION("""COMPUTED_VALUE"""),1)</f>
        <v>1</v>
      </c>
      <c r="K736" s="1" t="str">
        <f ca="1">IFERROR(__xludf.DUMMYFUNCTION("""COMPUTED_VALUE"""),"Every Day Office Environment")</f>
        <v>Every Day Office Environment</v>
      </c>
      <c r="L736" s="1" t="str">
        <f ca="1">IFERROR(__xludf.DUMMYFUNCTION("""COMPUTED_VALUE"""),"Employer who appreciates learning and enables that environment")</f>
        <v>Employer who appreciates learning and enables that environment</v>
      </c>
      <c r="M736"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736" s="1"/>
      <c r="O736" s="1" t="str">
        <f ca="1">IFERROR(__xludf.DUMMYFUNCTION("""COMPUTED_VALUE"""),"Manager who sets goal and helps me achieve it")</f>
        <v>Manager who sets goal and helps me achieve it</v>
      </c>
      <c r="P736" s="1" t="str">
        <f ca="1">IFERROR(__xludf.DUMMYFUNCTION("""COMPUTED_VALUE"""),"Work &lt;=6 People in the Team")</f>
        <v>Work &lt;=6 People in the Team</v>
      </c>
      <c r="Q736" s="1" t="s">
        <v>40</v>
      </c>
      <c r="R736" s="1"/>
    </row>
    <row r="737" spans="1:18" x14ac:dyDescent="0.25">
      <c r="A737" s="2">
        <f ca="1">IFERROR(__xludf.DUMMYFUNCTION("""COMPUTED_VALUE"""),45022.4712688888)</f>
        <v>45022.471268888803</v>
      </c>
      <c r="B737" s="1" t="str">
        <f ca="1">IFERROR(__xludf.DUMMYFUNCTION("""COMPUTED_VALUE"""),"India")</f>
        <v>India</v>
      </c>
      <c r="C737" s="1">
        <f ca="1">IFERROR(__xludf.DUMMYFUNCTION("""COMPUTED_VALUE"""),110022)</f>
        <v>110022</v>
      </c>
      <c r="D737" s="1" t="str">
        <f ca="1">IFERROR(__xludf.DUMMYFUNCTION("""COMPUTED_VALUE"""),"Female")</f>
        <v>Female</v>
      </c>
      <c r="E737" s="1" t="str">
        <f ca="1">IFERROR(__xludf.DUMMYFUNCTION("""COMPUTED_VALUE"""),"Influencers who had successful careers")</f>
        <v>Influencers who had successful careers</v>
      </c>
      <c r="F737" s="1" t="str">
        <f ca="1">IFERROR(__xludf.DUMMYFUNCTION("""COMPUTED_VALUE"""),"No, But if someone could bare the cost I will")</f>
        <v>No, But if someone could bare the cost I will</v>
      </c>
      <c r="G737" s="1" t="str">
        <f ca="1">IFERROR(__xludf.DUMMYFUNCTION("""COMPUTED_VALUE"""),"Will work for 3 years or more")</f>
        <v>Will work for 3 years or more</v>
      </c>
      <c r="H737" s="1" t="str">
        <f ca="1">IFERROR(__xludf.DUMMYFUNCTION("""COMPUTED_VALUE"""),"Yes")</f>
        <v>Yes</v>
      </c>
      <c r="I737" s="1" t="str">
        <f ca="1">IFERROR(__xludf.DUMMYFUNCTION("""COMPUTED_VALUE"""),"Will work for them")</f>
        <v>Will work for them</v>
      </c>
      <c r="J737" s="1">
        <f ca="1">IFERROR(__xludf.DUMMYFUNCTION("""COMPUTED_VALUE"""),10)</f>
        <v>10</v>
      </c>
      <c r="K737" s="1" t="str">
        <f ca="1">IFERROR(__xludf.DUMMYFUNCTION("""COMPUTED_VALUE"""),"Fully Remote with No option to visit offices")</f>
        <v>Fully Remote with No option to visit offices</v>
      </c>
      <c r="L737" s="1" t="str">
        <f ca="1">IFERROR(__xludf.DUMMYFUNCTION("""COMPUTED_VALUE"""),"Employer who appreciates learning and enables that environment")</f>
        <v>Employer who appreciates learning and enables that environment</v>
      </c>
      <c r="M737" s="1" t="str">
        <f ca="1">IFERROR(__xludf.DUMMYFUNCTION("""COMPUTED_VALUE"""),"Design and Creative strategy in any company, Business Operations in any organization, Become a content Creator in some platform, Manufacturing / Oil and Gas/ Construction / Hard Physical Work related")</f>
        <v>Design and Creative strategy in any company, Business Operations in any organization, Become a content Creator in some platform, Manufacturing / Oil and Gas/ Construction / Hard Physical Work related</v>
      </c>
      <c r="N737" s="1"/>
      <c r="O737" s="1" t="str">
        <f ca="1">IFERROR(__xludf.DUMMYFUNCTION("""COMPUTED_VALUE"""),"Manager who clearly describes what she/he needs")</f>
        <v>Manager who clearly describes what she/he needs</v>
      </c>
      <c r="P737" s="1" t="str">
        <f ca="1">IFERROR(__xludf.DUMMYFUNCTION("""COMPUTED_VALUE"""),"Work &gt;=7 People in the Team")</f>
        <v>Work &gt;=7 People in the Team</v>
      </c>
      <c r="Q737" s="1" t="s">
        <v>43</v>
      </c>
      <c r="R737" s="1"/>
    </row>
    <row r="738" spans="1:18" x14ac:dyDescent="0.25">
      <c r="A738" s="2">
        <f ca="1">IFERROR(__xludf.DUMMYFUNCTION("""COMPUTED_VALUE"""),45022.476614155)</f>
        <v>45022.476614154999</v>
      </c>
      <c r="B738" s="1" t="str">
        <f ca="1">IFERROR(__xludf.DUMMYFUNCTION("""COMPUTED_VALUE"""),"India")</f>
        <v>India</v>
      </c>
      <c r="C738" s="1">
        <f ca="1">IFERROR(__xludf.DUMMYFUNCTION("""COMPUTED_VALUE"""),110030)</f>
        <v>110030</v>
      </c>
      <c r="D738" s="1" t="str">
        <f ca="1">IFERROR(__xludf.DUMMYFUNCTION("""COMPUTED_VALUE"""),"Male")</f>
        <v>Male</v>
      </c>
      <c r="E738" s="1" t="str">
        <f ca="1">IFERROR(__xludf.DUMMYFUNCTION("""COMPUTED_VALUE"""),"My Parents")</f>
        <v>My Parents</v>
      </c>
      <c r="F738" s="1" t="str">
        <f ca="1">IFERROR(__xludf.DUMMYFUNCTION("""COMPUTED_VALUE"""),"Yes, I will earn and do that")</f>
        <v>Yes, I will earn and do that</v>
      </c>
      <c r="G738" s="1" t="str">
        <f ca="1">IFERROR(__xludf.DUMMYFUNCTION("""COMPUTED_VALUE"""),"This will be hard to do, but if it is the right company I would try")</f>
        <v>This will be hard to do, but if it is the right company I would try</v>
      </c>
      <c r="H738" s="1" t="str">
        <f ca="1">IFERROR(__xludf.DUMMYFUNCTION("""COMPUTED_VALUE"""),"No")</f>
        <v>No</v>
      </c>
      <c r="I738" s="1" t="str">
        <f ca="1">IFERROR(__xludf.DUMMYFUNCTION("""COMPUTED_VALUE"""),"Will NOT work for them")</f>
        <v>Will NOT work for them</v>
      </c>
      <c r="J738" s="1">
        <f ca="1">IFERROR(__xludf.DUMMYFUNCTION("""COMPUTED_VALUE"""),8)</f>
        <v>8</v>
      </c>
      <c r="K738" s="1" t="str">
        <f ca="1">IFERROR(__xludf.DUMMYFUNCTION("""COMPUTED_VALUE"""),"Hybrid Working Environment with less than 3 days a month at office")</f>
        <v>Hybrid Working Environment with less than 3 days a month at office</v>
      </c>
      <c r="L738" s="1" t="str">
        <f ca="1">IFERROR(__xludf.DUMMYFUNCTION("""COMPUTED_VALUE"""),"Employer who appreciates learning and enables that environment")</f>
        <v>Employer who appreciates learning and enables that environment</v>
      </c>
      <c r="M738" s="1" t="str">
        <f ca="1">IFERROR(__xludf.DUMMYFUNCTION("""COMPUTED_VALUE"""),"Manage and drive End-to-End Projects or Products, Build and develop a Team, Work as a freelancer and do my thing my way, Become a content Creator in some platform")</f>
        <v>Manage and drive End-to-End Projects or Products, Build and develop a Team, Work as a freelancer and do my thing my way, Become a content Creator in some platform</v>
      </c>
      <c r="N738" s="1"/>
      <c r="O738" s="1" t="str">
        <f ca="1">IFERROR(__xludf.DUMMYFUNCTION("""COMPUTED_VALUE"""),"Manager who clearly describes what she/he needs")</f>
        <v>Manager who clearly describes what she/he needs</v>
      </c>
      <c r="P738" s="1" t="str">
        <f ca="1">IFERROR(__xludf.DUMMYFUNCTION("""COMPUTED_VALUE"""),"Work &lt;=6 People in the Team")</f>
        <v>Work &lt;=6 People in the Team</v>
      </c>
      <c r="Q738" s="1" t="s">
        <v>43</v>
      </c>
      <c r="R738" s="1"/>
    </row>
    <row r="739" spans="1:18" x14ac:dyDescent="0.25">
      <c r="A739" s="2">
        <f ca="1">IFERROR(__xludf.DUMMYFUNCTION("""COMPUTED_VALUE"""),45022.4806287847)</f>
        <v>45022.480628784702</v>
      </c>
      <c r="B739" s="1" t="str">
        <f ca="1">IFERROR(__xludf.DUMMYFUNCTION("""COMPUTED_VALUE"""),"India")</f>
        <v>India</v>
      </c>
      <c r="C739" s="1">
        <f ca="1">IFERROR(__xludf.DUMMYFUNCTION("""COMPUTED_VALUE"""),442902)</f>
        <v>442902</v>
      </c>
      <c r="D739" s="1" t="str">
        <f ca="1">IFERROR(__xludf.DUMMYFUNCTION("""COMPUTED_VALUE"""),"Male")</f>
        <v>Male</v>
      </c>
      <c r="E739" s="1" t="str">
        <f ca="1">IFERROR(__xludf.DUMMYFUNCTION("""COMPUTED_VALUE"""),"People from my circle, but not family members")</f>
        <v>People from my circle, but not family members</v>
      </c>
      <c r="F739" s="1" t="str">
        <f ca="1">IFERROR(__xludf.DUMMYFUNCTION("""COMPUTED_VALUE"""),"Yes, I will earn and do that")</f>
        <v>Yes, I will earn and do that</v>
      </c>
      <c r="G739" s="1" t="str">
        <f ca="1">IFERROR(__xludf.DUMMYFUNCTION("""COMPUTED_VALUE"""),"No way")</f>
        <v>No way</v>
      </c>
      <c r="H739" s="1" t="str">
        <f ca="1">IFERROR(__xludf.DUMMYFUNCTION("""COMPUTED_VALUE"""),"No")</f>
        <v>No</v>
      </c>
      <c r="I739" s="1" t="str">
        <f ca="1">IFERROR(__xludf.DUMMYFUNCTION("""COMPUTED_VALUE"""),"Will NOT work for them")</f>
        <v>Will NOT work for them</v>
      </c>
      <c r="J739" s="1">
        <f ca="1">IFERROR(__xludf.DUMMYFUNCTION("""COMPUTED_VALUE"""),1)</f>
        <v>1</v>
      </c>
      <c r="K739" s="1" t="str">
        <f ca="1">IFERROR(__xludf.DUMMYFUNCTION("""COMPUTED_VALUE"""),"Fully Remote with No option to visit offices")</f>
        <v>Fully Remote with No option to visit offices</v>
      </c>
      <c r="L739" s="1" t="str">
        <f ca="1">IFERROR(__xludf.DUMMYFUNCTION("""COMPUTED_VALUE"""),"Employer who rewards learning and enables that environment")</f>
        <v>Employer who rewards learning and enables that environment</v>
      </c>
      <c r="M739"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N739" s="1"/>
      <c r="O739" s="1" t="str">
        <f ca="1">IFERROR(__xludf.DUMMYFUNCTION("""COMPUTED_VALUE"""),"Manager who explains what is expected, sets a goal and helps achieve it")</f>
        <v>Manager who explains what is expected, sets a goal and helps achieve it</v>
      </c>
      <c r="P739" s="1" t="str">
        <f ca="1">IFERROR(__xludf.DUMMYFUNCTION("""COMPUTED_VALUE"""),"Work &lt;=6 People in the Team")</f>
        <v>Work &lt;=6 People in the Team</v>
      </c>
      <c r="Q739" s="1" t="s">
        <v>40</v>
      </c>
      <c r="R739" s="1"/>
    </row>
    <row r="740" spans="1:18" x14ac:dyDescent="0.25">
      <c r="A740" s="2">
        <f ca="1">IFERROR(__xludf.DUMMYFUNCTION("""COMPUTED_VALUE"""),45022.486580787)</f>
        <v>45022.486580787001</v>
      </c>
      <c r="B740" s="1" t="str">
        <f ca="1">IFERROR(__xludf.DUMMYFUNCTION("""COMPUTED_VALUE"""),"India")</f>
        <v>India</v>
      </c>
      <c r="C740" s="1">
        <f ca="1">IFERROR(__xludf.DUMMYFUNCTION("""COMPUTED_VALUE"""),201014)</f>
        <v>201014</v>
      </c>
      <c r="D740" s="1" t="str">
        <f ca="1">IFERROR(__xludf.DUMMYFUNCTION("""COMPUTED_VALUE"""),"Male")</f>
        <v>Male</v>
      </c>
      <c r="E740" s="1" t="str">
        <f ca="1">IFERROR(__xludf.DUMMYFUNCTION("""COMPUTED_VALUE"""),"My Parents")</f>
        <v>My Parents</v>
      </c>
      <c r="F740" s="1" t="str">
        <f ca="1">IFERROR(__xludf.DUMMYFUNCTION("""COMPUTED_VALUE"""),"Yes, I will earn and do that")</f>
        <v>Yes, I will earn and do that</v>
      </c>
      <c r="G740" s="1" t="str">
        <f ca="1">IFERROR(__xludf.DUMMYFUNCTION("""COMPUTED_VALUE"""),"This will be hard to do, but if it is the right company I would try")</f>
        <v>This will be hard to do, but if it is the right company I would try</v>
      </c>
      <c r="H740" s="1" t="str">
        <f ca="1">IFERROR(__xludf.DUMMYFUNCTION("""COMPUTED_VALUE"""),"Yes")</f>
        <v>Yes</v>
      </c>
      <c r="I740" s="1" t="str">
        <f ca="1">IFERROR(__xludf.DUMMYFUNCTION("""COMPUTED_VALUE"""),"Will NOT work for them")</f>
        <v>Will NOT work for them</v>
      </c>
      <c r="J740" s="1">
        <f ca="1">IFERROR(__xludf.DUMMYFUNCTION("""COMPUTED_VALUE"""),8)</f>
        <v>8</v>
      </c>
      <c r="K740" s="1" t="str">
        <f ca="1">IFERROR(__xludf.DUMMYFUNCTION("""COMPUTED_VALUE"""),"Hybrid Working Environment with less than 3 days a month at office")</f>
        <v>Hybrid Working Environment with less than 3 days a month at office</v>
      </c>
      <c r="L740" s="1" t="str">
        <f ca="1">IFERROR(__xludf.DUMMYFUNCTION("""COMPUTED_VALUE"""),"Employer who appreciates learning and enables that environment")</f>
        <v>Employer who appreciates learning and enables that environment</v>
      </c>
      <c r="M74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740" s="1"/>
      <c r="O740" s="1" t="str">
        <f ca="1">IFERROR(__xludf.DUMMYFUNCTION("""COMPUTED_VALUE"""),"Manager who clearly describes what she/he needs")</f>
        <v>Manager who clearly describes what she/he needs</v>
      </c>
      <c r="P740" s="1" t="str">
        <f ca="1">IFERROR(__xludf.DUMMYFUNCTION("""COMPUTED_VALUE"""),"Work &lt;=6 People in the Team")</f>
        <v>Work &lt;=6 People in the Team</v>
      </c>
      <c r="Q740" s="1" t="s">
        <v>43</v>
      </c>
      <c r="R740" s="1"/>
    </row>
    <row r="741" spans="1:18" x14ac:dyDescent="0.25">
      <c r="A741" s="2">
        <f ca="1">IFERROR(__xludf.DUMMYFUNCTION("""COMPUTED_VALUE"""),45022.4869817361)</f>
        <v>45022.486981736103</v>
      </c>
      <c r="B741" s="1" t="str">
        <f ca="1">IFERROR(__xludf.DUMMYFUNCTION("""COMPUTED_VALUE"""),"India")</f>
        <v>India</v>
      </c>
      <c r="C741" s="1">
        <f ca="1">IFERROR(__xludf.DUMMYFUNCTION("""COMPUTED_VALUE"""),110040)</f>
        <v>110040</v>
      </c>
      <c r="D741" s="1" t="str">
        <f ca="1">IFERROR(__xludf.DUMMYFUNCTION("""COMPUTED_VALUE"""),"Male")</f>
        <v>Male</v>
      </c>
      <c r="E741" s="1" t="str">
        <f ca="1">IFERROR(__xludf.DUMMYFUNCTION("""COMPUTED_VALUE"""),"My Parents")</f>
        <v>My Parents</v>
      </c>
      <c r="F741" s="1" t="str">
        <f ca="1">IFERROR(__xludf.DUMMYFUNCTION("""COMPUTED_VALUE"""),"Yes, I will earn and do that")</f>
        <v>Yes, I will earn and do that</v>
      </c>
      <c r="G741" s="1" t="str">
        <f ca="1">IFERROR(__xludf.DUMMYFUNCTION("""COMPUTED_VALUE"""),"Will work for 3 years or more")</f>
        <v>Will work for 3 years or more</v>
      </c>
      <c r="H741" s="1" t="str">
        <f ca="1">IFERROR(__xludf.DUMMYFUNCTION("""COMPUTED_VALUE"""),"No")</f>
        <v>No</v>
      </c>
      <c r="I741" s="1" t="str">
        <f ca="1">IFERROR(__xludf.DUMMYFUNCTION("""COMPUTED_VALUE"""),"Will NOT work for them")</f>
        <v>Will NOT work for them</v>
      </c>
      <c r="J741" s="1">
        <f ca="1">IFERROR(__xludf.DUMMYFUNCTION("""COMPUTED_VALUE"""),5)</f>
        <v>5</v>
      </c>
      <c r="K741" s="1" t="str">
        <f ca="1">IFERROR(__xludf.DUMMYFUNCTION("""COMPUTED_VALUE"""),"Hybrid Working Environment with less than 3 days a month at office")</f>
        <v>Hybrid Working Environment with less than 3 days a month at office</v>
      </c>
      <c r="L741" s="1" t="str">
        <f ca="1">IFERROR(__xludf.DUMMYFUNCTION("""COMPUTED_VALUE"""),"Employer who pushes your limits by enabling an learning environment, and rewards you at the end")</f>
        <v>Employer who pushes your limits by enabling an learning environment, and rewards you at the end</v>
      </c>
      <c r="M74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741" s="1"/>
      <c r="O741" s="1" t="str">
        <f ca="1">IFERROR(__xludf.DUMMYFUNCTION("""COMPUTED_VALUE"""),"Manager who sets targets and expects me to achieve it")</f>
        <v>Manager who sets targets and expects me to achieve it</v>
      </c>
      <c r="P741" s="1" t="str">
        <f ca="1">IFERROR(__xludf.DUMMYFUNCTION("""COMPUTED_VALUE"""),"Work &gt;=7 People in the Team")</f>
        <v>Work &gt;=7 People in the Team</v>
      </c>
      <c r="Q741" s="1" t="s">
        <v>43</v>
      </c>
      <c r="R741" s="1"/>
    </row>
    <row r="742" spans="1:18" x14ac:dyDescent="0.25">
      <c r="A742" s="2">
        <f ca="1">IFERROR(__xludf.DUMMYFUNCTION("""COMPUTED_VALUE"""),45022.4883401736)</f>
        <v>45022.488340173601</v>
      </c>
      <c r="B742" s="1" t="str">
        <f ca="1">IFERROR(__xludf.DUMMYFUNCTION("""COMPUTED_VALUE"""),"India")</f>
        <v>India</v>
      </c>
      <c r="C742" s="1">
        <f ca="1">IFERROR(__xludf.DUMMYFUNCTION("""COMPUTED_VALUE"""),201301)</f>
        <v>201301</v>
      </c>
      <c r="D742" s="1" t="str">
        <f ca="1">IFERROR(__xludf.DUMMYFUNCTION("""COMPUTED_VALUE"""),"Male")</f>
        <v>Male</v>
      </c>
      <c r="E742" s="1" t="str">
        <f ca="1">IFERROR(__xludf.DUMMYFUNCTION("""COMPUTED_VALUE"""),"Influencers who had successful careers")</f>
        <v>Influencers who had successful careers</v>
      </c>
      <c r="F742" s="1" t="str">
        <f ca="1">IFERROR(__xludf.DUMMYFUNCTION("""COMPUTED_VALUE"""),"Yes, I will earn and do that")</f>
        <v>Yes, I will earn and do that</v>
      </c>
      <c r="G742" s="1" t="str">
        <f ca="1">IFERROR(__xludf.DUMMYFUNCTION("""COMPUTED_VALUE"""),"Will work for 3 years or more")</f>
        <v>Will work for 3 years or more</v>
      </c>
      <c r="H742" s="1" t="str">
        <f ca="1">IFERROR(__xludf.DUMMYFUNCTION("""COMPUTED_VALUE"""),"No")</f>
        <v>No</v>
      </c>
      <c r="I742" s="1" t="str">
        <f ca="1">IFERROR(__xludf.DUMMYFUNCTION("""COMPUTED_VALUE"""),"Will NOT work for them")</f>
        <v>Will NOT work for them</v>
      </c>
      <c r="J742" s="1">
        <f ca="1">IFERROR(__xludf.DUMMYFUNCTION("""COMPUTED_VALUE"""),1)</f>
        <v>1</v>
      </c>
      <c r="K742" s="1" t="str">
        <f ca="1">IFERROR(__xludf.DUMMYFUNCTION("""COMPUTED_VALUE"""),"Fully Remote with Options to travel as and when needed")</f>
        <v>Fully Remote with Options to travel as and when needed</v>
      </c>
      <c r="L742" s="1" t="str">
        <f ca="1">IFERROR(__xludf.DUMMYFUNCTION("""COMPUTED_VALUE"""),"Employer who pushes your limits by enabling an learning environment, and rewards you at the end")</f>
        <v>Employer who pushes your limits by enabling an learning environment, and rewards you at the end</v>
      </c>
      <c r="M74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742" s="1"/>
      <c r="O742" s="1" t="str">
        <f ca="1">IFERROR(__xludf.DUMMYFUNCTION("""COMPUTED_VALUE"""),"Manager who explains what is expected, sets a goal and helps achieve it")</f>
        <v>Manager who explains what is expected, sets a goal and helps achieve it</v>
      </c>
      <c r="P742" s="1" t="str">
        <f ca="1">IFERROR(__xludf.DUMMYFUNCTION("""COMPUTED_VALUE"""),"Work &gt;10 people in Team")</f>
        <v>Work &gt;10 people in Team</v>
      </c>
      <c r="Q742" s="1" t="s">
        <v>40</v>
      </c>
      <c r="R742" s="1"/>
    </row>
    <row r="743" spans="1:18" x14ac:dyDescent="0.25">
      <c r="A743" s="2">
        <f ca="1">IFERROR(__xludf.DUMMYFUNCTION("""COMPUTED_VALUE"""),45022.4923237268)</f>
        <v>45022.492323726801</v>
      </c>
      <c r="B743" s="1" t="str">
        <f ca="1">IFERROR(__xludf.DUMMYFUNCTION("""COMPUTED_VALUE"""),"India")</f>
        <v>India</v>
      </c>
      <c r="C743" s="1">
        <f ca="1">IFERROR(__xludf.DUMMYFUNCTION("""COMPUTED_VALUE"""),110066)</f>
        <v>110066</v>
      </c>
      <c r="D743" s="1" t="str">
        <f ca="1">IFERROR(__xludf.DUMMYFUNCTION("""COMPUTED_VALUE"""),"Female")</f>
        <v>Female</v>
      </c>
      <c r="E743" s="1" t="str">
        <f ca="1">IFERROR(__xludf.DUMMYFUNCTION("""COMPUTED_VALUE"""),"People from my circle, but not family members")</f>
        <v>People from my circle, but not family members</v>
      </c>
      <c r="F743" s="1" t="str">
        <f ca="1">IFERROR(__xludf.DUMMYFUNCTION("""COMPUTED_VALUE"""),"No I would not be pursuing Higher Education outside of India")</f>
        <v>No I would not be pursuing Higher Education outside of India</v>
      </c>
      <c r="G743" s="1" t="str">
        <f ca="1">IFERROR(__xludf.DUMMYFUNCTION("""COMPUTED_VALUE"""),"Will work for 3 years or more")</f>
        <v>Will work for 3 years or more</v>
      </c>
      <c r="H743" s="1" t="str">
        <f ca="1">IFERROR(__xludf.DUMMYFUNCTION("""COMPUTED_VALUE"""),"No")</f>
        <v>No</v>
      </c>
      <c r="I743" s="1" t="str">
        <f ca="1">IFERROR(__xludf.DUMMYFUNCTION("""COMPUTED_VALUE"""),"Will NOT work for them")</f>
        <v>Will NOT work for them</v>
      </c>
      <c r="J743" s="1">
        <f ca="1">IFERROR(__xludf.DUMMYFUNCTION("""COMPUTED_VALUE"""),2)</f>
        <v>2</v>
      </c>
      <c r="K743" s="1" t="str">
        <f ca="1">IFERROR(__xludf.DUMMYFUNCTION("""COMPUTED_VALUE"""),"Hybrid Working Environment with more than 15 days a month at office")</f>
        <v>Hybrid Working Environment with more than 15 days a month at office</v>
      </c>
      <c r="L743" s="1" t="str">
        <f ca="1">IFERROR(__xludf.DUMMYFUNCTION("""COMPUTED_VALUE"""),"Employer who appreciates learning and enables that environment")</f>
        <v>Employer who appreciates learning and enables that environment</v>
      </c>
      <c r="M7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743" s="1"/>
      <c r="O743" s="1" t="str">
        <f ca="1">IFERROR(__xludf.DUMMYFUNCTION("""COMPUTED_VALUE"""),"Manager who clearly describes what she/he needs")</f>
        <v>Manager who clearly describes what she/he needs</v>
      </c>
      <c r="P743" s="1" t="str">
        <f ca="1">IFERROR(__xludf.DUMMYFUNCTION("""COMPUTED_VALUE"""),"Work &lt;=6 People in the Team")</f>
        <v>Work &lt;=6 People in the Team</v>
      </c>
      <c r="Q743" s="1" t="s">
        <v>43</v>
      </c>
      <c r="R743" s="1"/>
    </row>
    <row r="744" spans="1:18" x14ac:dyDescent="0.25">
      <c r="A744" s="2">
        <f ca="1">IFERROR(__xludf.DUMMYFUNCTION("""COMPUTED_VALUE"""),45022.4941508564)</f>
        <v>45022.494150856401</v>
      </c>
      <c r="B744" s="1" t="str">
        <f ca="1">IFERROR(__xludf.DUMMYFUNCTION("""COMPUTED_VALUE"""),"India")</f>
        <v>India</v>
      </c>
      <c r="C744" s="1">
        <f ca="1">IFERROR(__xludf.DUMMYFUNCTION("""COMPUTED_VALUE"""),342001)</f>
        <v>342001</v>
      </c>
      <c r="D744" s="1" t="str">
        <f ca="1">IFERROR(__xludf.DUMMYFUNCTION("""COMPUTED_VALUE"""),"Female")</f>
        <v>Female</v>
      </c>
      <c r="E744" s="1" t="str">
        <f ca="1">IFERROR(__xludf.DUMMYFUNCTION("""COMPUTED_VALUE"""),"People who have changed the world for better")</f>
        <v>People who have changed the world for better</v>
      </c>
      <c r="F744" s="1" t="str">
        <f ca="1">IFERROR(__xludf.DUMMYFUNCTION("""COMPUTED_VALUE"""),"Yes, I will earn and do that")</f>
        <v>Yes, I will earn and do that</v>
      </c>
      <c r="G744" s="1" t="str">
        <f ca="1">IFERROR(__xludf.DUMMYFUNCTION("""COMPUTED_VALUE"""),"This will be hard to do, but if it is the right company I would try")</f>
        <v>This will be hard to do, but if it is the right company I would try</v>
      </c>
      <c r="H744" s="1" t="str">
        <f ca="1">IFERROR(__xludf.DUMMYFUNCTION("""COMPUTED_VALUE"""),"No")</f>
        <v>No</v>
      </c>
      <c r="I744" s="1" t="str">
        <f ca="1">IFERROR(__xludf.DUMMYFUNCTION("""COMPUTED_VALUE"""),"Will NOT work for them")</f>
        <v>Will NOT work for them</v>
      </c>
      <c r="J744" s="1">
        <f ca="1">IFERROR(__xludf.DUMMYFUNCTION("""COMPUTED_VALUE"""),4)</f>
        <v>4</v>
      </c>
      <c r="K744" s="1" t="str">
        <f ca="1">IFERROR(__xludf.DUMMYFUNCTION("""COMPUTED_VALUE"""),"Hybrid Working Environment with more than 15 days a month at office")</f>
        <v>Hybrid Working Environment with more than 15 days a month at office</v>
      </c>
      <c r="L744" s="1" t="str">
        <f ca="1">IFERROR(__xludf.DUMMYFUNCTION("""COMPUTED_VALUE"""),"Employer who rewards learning and enables that environment")</f>
        <v>Employer who rewards learning and enables that environment</v>
      </c>
      <c r="M7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744" s="1"/>
      <c r="O744" s="1" t="str">
        <f ca="1">IFERROR(__xludf.DUMMYFUNCTION("""COMPUTED_VALUE"""),"Manager who explains what is expected, sets a goal and helps achieve it")</f>
        <v>Manager who explains what is expected, sets a goal and helps achieve it</v>
      </c>
      <c r="P744" s="1" t="str">
        <f ca="1">IFERROR(__xludf.DUMMYFUNCTION("""COMPUTED_VALUE"""),"Work &gt;10 people in Team")</f>
        <v>Work &gt;10 people in Team</v>
      </c>
      <c r="Q744" s="1" t="s">
        <v>43</v>
      </c>
      <c r="R744" s="1"/>
    </row>
    <row r="745" spans="1:18" x14ac:dyDescent="0.25">
      <c r="A745" s="2">
        <f ca="1">IFERROR(__xludf.DUMMYFUNCTION("""COMPUTED_VALUE"""),45022.499346331)</f>
        <v>45022.499346331002</v>
      </c>
      <c r="B745" s="1" t="str">
        <f ca="1">IFERROR(__xludf.DUMMYFUNCTION("""COMPUTED_VALUE"""),"India")</f>
        <v>India</v>
      </c>
      <c r="C745" s="1">
        <f ca="1">IFERROR(__xludf.DUMMYFUNCTION("""COMPUTED_VALUE"""),201301)</f>
        <v>201301</v>
      </c>
      <c r="D745" s="1" t="str">
        <f ca="1">IFERROR(__xludf.DUMMYFUNCTION("""COMPUTED_VALUE"""),"Male")</f>
        <v>Male</v>
      </c>
      <c r="E745" s="1" t="str">
        <f ca="1">IFERROR(__xludf.DUMMYFUNCTION("""COMPUTED_VALUE"""),"My Parents")</f>
        <v>My Parents</v>
      </c>
      <c r="F745" s="1" t="str">
        <f ca="1">IFERROR(__xludf.DUMMYFUNCTION("""COMPUTED_VALUE"""),"No, But if someone could bare the cost I will")</f>
        <v>No, But if someone could bare the cost I will</v>
      </c>
      <c r="G745" s="1" t="str">
        <f ca="1">IFERROR(__xludf.DUMMYFUNCTION("""COMPUTED_VALUE"""),"Will work for 3 years or more")</f>
        <v>Will work for 3 years or more</v>
      </c>
      <c r="H745" s="1" t="str">
        <f ca="1">IFERROR(__xludf.DUMMYFUNCTION("""COMPUTED_VALUE"""),"No")</f>
        <v>No</v>
      </c>
      <c r="I745" s="1" t="str">
        <f ca="1">IFERROR(__xludf.DUMMYFUNCTION("""COMPUTED_VALUE"""),"Will NOT work for them")</f>
        <v>Will NOT work for them</v>
      </c>
      <c r="J745" s="1">
        <f ca="1">IFERROR(__xludf.DUMMYFUNCTION("""COMPUTED_VALUE"""),6)</f>
        <v>6</v>
      </c>
      <c r="K745" s="1" t="str">
        <f ca="1">IFERROR(__xludf.DUMMYFUNCTION("""COMPUTED_VALUE"""),"Hybrid Working Environment with more than 15 days a month at office")</f>
        <v>Hybrid Working Environment with more than 15 days a month at office</v>
      </c>
      <c r="L745" s="1" t="str">
        <f ca="1">IFERROR(__xludf.DUMMYFUNCTION("""COMPUTED_VALUE"""),"Employer who rewards learning and enables that environment")</f>
        <v>Employer who rewards learning and enables that environment</v>
      </c>
      <c r="M74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N745" s="1"/>
      <c r="O745" s="1" t="str">
        <f ca="1">IFERROR(__xludf.DUMMYFUNCTION("""COMPUTED_VALUE"""),"Manager who explains what is expected, sets a goal and helps achieve it")</f>
        <v>Manager who explains what is expected, sets a goal and helps achieve it</v>
      </c>
      <c r="P745" s="1" t="str">
        <f ca="1">IFERROR(__xludf.DUMMYFUNCTION("""COMPUTED_VALUE"""),"Work Alone, &lt;=6 in team")</f>
        <v>Work Alone, &lt;=6 in team</v>
      </c>
      <c r="Q745" s="1" t="s">
        <v>40</v>
      </c>
      <c r="R745" s="1"/>
    </row>
    <row r="746" spans="1:18" x14ac:dyDescent="0.25">
      <c r="A746" s="2">
        <f ca="1">IFERROR(__xludf.DUMMYFUNCTION("""COMPUTED_VALUE"""),45022.5078878125)</f>
        <v>45022.507887812499</v>
      </c>
      <c r="B746" s="1" t="str">
        <f ca="1">IFERROR(__xludf.DUMMYFUNCTION("""COMPUTED_VALUE"""),"India")</f>
        <v>India</v>
      </c>
      <c r="C746" s="1">
        <f ca="1">IFERROR(__xludf.DUMMYFUNCTION("""COMPUTED_VALUE"""),110045)</f>
        <v>110045</v>
      </c>
      <c r="D746" s="1" t="str">
        <f ca="1">IFERROR(__xludf.DUMMYFUNCTION("""COMPUTED_VALUE"""),"Male")</f>
        <v>Male</v>
      </c>
      <c r="E746" s="1" t="str">
        <f ca="1">IFERROR(__xludf.DUMMYFUNCTION("""COMPUTED_VALUE"""),"My Parents")</f>
        <v>My Parents</v>
      </c>
      <c r="F746" s="1" t="str">
        <f ca="1">IFERROR(__xludf.DUMMYFUNCTION("""COMPUTED_VALUE"""),"No I would not be pursuing Higher Education outside of India")</f>
        <v>No I would not be pursuing Higher Education outside of India</v>
      </c>
      <c r="G746" s="1" t="str">
        <f ca="1">IFERROR(__xludf.DUMMYFUNCTION("""COMPUTED_VALUE"""),"Will work for 3 years or more")</f>
        <v>Will work for 3 years or more</v>
      </c>
      <c r="H746" s="1" t="str">
        <f ca="1">IFERROR(__xludf.DUMMYFUNCTION("""COMPUTED_VALUE"""),"No")</f>
        <v>No</v>
      </c>
      <c r="I746" s="1" t="str">
        <f ca="1">IFERROR(__xludf.DUMMYFUNCTION("""COMPUTED_VALUE"""),"Will NOT work for them")</f>
        <v>Will NOT work for them</v>
      </c>
      <c r="J746" s="1">
        <f ca="1">IFERROR(__xludf.DUMMYFUNCTION("""COMPUTED_VALUE"""),1)</f>
        <v>1</v>
      </c>
      <c r="K746" s="1" t="str">
        <f ca="1">IFERROR(__xludf.DUMMYFUNCTION("""COMPUTED_VALUE"""),"Every Day Office Environment")</f>
        <v>Every Day Office Environment</v>
      </c>
      <c r="L746" s="1" t="str">
        <f ca="1">IFERROR(__xludf.DUMMYFUNCTION("""COMPUTED_VALUE"""),"Employer who pushes your limits by enabling an learning environment, and rewards you at the end")</f>
        <v>Employer who pushes your limits by enabling an learning environment, and rewards you at the end</v>
      </c>
      <c r="M746"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N746" s="1"/>
      <c r="O746" s="1" t="str">
        <f ca="1">IFERROR(__xludf.DUMMYFUNCTION("""COMPUTED_VALUE"""),"Manager who sets goal and helps me achieve it")</f>
        <v>Manager who sets goal and helps me achieve it</v>
      </c>
      <c r="P746" s="1" t="str">
        <f ca="1">IFERROR(__xludf.DUMMYFUNCTION("""COMPUTED_VALUE"""),"Work &lt;=6 People in the Team")</f>
        <v>Work &lt;=6 People in the Team</v>
      </c>
      <c r="Q746" s="1" t="s">
        <v>43</v>
      </c>
      <c r="R746" s="1"/>
    </row>
    <row r="747" spans="1:18" x14ac:dyDescent="0.25">
      <c r="A747" s="2">
        <f ca="1">IFERROR(__xludf.DUMMYFUNCTION("""COMPUTED_VALUE"""),45022.5094477777)</f>
        <v>45022.509447777702</v>
      </c>
      <c r="B747" s="1" t="str">
        <f ca="1">IFERROR(__xludf.DUMMYFUNCTION("""COMPUTED_VALUE"""),"India")</f>
        <v>India</v>
      </c>
      <c r="C747" s="1">
        <f ca="1">IFERROR(__xludf.DUMMYFUNCTION("""COMPUTED_VALUE"""),855107)</f>
        <v>855107</v>
      </c>
      <c r="D747" s="1" t="str">
        <f ca="1">IFERROR(__xludf.DUMMYFUNCTION("""COMPUTED_VALUE"""),"Male")</f>
        <v>Male</v>
      </c>
      <c r="E747" s="1" t="str">
        <f ca="1">IFERROR(__xludf.DUMMYFUNCTION("""COMPUTED_VALUE"""),"Social Media like LinkedIn")</f>
        <v>Social Media like LinkedIn</v>
      </c>
      <c r="F747" s="1" t="str">
        <f ca="1">IFERROR(__xludf.DUMMYFUNCTION("""COMPUTED_VALUE"""),"No I would not be pursuing Higher Education outside of India")</f>
        <v>No I would not be pursuing Higher Education outside of India</v>
      </c>
      <c r="G747" s="1" t="str">
        <f ca="1">IFERROR(__xludf.DUMMYFUNCTION("""COMPUTED_VALUE"""),"Will work for 3 years or more")</f>
        <v>Will work for 3 years or more</v>
      </c>
      <c r="H747" s="1" t="str">
        <f ca="1">IFERROR(__xludf.DUMMYFUNCTION("""COMPUTED_VALUE"""),"No")</f>
        <v>No</v>
      </c>
      <c r="I747" s="1" t="str">
        <f ca="1">IFERROR(__xludf.DUMMYFUNCTION("""COMPUTED_VALUE"""),"Will NOT work for them")</f>
        <v>Will NOT work for them</v>
      </c>
      <c r="J747" s="1">
        <f ca="1">IFERROR(__xludf.DUMMYFUNCTION("""COMPUTED_VALUE"""),6)</f>
        <v>6</v>
      </c>
      <c r="K747" s="1" t="str">
        <f ca="1">IFERROR(__xludf.DUMMYFUNCTION("""COMPUTED_VALUE"""),"Hybrid Working Environment with more than 15 days a month at office")</f>
        <v>Hybrid Working Environment with more than 15 days a month at office</v>
      </c>
      <c r="L747" s="1" t="str">
        <f ca="1">IFERROR(__xludf.DUMMYFUNCTION("""COMPUTED_VALUE"""),"Employer who pushes your limits by enabling an learning environment, and rewards you at the end")</f>
        <v>Employer who pushes your limits by enabling an learning environment, and rewards you at the end</v>
      </c>
      <c r="M747"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747" s="1"/>
      <c r="O747" s="1" t="str">
        <f ca="1">IFERROR(__xludf.DUMMYFUNCTION("""COMPUTED_VALUE"""),"Manager who explains what is expected, sets a goal and helps achieve it")</f>
        <v>Manager who explains what is expected, sets a goal and helps achieve it</v>
      </c>
      <c r="P747" s="1" t="str">
        <f ca="1">IFERROR(__xludf.DUMMYFUNCTION("""COMPUTED_VALUE"""),"Work Alone, &lt;67 people in team")</f>
        <v>Work Alone, &lt;67 people in team</v>
      </c>
      <c r="Q747" s="1" t="s">
        <v>43</v>
      </c>
      <c r="R747" s="1"/>
    </row>
    <row r="748" spans="1:18" x14ac:dyDescent="0.25">
      <c r="A748" s="2">
        <f ca="1">IFERROR(__xludf.DUMMYFUNCTION("""COMPUTED_VALUE"""),45022.5180433217)</f>
        <v>45022.518043321703</v>
      </c>
      <c r="B748" s="1" t="str">
        <f ca="1">IFERROR(__xludf.DUMMYFUNCTION("""COMPUTED_VALUE"""),"India")</f>
        <v>India</v>
      </c>
      <c r="C748" s="1">
        <f ca="1">IFERROR(__xludf.DUMMYFUNCTION("""COMPUTED_VALUE"""),521002)</f>
        <v>521002</v>
      </c>
      <c r="D748" s="1" t="str">
        <f ca="1">IFERROR(__xludf.DUMMYFUNCTION("""COMPUTED_VALUE"""),"Female")</f>
        <v>Female</v>
      </c>
      <c r="E748" s="1" t="str">
        <f ca="1">IFERROR(__xludf.DUMMYFUNCTION("""COMPUTED_VALUE"""),"My Parents")</f>
        <v>My Parents</v>
      </c>
      <c r="F748" s="1" t="str">
        <f ca="1">IFERROR(__xludf.DUMMYFUNCTION("""COMPUTED_VALUE"""),"No, But if someone could bare the cost I will")</f>
        <v>No, But if someone could bare the cost I will</v>
      </c>
      <c r="G748" s="1" t="str">
        <f ca="1">IFERROR(__xludf.DUMMYFUNCTION("""COMPUTED_VALUE"""),"This will be hard to do, but if it is the right company I would try")</f>
        <v>This will be hard to do, but if it is the right company I would try</v>
      </c>
      <c r="H748" s="1" t="str">
        <f ca="1">IFERROR(__xludf.DUMMYFUNCTION("""COMPUTED_VALUE"""),"No")</f>
        <v>No</v>
      </c>
      <c r="I748" s="1" t="str">
        <f ca="1">IFERROR(__xludf.DUMMYFUNCTION("""COMPUTED_VALUE"""),"Will NOT work for them")</f>
        <v>Will NOT work for them</v>
      </c>
      <c r="J748" s="1">
        <f ca="1">IFERROR(__xludf.DUMMYFUNCTION("""COMPUTED_VALUE"""),4)</f>
        <v>4</v>
      </c>
      <c r="K748" s="1" t="str">
        <f ca="1">IFERROR(__xludf.DUMMYFUNCTION("""COMPUTED_VALUE"""),"Hybrid Working Environment with more than 15 days a month at office")</f>
        <v>Hybrid Working Environment with more than 15 days a month at office</v>
      </c>
      <c r="L748" s="1" t="str">
        <f ca="1">IFERROR(__xludf.DUMMYFUNCTION("""COMPUTED_VALUE"""),"Employer who pushes your limits by enabling an learning environment, and rewards you at the end")</f>
        <v>Employer who pushes your limits by enabling an learning environment, and rewards you at the end</v>
      </c>
      <c r="M74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748" s="1"/>
      <c r="O748" s="1" t="str">
        <f ca="1">IFERROR(__xludf.DUMMYFUNCTION("""COMPUTED_VALUE"""),"Manager who explains what is expected, sets a goal and helps achieve it")</f>
        <v>Manager who explains what is expected, sets a goal and helps achieve it</v>
      </c>
      <c r="P748" s="1" t="str">
        <f ca="1">IFERROR(__xludf.DUMMYFUNCTION("""COMPUTED_VALUE"""),"Work &lt;=6 People in the Team")</f>
        <v>Work &lt;=6 People in the Team</v>
      </c>
      <c r="Q748" s="1" t="s">
        <v>43</v>
      </c>
      <c r="R748" s="1"/>
    </row>
    <row r="749" spans="1:18" x14ac:dyDescent="0.25">
      <c r="A749" s="2">
        <f ca="1">IFERROR(__xludf.DUMMYFUNCTION("""COMPUTED_VALUE"""),45022.5214991435)</f>
        <v>45022.521499143499</v>
      </c>
      <c r="B749" s="1" t="str">
        <f ca="1">IFERROR(__xludf.DUMMYFUNCTION("""COMPUTED_VALUE"""),"India")</f>
        <v>India</v>
      </c>
      <c r="C749" s="1">
        <f ca="1">IFERROR(__xludf.DUMMYFUNCTION("""COMPUTED_VALUE"""),442001)</f>
        <v>442001</v>
      </c>
      <c r="D749" s="1" t="str">
        <f ca="1">IFERROR(__xludf.DUMMYFUNCTION("""COMPUTED_VALUE"""),"Female")</f>
        <v>Female</v>
      </c>
      <c r="E749" s="1" t="str">
        <f ca="1">IFERROR(__xludf.DUMMYFUNCTION("""COMPUTED_VALUE"""),"Social Media like LinkedIn")</f>
        <v>Social Media like LinkedIn</v>
      </c>
      <c r="F749" s="1" t="str">
        <f ca="1">IFERROR(__xludf.DUMMYFUNCTION("""COMPUTED_VALUE"""),"No, But if someone could bare the cost I will")</f>
        <v>No, But if someone could bare the cost I will</v>
      </c>
      <c r="G749" s="1" t="str">
        <f ca="1">IFERROR(__xludf.DUMMYFUNCTION("""COMPUTED_VALUE"""),"This will be hard to do, but if it is the right company I would try")</f>
        <v>This will be hard to do, but if it is the right company I would try</v>
      </c>
      <c r="H749" s="1" t="str">
        <f ca="1">IFERROR(__xludf.DUMMYFUNCTION("""COMPUTED_VALUE"""),"No")</f>
        <v>No</v>
      </c>
      <c r="I749" s="1" t="str">
        <f ca="1">IFERROR(__xludf.DUMMYFUNCTION("""COMPUTED_VALUE"""),"Will NOT work for them")</f>
        <v>Will NOT work for them</v>
      </c>
      <c r="J749" s="1">
        <f ca="1">IFERROR(__xludf.DUMMYFUNCTION("""COMPUTED_VALUE"""),9)</f>
        <v>9</v>
      </c>
      <c r="K749" s="1" t="str">
        <f ca="1">IFERROR(__xludf.DUMMYFUNCTION("""COMPUTED_VALUE"""),"Fully Remote with Options to travel as and when needed")</f>
        <v>Fully Remote with Options to travel as and when needed</v>
      </c>
      <c r="L749" s="1" t="str">
        <f ca="1">IFERROR(__xludf.DUMMYFUNCTION("""COMPUTED_VALUE"""),"Employer who pushes your limits by enabling an learning environment, and rewards you at the end")</f>
        <v>Employer who pushes your limits by enabling an learning environment, and rewards you at the end</v>
      </c>
      <c r="M749"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749" s="1"/>
      <c r="O749" s="1" t="str">
        <f ca="1">IFERROR(__xludf.DUMMYFUNCTION("""COMPUTED_VALUE"""),"Manager who sets goal and helps me achieve it")</f>
        <v>Manager who sets goal and helps me achieve it</v>
      </c>
      <c r="P749" s="1" t="str">
        <f ca="1">IFERROR(__xludf.DUMMYFUNCTION("""COMPUTED_VALUE"""),"Work  &lt;67 people in team")</f>
        <v>Work  &lt;67 people in team</v>
      </c>
      <c r="Q749" s="1" t="s">
        <v>43</v>
      </c>
      <c r="R749" s="1"/>
    </row>
    <row r="750" spans="1:18" x14ac:dyDescent="0.25">
      <c r="A750" s="2">
        <f ca="1">IFERROR(__xludf.DUMMYFUNCTION("""COMPUTED_VALUE"""),45022.5275921412)</f>
        <v>45022.527592141203</v>
      </c>
      <c r="B750" s="1" t="str">
        <f ca="1">IFERROR(__xludf.DUMMYFUNCTION("""COMPUTED_VALUE"""),"India")</f>
        <v>India</v>
      </c>
      <c r="C750" s="1">
        <f ca="1">IFERROR(__xludf.DUMMYFUNCTION("""COMPUTED_VALUE"""),521165)</f>
        <v>521165</v>
      </c>
      <c r="D750" s="1" t="str">
        <f ca="1">IFERROR(__xludf.DUMMYFUNCTION("""COMPUTED_VALUE"""),"Male")</f>
        <v>Male</v>
      </c>
      <c r="E750" s="1" t="str">
        <f ca="1">IFERROR(__xludf.DUMMYFUNCTION("""COMPUTED_VALUE"""),"Social Media like LinkedIn")</f>
        <v>Social Media like LinkedIn</v>
      </c>
      <c r="F750" s="1" t="str">
        <f ca="1">IFERROR(__xludf.DUMMYFUNCTION("""COMPUTED_VALUE"""),"No I would not be pursuing Higher Education outside of India")</f>
        <v>No I would not be pursuing Higher Education outside of India</v>
      </c>
      <c r="G750" s="1" t="str">
        <f ca="1">IFERROR(__xludf.DUMMYFUNCTION("""COMPUTED_VALUE"""),"This will be hard to do, but if it is the right company I would try")</f>
        <v>This will be hard to do, but if it is the right company I would try</v>
      </c>
      <c r="H750" s="1" t="str">
        <f ca="1">IFERROR(__xludf.DUMMYFUNCTION("""COMPUTED_VALUE"""),"No")</f>
        <v>No</v>
      </c>
      <c r="I750" s="1" t="str">
        <f ca="1">IFERROR(__xludf.DUMMYFUNCTION("""COMPUTED_VALUE"""),"Will work for them")</f>
        <v>Will work for them</v>
      </c>
      <c r="J750" s="1">
        <f ca="1">IFERROR(__xludf.DUMMYFUNCTION("""COMPUTED_VALUE"""),9)</f>
        <v>9</v>
      </c>
      <c r="K750" s="1" t="str">
        <f ca="1">IFERROR(__xludf.DUMMYFUNCTION("""COMPUTED_VALUE"""),"Fully Remote with Options to travel as and when needed")</f>
        <v>Fully Remote with Options to travel as and when needed</v>
      </c>
      <c r="L750" s="1" t="str">
        <f ca="1">IFERROR(__xludf.DUMMYFUNCTION("""COMPUTED_VALUE"""),"Employer who rewards learning and enables that environment")</f>
        <v>Employer who rewards learning and enables that environment</v>
      </c>
      <c r="M750"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N750" s="1"/>
      <c r="O750" s="1" t="str">
        <f ca="1">IFERROR(__xludf.DUMMYFUNCTION("""COMPUTED_VALUE"""),"Manager who sets goal and helps me achieve it")</f>
        <v>Manager who sets goal and helps me achieve it</v>
      </c>
      <c r="P750" s="1" t="str">
        <f ca="1">IFERROR(__xludf.DUMMYFUNCTION("""COMPUTED_VALUE"""),"Work &lt;=6 People in the Team")</f>
        <v>Work &lt;=6 People in the Team</v>
      </c>
      <c r="Q750" s="1" t="s">
        <v>43</v>
      </c>
      <c r="R750" s="1"/>
    </row>
    <row r="751" spans="1:18" x14ac:dyDescent="0.25">
      <c r="A751" s="2">
        <f ca="1">IFERROR(__xludf.DUMMYFUNCTION("""COMPUTED_VALUE"""),45022.5300930439)</f>
        <v>45022.530093043897</v>
      </c>
      <c r="B751" s="1" t="str">
        <f ca="1">IFERROR(__xludf.DUMMYFUNCTION("""COMPUTED_VALUE"""),"India")</f>
        <v>India</v>
      </c>
      <c r="C751" s="1">
        <f ca="1">IFERROR(__xludf.DUMMYFUNCTION("""COMPUTED_VALUE"""),110022)</f>
        <v>110022</v>
      </c>
      <c r="D751" s="1" t="str">
        <f ca="1">IFERROR(__xludf.DUMMYFUNCTION("""COMPUTED_VALUE"""),"Female")</f>
        <v>Female</v>
      </c>
      <c r="E751" s="1" t="str">
        <f ca="1">IFERROR(__xludf.DUMMYFUNCTION("""COMPUTED_VALUE"""),"People who have changed the world for better")</f>
        <v>People who have changed the world for better</v>
      </c>
      <c r="F751" s="1" t="str">
        <f ca="1">IFERROR(__xludf.DUMMYFUNCTION("""COMPUTED_VALUE"""),"No I would not be pursuing Higher Education outside of India")</f>
        <v>No I would not be pursuing Higher Education outside of India</v>
      </c>
      <c r="G751" s="1" t="str">
        <f ca="1">IFERROR(__xludf.DUMMYFUNCTION("""COMPUTED_VALUE"""),"This will be hard to do, but if it is the right company I would try")</f>
        <v>This will be hard to do, but if it is the right company I would try</v>
      </c>
      <c r="H751" s="1" t="str">
        <f ca="1">IFERROR(__xludf.DUMMYFUNCTION("""COMPUTED_VALUE"""),"Yes")</f>
        <v>Yes</v>
      </c>
      <c r="I751" s="1" t="str">
        <f ca="1">IFERROR(__xludf.DUMMYFUNCTION("""COMPUTED_VALUE"""),"Will work for them")</f>
        <v>Will work for them</v>
      </c>
      <c r="J751" s="1">
        <f ca="1">IFERROR(__xludf.DUMMYFUNCTION("""COMPUTED_VALUE"""),7)</f>
        <v>7</v>
      </c>
      <c r="K751" s="1" t="str">
        <f ca="1">IFERROR(__xludf.DUMMYFUNCTION("""COMPUTED_VALUE"""),"Hybrid Working Environment with more than 15 days a month at office")</f>
        <v>Hybrid Working Environment with more than 15 days a month at office</v>
      </c>
      <c r="L751" s="1" t="str">
        <f ca="1">IFERROR(__xludf.DUMMYFUNCTION("""COMPUTED_VALUE"""),"Employer who rewards learning and enables that environment")</f>
        <v>Employer who rewards learning and enables that environment</v>
      </c>
      <c r="M75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N751" s="1"/>
      <c r="O751" s="1" t="str">
        <f ca="1">IFERROR(__xludf.DUMMYFUNCTION("""COMPUTED_VALUE"""),"Manager who sets goal and helps me achieve it")</f>
        <v>Manager who sets goal and helps me achieve it</v>
      </c>
      <c r="P751" s="1" t="str">
        <f ca="1">IFERROR(__xludf.DUMMYFUNCTION("""COMPUTED_VALUE"""),"Work alone")</f>
        <v>Work alone</v>
      </c>
      <c r="Q751" s="1" t="s">
        <v>40</v>
      </c>
      <c r="R751" s="1"/>
    </row>
    <row r="752" spans="1:18" x14ac:dyDescent="0.25">
      <c r="A752" s="2">
        <f ca="1">IFERROR(__xludf.DUMMYFUNCTION("""COMPUTED_VALUE"""),45022.5307184143)</f>
        <v>45022.530718414302</v>
      </c>
      <c r="B752" s="1" t="str">
        <f ca="1">IFERROR(__xludf.DUMMYFUNCTION("""COMPUTED_VALUE"""),"India")</f>
        <v>India</v>
      </c>
      <c r="C752" s="1">
        <f ca="1">IFERROR(__xludf.DUMMYFUNCTION("""COMPUTED_VALUE"""),560028)</f>
        <v>560028</v>
      </c>
      <c r="D752" s="1" t="str">
        <f ca="1">IFERROR(__xludf.DUMMYFUNCTION("""COMPUTED_VALUE"""),"Male")</f>
        <v>Male</v>
      </c>
      <c r="E752" s="1" t="str">
        <f ca="1">IFERROR(__xludf.DUMMYFUNCTION("""COMPUTED_VALUE"""),"People who have changed the world for better")</f>
        <v>People who have changed the world for better</v>
      </c>
      <c r="F752" s="1" t="str">
        <f ca="1">IFERROR(__xludf.DUMMYFUNCTION("""COMPUTED_VALUE"""),"Yes, I will earn and do that")</f>
        <v>Yes, I will earn and do that</v>
      </c>
      <c r="G752" s="1" t="str">
        <f ca="1">IFERROR(__xludf.DUMMYFUNCTION("""COMPUTED_VALUE"""),"This will be hard to do, but if it is the right company I would try")</f>
        <v>This will be hard to do, but if it is the right company I would try</v>
      </c>
      <c r="H752" s="1" t="str">
        <f ca="1">IFERROR(__xludf.DUMMYFUNCTION("""COMPUTED_VALUE"""),"No")</f>
        <v>No</v>
      </c>
      <c r="I752" s="1" t="str">
        <f ca="1">IFERROR(__xludf.DUMMYFUNCTION("""COMPUTED_VALUE"""),"Will NOT work for them")</f>
        <v>Will NOT work for them</v>
      </c>
      <c r="J752" s="1">
        <f ca="1">IFERROR(__xludf.DUMMYFUNCTION("""COMPUTED_VALUE"""),7)</f>
        <v>7</v>
      </c>
      <c r="K752" s="1" t="str">
        <f ca="1">IFERROR(__xludf.DUMMYFUNCTION("""COMPUTED_VALUE"""),"Hybrid Working Environment with less than 3 days a month at office")</f>
        <v>Hybrid Working Environment with less than 3 days a month at office</v>
      </c>
      <c r="L752" s="1" t="str">
        <f ca="1">IFERROR(__xludf.DUMMYFUNCTION("""COMPUTED_VALUE"""),"Employer who pushes your limits by enabling an learning environment, and rewards you at the end")</f>
        <v>Employer who pushes your limits by enabling an learning environment, and rewards you at the end</v>
      </c>
      <c r="M75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N752" s="1"/>
      <c r="O752" s="1" t="str">
        <f ca="1">IFERROR(__xludf.DUMMYFUNCTION("""COMPUTED_VALUE"""),"Manager who sets goal and helps me achieve it")</f>
        <v>Manager who sets goal and helps me achieve it</v>
      </c>
      <c r="P752" s="1" t="str">
        <f ca="1">IFERROR(__xludf.DUMMYFUNCTION("""COMPUTED_VALUE"""),"Work &gt;=7 People in the Team")</f>
        <v>Work &gt;=7 People in the Team</v>
      </c>
      <c r="Q752" s="1" t="s">
        <v>43</v>
      </c>
      <c r="R752" s="1"/>
    </row>
    <row r="753" spans="1:18" x14ac:dyDescent="0.25">
      <c r="A753" s="2">
        <f ca="1">IFERROR(__xludf.DUMMYFUNCTION("""COMPUTED_VALUE"""),45022.5312215393)</f>
        <v>45022.531221539299</v>
      </c>
      <c r="B753" s="1" t="str">
        <f ca="1">IFERROR(__xludf.DUMMYFUNCTION("""COMPUTED_VALUE"""),"India")</f>
        <v>India</v>
      </c>
      <c r="C753" s="1">
        <f ca="1">IFERROR(__xludf.DUMMYFUNCTION("""COMPUTED_VALUE"""),641045)</f>
        <v>641045</v>
      </c>
      <c r="D753" s="1" t="str">
        <f ca="1">IFERROR(__xludf.DUMMYFUNCTION("""COMPUTED_VALUE"""),"Male")</f>
        <v>Male</v>
      </c>
      <c r="E753" s="1" t="str">
        <f ca="1">IFERROR(__xludf.DUMMYFUNCTION("""COMPUTED_VALUE"""),"My Parents")</f>
        <v>My Parents</v>
      </c>
      <c r="F753" s="1" t="str">
        <f ca="1">IFERROR(__xludf.DUMMYFUNCTION("""COMPUTED_VALUE"""),"No, But if someone could bare the cost I will")</f>
        <v>No, But if someone could bare the cost I will</v>
      </c>
      <c r="G753" s="1" t="str">
        <f ca="1">IFERROR(__xludf.DUMMYFUNCTION("""COMPUTED_VALUE"""),"This will be hard to do, but if it is the right company I would try")</f>
        <v>This will be hard to do, but if it is the right company I would try</v>
      </c>
      <c r="H753" s="1" t="str">
        <f ca="1">IFERROR(__xludf.DUMMYFUNCTION("""COMPUTED_VALUE"""),"Yes")</f>
        <v>Yes</v>
      </c>
      <c r="I753" s="1" t="str">
        <f ca="1">IFERROR(__xludf.DUMMYFUNCTION("""COMPUTED_VALUE"""),"Will work for them")</f>
        <v>Will work for them</v>
      </c>
      <c r="J753" s="1">
        <f ca="1">IFERROR(__xludf.DUMMYFUNCTION("""COMPUTED_VALUE"""),7)</f>
        <v>7</v>
      </c>
      <c r="K753" s="1" t="str">
        <f ca="1">IFERROR(__xludf.DUMMYFUNCTION("""COMPUTED_VALUE"""),"Fully Remote with Options to travel as and when needed")</f>
        <v>Fully Remote with Options to travel as and when needed</v>
      </c>
      <c r="L753" s="1" t="str">
        <f ca="1">IFERROR(__xludf.DUMMYFUNCTION("""COMPUTED_VALUE"""),"Employer who appreciates learning and enables that environment")</f>
        <v>Employer who appreciates learning and enables that environment</v>
      </c>
      <c r="M753" s="1" t="str">
        <f ca="1">IFERROR(__xludf.DUMMYFUNCTION("""COMPUTED_VALUE"""),"Build and develop a Team, Become a content Creator in some platform, I Want to sell things/Sales, An Artificial Intelligence Specialist / Talking to Robots")</f>
        <v>Build and develop a Team, Become a content Creator in some platform, I Want to sell things/Sales, An Artificial Intelligence Specialist / Talking to Robots</v>
      </c>
      <c r="N753" s="1"/>
      <c r="O753" s="1" t="str">
        <f ca="1">IFERROR(__xludf.DUMMYFUNCTION("""COMPUTED_VALUE"""),"Manager who explains what is expected, sets a goal and helps achieve it")</f>
        <v>Manager who explains what is expected, sets a goal and helps achieve it</v>
      </c>
      <c r="P753" s="1" t="str">
        <f ca="1">IFERROR(__xludf.DUMMYFUNCTION("""COMPUTED_VALUE"""),"Work alone")</f>
        <v>Work alone</v>
      </c>
      <c r="Q753" s="1" t="s">
        <v>40</v>
      </c>
      <c r="R753" s="1"/>
    </row>
    <row r="754" spans="1:18" x14ac:dyDescent="0.25">
      <c r="A754" s="2">
        <f ca="1">IFERROR(__xludf.DUMMYFUNCTION("""COMPUTED_VALUE"""),45022.5383153819)</f>
        <v>45022.538315381898</v>
      </c>
      <c r="B754" s="1" t="str">
        <f ca="1">IFERROR(__xludf.DUMMYFUNCTION("""COMPUTED_VALUE"""),"India")</f>
        <v>India</v>
      </c>
      <c r="C754" s="1">
        <f ca="1">IFERROR(__xludf.DUMMYFUNCTION("""COMPUTED_VALUE"""),110077)</f>
        <v>110077</v>
      </c>
      <c r="D754" s="1" t="str">
        <f ca="1">IFERROR(__xludf.DUMMYFUNCTION("""COMPUTED_VALUE"""),"Female")</f>
        <v>Female</v>
      </c>
      <c r="E754" s="1" t="str">
        <f ca="1">IFERROR(__xludf.DUMMYFUNCTION("""COMPUTED_VALUE"""),"Influencers who had successful careers")</f>
        <v>Influencers who had successful careers</v>
      </c>
      <c r="F754" s="1" t="str">
        <f ca="1">IFERROR(__xludf.DUMMYFUNCTION("""COMPUTED_VALUE"""),"No I would not be pursuing Higher Education outside of India")</f>
        <v>No I would not be pursuing Higher Education outside of India</v>
      </c>
      <c r="G754" s="1" t="str">
        <f ca="1">IFERROR(__xludf.DUMMYFUNCTION("""COMPUTED_VALUE"""),"This will be hard to do, but if it is the right company I would try")</f>
        <v>This will be hard to do, but if it is the right company I would try</v>
      </c>
      <c r="H754" s="1" t="str">
        <f ca="1">IFERROR(__xludf.DUMMYFUNCTION("""COMPUTED_VALUE"""),"No")</f>
        <v>No</v>
      </c>
      <c r="I754" s="1" t="str">
        <f ca="1">IFERROR(__xludf.DUMMYFUNCTION("""COMPUTED_VALUE"""),"Will NOT work for them")</f>
        <v>Will NOT work for them</v>
      </c>
      <c r="J754" s="1">
        <f ca="1">IFERROR(__xludf.DUMMYFUNCTION("""COMPUTED_VALUE"""),3)</f>
        <v>3</v>
      </c>
      <c r="K754" s="1" t="str">
        <f ca="1">IFERROR(__xludf.DUMMYFUNCTION("""COMPUTED_VALUE"""),"Fully Remote with Options to travel as and when needed")</f>
        <v>Fully Remote with Options to travel as and when needed</v>
      </c>
      <c r="L754" s="1" t="str">
        <f ca="1">IFERROR(__xludf.DUMMYFUNCTION("""COMPUTED_VALUE"""),"Employer who pushes your limits by enabling an learning environment, and rewards you at the end")</f>
        <v>Employer who pushes your limits by enabling an learning environment, and rewards you at the end</v>
      </c>
      <c r="M75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754" s="1"/>
      <c r="O754" s="1" t="str">
        <f ca="1">IFERROR(__xludf.DUMMYFUNCTION("""COMPUTED_VALUE"""),"Manager who explains what is expected, sets a goal and helps achieve it")</f>
        <v>Manager who explains what is expected, sets a goal and helps achieve it</v>
      </c>
      <c r="P754" s="1" t="str">
        <f ca="1">IFERROR(__xludf.DUMMYFUNCTION("""COMPUTED_VALUE"""),"Work &lt;=6 People in the Team")</f>
        <v>Work &lt;=6 People in the Team</v>
      </c>
      <c r="Q754" s="1" t="s">
        <v>43</v>
      </c>
      <c r="R754" s="1"/>
    </row>
    <row r="755" spans="1:18" x14ac:dyDescent="0.25">
      <c r="A755" s="2">
        <f ca="1">IFERROR(__xludf.DUMMYFUNCTION("""COMPUTED_VALUE"""),45022.5383874074)</f>
        <v>45022.538387407403</v>
      </c>
      <c r="B755" s="1" t="str">
        <f ca="1">IFERROR(__xludf.DUMMYFUNCTION("""COMPUTED_VALUE"""),"India")</f>
        <v>India</v>
      </c>
      <c r="C755" s="1">
        <f ca="1">IFERROR(__xludf.DUMMYFUNCTION("""COMPUTED_VALUE"""),521163)</f>
        <v>521163</v>
      </c>
      <c r="D755" s="1" t="str">
        <f ca="1">IFERROR(__xludf.DUMMYFUNCTION("""COMPUTED_VALUE"""),"Male")</f>
        <v>Male</v>
      </c>
      <c r="E755" s="1" t="str">
        <f ca="1">IFERROR(__xludf.DUMMYFUNCTION("""COMPUTED_VALUE"""),"My Parents")</f>
        <v>My Parents</v>
      </c>
      <c r="F755" s="1" t="str">
        <f ca="1">IFERROR(__xludf.DUMMYFUNCTION("""COMPUTED_VALUE"""),"No, But if someone could bare the cost I will")</f>
        <v>No, But if someone could bare the cost I will</v>
      </c>
      <c r="G755" s="1" t="str">
        <f ca="1">IFERROR(__xludf.DUMMYFUNCTION("""COMPUTED_VALUE"""),"This will be hard to do, but if it is the right company I would try")</f>
        <v>This will be hard to do, but if it is the right company I would try</v>
      </c>
      <c r="H755" s="1" t="str">
        <f ca="1">IFERROR(__xludf.DUMMYFUNCTION("""COMPUTED_VALUE"""),"No")</f>
        <v>No</v>
      </c>
      <c r="I755" s="1" t="str">
        <f ca="1">IFERROR(__xludf.DUMMYFUNCTION("""COMPUTED_VALUE"""),"Will NOT work for them")</f>
        <v>Will NOT work for them</v>
      </c>
      <c r="J755" s="1">
        <f ca="1">IFERROR(__xludf.DUMMYFUNCTION("""COMPUTED_VALUE"""),5)</f>
        <v>5</v>
      </c>
      <c r="K755" s="1" t="str">
        <f ca="1">IFERROR(__xludf.DUMMYFUNCTION("""COMPUTED_VALUE"""),"Fully Remote with Options to travel as and when needed")</f>
        <v>Fully Remote with Options to travel as and when needed</v>
      </c>
      <c r="L755" s="1" t="str">
        <f ca="1">IFERROR(__xludf.DUMMYFUNCTION("""COMPUTED_VALUE"""),"Employer who pushes your limits by enabling an learning environment, and rewards you at the end")</f>
        <v>Employer who pushes your limits by enabling an learning environment, and rewards you at the end</v>
      </c>
      <c r="M755" s="1" t="str">
        <f ca="1">IFERROR(__xludf.DUMMYFUNCTION("""COMPUTED_VALUE"""),"Teaching in any of the institutes/colleges/online or offline, Build and develop a Team, Design and Develop amazing software, Become a content Creator in some platform")</f>
        <v>Teaching in any of the institutes/colleges/online or offline, Build and develop a Team, Design and Develop amazing software, Become a content Creator in some platform</v>
      </c>
      <c r="N755" s="1"/>
      <c r="O755" s="1" t="str">
        <f ca="1">IFERROR(__xludf.DUMMYFUNCTION("""COMPUTED_VALUE"""),"Manager who explains what is expected, sets a goal and helps achieve it")</f>
        <v>Manager who explains what is expected, sets a goal and helps achieve it</v>
      </c>
      <c r="P755" s="1" t="str">
        <f ca="1">IFERROR(__xludf.DUMMYFUNCTION("""COMPUTED_VALUE"""),"Work &lt;=6 People in the Team")</f>
        <v>Work &lt;=6 People in the Team</v>
      </c>
      <c r="Q755" s="1" t="s">
        <v>43</v>
      </c>
      <c r="R755" s="1"/>
    </row>
    <row r="756" spans="1:18" x14ac:dyDescent="0.25">
      <c r="A756" s="2">
        <f ca="1">IFERROR(__xludf.DUMMYFUNCTION("""COMPUTED_VALUE"""),45022.5399110995)</f>
        <v>45022.539911099499</v>
      </c>
      <c r="B756" s="1" t="str">
        <f ca="1">IFERROR(__xludf.DUMMYFUNCTION("""COMPUTED_VALUE"""),"India")</f>
        <v>India</v>
      </c>
      <c r="C756" s="1">
        <f ca="1">IFERROR(__xludf.DUMMYFUNCTION("""COMPUTED_VALUE"""),560029)</f>
        <v>560029</v>
      </c>
      <c r="D756" s="1" t="str">
        <f ca="1">IFERROR(__xludf.DUMMYFUNCTION("""COMPUTED_VALUE"""),"Male")</f>
        <v>Male</v>
      </c>
      <c r="E756" s="1" t="str">
        <f ca="1">IFERROR(__xludf.DUMMYFUNCTION("""COMPUTED_VALUE"""),"Social Media like LinkedIn")</f>
        <v>Social Media like LinkedIn</v>
      </c>
      <c r="F756" s="1" t="str">
        <f ca="1">IFERROR(__xludf.DUMMYFUNCTION("""COMPUTED_VALUE"""),"No, But if someone could bare the cost I will")</f>
        <v>No, But if someone could bare the cost I will</v>
      </c>
      <c r="G756" s="1" t="str">
        <f ca="1">IFERROR(__xludf.DUMMYFUNCTION("""COMPUTED_VALUE"""),"This will be hard to do, but if it is the right company I would try")</f>
        <v>This will be hard to do, but if it is the right company I would try</v>
      </c>
      <c r="H756" s="1" t="str">
        <f ca="1">IFERROR(__xludf.DUMMYFUNCTION("""COMPUTED_VALUE"""),"No")</f>
        <v>No</v>
      </c>
      <c r="I756" s="1" t="str">
        <f ca="1">IFERROR(__xludf.DUMMYFUNCTION("""COMPUTED_VALUE"""),"Will NOT work for them")</f>
        <v>Will NOT work for them</v>
      </c>
      <c r="J756" s="1">
        <f ca="1">IFERROR(__xludf.DUMMYFUNCTION("""COMPUTED_VALUE"""),1)</f>
        <v>1</v>
      </c>
      <c r="K756" s="1" t="str">
        <f ca="1">IFERROR(__xludf.DUMMYFUNCTION("""COMPUTED_VALUE"""),"Hybrid Working Environment with more than 15 days a month at office")</f>
        <v>Hybrid Working Environment with more than 15 days a month at office</v>
      </c>
      <c r="L756" s="1" t="str">
        <f ca="1">IFERROR(__xludf.DUMMYFUNCTION("""COMPUTED_VALUE"""),"Employer who pushes your limits by enabling an learning environment, and rewards you at the end")</f>
        <v>Employer who pushes your limits by enabling an learning environment, and rewards you at the end</v>
      </c>
      <c r="M756" s="1" t="str">
        <f ca="1">IFERROR(__xludf.DUMMYFUNCTION("""COMPUTED_VALUE"""),"Build and develop a Team, Design and Develop amazing software, Work as a freelancer and do my thing my way, An Artificial Intelligence Specialist / Talking to Robots")</f>
        <v>Build and develop a Team, Design and Develop amazing software, Work as a freelancer and do my thing my way, An Artificial Intelligence Specialist / Talking to Robots</v>
      </c>
      <c r="N756" s="1"/>
      <c r="O756" s="1" t="str">
        <f ca="1">IFERROR(__xludf.DUMMYFUNCTION("""COMPUTED_VALUE"""),"Manager who sets goal and helps me achieve it")</f>
        <v>Manager who sets goal and helps me achieve it</v>
      </c>
      <c r="P756" s="1" t="str">
        <f ca="1">IFERROR(__xludf.DUMMYFUNCTION("""COMPUTED_VALUE"""),"Work &lt;67 People in the Team")</f>
        <v>Work &lt;67 People in the Team</v>
      </c>
      <c r="Q756" s="1" t="s">
        <v>43</v>
      </c>
      <c r="R756" s="1"/>
    </row>
    <row r="757" spans="1:18" x14ac:dyDescent="0.25">
      <c r="A757" s="2">
        <f ca="1">IFERROR(__xludf.DUMMYFUNCTION("""COMPUTED_VALUE"""),45022.540764618)</f>
        <v>45022.540764618003</v>
      </c>
      <c r="B757" s="1" t="str">
        <f ca="1">IFERROR(__xludf.DUMMYFUNCTION("""COMPUTED_VALUE"""),"India")</f>
        <v>India</v>
      </c>
      <c r="C757" s="1">
        <f ca="1">IFERROR(__xludf.DUMMYFUNCTION("""COMPUTED_VALUE"""),560029)</f>
        <v>560029</v>
      </c>
      <c r="D757" s="1" t="str">
        <f ca="1">IFERROR(__xludf.DUMMYFUNCTION("""COMPUTED_VALUE"""),"Male")</f>
        <v>Male</v>
      </c>
      <c r="E757" s="1" t="str">
        <f ca="1">IFERROR(__xludf.DUMMYFUNCTION("""COMPUTED_VALUE"""),"My Parents")</f>
        <v>My Parents</v>
      </c>
      <c r="F757" s="1" t="str">
        <f ca="1">IFERROR(__xludf.DUMMYFUNCTION("""COMPUTED_VALUE"""),"No, But if someone could bare the cost I will")</f>
        <v>No, But if someone could bare the cost I will</v>
      </c>
      <c r="G757" s="1" t="str">
        <f ca="1">IFERROR(__xludf.DUMMYFUNCTION("""COMPUTED_VALUE"""),"This will be hard to do, but if it is the right company I would try")</f>
        <v>This will be hard to do, but if it is the right company I would try</v>
      </c>
      <c r="H757" s="1" t="str">
        <f ca="1">IFERROR(__xludf.DUMMYFUNCTION("""COMPUTED_VALUE"""),"No")</f>
        <v>No</v>
      </c>
      <c r="I757" s="1" t="str">
        <f ca="1">IFERROR(__xludf.DUMMYFUNCTION("""COMPUTED_VALUE"""),"Will NOT work for them")</f>
        <v>Will NOT work for them</v>
      </c>
      <c r="J757" s="1">
        <f ca="1">IFERROR(__xludf.DUMMYFUNCTION("""COMPUTED_VALUE"""),3)</f>
        <v>3</v>
      </c>
      <c r="K757" s="1" t="str">
        <f ca="1">IFERROR(__xludf.DUMMYFUNCTION("""COMPUTED_VALUE"""),"Fully Remote with Options to travel as and when needed")</f>
        <v>Fully Remote with Options to travel as and when needed</v>
      </c>
      <c r="L757" s="1" t="str">
        <f ca="1">IFERROR(__xludf.DUMMYFUNCTION("""COMPUTED_VALUE"""),"Employer who pushes your limits by enabling an learning environment, and rewards you at the end")</f>
        <v>Employer who pushes your limits by enabling an learning environment, and rewards you at the end</v>
      </c>
      <c r="M757" s="1" t="str">
        <f ca="1">IFERROR(__xludf.DUMMYFUNCTION("""COMPUTED_VALUE"""),"Build and develop a Team, Look deeply into Data and generate insights, I Want to sell things/Sales, An Artificial Intelligence Specialist / Talking to Robots")</f>
        <v>Build and develop a Team, Look deeply into Data and generate insights, I Want to sell things/Sales, An Artificial Intelligence Specialist / Talking to Robots</v>
      </c>
      <c r="N757" s="1"/>
      <c r="O757" s="1" t="str">
        <f ca="1">IFERROR(__xludf.DUMMYFUNCTION("""COMPUTED_VALUE"""),"Manager who sets goal and helps me achieve it")</f>
        <v>Manager who sets goal and helps me achieve it</v>
      </c>
      <c r="P757" s="1" t="str">
        <f ca="1">IFERROR(__xludf.DUMMYFUNCTION("""COMPUTED_VALUE"""),"Work &gt;=7 People in the Team")</f>
        <v>Work &gt;=7 People in the Team</v>
      </c>
      <c r="Q757" s="1" t="s">
        <v>42</v>
      </c>
      <c r="R757" s="1"/>
    </row>
    <row r="758" spans="1:18" x14ac:dyDescent="0.25">
      <c r="A758" s="2">
        <f ca="1">IFERROR(__xludf.DUMMYFUNCTION("""COMPUTED_VALUE"""),45022.5514951273)</f>
        <v>45022.5514951273</v>
      </c>
      <c r="B758" s="1" t="str">
        <f ca="1">IFERROR(__xludf.DUMMYFUNCTION("""COMPUTED_VALUE"""),"India")</f>
        <v>India</v>
      </c>
      <c r="C758" s="1">
        <f ca="1">IFERROR(__xludf.DUMMYFUNCTION("""COMPUTED_VALUE"""),431810)</f>
        <v>431810</v>
      </c>
      <c r="D758" s="1" t="str">
        <f ca="1">IFERROR(__xludf.DUMMYFUNCTION("""COMPUTED_VALUE"""),"Male")</f>
        <v>Male</v>
      </c>
      <c r="E758" s="1" t="str">
        <f ca="1">IFERROR(__xludf.DUMMYFUNCTION("""COMPUTED_VALUE"""),"Influencers who had successful careers")</f>
        <v>Influencers who had successful careers</v>
      </c>
      <c r="F758" s="1" t="str">
        <f ca="1">IFERROR(__xludf.DUMMYFUNCTION("""COMPUTED_VALUE"""),"No, But if someone could bare the cost I will")</f>
        <v>No, But if someone could bare the cost I will</v>
      </c>
      <c r="G758" s="1" t="str">
        <f ca="1">IFERROR(__xludf.DUMMYFUNCTION("""COMPUTED_VALUE"""),"This will be hard to do, but if it is the right company I would try")</f>
        <v>This will be hard to do, but if it is the right company I would try</v>
      </c>
      <c r="H758" s="1" t="str">
        <f ca="1">IFERROR(__xludf.DUMMYFUNCTION("""COMPUTED_VALUE"""),"Yes")</f>
        <v>Yes</v>
      </c>
      <c r="I758" s="1" t="str">
        <f ca="1">IFERROR(__xludf.DUMMYFUNCTION("""COMPUTED_VALUE"""),"Will work for them")</f>
        <v>Will work for them</v>
      </c>
      <c r="J758" s="1">
        <f ca="1">IFERROR(__xludf.DUMMYFUNCTION("""COMPUTED_VALUE"""),9)</f>
        <v>9</v>
      </c>
      <c r="K758" s="1" t="str">
        <f ca="1">IFERROR(__xludf.DUMMYFUNCTION("""COMPUTED_VALUE"""),"Fully Remote with Options to travel as and when needed")</f>
        <v>Fully Remote with Options to travel as and when needed</v>
      </c>
      <c r="L758" s="1" t="str">
        <f ca="1">IFERROR(__xludf.DUMMYFUNCTION("""COMPUTED_VALUE"""),"Employer who pushes your limits and doesn't enables learning environment and never rewards you")</f>
        <v>Employer who pushes your limits and doesn't enables learning environment and never rewards you</v>
      </c>
      <c r="M758"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N758" s="1"/>
      <c r="O758" s="1" t="str">
        <f ca="1">IFERROR(__xludf.DUMMYFUNCTION("""COMPUTED_VALUE"""),"Manager who explains what is expected, sets a goal and helps achieve it")</f>
        <v>Manager who explains what is expected, sets a goal and helps achieve it</v>
      </c>
      <c r="P758" s="1" t="str">
        <f ca="1">IFERROR(__xludf.DUMMYFUNCTION("""COMPUTED_VALUE"""),"Work &lt;=6 People in the Team")</f>
        <v>Work &lt;=6 People in the Team</v>
      </c>
      <c r="Q758" s="1" t="s">
        <v>42</v>
      </c>
      <c r="R758" s="1"/>
    </row>
    <row r="759" spans="1:18" x14ac:dyDescent="0.25">
      <c r="A759" s="2">
        <f ca="1">IFERROR(__xludf.DUMMYFUNCTION("""COMPUTED_VALUE"""),45022.5620576504)</f>
        <v>45022.562057650401</v>
      </c>
      <c r="B759" s="1" t="str">
        <f ca="1">IFERROR(__xludf.DUMMYFUNCTION("""COMPUTED_VALUE"""),"India")</f>
        <v>India</v>
      </c>
      <c r="C759" s="1">
        <f ca="1">IFERROR(__xludf.DUMMYFUNCTION("""COMPUTED_VALUE"""),431001)</f>
        <v>431001</v>
      </c>
      <c r="D759" s="1" t="str">
        <f ca="1">IFERROR(__xludf.DUMMYFUNCTION("""COMPUTED_VALUE"""),"Male")</f>
        <v>Male</v>
      </c>
      <c r="E759" s="1" t="str">
        <f ca="1">IFERROR(__xludf.DUMMYFUNCTION("""COMPUTED_VALUE"""),"Social Media like LinkedIn")</f>
        <v>Social Media like LinkedIn</v>
      </c>
      <c r="F759" s="1" t="str">
        <f ca="1">IFERROR(__xludf.DUMMYFUNCTION("""COMPUTED_VALUE"""),"Yes, I will earn and do that")</f>
        <v>Yes, I will earn and do that</v>
      </c>
      <c r="G759" s="1" t="str">
        <f ca="1">IFERROR(__xludf.DUMMYFUNCTION("""COMPUTED_VALUE"""),"This will be hard to do, but if it is the right company I would try")</f>
        <v>This will be hard to do, but if it is the right company I would try</v>
      </c>
      <c r="H759" s="1" t="str">
        <f ca="1">IFERROR(__xludf.DUMMYFUNCTION("""COMPUTED_VALUE"""),"No")</f>
        <v>No</v>
      </c>
      <c r="I759" s="1" t="str">
        <f ca="1">IFERROR(__xludf.DUMMYFUNCTION("""COMPUTED_VALUE"""),"Will NOT work for them")</f>
        <v>Will NOT work for them</v>
      </c>
      <c r="J759" s="1">
        <f ca="1">IFERROR(__xludf.DUMMYFUNCTION("""COMPUTED_VALUE"""),5)</f>
        <v>5</v>
      </c>
      <c r="K759" s="1" t="str">
        <f ca="1">IFERROR(__xludf.DUMMYFUNCTION("""COMPUTED_VALUE"""),"Fully Remote with No option to visit offices")</f>
        <v>Fully Remote with No option to visit offices</v>
      </c>
      <c r="L759" s="1" t="str">
        <f ca="1">IFERROR(__xludf.DUMMYFUNCTION("""COMPUTED_VALUE"""),"Employer who pushes your limits by enabling an learning environment, and rewards you at the end")</f>
        <v>Employer who pushes your limits by enabling an learning environment, and rewards you at the end</v>
      </c>
      <c r="M759"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759" s="1"/>
      <c r="O759" s="1" t="str">
        <f ca="1">IFERROR(__xludf.DUMMYFUNCTION("""COMPUTED_VALUE"""),"Manager who explains what is expected, sets a goal and helps achieve it")</f>
        <v>Manager who explains what is expected, sets a goal and helps achieve it</v>
      </c>
      <c r="P759" s="1" t="str">
        <f ca="1">IFERROR(__xludf.DUMMYFUNCTION("""COMPUTED_VALUE"""),"Work &lt;=6 People in the Team")</f>
        <v>Work &lt;=6 People in the Team</v>
      </c>
      <c r="Q759" s="1" t="s">
        <v>40</v>
      </c>
      <c r="R759" s="1"/>
    </row>
    <row r="760" spans="1:18" x14ac:dyDescent="0.25">
      <c r="A760" s="2">
        <f ca="1">IFERROR(__xludf.DUMMYFUNCTION("""COMPUTED_VALUE"""),45022.5666586458)</f>
        <v>45022.566658645803</v>
      </c>
      <c r="B760" s="1" t="str">
        <f ca="1">IFERROR(__xludf.DUMMYFUNCTION("""COMPUTED_VALUE"""),"India")</f>
        <v>India</v>
      </c>
      <c r="C760" s="1">
        <f ca="1">IFERROR(__xludf.DUMMYFUNCTION("""COMPUTED_VALUE"""),110045)</f>
        <v>110045</v>
      </c>
      <c r="D760" s="1" t="str">
        <f ca="1">IFERROR(__xludf.DUMMYFUNCTION("""COMPUTED_VALUE"""),"Male")</f>
        <v>Male</v>
      </c>
      <c r="E760" s="1" t="str">
        <f ca="1">IFERROR(__xludf.DUMMYFUNCTION("""COMPUTED_VALUE"""),"Social Media like LinkedIn")</f>
        <v>Social Media like LinkedIn</v>
      </c>
      <c r="F760" s="1" t="str">
        <f ca="1">IFERROR(__xludf.DUMMYFUNCTION("""COMPUTED_VALUE"""),"Yes, I will earn and do that")</f>
        <v>Yes, I will earn and do that</v>
      </c>
      <c r="G760" s="1" t="str">
        <f ca="1">IFERROR(__xludf.DUMMYFUNCTION("""COMPUTED_VALUE"""),"Will work for 3 years or more")</f>
        <v>Will work for 3 years or more</v>
      </c>
      <c r="H760" s="1" t="str">
        <f ca="1">IFERROR(__xludf.DUMMYFUNCTION("""COMPUTED_VALUE"""),"No")</f>
        <v>No</v>
      </c>
      <c r="I760" s="1" t="str">
        <f ca="1">IFERROR(__xludf.DUMMYFUNCTION("""COMPUTED_VALUE"""),"Will NOT work for them")</f>
        <v>Will NOT work for them</v>
      </c>
      <c r="J760" s="1">
        <f ca="1">IFERROR(__xludf.DUMMYFUNCTION("""COMPUTED_VALUE"""),8)</f>
        <v>8</v>
      </c>
      <c r="K760" s="1" t="str">
        <f ca="1">IFERROR(__xludf.DUMMYFUNCTION("""COMPUTED_VALUE"""),"Fully Remote with Options to travel as and when needed")</f>
        <v>Fully Remote with Options to travel as and when needed</v>
      </c>
      <c r="L760" s="1" t="str">
        <f ca="1">IFERROR(__xludf.DUMMYFUNCTION("""COMPUTED_VALUE"""),"Employer who pushes your limits by enabling an learning environment, and rewards you at the end")</f>
        <v>Employer who pushes your limits by enabling an learning environment, and rewards you at the end</v>
      </c>
      <c r="M76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N760" s="1"/>
      <c r="O760" s="1" t="str">
        <f ca="1">IFERROR(__xludf.DUMMYFUNCTION("""COMPUTED_VALUE"""),"Manager who explains what is expected, sets a goal and helps achieve it")</f>
        <v>Manager who explains what is expected, sets a goal and helps achieve it</v>
      </c>
      <c r="P760" s="1" t="str">
        <f ca="1">IFERROR(__xludf.DUMMYFUNCTION("""COMPUTED_VALUE"""),"Work &lt;=6 People in the Team")</f>
        <v>Work &lt;=6 People in the Team</v>
      </c>
      <c r="Q760" s="1" t="s">
        <v>43</v>
      </c>
      <c r="R760" s="1"/>
    </row>
    <row r="761" spans="1:18" x14ac:dyDescent="0.25">
      <c r="A761" s="2">
        <f ca="1">IFERROR(__xludf.DUMMYFUNCTION("""COMPUTED_VALUE"""),45022.5689937615)</f>
        <v>45022.568993761502</v>
      </c>
      <c r="B761" s="1" t="str">
        <f ca="1">IFERROR(__xludf.DUMMYFUNCTION("""COMPUTED_VALUE"""),"India")</f>
        <v>India</v>
      </c>
      <c r="C761" s="1">
        <f ca="1">IFERROR(__xludf.DUMMYFUNCTION("""COMPUTED_VALUE"""),577201)</f>
        <v>577201</v>
      </c>
      <c r="D761" s="1" t="str">
        <f ca="1">IFERROR(__xludf.DUMMYFUNCTION("""COMPUTED_VALUE"""),"Female")</f>
        <v>Female</v>
      </c>
      <c r="E761" s="1" t="str">
        <f ca="1">IFERROR(__xludf.DUMMYFUNCTION("""COMPUTED_VALUE"""),"People who have changed the world for better")</f>
        <v>People who have changed the world for better</v>
      </c>
      <c r="F761" s="1" t="str">
        <f ca="1">IFERROR(__xludf.DUMMYFUNCTION("""COMPUTED_VALUE"""),"No, But if someone could bare the cost I will")</f>
        <v>No, But if someone could bare the cost I will</v>
      </c>
      <c r="G761" s="1" t="str">
        <f ca="1">IFERROR(__xludf.DUMMYFUNCTION("""COMPUTED_VALUE"""),"This will be hard to do, but if it is the right company I would try")</f>
        <v>This will be hard to do, but if it is the right company I would try</v>
      </c>
      <c r="H761" s="1" t="str">
        <f ca="1">IFERROR(__xludf.DUMMYFUNCTION("""COMPUTED_VALUE"""),"No")</f>
        <v>No</v>
      </c>
      <c r="I761" s="1" t="str">
        <f ca="1">IFERROR(__xludf.DUMMYFUNCTION("""COMPUTED_VALUE"""),"Will NOT work for them")</f>
        <v>Will NOT work for them</v>
      </c>
      <c r="J761" s="1">
        <f ca="1">IFERROR(__xludf.DUMMYFUNCTION("""COMPUTED_VALUE"""),5)</f>
        <v>5</v>
      </c>
      <c r="K761" s="1" t="str">
        <f ca="1">IFERROR(__xludf.DUMMYFUNCTION("""COMPUTED_VALUE"""),"Hybrid Working Environment with more than 15 days a month at office")</f>
        <v>Hybrid Working Environment with more than 15 days a month at office</v>
      </c>
      <c r="L761" s="1" t="str">
        <f ca="1">IFERROR(__xludf.DUMMYFUNCTION("""COMPUTED_VALUE"""),"Employer who rewards learning and enables that environment")</f>
        <v>Employer who rewards learning and enables that environment</v>
      </c>
      <c r="M761"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N761" s="1"/>
      <c r="O761" s="1" t="str">
        <f ca="1">IFERROR(__xludf.DUMMYFUNCTION("""COMPUTED_VALUE"""),"Manager who explains what is expected, sets a goal and helps achieve it")</f>
        <v>Manager who explains what is expected, sets a goal and helps achieve it</v>
      </c>
      <c r="P761" s="1" t="str">
        <f ca="1">IFERROR(__xludf.DUMMYFUNCTION("""COMPUTED_VALUE"""),"Work &gt;10 people in Team")</f>
        <v>Work &gt;10 people in Team</v>
      </c>
      <c r="Q761" s="1" t="s">
        <v>40</v>
      </c>
      <c r="R761" s="1"/>
    </row>
    <row r="762" spans="1:18" x14ac:dyDescent="0.25">
      <c r="A762" s="2">
        <f ca="1">IFERROR(__xludf.DUMMYFUNCTION("""COMPUTED_VALUE"""),45022.5745396064)</f>
        <v>45022.574539606401</v>
      </c>
      <c r="B762" s="1" t="str">
        <f ca="1">IFERROR(__xludf.DUMMYFUNCTION("""COMPUTED_VALUE"""),"India")</f>
        <v>India</v>
      </c>
      <c r="C762" s="1">
        <f ca="1">IFERROR(__xludf.DUMMYFUNCTION("""COMPUTED_VALUE"""),110057)</f>
        <v>110057</v>
      </c>
      <c r="D762" s="1" t="str">
        <f ca="1">IFERROR(__xludf.DUMMYFUNCTION("""COMPUTED_VALUE"""),"Male")</f>
        <v>Male</v>
      </c>
      <c r="E762" s="1" t="str">
        <f ca="1">IFERROR(__xludf.DUMMYFUNCTION("""COMPUTED_VALUE"""),"Influencers who had successful careers")</f>
        <v>Influencers who had successful careers</v>
      </c>
      <c r="F762" s="1" t="str">
        <f ca="1">IFERROR(__xludf.DUMMYFUNCTION("""COMPUTED_VALUE"""),"Yes, I will earn and do that")</f>
        <v>Yes, I will earn and do that</v>
      </c>
      <c r="G762" s="1" t="str">
        <f ca="1">IFERROR(__xludf.DUMMYFUNCTION("""COMPUTED_VALUE"""),"Will work for 3 years or more")</f>
        <v>Will work for 3 years or more</v>
      </c>
      <c r="H762" s="1" t="str">
        <f ca="1">IFERROR(__xludf.DUMMYFUNCTION("""COMPUTED_VALUE"""),"Yes")</f>
        <v>Yes</v>
      </c>
      <c r="I762" s="1" t="str">
        <f ca="1">IFERROR(__xludf.DUMMYFUNCTION("""COMPUTED_VALUE"""),"Will NOT work for them")</f>
        <v>Will NOT work for them</v>
      </c>
      <c r="J762" s="1">
        <f ca="1">IFERROR(__xludf.DUMMYFUNCTION("""COMPUTED_VALUE"""),9)</f>
        <v>9</v>
      </c>
      <c r="K762" s="1" t="str">
        <f ca="1">IFERROR(__xludf.DUMMYFUNCTION("""COMPUTED_VALUE"""),"Fully Remote with Options to travel as and when needed")</f>
        <v>Fully Remote with Options to travel as and when needed</v>
      </c>
      <c r="L762" s="1" t="str">
        <f ca="1">IFERROR(__xludf.DUMMYFUNCTION("""COMPUTED_VALUE"""),"Employer who pushes your limits by enabling an learning environment, and rewards you at the end")</f>
        <v>Employer who pushes your limits by enabling an learning environment, and rewards you at the end</v>
      </c>
      <c r="M76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N762" s="1"/>
      <c r="O762" s="1" t="str">
        <f ca="1">IFERROR(__xludf.DUMMYFUNCTION("""COMPUTED_VALUE"""),"Manager who sets goal and helps me achieve it")</f>
        <v>Manager who sets goal and helps me achieve it</v>
      </c>
      <c r="P762" s="1" t="str">
        <f ca="1">IFERROR(__xludf.DUMMYFUNCTION("""COMPUTED_VALUE"""),"Work &gt;=7 People in the Team")</f>
        <v>Work &gt;=7 People in the Team</v>
      </c>
      <c r="Q762" s="1" t="s">
        <v>40</v>
      </c>
      <c r="R762" s="1"/>
    </row>
    <row r="763" spans="1:18" x14ac:dyDescent="0.25">
      <c r="A763" s="2">
        <f ca="1">IFERROR(__xludf.DUMMYFUNCTION("""COMPUTED_VALUE"""),45022.576988449)</f>
        <v>45022.576988449</v>
      </c>
      <c r="B763" s="1" t="str">
        <f ca="1">IFERROR(__xludf.DUMMYFUNCTION("""COMPUTED_VALUE"""),"India")</f>
        <v>India</v>
      </c>
      <c r="C763" s="1">
        <f ca="1">IFERROR(__xludf.DUMMYFUNCTION("""COMPUTED_VALUE"""),110085)</f>
        <v>110085</v>
      </c>
      <c r="D763" s="1" t="str">
        <f ca="1">IFERROR(__xludf.DUMMYFUNCTION("""COMPUTED_VALUE"""),"Female")</f>
        <v>Female</v>
      </c>
      <c r="E763" s="1" t="str">
        <f ca="1">IFERROR(__xludf.DUMMYFUNCTION("""COMPUTED_VALUE"""),"Influencers who had successful careers")</f>
        <v>Influencers who had successful careers</v>
      </c>
      <c r="F763" s="1" t="str">
        <f ca="1">IFERROR(__xludf.DUMMYFUNCTION("""COMPUTED_VALUE"""),"Yes, I will earn and do that")</f>
        <v>Yes, I will earn and do that</v>
      </c>
      <c r="G763" s="1" t="str">
        <f ca="1">IFERROR(__xludf.DUMMYFUNCTION("""COMPUTED_VALUE"""),"Will work for 3 years or more")</f>
        <v>Will work for 3 years or more</v>
      </c>
      <c r="H763" s="1" t="str">
        <f ca="1">IFERROR(__xludf.DUMMYFUNCTION("""COMPUTED_VALUE"""),"No")</f>
        <v>No</v>
      </c>
      <c r="I763" s="1" t="str">
        <f ca="1">IFERROR(__xludf.DUMMYFUNCTION("""COMPUTED_VALUE"""),"Will NOT work for them")</f>
        <v>Will NOT work for them</v>
      </c>
      <c r="J763" s="1">
        <f ca="1">IFERROR(__xludf.DUMMYFUNCTION("""COMPUTED_VALUE"""),5)</f>
        <v>5</v>
      </c>
      <c r="K763" s="1" t="str">
        <f ca="1">IFERROR(__xludf.DUMMYFUNCTION("""COMPUTED_VALUE"""),"Every Day Office Environment")</f>
        <v>Every Day Office Environment</v>
      </c>
      <c r="L763" s="1" t="str">
        <f ca="1">IFERROR(__xludf.DUMMYFUNCTION("""COMPUTED_VALUE"""),"Employer who pushes your limits by enabling an learning environment, and rewards you at the end")</f>
        <v>Employer who pushes your limits by enabling an learning environment, and rewards you at the end</v>
      </c>
      <c r="M763" s="1" t="str">
        <f ca="1">IFERROR(__xludf.DUMMYFUNCTION("""COMPUTED_VALUE"""),"Business Operations in any organization, Look deeply into Data and generate insights, Work as a freelancer and do my thing my way, I Want to sell things/Sales")</f>
        <v>Business Operations in any organization, Look deeply into Data and generate insights, Work as a freelancer and do my thing my way, I Want to sell things/Sales</v>
      </c>
      <c r="N763" s="1"/>
      <c r="O763" s="1" t="str">
        <f ca="1">IFERROR(__xludf.DUMMYFUNCTION("""COMPUTED_VALUE"""),"Manager who sets goal and helps me achieve it")</f>
        <v>Manager who sets goal and helps me achieve it</v>
      </c>
      <c r="P763" s="1" t="str">
        <f ca="1">IFERROR(__xludf.DUMMYFUNCTION("""COMPUTED_VALUE"""),"Work &gt;=7 People in the Team")</f>
        <v>Work &gt;=7 People in the Team</v>
      </c>
      <c r="Q763" s="1" t="s">
        <v>40</v>
      </c>
      <c r="R763" s="1"/>
    </row>
    <row r="764" spans="1:18" x14ac:dyDescent="0.25">
      <c r="A764" s="2">
        <f ca="1">IFERROR(__xludf.DUMMYFUNCTION("""COMPUTED_VALUE"""),45022.5783013426)</f>
        <v>45022.578301342597</v>
      </c>
      <c r="B764" s="1" t="str">
        <f ca="1">IFERROR(__xludf.DUMMYFUNCTION("""COMPUTED_VALUE"""),"India")</f>
        <v>India</v>
      </c>
      <c r="C764" s="1">
        <f ca="1">IFERROR(__xludf.DUMMYFUNCTION("""COMPUTED_VALUE"""),110018)</f>
        <v>110018</v>
      </c>
      <c r="D764" s="1" t="str">
        <f ca="1">IFERROR(__xludf.DUMMYFUNCTION("""COMPUTED_VALUE"""),"Female")</f>
        <v>Female</v>
      </c>
      <c r="E764" s="1" t="str">
        <f ca="1">IFERROR(__xludf.DUMMYFUNCTION("""COMPUTED_VALUE"""),"My Parents")</f>
        <v>My Parents</v>
      </c>
      <c r="F764" s="1" t="str">
        <f ca="1">IFERROR(__xludf.DUMMYFUNCTION("""COMPUTED_VALUE"""),"No I would not be pursuing Higher Education outside of India")</f>
        <v>No I would not be pursuing Higher Education outside of India</v>
      </c>
      <c r="G764" s="1" t="str">
        <f ca="1">IFERROR(__xludf.DUMMYFUNCTION("""COMPUTED_VALUE"""),"Will work for 3 years or more")</f>
        <v>Will work for 3 years or more</v>
      </c>
      <c r="H764" s="1" t="str">
        <f ca="1">IFERROR(__xludf.DUMMYFUNCTION("""COMPUTED_VALUE"""),"No")</f>
        <v>No</v>
      </c>
      <c r="I764" s="1" t="str">
        <f ca="1">IFERROR(__xludf.DUMMYFUNCTION("""COMPUTED_VALUE"""),"Will NOT work for them")</f>
        <v>Will NOT work for them</v>
      </c>
      <c r="J764" s="1">
        <f ca="1">IFERROR(__xludf.DUMMYFUNCTION("""COMPUTED_VALUE"""),7)</f>
        <v>7</v>
      </c>
      <c r="K764" s="1" t="str">
        <f ca="1">IFERROR(__xludf.DUMMYFUNCTION("""COMPUTED_VALUE"""),"Hybrid Working Environment with less than 3 days a month at office")</f>
        <v>Hybrid Working Environment with less than 3 days a month at office</v>
      </c>
      <c r="L764" s="1" t="str">
        <f ca="1">IFERROR(__xludf.DUMMYFUNCTION("""COMPUTED_VALUE"""),"Employer who appreciates learning and enables that environment")</f>
        <v>Employer who appreciates learning and enables that environment</v>
      </c>
      <c r="M764"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N764" s="1"/>
      <c r="O764" s="1" t="str">
        <f ca="1">IFERROR(__xludf.DUMMYFUNCTION("""COMPUTED_VALUE"""),"Manager who sets goal and helps me achieve it")</f>
        <v>Manager who sets goal and helps me achieve it</v>
      </c>
      <c r="P764" s="1" t="str">
        <f ca="1">IFERROR(__xludf.DUMMYFUNCTION("""COMPUTED_VALUE"""),"Work &gt;=7 People in the Team")</f>
        <v>Work &gt;=7 People in the Team</v>
      </c>
      <c r="Q764" s="1" t="s">
        <v>43</v>
      </c>
      <c r="R764" s="1"/>
    </row>
    <row r="765" spans="1:18" x14ac:dyDescent="0.25">
      <c r="A765" s="2">
        <f ca="1">IFERROR(__xludf.DUMMYFUNCTION("""COMPUTED_VALUE"""),45022.5816137847)</f>
        <v>45022.5816137847</v>
      </c>
      <c r="B765" s="1" t="str">
        <f ca="1">IFERROR(__xludf.DUMMYFUNCTION("""COMPUTED_VALUE"""),"India")</f>
        <v>India</v>
      </c>
      <c r="C765" s="1">
        <f ca="1">IFERROR(__xludf.DUMMYFUNCTION("""COMPUTED_VALUE"""),515775)</f>
        <v>515775</v>
      </c>
      <c r="D765" s="1" t="str">
        <f ca="1">IFERROR(__xludf.DUMMYFUNCTION("""COMPUTED_VALUE"""),"Male")</f>
        <v>Male</v>
      </c>
      <c r="E765" s="1" t="str">
        <f ca="1">IFERROR(__xludf.DUMMYFUNCTION("""COMPUTED_VALUE"""),"My Parents")</f>
        <v>My Parents</v>
      </c>
      <c r="F765" s="1" t="str">
        <f ca="1">IFERROR(__xludf.DUMMYFUNCTION("""COMPUTED_VALUE"""),"Yes, I will earn and do that")</f>
        <v>Yes, I will earn and do that</v>
      </c>
      <c r="G765" s="1" t="str">
        <f ca="1">IFERROR(__xludf.DUMMYFUNCTION("""COMPUTED_VALUE"""),"Will work for 3 years or more")</f>
        <v>Will work for 3 years or more</v>
      </c>
      <c r="H765" s="1" t="str">
        <f ca="1">IFERROR(__xludf.DUMMYFUNCTION("""COMPUTED_VALUE"""),"Yes")</f>
        <v>Yes</v>
      </c>
      <c r="I765" s="1" t="str">
        <f ca="1">IFERROR(__xludf.DUMMYFUNCTION("""COMPUTED_VALUE"""),"Will work for them")</f>
        <v>Will work for them</v>
      </c>
      <c r="J765" s="1">
        <f ca="1">IFERROR(__xludf.DUMMYFUNCTION("""COMPUTED_VALUE"""),3)</f>
        <v>3</v>
      </c>
      <c r="K765" s="1" t="str">
        <f ca="1">IFERROR(__xludf.DUMMYFUNCTION("""COMPUTED_VALUE"""),"Every Day Office Environment")</f>
        <v>Every Day Office Environment</v>
      </c>
      <c r="L765" s="1" t="str">
        <f ca="1">IFERROR(__xludf.DUMMYFUNCTION("""COMPUTED_VALUE"""),"Employer who appreciates learning and enables that environment")</f>
        <v>Employer who appreciates learning and enables that environment</v>
      </c>
      <c r="M765"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N765" s="1"/>
      <c r="O765" s="1" t="str">
        <f ca="1">IFERROR(__xludf.DUMMYFUNCTION("""COMPUTED_VALUE"""),"Manager who sets targets and expects me to achieve it")</f>
        <v>Manager who sets targets and expects me to achieve it</v>
      </c>
      <c r="P765" s="1" t="str">
        <f ca="1">IFERROR(__xludf.DUMMYFUNCTION("""COMPUTED_VALUE"""),"Work &lt;=6 People in the Team")</f>
        <v>Work &lt;=6 People in the Team</v>
      </c>
      <c r="Q765" s="1" t="s">
        <v>43</v>
      </c>
      <c r="R765" s="1"/>
    </row>
    <row r="766" spans="1:18" x14ac:dyDescent="0.25">
      <c r="A766" s="2">
        <f ca="1">IFERROR(__xludf.DUMMYFUNCTION("""COMPUTED_VALUE"""),45022.5838014467)</f>
        <v>45022.583801446701</v>
      </c>
      <c r="B766" s="1" t="str">
        <f ca="1">IFERROR(__xludf.DUMMYFUNCTION("""COMPUTED_VALUE"""),"India")</f>
        <v>India</v>
      </c>
      <c r="C766" s="1">
        <f ca="1">IFERROR(__xludf.DUMMYFUNCTION("""COMPUTED_VALUE"""),122010)</f>
        <v>122010</v>
      </c>
      <c r="D766" s="1" t="str">
        <f ca="1">IFERROR(__xludf.DUMMYFUNCTION("""COMPUTED_VALUE"""),"Male")</f>
        <v>Male</v>
      </c>
      <c r="E766" s="1" t="str">
        <f ca="1">IFERROR(__xludf.DUMMYFUNCTION("""COMPUTED_VALUE"""),"People who have changed the world for better")</f>
        <v>People who have changed the world for better</v>
      </c>
      <c r="F766" s="1" t="str">
        <f ca="1">IFERROR(__xludf.DUMMYFUNCTION("""COMPUTED_VALUE"""),"Yes, I will earn and do that")</f>
        <v>Yes, I will earn and do that</v>
      </c>
      <c r="G766" s="1" t="str">
        <f ca="1">IFERROR(__xludf.DUMMYFUNCTION("""COMPUTED_VALUE"""),"Will work for 3 years or more")</f>
        <v>Will work for 3 years or more</v>
      </c>
      <c r="H766" s="1" t="str">
        <f ca="1">IFERROR(__xludf.DUMMYFUNCTION("""COMPUTED_VALUE"""),"No")</f>
        <v>No</v>
      </c>
      <c r="I766" s="1" t="str">
        <f ca="1">IFERROR(__xludf.DUMMYFUNCTION("""COMPUTED_VALUE"""),"Will work for them")</f>
        <v>Will work for them</v>
      </c>
      <c r="J766" s="1">
        <f ca="1">IFERROR(__xludf.DUMMYFUNCTION("""COMPUTED_VALUE"""),8)</f>
        <v>8</v>
      </c>
      <c r="K766" s="1" t="str">
        <f ca="1">IFERROR(__xludf.DUMMYFUNCTION("""COMPUTED_VALUE"""),"Fully Remote with No option to visit offices")</f>
        <v>Fully Remote with No option to visit offices</v>
      </c>
      <c r="L766" s="1" t="str">
        <f ca="1">IFERROR(__xludf.DUMMYFUNCTION("""COMPUTED_VALUE"""),"Employer who appreciates learning and enables that environment")</f>
        <v>Employer who appreciates learning and enables that environment</v>
      </c>
      <c r="M76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766" s="1"/>
      <c r="O766" s="1" t="str">
        <f ca="1">IFERROR(__xludf.DUMMYFUNCTION("""COMPUTED_VALUE"""),"Manager who sets goal and helps me achieve it")</f>
        <v>Manager who sets goal and helps me achieve it</v>
      </c>
      <c r="P766" s="1" t="str">
        <f ca="1">IFERROR(__xludf.DUMMYFUNCTION("""COMPUTED_VALUE"""),"Work &lt;=6 People in the Team")</f>
        <v>Work &lt;=6 People in the Team</v>
      </c>
      <c r="Q766" s="1" t="s">
        <v>43</v>
      </c>
      <c r="R766" s="1"/>
    </row>
    <row r="767" spans="1:18" x14ac:dyDescent="0.25">
      <c r="A767" s="2">
        <f ca="1">IFERROR(__xludf.DUMMYFUNCTION("""COMPUTED_VALUE"""),45022.6001559838)</f>
        <v>45022.600155983797</v>
      </c>
      <c r="B767" s="1" t="str">
        <f ca="1">IFERROR(__xludf.DUMMYFUNCTION("""COMPUTED_VALUE"""),"India")</f>
        <v>India</v>
      </c>
      <c r="C767" s="1">
        <f ca="1">IFERROR(__xludf.DUMMYFUNCTION("""COMPUTED_VALUE"""),401105)</f>
        <v>401105</v>
      </c>
      <c r="D767" s="1" t="str">
        <f ca="1">IFERROR(__xludf.DUMMYFUNCTION("""COMPUTED_VALUE"""),"Male")</f>
        <v>Male</v>
      </c>
      <c r="E767" s="1" t="str">
        <f ca="1">IFERROR(__xludf.DUMMYFUNCTION("""COMPUTED_VALUE"""),"Influencers who had successful careers")</f>
        <v>Influencers who had successful careers</v>
      </c>
      <c r="F767" s="1" t="str">
        <f ca="1">IFERROR(__xludf.DUMMYFUNCTION("""COMPUTED_VALUE"""),"No, But if someone could bare the cost I will")</f>
        <v>No, But if someone could bare the cost I will</v>
      </c>
      <c r="G767" s="1" t="str">
        <f ca="1">IFERROR(__xludf.DUMMYFUNCTION("""COMPUTED_VALUE"""),"This will be hard to do, but if it is the right company I would try")</f>
        <v>This will be hard to do, but if it is the right company I would try</v>
      </c>
      <c r="H767" s="1" t="str">
        <f ca="1">IFERROR(__xludf.DUMMYFUNCTION("""COMPUTED_VALUE"""),"No")</f>
        <v>No</v>
      </c>
      <c r="I767" s="1" t="str">
        <f ca="1">IFERROR(__xludf.DUMMYFUNCTION("""COMPUTED_VALUE"""),"Will NOT work for them")</f>
        <v>Will NOT work for them</v>
      </c>
      <c r="J767" s="1">
        <f ca="1">IFERROR(__xludf.DUMMYFUNCTION("""COMPUTED_VALUE"""),6)</f>
        <v>6</v>
      </c>
      <c r="K767" s="1" t="str">
        <f ca="1">IFERROR(__xludf.DUMMYFUNCTION("""COMPUTED_VALUE"""),"Fully Remote with Options to travel as and when needed")</f>
        <v>Fully Remote with Options to travel as and when needed</v>
      </c>
      <c r="L767" s="1" t="str">
        <f ca="1">IFERROR(__xludf.DUMMYFUNCTION("""COMPUTED_VALUE"""),"Employer who pushes your limits by enabling an learning environment, and rewards you at the end")</f>
        <v>Employer who pushes your limits by enabling an learning environment, and rewards you at the end</v>
      </c>
      <c r="M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767" s="1"/>
      <c r="O767" s="1" t="str">
        <f ca="1">IFERROR(__xludf.DUMMYFUNCTION("""COMPUTED_VALUE"""),"Manager who explains what is expected, sets a goal and helps achieve it")</f>
        <v>Manager who explains what is expected, sets a goal and helps achieve it</v>
      </c>
      <c r="P767" s="1" t="str">
        <f ca="1">IFERROR(__xludf.DUMMYFUNCTION("""COMPUTED_VALUE"""),"Work &lt;=6 People in the Team")</f>
        <v>Work &lt;=6 People in the Team</v>
      </c>
      <c r="Q767" s="1" t="s">
        <v>40</v>
      </c>
      <c r="R767" s="1"/>
    </row>
    <row r="768" spans="1:18" x14ac:dyDescent="0.25">
      <c r="A768" s="2">
        <f ca="1">IFERROR(__xludf.DUMMYFUNCTION("""COMPUTED_VALUE"""),45022.6062017708)</f>
        <v>45022.606201770803</v>
      </c>
      <c r="B768" s="1" t="str">
        <f ca="1">IFERROR(__xludf.DUMMYFUNCTION("""COMPUTED_VALUE"""),"India")</f>
        <v>India</v>
      </c>
      <c r="C768" s="1">
        <f ca="1">IFERROR(__xludf.DUMMYFUNCTION("""COMPUTED_VALUE"""),535218)</f>
        <v>535218</v>
      </c>
      <c r="D768" s="1" t="str">
        <f ca="1">IFERROR(__xludf.DUMMYFUNCTION("""COMPUTED_VALUE"""),"Male")</f>
        <v>Male</v>
      </c>
      <c r="E768" s="1" t="str">
        <f ca="1">IFERROR(__xludf.DUMMYFUNCTION("""COMPUTED_VALUE"""),"My Parents")</f>
        <v>My Parents</v>
      </c>
      <c r="F768" s="1" t="str">
        <f ca="1">IFERROR(__xludf.DUMMYFUNCTION("""COMPUTED_VALUE"""),"No I would not be pursuing Higher Education outside of India")</f>
        <v>No I would not be pursuing Higher Education outside of India</v>
      </c>
      <c r="G768" s="1" t="str">
        <f ca="1">IFERROR(__xludf.DUMMYFUNCTION("""COMPUTED_VALUE"""),"Will work for 3 years or more")</f>
        <v>Will work for 3 years or more</v>
      </c>
      <c r="H768" s="1" t="str">
        <f ca="1">IFERROR(__xludf.DUMMYFUNCTION("""COMPUTED_VALUE"""),"No")</f>
        <v>No</v>
      </c>
      <c r="I768" s="1" t="str">
        <f ca="1">IFERROR(__xludf.DUMMYFUNCTION("""COMPUTED_VALUE"""),"Will NOT work for them")</f>
        <v>Will NOT work for them</v>
      </c>
      <c r="J768" s="1">
        <f ca="1">IFERROR(__xludf.DUMMYFUNCTION("""COMPUTED_VALUE"""),5)</f>
        <v>5</v>
      </c>
      <c r="K768" s="1" t="str">
        <f ca="1">IFERROR(__xludf.DUMMYFUNCTION("""COMPUTED_VALUE"""),"Hybrid Working Environment with more than 15 days a month at office")</f>
        <v>Hybrid Working Environment with more than 15 days a month at office</v>
      </c>
      <c r="L768" s="1" t="str">
        <f ca="1">IFERROR(__xludf.DUMMYFUNCTION("""COMPUTED_VALUE"""),"Employer who rewards learning and enables that environment")</f>
        <v>Employer who rewards learning and enables that environment</v>
      </c>
      <c r="M768"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768" s="1"/>
      <c r="O768" s="1" t="str">
        <f ca="1">IFERROR(__xludf.DUMMYFUNCTION("""COMPUTED_VALUE"""),"Manager who clearly describes what she/he needs")</f>
        <v>Manager who clearly describes what she/he needs</v>
      </c>
      <c r="P768" s="1" t="str">
        <f ca="1">IFERROR(__xludf.DUMMYFUNCTION("""COMPUTED_VALUE"""),"Work Alone, &lt;67 people in team")</f>
        <v>Work Alone, &lt;67 people in team</v>
      </c>
      <c r="Q768" s="1" t="s">
        <v>43</v>
      </c>
      <c r="R768" s="1"/>
    </row>
    <row r="769" spans="1:18" x14ac:dyDescent="0.25">
      <c r="A769" s="2">
        <f ca="1">IFERROR(__xludf.DUMMYFUNCTION("""COMPUTED_VALUE"""),45022.6066152777)</f>
        <v>45022.606615277698</v>
      </c>
      <c r="B769" s="1" t="str">
        <f ca="1">IFERROR(__xludf.DUMMYFUNCTION("""COMPUTED_VALUE"""),"India")</f>
        <v>India</v>
      </c>
      <c r="C769" s="1">
        <f ca="1">IFERROR(__xludf.DUMMYFUNCTION("""COMPUTED_VALUE"""),401105)</f>
        <v>401105</v>
      </c>
      <c r="D769" s="1" t="str">
        <f ca="1">IFERROR(__xludf.DUMMYFUNCTION("""COMPUTED_VALUE"""),"Male")</f>
        <v>Male</v>
      </c>
      <c r="E769" s="1" t="str">
        <f ca="1">IFERROR(__xludf.DUMMYFUNCTION("""COMPUTED_VALUE"""),"Influencers who had successful careers")</f>
        <v>Influencers who had successful careers</v>
      </c>
      <c r="F769" s="1" t="str">
        <f ca="1">IFERROR(__xludf.DUMMYFUNCTION("""COMPUTED_VALUE"""),"Yes, I will earn and do that")</f>
        <v>Yes, I will earn and do that</v>
      </c>
      <c r="G769" s="1" t="str">
        <f ca="1">IFERROR(__xludf.DUMMYFUNCTION("""COMPUTED_VALUE"""),"Will work for 3 years or more")</f>
        <v>Will work for 3 years or more</v>
      </c>
      <c r="H769" s="1" t="str">
        <f ca="1">IFERROR(__xludf.DUMMYFUNCTION("""COMPUTED_VALUE"""),"No")</f>
        <v>No</v>
      </c>
      <c r="I769" s="1" t="str">
        <f ca="1">IFERROR(__xludf.DUMMYFUNCTION("""COMPUTED_VALUE"""),"Will NOT work for them")</f>
        <v>Will NOT work for them</v>
      </c>
      <c r="J769" s="1">
        <f ca="1">IFERROR(__xludf.DUMMYFUNCTION("""COMPUTED_VALUE"""),5)</f>
        <v>5</v>
      </c>
      <c r="K769" s="1" t="str">
        <f ca="1">IFERROR(__xludf.DUMMYFUNCTION("""COMPUTED_VALUE"""),"Every Day Office Environment")</f>
        <v>Every Day Office Environment</v>
      </c>
      <c r="L769" s="1" t="str">
        <f ca="1">IFERROR(__xludf.DUMMYFUNCTION("""COMPUTED_VALUE"""),"Employer who pushes your limits by enabling an learning environment, and rewards you at the end")</f>
        <v>Employer who pushes your limits by enabling an learning environment, and rewards you at the end</v>
      </c>
      <c r="M769"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N769" s="1"/>
      <c r="O769" s="1" t="str">
        <f ca="1">IFERROR(__xludf.DUMMYFUNCTION("""COMPUTED_VALUE"""),"Manager who explains what is expected, sets a goal and helps achieve it")</f>
        <v>Manager who explains what is expected, sets a goal and helps achieve it</v>
      </c>
      <c r="P769" s="1" t="str">
        <f ca="1">IFERROR(__xludf.DUMMYFUNCTION("""COMPUTED_VALUE"""),"Work &lt;=6 People in the Team")</f>
        <v>Work &lt;=6 People in the Team</v>
      </c>
      <c r="Q769" s="1" t="s">
        <v>43</v>
      </c>
      <c r="R769" s="1"/>
    </row>
    <row r="770" spans="1:18" x14ac:dyDescent="0.25">
      <c r="A770" s="2">
        <f ca="1">IFERROR(__xludf.DUMMYFUNCTION("""COMPUTED_VALUE"""),45022.606674456)</f>
        <v>45022.606674456001</v>
      </c>
      <c r="B770" s="1" t="str">
        <f ca="1">IFERROR(__xludf.DUMMYFUNCTION("""COMPUTED_VALUE"""),"India")</f>
        <v>India</v>
      </c>
      <c r="C770" s="1">
        <f ca="1">IFERROR(__xludf.DUMMYFUNCTION("""COMPUTED_VALUE"""),110077)</f>
        <v>110077</v>
      </c>
      <c r="D770" s="1" t="str">
        <f ca="1">IFERROR(__xludf.DUMMYFUNCTION("""COMPUTED_VALUE"""),"Male")</f>
        <v>Male</v>
      </c>
      <c r="E770" s="1" t="str">
        <f ca="1">IFERROR(__xludf.DUMMYFUNCTION("""COMPUTED_VALUE"""),"Social Media like LinkedIn")</f>
        <v>Social Media like LinkedIn</v>
      </c>
      <c r="F770" s="1" t="str">
        <f ca="1">IFERROR(__xludf.DUMMYFUNCTION("""COMPUTED_VALUE"""),"No, But if someone could bare the cost I will")</f>
        <v>No, But if someone could bare the cost I will</v>
      </c>
      <c r="G770" s="1" t="str">
        <f ca="1">IFERROR(__xludf.DUMMYFUNCTION("""COMPUTED_VALUE"""),"This will be hard to do, but if it is the right company I would try")</f>
        <v>This will be hard to do, but if it is the right company I would try</v>
      </c>
      <c r="H770" s="1" t="str">
        <f ca="1">IFERROR(__xludf.DUMMYFUNCTION("""COMPUTED_VALUE"""),"No")</f>
        <v>No</v>
      </c>
      <c r="I770" s="1" t="str">
        <f ca="1">IFERROR(__xludf.DUMMYFUNCTION("""COMPUTED_VALUE"""),"Will work for them")</f>
        <v>Will work for them</v>
      </c>
      <c r="J770" s="1">
        <f ca="1">IFERROR(__xludf.DUMMYFUNCTION("""COMPUTED_VALUE"""),5)</f>
        <v>5</v>
      </c>
      <c r="K770" s="1" t="str">
        <f ca="1">IFERROR(__xludf.DUMMYFUNCTION("""COMPUTED_VALUE"""),"Fully Remote with No option to visit offices")</f>
        <v>Fully Remote with No option to visit offices</v>
      </c>
      <c r="L770" s="1" t="str">
        <f ca="1">IFERROR(__xludf.DUMMYFUNCTION("""COMPUTED_VALUE"""),"Employer who pushes your limits by enabling an learning environment, and rewards you at the end")</f>
        <v>Employer who pushes your limits by enabling an learning environment, and rewards you at the end</v>
      </c>
      <c r="M770"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N770" s="1"/>
      <c r="O770" s="1" t="str">
        <f ca="1">IFERROR(__xludf.DUMMYFUNCTION("""COMPUTED_VALUE"""),"Manager who sets targets and expects me to achieve it")</f>
        <v>Manager who sets targets and expects me to achieve it</v>
      </c>
      <c r="P770" s="1" t="str">
        <f ca="1">IFERROR(__xludf.DUMMYFUNCTION("""COMPUTED_VALUE"""),"Work alone, Work &gt;10 people in Team")</f>
        <v>Work alone, Work &gt;10 people in Team</v>
      </c>
      <c r="Q770" s="1" t="s">
        <v>40</v>
      </c>
      <c r="R770" s="1"/>
    </row>
    <row r="771" spans="1:18" x14ac:dyDescent="0.25">
      <c r="A771" s="2">
        <f ca="1">IFERROR(__xludf.DUMMYFUNCTION("""COMPUTED_VALUE"""),45022.6173563888)</f>
        <v>45022.617356388801</v>
      </c>
      <c r="B771" s="1" t="str">
        <f ca="1">IFERROR(__xludf.DUMMYFUNCTION("""COMPUTED_VALUE"""),"India")</f>
        <v>India</v>
      </c>
      <c r="C771" s="1">
        <f ca="1">IFERROR(__xludf.DUMMYFUNCTION("""COMPUTED_VALUE"""),401105)</f>
        <v>401105</v>
      </c>
      <c r="D771" s="1" t="str">
        <f ca="1">IFERROR(__xludf.DUMMYFUNCTION("""COMPUTED_VALUE"""),"Male")</f>
        <v>Male</v>
      </c>
      <c r="E771" s="1" t="str">
        <f ca="1">IFERROR(__xludf.DUMMYFUNCTION("""COMPUTED_VALUE"""),"Influencers who had successful careers")</f>
        <v>Influencers who had successful careers</v>
      </c>
      <c r="F771" s="1" t="str">
        <f ca="1">IFERROR(__xludf.DUMMYFUNCTION("""COMPUTED_VALUE"""),"No I would not be pursuing Higher Education outside of India")</f>
        <v>No I would not be pursuing Higher Education outside of India</v>
      </c>
      <c r="G771" s="1" t="str">
        <f ca="1">IFERROR(__xludf.DUMMYFUNCTION("""COMPUTED_VALUE"""),"Will work for 3 years or more")</f>
        <v>Will work for 3 years or more</v>
      </c>
      <c r="H771" s="1" t="str">
        <f ca="1">IFERROR(__xludf.DUMMYFUNCTION("""COMPUTED_VALUE"""),"No")</f>
        <v>No</v>
      </c>
      <c r="I771" s="1" t="str">
        <f ca="1">IFERROR(__xludf.DUMMYFUNCTION("""COMPUTED_VALUE"""),"Will work for them")</f>
        <v>Will work for them</v>
      </c>
      <c r="J771" s="1">
        <f ca="1">IFERROR(__xludf.DUMMYFUNCTION("""COMPUTED_VALUE"""),6)</f>
        <v>6</v>
      </c>
      <c r="K771" s="1" t="str">
        <f ca="1">IFERROR(__xludf.DUMMYFUNCTION("""COMPUTED_VALUE"""),"Hybrid Working Environment with less than 3 days a month at office")</f>
        <v>Hybrid Working Environment with less than 3 days a month at office</v>
      </c>
      <c r="L771" s="1" t="str">
        <f ca="1">IFERROR(__xludf.DUMMYFUNCTION("""COMPUTED_VALUE"""),"Employer who appreciates learning and enables that environment")</f>
        <v>Employer who appreciates learning and enables that environment</v>
      </c>
      <c r="M77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771" s="1"/>
      <c r="O771" s="1" t="str">
        <f ca="1">IFERROR(__xludf.DUMMYFUNCTION("""COMPUTED_VALUE"""),"Manager who sets targets and expects me to achieve it")</f>
        <v>Manager who sets targets and expects me to achieve it</v>
      </c>
      <c r="P771" s="1" t="str">
        <f ca="1">IFERROR(__xludf.DUMMYFUNCTION("""COMPUTED_VALUE"""),"Work &lt;=6 People in the Team")</f>
        <v>Work &lt;=6 People in the Team</v>
      </c>
      <c r="Q771" s="1" t="s">
        <v>43</v>
      </c>
      <c r="R771" s="1"/>
    </row>
    <row r="772" spans="1:18" x14ac:dyDescent="0.25">
      <c r="A772" s="2">
        <f ca="1">IFERROR(__xludf.DUMMYFUNCTION("""COMPUTED_VALUE"""),45022.617568125)</f>
        <v>45022.617568125002</v>
      </c>
      <c r="B772" s="1" t="str">
        <f ca="1">IFERROR(__xludf.DUMMYFUNCTION("""COMPUTED_VALUE"""),"India")</f>
        <v>India</v>
      </c>
      <c r="C772" s="1">
        <f ca="1">IFERROR(__xludf.DUMMYFUNCTION("""COMPUTED_VALUE"""),400086)</f>
        <v>400086</v>
      </c>
      <c r="D772" s="1" t="str">
        <f ca="1">IFERROR(__xludf.DUMMYFUNCTION("""COMPUTED_VALUE"""),"Female")</f>
        <v>Female</v>
      </c>
      <c r="E772" s="1" t="str">
        <f ca="1">IFERROR(__xludf.DUMMYFUNCTION("""COMPUTED_VALUE"""),"People who have changed the world for better")</f>
        <v>People who have changed the world for better</v>
      </c>
      <c r="F772" s="1" t="str">
        <f ca="1">IFERROR(__xludf.DUMMYFUNCTION("""COMPUTED_VALUE"""),"No I would not be pursuing Higher Education outside of India")</f>
        <v>No I would not be pursuing Higher Education outside of India</v>
      </c>
      <c r="G772" s="1" t="str">
        <f ca="1">IFERROR(__xludf.DUMMYFUNCTION("""COMPUTED_VALUE"""),"This will be hard to do, but if it is the right company I would try")</f>
        <v>This will be hard to do, but if it is the right company I would try</v>
      </c>
      <c r="H772" s="1" t="str">
        <f ca="1">IFERROR(__xludf.DUMMYFUNCTION("""COMPUTED_VALUE"""),"No")</f>
        <v>No</v>
      </c>
      <c r="I772" s="1" t="str">
        <f ca="1">IFERROR(__xludf.DUMMYFUNCTION("""COMPUTED_VALUE"""),"Will NOT work for them")</f>
        <v>Will NOT work for them</v>
      </c>
      <c r="J772" s="1">
        <f ca="1">IFERROR(__xludf.DUMMYFUNCTION("""COMPUTED_VALUE"""),10)</f>
        <v>10</v>
      </c>
      <c r="K772" s="1" t="str">
        <f ca="1">IFERROR(__xludf.DUMMYFUNCTION("""COMPUTED_VALUE"""),"Fully Remote with Options to travel as and when needed")</f>
        <v>Fully Remote with Options to travel as and when needed</v>
      </c>
      <c r="L772" s="1" t="str">
        <f ca="1">IFERROR(__xludf.DUMMYFUNCTION("""COMPUTED_VALUE"""),"Employer who appreciates learning and enables that environment")</f>
        <v>Employer who appreciates learning and enables that environment</v>
      </c>
      <c r="M772"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772" s="1"/>
      <c r="O772" s="1" t="str">
        <f ca="1">IFERROR(__xludf.DUMMYFUNCTION("""COMPUTED_VALUE"""),"Manager who clearly describes what she/he needs")</f>
        <v>Manager who clearly describes what she/he needs</v>
      </c>
      <c r="P772" s="1" t="str">
        <f ca="1">IFERROR(__xludf.DUMMYFUNCTION("""COMPUTED_VALUE"""),"Work Alone, &lt;67 people in team")</f>
        <v>Work Alone, &lt;67 people in team</v>
      </c>
      <c r="Q772" s="1" t="s">
        <v>43</v>
      </c>
      <c r="R772" s="1"/>
    </row>
    <row r="773" spans="1:18" x14ac:dyDescent="0.25">
      <c r="A773" s="2">
        <f ca="1">IFERROR(__xludf.DUMMYFUNCTION("""COMPUTED_VALUE"""),45022.6175771296)</f>
        <v>45022.617577129597</v>
      </c>
      <c r="B773" s="1" t="str">
        <f ca="1">IFERROR(__xludf.DUMMYFUNCTION("""COMPUTED_VALUE"""),"India")</f>
        <v>India</v>
      </c>
      <c r="C773" s="1">
        <f ca="1">IFERROR(__xludf.DUMMYFUNCTION("""COMPUTED_VALUE"""),122001)</f>
        <v>122001</v>
      </c>
      <c r="D773" s="1" t="str">
        <f ca="1">IFERROR(__xludf.DUMMYFUNCTION("""COMPUTED_VALUE"""),"Male")</f>
        <v>Male</v>
      </c>
      <c r="E773" s="1" t="str">
        <f ca="1">IFERROR(__xludf.DUMMYFUNCTION("""COMPUTED_VALUE"""),"Social Media like LinkedIn")</f>
        <v>Social Media like LinkedIn</v>
      </c>
      <c r="F773" s="1" t="str">
        <f ca="1">IFERROR(__xludf.DUMMYFUNCTION("""COMPUTED_VALUE"""),"No I would not be pursuing Higher Education outside of India")</f>
        <v>No I would not be pursuing Higher Education outside of India</v>
      </c>
      <c r="G773" s="1" t="str">
        <f ca="1">IFERROR(__xludf.DUMMYFUNCTION("""COMPUTED_VALUE"""),"Will work for 3 years or more")</f>
        <v>Will work for 3 years or more</v>
      </c>
      <c r="H773" s="1" t="str">
        <f ca="1">IFERROR(__xludf.DUMMYFUNCTION("""COMPUTED_VALUE"""),"No")</f>
        <v>No</v>
      </c>
      <c r="I773" s="1" t="str">
        <f ca="1">IFERROR(__xludf.DUMMYFUNCTION("""COMPUTED_VALUE"""),"Will NOT work for them")</f>
        <v>Will NOT work for them</v>
      </c>
      <c r="J773" s="1">
        <f ca="1">IFERROR(__xludf.DUMMYFUNCTION("""COMPUTED_VALUE"""),5)</f>
        <v>5</v>
      </c>
      <c r="K773" s="1" t="str">
        <f ca="1">IFERROR(__xludf.DUMMYFUNCTION("""COMPUTED_VALUE"""),"Hybrid Working Environment with less than 3 days a month at office")</f>
        <v>Hybrid Working Environment with less than 3 days a month at office</v>
      </c>
      <c r="L773" s="1" t="str">
        <f ca="1">IFERROR(__xludf.DUMMYFUNCTION("""COMPUTED_VALUE"""),"Employer who rewards learning and enables that environment")</f>
        <v>Employer who rewards learning and enables that environment</v>
      </c>
      <c r="M7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773" s="1"/>
      <c r="O773" s="1" t="str">
        <f ca="1">IFERROR(__xludf.DUMMYFUNCTION("""COMPUTED_VALUE"""),"Manager who explains what is expected, sets a goal and helps achieve it")</f>
        <v>Manager who explains what is expected, sets a goal and helps achieve it</v>
      </c>
      <c r="P773" s="1" t="str">
        <f ca="1">IFERROR(__xludf.DUMMYFUNCTION("""COMPUTED_VALUE"""),"Work &gt;=7 People in the Team")</f>
        <v>Work &gt;=7 People in the Team</v>
      </c>
      <c r="Q773" s="1" t="s">
        <v>40</v>
      </c>
      <c r="R773" s="1"/>
    </row>
    <row r="774" spans="1:18" x14ac:dyDescent="0.25">
      <c r="A774" s="2">
        <f ca="1">IFERROR(__xludf.DUMMYFUNCTION("""COMPUTED_VALUE"""),45022.6264064467)</f>
        <v>45022.626406446703</v>
      </c>
      <c r="B774" s="1" t="str">
        <f ca="1">IFERROR(__xludf.DUMMYFUNCTION("""COMPUTED_VALUE"""),"India")</f>
        <v>India</v>
      </c>
      <c r="C774" s="1">
        <f ca="1">IFERROR(__xludf.DUMMYFUNCTION("""COMPUTED_VALUE"""),401107)</f>
        <v>401107</v>
      </c>
      <c r="D774" s="1" t="str">
        <f ca="1">IFERROR(__xludf.DUMMYFUNCTION("""COMPUTED_VALUE"""),"Male")</f>
        <v>Male</v>
      </c>
      <c r="E774" s="1" t="str">
        <f ca="1">IFERROR(__xludf.DUMMYFUNCTION("""COMPUTED_VALUE"""),"My Parents")</f>
        <v>My Parents</v>
      </c>
      <c r="F774" s="1" t="str">
        <f ca="1">IFERROR(__xludf.DUMMYFUNCTION("""COMPUTED_VALUE"""),"No I would not be pursuing Higher Education outside of India")</f>
        <v>No I would not be pursuing Higher Education outside of India</v>
      </c>
      <c r="G774" s="1" t="str">
        <f ca="1">IFERROR(__xludf.DUMMYFUNCTION("""COMPUTED_VALUE"""),"Will work for 3 years or more")</f>
        <v>Will work for 3 years or more</v>
      </c>
      <c r="H774" s="1" t="str">
        <f ca="1">IFERROR(__xludf.DUMMYFUNCTION("""COMPUTED_VALUE"""),"No")</f>
        <v>No</v>
      </c>
      <c r="I774" s="1" t="str">
        <f ca="1">IFERROR(__xludf.DUMMYFUNCTION("""COMPUTED_VALUE"""),"Will work for them")</f>
        <v>Will work for them</v>
      </c>
      <c r="J774" s="1">
        <f ca="1">IFERROR(__xludf.DUMMYFUNCTION("""COMPUTED_VALUE"""),7)</f>
        <v>7</v>
      </c>
      <c r="K774" s="1" t="str">
        <f ca="1">IFERROR(__xludf.DUMMYFUNCTION("""COMPUTED_VALUE"""),"Every Day Office Environment")</f>
        <v>Every Day Office Environment</v>
      </c>
      <c r="L774" s="1" t="str">
        <f ca="1">IFERROR(__xludf.DUMMYFUNCTION("""COMPUTED_VALUE"""),"Employer who pushes your limits by enabling an learning environment, and rewards you at the end")</f>
        <v>Employer who pushes your limits by enabling an learning environment, and rewards you at the end</v>
      </c>
      <c r="M774"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N774" s="1"/>
      <c r="O774" s="1" t="str">
        <f ca="1">IFERROR(__xludf.DUMMYFUNCTION("""COMPUTED_VALUE"""),"Manager who sets unrealistic targets")</f>
        <v>Manager who sets unrealistic targets</v>
      </c>
      <c r="P774" s="1" t="str">
        <f ca="1">IFERROR(__xludf.DUMMYFUNCTION("""COMPUTED_VALUE"""),"Work &lt;=6 People in the Team")</f>
        <v>Work &lt;=6 People in the Team</v>
      </c>
      <c r="Q774" s="1" t="s">
        <v>43</v>
      </c>
      <c r="R774" s="1"/>
    </row>
    <row r="775" spans="1:18" x14ac:dyDescent="0.25">
      <c r="A775" s="2">
        <f ca="1">IFERROR(__xludf.DUMMYFUNCTION("""COMPUTED_VALUE"""),45022.6289756481)</f>
        <v>45022.628975648098</v>
      </c>
      <c r="B775" s="1" t="str">
        <f ca="1">IFERROR(__xludf.DUMMYFUNCTION("""COMPUTED_VALUE"""),"India")</f>
        <v>India</v>
      </c>
      <c r="C775" s="1">
        <f ca="1">IFERROR(__xludf.DUMMYFUNCTION("""COMPUTED_VALUE"""),122001)</f>
        <v>122001</v>
      </c>
      <c r="D775" s="1" t="str">
        <f ca="1">IFERROR(__xludf.DUMMYFUNCTION("""COMPUTED_VALUE"""),"Male")</f>
        <v>Male</v>
      </c>
      <c r="E775" s="1" t="str">
        <f ca="1">IFERROR(__xludf.DUMMYFUNCTION("""COMPUTED_VALUE"""),"People from my circle, but not family members")</f>
        <v>People from my circle, but not family members</v>
      </c>
      <c r="F775" s="1" t="str">
        <f ca="1">IFERROR(__xludf.DUMMYFUNCTION("""COMPUTED_VALUE"""),"No I would not be pursuing Higher Education outside of India")</f>
        <v>No I would not be pursuing Higher Education outside of India</v>
      </c>
      <c r="G775" s="1" t="str">
        <f ca="1">IFERROR(__xludf.DUMMYFUNCTION("""COMPUTED_VALUE"""),"Will work for 3 years or more")</f>
        <v>Will work for 3 years or more</v>
      </c>
      <c r="H775" s="1" t="str">
        <f ca="1">IFERROR(__xludf.DUMMYFUNCTION("""COMPUTED_VALUE"""),"Yes")</f>
        <v>Yes</v>
      </c>
      <c r="I775" s="1" t="str">
        <f ca="1">IFERROR(__xludf.DUMMYFUNCTION("""COMPUTED_VALUE"""),"Will NOT work for them")</f>
        <v>Will NOT work for them</v>
      </c>
      <c r="J775" s="1">
        <f ca="1">IFERROR(__xludf.DUMMYFUNCTION("""COMPUTED_VALUE"""),5)</f>
        <v>5</v>
      </c>
      <c r="K775" s="1" t="str">
        <f ca="1">IFERROR(__xludf.DUMMYFUNCTION("""COMPUTED_VALUE"""),"Fully Remote with Options to travel as and when needed")</f>
        <v>Fully Remote with Options to travel as and when needed</v>
      </c>
      <c r="L775" s="1" t="str">
        <f ca="1">IFERROR(__xludf.DUMMYFUNCTION("""COMPUTED_VALUE"""),"Employer who pushes your limits by enabling an learning environment, and rewards you at the end")</f>
        <v>Employer who pushes your limits by enabling an learning environment, and rewards you at the end</v>
      </c>
      <c r="M775" s="1" t="str">
        <f ca="1">IFERROR(__xludf.DUMMYFUNCTION("""COMPUTED_VALUE"""),"Business Operations in any organization, Build and develop a Team, Design and Develop amazing software, An Artificial Intelligence Specialist / Talking to Robots")</f>
        <v>Business Operations in any organization, Build and develop a Team, Design and Develop amazing software, An Artificial Intelligence Specialist / Talking to Robots</v>
      </c>
      <c r="N775" s="1"/>
      <c r="O775" s="1" t="str">
        <f ca="1">IFERROR(__xludf.DUMMYFUNCTION("""COMPUTED_VALUE"""),"Manager who sets goal and helps me achieve it")</f>
        <v>Manager who sets goal and helps me achieve it</v>
      </c>
      <c r="P775" s="1" t="str">
        <f ca="1">IFERROR(__xludf.DUMMYFUNCTION("""COMPUTED_VALUE"""),"Work &lt;=6 People in the Team")</f>
        <v>Work &lt;=6 People in the Team</v>
      </c>
      <c r="Q775" s="1" t="s">
        <v>40</v>
      </c>
      <c r="R775" s="1"/>
    </row>
    <row r="776" spans="1:18" x14ac:dyDescent="0.25">
      <c r="A776" s="2">
        <f ca="1">IFERROR(__xludf.DUMMYFUNCTION("""COMPUTED_VALUE"""),45022.6415342939)</f>
        <v>45022.6415342939</v>
      </c>
      <c r="B776" s="1" t="str">
        <f ca="1">IFERROR(__xludf.DUMMYFUNCTION("""COMPUTED_VALUE"""),"India")</f>
        <v>India</v>
      </c>
      <c r="C776" s="1">
        <f ca="1">IFERROR(__xludf.DUMMYFUNCTION("""COMPUTED_VALUE"""),400067)</f>
        <v>400067</v>
      </c>
      <c r="D776" s="1" t="str">
        <f ca="1">IFERROR(__xludf.DUMMYFUNCTION("""COMPUTED_VALUE"""),"Female")</f>
        <v>Female</v>
      </c>
      <c r="E776" s="1" t="str">
        <f ca="1">IFERROR(__xludf.DUMMYFUNCTION("""COMPUTED_VALUE"""),"People who have changed the world for better")</f>
        <v>People who have changed the world for better</v>
      </c>
      <c r="F776" s="1" t="str">
        <f ca="1">IFERROR(__xludf.DUMMYFUNCTION("""COMPUTED_VALUE"""),"Yes, I will earn and do that")</f>
        <v>Yes, I will earn and do that</v>
      </c>
      <c r="G776" s="1" t="str">
        <f ca="1">IFERROR(__xludf.DUMMYFUNCTION("""COMPUTED_VALUE"""),"No way")</f>
        <v>No way</v>
      </c>
      <c r="H776" s="1" t="str">
        <f ca="1">IFERROR(__xludf.DUMMYFUNCTION("""COMPUTED_VALUE"""),"No")</f>
        <v>No</v>
      </c>
      <c r="I776" s="1" t="str">
        <f ca="1">IFERROR(__xludf.DUMMYFUNCTION("""COMPUTED_VALUE"""),"Will NOT work for them")</f>
        <v>Will NOT work for them</v>
      </c>
      <c r="J776" s="1">
        <f ca="1">IFERROR(__xludf.DUMMYFUNCTION("""COMPUTED_VALUE"""),3)</f>
        <v>3</v>
      </c>
      <c r="K776" s="1" t="str">
        <f ca="1">IFERROR(__xludf.DUMMYFUNCTION("""COMPUTED_VALUE"""),"Hybrid Working Environment with more than 15 days a month at office")</f>
        <v>Hybrid Working Environment with more than 15 days a month at office</v>
      </c>
      <c r="L776" s="1" t="str">
        <f ca="1">IFERROR(__xludf.DUMMYFUNCTION("""COMPUTED_VALUE"""),"Employer who rewards learning and enables that environment")</f>
        <v>Employer who rewards learning and enables that environment</v>
      </c>
      <c r="M776"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N776" s="1"/>
      <c r="O776" s="1" t="str">
        <f ca="1">IFERROR(__xludf.DUMMYFUNCTION("""COMPUTED_VALUE"""),"Manager who sets targets and expects me to achieve it")</f>
        <v>Manager who sets targets and expects me to achieve it</v>
      </c>
      <c r="P776" s="1" t="str">
        <f ca="1">IFERROR(__xludf.DUMMYFUNCTION("""COMPUTED_VALUE"""),"Work &lt;=6 People in the Team")</f>
        <v>Work &lt;=6 People in the Team</v>
      </c>
      <c r="Q776" s="1" t="s">
        <v>43</v>
      </c>
      <c r="R776" s="1"/>
    </row>
    <row r="777" spans="1:18" x14ac:dyDescent="0.25">
      <c r="A777" s="2">
        <f ca="1">IFERROR(__xludf.DUMMYFUNCTION("""COMPUTED_VALUE"""),45022.6485037037)</f>
        <v>45022.648503703698</v>
      </c>
      <c r="B777" s="1" t="str">
        <f ca="1">IFERROR(__xludf.DUMMYFUNCTION("""COMPUTED_VALUE"""),"United States of America")</f>
        <v>United States of America</v>
      </c>
      <c r="C777" s="1">
        <f ca="1">IFERROR(__xludf.DUMMYFUNCTION("""COMPUTED_VALUE"""),61455)</f>
        <v>61455</v>
      </c>
      <c r="D777" s="1" t="str">
        <f ca="1">IFERROR(__xludf.DUMMYFUNCTION("""COMPUTED_VALUE"""),"Male")</f>
        <v>Male</v>
      </c>
      <c r="E777" s="1" t="str">
        <f ca="1">IFERROR(__xludf.DUMMYFUNCTION("""COMPUTED_VALUE"""),"My Parents")</f>
        <v>My Parents</v>
      </c>
      <c r="F777" s="1" t="str">
        <f ca="1">IFERROR(__xludf.DUMMYFUNCTION("""COMPUTED_VALUE"""),"Yes, I will earn and do that")</f>
        <v>Yes, I will earn and do that</v>
      </c>
      <c r="G777" s="1" t="str">
        <f ca="1">IFERROR(__xludf.DUMMYFUNCTION("""COMPUTED_VALUE"""),"No way")</f>
        <v>No way</v>
      </c>
      <c r="H777" s="1" t="str">
        <f ca="1">IFERROR(__xludf.DUMMYFUNCTION("""COMPUTED_VALUE"""),"Yes")</f>
        <v>Yes</v>
      </c>
      <c r="I777" s="1" t="str">
        <f ca="1">IFERROR(__xludf.DUMMYFUNCTION("""COMPUTED_VALUE"""),"Will NOT work for them")</f>
        <v>Will NOT work for them</v>
      </c>
      <c r="J777" s="1">
        <f ca="1">IFERROR(__xludf.DUMMYFUNCTION("""COMPUTED_VALUE"""),8)</f>
        <v>8</v>
      </c>
      <c r="K777" s="1" t="str">
        <f ca="1">IFERROR(__xludf.DUMMYFUNCTION("""COMPUTED_VALUE"""),"Fully Remote with Options to travel as and when needed")</f>
        <v>Fully Remote with Options to travel as and when needed</v>
      </c>
      <c r="L777" s="1" t="str">
        <f ca="1">IFERROR(__xludf.DUMMYFUNCTION("""COMPUTED_VALUE"""),"Employer who appreciates learning and enables that environment")</f>
        <v>Employer who appreciates learning and enables that environment</v>
      </c>
      <c r="M777"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N777" s="1"/>
      <c r="O777" s="1" t="str">
        <f ca="1">IFERROR(__xludf.DUMMYFUNCTION("""COMPUTED_VALUE"""),"Manager who clearly describes what she/he needs")</f>
        <v>Manager who clearly describes what she/he needs</v>
      </c>
      <c r="P777" s="1" t="str">
        <f ca="1">IFERROR(__xludf.DUMMYFUNCTION("""COMPUTED_VALUE"""),"Work &lt;=6 People in the Team")</f>
        <v>Work &lt;=6 People in the Team</v>
      </c>
      <c r="Q777" s="1" t="s">
        <v>40</v>
      </c>
      <c r="R777" s="1"/>
    </row>
    <row r="778" spans="1:18" x14ac:dyDescent="0.25">
      <c r="A778" s="2">
        <f ca="1">IFERROR(__xludf.DUMMYFUNCTION("""COMPUTED_VALUE"""),45022.6487885416)</f>
        <v>45022.648788541599</v>
      </c>
      <c r="B778" s="1" t="str">
        <f ca="1">IFERROR(__xludf.DUMMYFUNCTION("""COMPUTED_VALUE"""),"India")</f>
        <v>India</v>
      </c>
      <c r="C778" s="1">
        <f ca="1">IFERROR(__xludf.DUMMYFUNCTION("""COMPUTED_VALUE"""),507115)</f>
        <v>507115</v>
      </c>
      <c r="D778" s="1" t="str">
        <f ca="1">IFERROR(__xludf.DUMMYFUNCTION("""COMPUTED_VALUE"""),"Male")</f>
        <v>Male</v>
      </c>
      <c r="E778" s="1" t="str">
        <f ca="1">IFERROR(__xludf.DUMMYFUNCTION("""COMPUTED_VALUE"""),"My Parents")</f>
        <v>My Parents</v>
      </c>
      <c r="F778" s="1" t="str">
        <f ca="1">IFERROR(__xludf.DUMMYFUNCTION("""COMPUTED_VALUE"""),"Yes, I will earn and do that")</f>
        <v>Yes, I will earn and do that</v>
      </c>
      <c r="G778" s="1" t="str">
        <f ca="1">IFERROR(__xludf.DUMMYFUNCTION("""COMPUTED_VALUE"""),"This will be hard to do, but if it is the right company I would try")</f>
        <v>This will be hard to do, but if it is the right company I would try</v>
      </c>
      <c r="H778" s="1" t="str">
        <f ca="1">IFERROR(__xludf.DUMMYFUNCTION("""COMPUTED_VALUE"""),"No")</f>
        <v>No</v>
      </c>
      <c r="I778" s="1" t="str">
        <f ca="1">IFERROR(__xludf.DUMMYFUNCTION("""COMPUTED_VALUE"""),"Will NOT work for them")</f>
        <v>Will NOT work for them</v>
      </c>
      <c r="J778" s="1">
        <f ca="1">IFERROR(__xludf.DUMMYFUNCTION("""COMPUTED_VALUE"""),5)</f>
        <v>5</v>
      </c>
      <c r="K778" s="1" t="str">
        <f ca="1">IFERROR(__xludf.DUMMYFUNCTION("""COMPUTED_VALUE"""),"Fully Remote with Options to travel as and when needed")</f>
        <v>Fully Remote with Options to travel as and when needed</v>
      </c>
      <c r="L778" s="1" t="str">
        <f ca="1">IFERROR(__xludf.DUMMYFUNCTION("""COMPUTED_VALUE"""),"Employer who appreciates learning and enables that environment")</f>
        <v>Employer who appreciates learning and enables that environment</v>
      </c>
      <c r="M778"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N778" s="1"/>
      <c r="O778" s="1" t="str">
        <f ca="1">IFERROR(__xludf.DUMMYFUNCTION("""COMPUTED_VALUE"""),"Manager who clearly describes what she/he needs")</f>
        <v>Manager who clearly describes what she/he needs</v>
      </c>
      <c r="P778" s="1" t="str">
        <f ca="1">IFERROR(__xludf.DUMMYFUNCTION("""COMPUTED_VALUE"""),"Work  &lt;67 people in team")</f>
        <v>Work  &lt;67 people in team</v>
      </c>
      <c r="Q778" s="1" t="s">
        <v>43</v>
      </c>
      <c r="R778" s="1"/>
    </row>
    <row r="779" spans="1:18" x14ac:dyDescent="0.25">
      <c r="A779" s="2">
        <f ca="1">IFERROR(__xludf.DUMMYFUNCTION("""COMPUTED_VALUE"""),45022.6492488194)</f>
        <v>45022.649248819398</v>
      </c>
      <c r="B779" s="1" t="str">
        <f ca="1">IFERROR(__xludf.DUMMYFUNCTION("""COMPUTED_VALUE"""),"India")</f>
        <v>India</v>
      </c>
      <c r="C779" s="1">
        <f ca="1">IFERROR(__xludf.DUMMYFUNCTION("""COMPUTED_VALUE"""),507002)</f>
        <v>507002</v>
      </c>
      <c r="D779" s="1" t="str">
        <f ca="1">IFERROR(__xludf.DUMMYFUNCTION("""COMPUTED_VALUE"""),"Male")</f>
        <v>Male</v>
      </c>
      <c r="E779" s="1" t="str">
        <f ca="1">IFERROR(__xludf.DUMMYFUNCTION("""COMPUTED_VALUE"""),"People who have changed the world for better")</f>
        <v>People who have changed the world for better</v>
      </c>
      <c r="F779" s="1" t="str">
        <f ca="1">IFERROR(__xludf.DUMMYFUNCTION("""COMPUTED_VALUE"""),"Yes, I will earn and do that")</f>
        <v>Yes, I will earn and do that</v>
      </c>
      <c r="G779" s="1" t="str">
        <f ca="1">IFERROR(__xludf.DUMMYFUNCTION("""COMPUTED_VALUE"""),"Will work for 3 years or more")</f>
        <v>Will work for 3 years or more</v>
      </c>
      <c r="H779" s="1" t="str">
        <f ca="1">IFERROR(__xludf.DUMMYFUNCTION("""COMPUTED_VALUE"""),"Yes")</f>
        <v>Yes</v>
      </c>
      <c r="I779" s="1" t="str">
        <f ca="1">IFERROR(__xludf.DUMMYFUNCTION("""COMPUTED_VALUE"""),"Will work for them")</f>
        <v>Will work for them</v>
      </c>
      <c r="J779" s="1">
        <f ca="1">IFERROR(__xludf.DUMMYFUNCTION("""COMPUTED_VALUE"""),10)</f>
        <v>10</v>
      </c>
      <c r="K779" s="1" t="str">
        <f ca="1">IFERROR(__xludf.DUMMYFUNCTION("""COMPUTED_VALUE"""),"Hybrid Working Environment with less than 3 days a month at office")</f>
        <v>Hybrid Working Environment with less than 3 days a month at office</v>
      </c>
      <c r="L779" s="1" t="str">
        <f ca="1">IFERROR(__xludf.DUMMYFUNCTION("""COMPUTED_VALUE"""),"Employer who appreciates learning and enables that environment")</f>
        <v>Employer who appreciates learning and enables that environment</v>
      </c>
      <c r="M779"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N779" s="1"/>
      <c r="O779" s="1" t="str">
        <f ca="1">IFERROR(__xludf.DUMMYFUNCTION("""COMPUTED_VALUE"""),"Manager who sets goal and helps me achieve it")</f>
        <v>Manager who sets goal and helps me achieve it</v>
      </c>
      <c r="P779" s="1" t="str">
        <f ca="1">IFERROR(__xludf.DUMMYFUNCTION("""COMPUTED_VALUE"""),"Work &gt;10 people in Team")</f>
        <v>Work &gt;10 people in Team</v>
      </c>
      <c r="Q779" s="1" t="s">
        <v>43</v>
      </c>
      <c r="R779" s="1"/>
    </row>
    <row r="780" spans="1:18" x14ac:dyDescent="0.25">
      <c r="A780" s="2">
        <f ca="1">IFERROR(__xludf.DUMMYFUNCTION("""COMPUTED_VALUE"""),45022.6502233796)</f>
        <v>45022.650223379598</v>
      </c>
      <c r="B780" s="1" t="str">
        <f ca="1">IFERROR(__xludf.DUMMYFUNCTION("""COMPUTED_VALUE"""),"India")</f>
        <v>India</v>
      </c>
      <c r="C780" s="1">
        <f ca="1">IFERROR(__xludf.DUMMYFUNCTION("""COMPUTED_VALUE"""),380054)</f>
        <v>380054</v>
      </c>
      <c r="D780" s="1" t="str">
        <f ca="1">IFERROR(__xludf.DUMMYFUNCTION("""COMPUTED_VALUE"""),"Female")</f>
        <v>Female</v>
      </c>
      <c r="E780" s="1" t="str">
        <f ca="1">IFERROR(__xludf.DUMMYFUNCTION("""COMPUTED_VALUE"""),"My Parents")</f>
        <v>My Parents</v>
      </c>
      <c r="F780" s="1" t="str">
        <f ca="1">IFERROR(__xludf.DUMMYFUNCTION("""COMPUTED_VALUE"""),"No I would not be pursuing Higher Education outside of India")</f>
        <v>No I would not be pursuing Higher Education outside of India</v>
      </c>
      <c r="G780" s="1" t="str">
        <f ca="1">IFERROR(__xludf.DUMMYFUNCTION("""COMPUTED_VALUE"""),"Will work for 3 years or more")</f>
        <v>Will work for 3 years or more</v>
      </c>
      <c r="H780" s="1" t="str">
        <f ca="1">IFERROR(__xludf.DUMMYFUNCTION("""COMPUTED_VALUE"""),"Yes")</f>
        <v>Yes</v>
      </c>
      <c r="I780" s="1" t="str">
        <f ca="1">IFERROR(__xludf.DUMMYFUNCTION("""COMPUTED_VALUE"""),"Will NOT work for them")</f>
        <v>Will NOT work for them</v>
      </c>
      <c r="J780" s="1">
        <f ca="1">IFERROR(__xludf.DUMMYFUNCTION("""COMPUTED_VALUE"""),10)</f>
        <v>10</v>
      </c>
      <c r="K780" s="1" t="str">
        <f ca="1">IFERROR(__xludf.DUMMYFUNCTION("""COMPUTED_VALUE"""),"Every Day Office Environment")</f>
        <v>Every Day Office Environment</v>
      </c>
      <c r="L780" s="1" t="str">
        <f ca="1">IFERROR(__xludf.DUMMYFUNCTION("""COMPUTED_VALUE"""),"Employer who pushes your limits by enabling an learning environment, and rewards you at the end")</f>
        <v>Employer who pushes your limits by enabling an learning environment, and rewards you at the end</v>
      </c>
      <c r="M780" s="1" t="str">
        <f ca="1">IFERROR(__xludf.DUMMYFUNCTION("""COMPUTED_VALUE"""),"Work as a freelancer and do my thing my way, Entrepreneur or Start Up, I Want to sell things/Sales, Manufacturing / Oil and Gas/ Construction / Hard Physical Work related")</f>
        <v>Work as a freelancer and do my thing my way, Entrepreneur or Start Up, I Want to sell things/Sales, Manufacturing / Oil and Gas/ Construction / Hard Physical Work related</v>
      </c>
      <c r="N780" s="1"/>
      <c r="O780" s="1" t="str">
        <f ca="1">IFERROR(__xludf.DUMMYFUNCTION("""COMPUTED_VALUE"""),"Manager who explains what is expected, sets a goal and helps achieve it")</f>
        <v>Manager who explains what is expected, sets a goal and helps achieve it</v>
      </c>
      <c r="P780" s="1" t="str">
        <f ca="1">IFERROR(__xludf.DUMMYFUNCTION("""COMPUTED_VALUE"""),"Work &gt;10 people in Team")</f>
        <v>Work &gt;10 people in Team</v>
      </c>
      <c r="Q780" s="1" t="s">
        <v>42</v>
      </c>
      <c r="R780" s="1"/>
    </row>
    <row r="781" spans="1:18" x14ac:dyDescent="0.25">
      <c r="A781" s="2">
        <f ca="1">IFERROR(__xludf.DUMMYFUNCTION("""COMPUTED_VALUE"""),45022.6503503935)</f>
        <v>45022.650350393502</v>
      </c>
      <c r="B781" s="1" t="str">
        <f ca="1">IFERROR(__xludf.DUMMYFUNCTION("""COMPUTED_VALUE"""),"India")</f>
        <v>India</v>
      </c>
      <c r="C781" s="1">
        <f ca="1">IFERROR(__xludf.DUMMYFUNCTION("""COMPUTED_VALUE"""),507001)</f>
        <v>507001</v>
      </c>
      <c r="D781" s="1" t="str">
        <f ca="1">IFERROR(__xludf.DUMMYFUNCTION("""COMPUTED_VALUE"""),"Male")</f>
        <v>Male</v>
      </c>
      <c r="E781" s="1" t="str">
        <f ca="1">IFERROR(__xludf.DUMMYFUNCTION("""COMPUTED_VALUE"""),"Influencers who had successful careers")</f>
        <v>Influencers who had successful careers</v>
      </c>
      <c r="F781" s="1" t="str">
        <f ca="1">IFERROR(__xludf.DUMMYFUNCTION("""COMPUTED_VALUE"""),"Yes, I will earn and do that")</f>
        <v>Yes, I will earn and do that</v>
      </c>
      <c r="G781" s="1" t="str">
        <f ca="1">IFERROR(__xludf.DUMMYFUNCTION("""COMPUTED_VALUE"""),"This will be hard to do, but if it is the right company I would try")</f>
        <v>This will be hard to do, but if it is the right company I would try</v>
      </c>
      <c r="H781" s="1" t="str">
        <f ca="1">IFERROR(__xludf.DUMMYFUNCTION("""COMPUTED_VALUE"""),"No")</f>
        <v>No</v>
      </c>
      <c r="I781" s="1" t="str">
        <f ca="1">IFERROR(__xludf.DUMMYFUNCTION("""COMPUTED_VALUE"""),"Will NOT work for them")</f>
        <v>Will NOT work for them</v>
      </c>
      <c r="J781" s="1">
        <f ca="1">IFERROR(__xludf.DUMMYFUNCTION("""COMPUTED_VALUE"""),7)</f>
        <v>7</v>
      </c>
      <c r="K781" s="1" t="str">
        <f ca="1">IFERROR(__xludf.DUMMYFUNCTION("""COMPUTED_VALUE"""),"Fully Remote with Options to travel as and when needed")</f>
        <v>Fully Remote with Options to travel as and when needed</v>
      </c>
      <c r="L781" s="1" t="str">
        <f ca="1">IFERROR(__xludf.DUMMYFUNCTION("""COMPUTED_VALUE"""),"Employer who rewards learning and enables that environment")</f>
        <v>Employer who rewards learning and enables that environment</v>
      </c>
      <c r="M78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781" s="1"/>
      <c r="O781" s="1" t="str">
        <f ca="1">IFERROR(__xludf.DUMMYFUNCTION("""COMPUTED_VALUE"""),"Manager who explains what is expected, sets a goal and helps achieve it")</f>
        <v>Manager who explains what is expected, sets a goal and helps achieve it</v>
      </c>
      <c r="P781" s="1" t="str">
        <f ca="1">IFERROR(__xludf.DUMMYFUNCTION("""COMPUTED_VALUE"""),"Work &lt;=6 People in the Team")</f>
        <v>Work &lt;=6 People in the Team</v>
      </c>
      <c r="Q781" s="1" t="s">
        <v>40</v>
      </c>
      <c r="R781" s="1"/>
    </row>
    <row r="782" spans="1:18" x14ac:dyDescent="0.25">
      <c r="A782" s="2">
        <f ca="1">IFERROR(__xludf.DUMMYFUNCTION("""COMPUTED_VALUE"""),45022.6505352777)</f>
        <v>45022.650535277702</v>
      </c>
      <c r="B782" s="1" t="str">
        <f ca="1">IFERROR(__xludf.DUMMYFUNCTION("""COMPUTED_VALUE"""),"India")</f>
        <v>India</v>
      </c>
      <c r="C782" s="1">
        <f ca="1">IFERROR(__xludf.DUMMYFUNCTION("""COMPUTED_VALUE"""),560096)</f>
        <v>560096</v>
      </c>
      <c r="D782" s="1" t="str">
        <f ca="1">IFERROR(__xludf.DUMMYFUNCTION("""COMPUTED_VALUE"""),"Female")</f>
        <v>Female</v>
      </c>
      <c r="E782" s="1" t="str">
        <f ca="1">IFERROR(__xludf.DUMMYFUNCTION("""COMPUTED_VALUE"""),"People who have changed the world for better")</f>
        <v>People who have changed the world for better</v>
      </c>
      <c r="F782" s="1" t="str">
        <f ca="1">IFERROR(__xludf.DUMMYFUNCTION("""COMPUTED_VALUE"""),"No, But if someone could bare the cost I will")</f>
        <v>No, But if someone could bare the cost I will</v>
      </c>
      <c r="G782" s="1" t="str">
        <f ca="1">IFERROR(__xludf.DUMMYFUNCTION("""COMPUTED_VALUE"""),"This will be hard to do, but if it is the right company I would try")</f>
        <v>This will be hard to do, but if it is the right company I would try</v>
      </c>
      <c r="H782" s="1" t="str">
        <f ca="1">IFERROR(__xludf.DUMMYFUNCTION("""COMPUTED_VALUE"""),"No")</f>
        <v>No</v>
      </c>
      <c r="I782" s="1" t="str">
        <f ca="1">IFERROR(__xludf.DUMMYFUNCTION("""COMPUTED_VALUE"""),"Will NOT work for them")</f>
        <v>Will NOT work for them</v>
      </c>
      <c r="J782" s="1">
        <f ca="1">IFERROR(__xludf.DUMMYFUNCTION("""COMPUTED_VALUE"""),5)</f>
        <v>5</v>
      </c>
      <c r="K782" s="1" t="str">
        <f ca="1">IFERROR(__xludf.DUMMYFUNCTION("""COMPUTED_VALUE"""),"Hybrid Working Environment with more than 15 days a month at office")</f>
        <v>Hybrid Working Environment with more than 15 days a month at office</v>
      </c>
      <c r="L782" s="1" t="str">
        <f ca="1">IFERROR(__xludf.DUMMYFUNCTION("""COMPUTED_VALUE"""),"Employer who rewards learning and enables that environment")</f>
        <v>Employer who rewards learning and enables that environment</v>
      </c>
      <c r="M78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N782" s="1"/>
      <c r="O782" s="1" t="str">
        <f ca="1">IFERROR(__xludf.DUMMYFUNCTION("""COMPUTED_VALUE"""),"Manager who explains what is expected, sets a goal and helps achieve it")</f>
        <v>Manager who explains what is expected, sets a goal and helps achieve it</v>
      </c>
      <c r="P782" s="1" t="str">
        <f ca="1">IFERROR(__xludf.DUMMYFUNCTION("""COMPUTED_VALUE"""),"Work &lt;=6 People in the Team")</f>
        <v>Work &lt;=6 People in the Team</v>
      </c>
      <c r="Q782" s="1" t="s">
        <v>43</v>
      </c>
      <c r="R782" s="1"/>
    </row>
    <row r="783" spans="1:18" x14ac:dyDescent="0.25">
      <c r="A783" s="2">
        <f ca="1">IFERROR(__xludf.DUMMYFUNCTION("""COMPUTED_VALUE"""),45022.6526775463)</f>
        <v>45022.652677546299</v>
      </c>
      <c r="B783" s="1" t="str">
        <f ca="1">IFERROR(__xludf.DUMMYFUNCTION("""COMPUTED_VALUE"""),"India")</f>
        <v>India</v>
      </c>
      <c r="C783" s="1">
        <f ca="1">IFERROR(__xludf.DUMMYFUNCTION("""COMPUTED_VALUE"""),380006)</f>
        <v>380006</v>
      </c>
      <c r="D783" s="1" t="str">
        <f ca="1">IFERROR(__xludf.DUMMYFUNCTION("""COMPUTED_VALUE"""),"Male")</f>
        <v>Male</v>
      </c>
      <c r="E783" s="1" t="str">
        <f ca="1">IFERROR(__xludf.DUMMYFUNCTION("""COMPUTED_VALUE"""),"People who have changed the world for better")</f>
        <v>People who have changed the world for better</v>
      </c>
      <c r="F783" s="1" t="str">
        <f ca="1">IFERROR(__xludf.DUMMYFUNCTION("""COMPUTED_VALUE"""),"No, But if someone could bare the cost I will")</f>
        <v>No, But if someone could bare the cost I will</v>
      </c>
      <c r="G783" s="1" t="str">
        <f ca="1">IFERROR(__xludf.DUMMYFUNCTION("""COMPUTED_VALUE"""),"Will work for 3 years or more")</f>
        <v>Will work for 3 years or more</v>
      </c>
      <c r="H783" s="1" t="str">
        <f ca="1">IFERROR(__xludf.DUMMYFUNCTION("""COMPUTED_VALUE"""),"No")</f>
        <v>No</v>
      </c>
      <c r="I783" s="1" t="str">
        <f ca="1">IFERROR(__xludf.DUMMYFUNCTION("""COMPUTED_VALUE"""),"Will NOT work for them")</f>
        <v>Will NOT work for them</v>
      </c>
      <c r="J783" s="1">
        <f ca="1">IFERROR(__xludf.DUMMYFUNCTION("""COMPUTED_VALUE"""),3)</f>
        <v>3</v>
      </c>
      <c r="K783" s="1" t="str">
        <f ca="1">IFERROR(__xludf.DUMMYFUNCTION("""COMPUTED_VALUE"""),"Fully Remote with Options to travel as and when needed")</f>
        <v>Fully Remote with Options to travel as and when needed</v>
      </c>
      <c r="L783" s="1" t="str">
        <f ca="1">IFERROR(__xludf.DUMMYFUNCTION("""COMPUTED_VALUE"""),"Employer who pushes your limits by enabling an learning environment, and rewards you at the end")</f>
        <v>Employer who pushes your limits by enabling an learning environment, and rewards you at the end</v>
      </c>
      <c r="M783"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N783" s="1"/>
      <c r="O783" s="1" t="str">
        <f ca="1">IFERROR(__xludf.DUMMYFUNCTION("""COMPUTED_VALUE"""),"Manager who explains what is expected, sets a goal and helps achieve it")</f>
        <v>Manager who explains what is expected, sets a goal and helps achieve it</v>
      </c>
      <c r="P783" s="1" t="str">
        <f ca="1">IFERROR(__xludf.DUMMYFUNCTION("""COMPUTED_VALUE"""),"Work &lt;=6 People in the Team")</f>
        <v>Work &lt;=6 People in the Team</v>
      </c>
      <c r="Q783" s="1" t="s">
        <v>40</v>
      </c>
      <c r="R783" s="1"/>
    </row>
    <row r="784" spans="1:18" x14ac:dyDescent="0.25">
      <c r="A784" s="2">
        <f ca="1">IFERROR(__xludf.DUMMYFUNCTION("""COMPUTED_VALUE"""),45022.654706956)</f>
        <v>45022.654706955997</v>
      </c>
      <c r="B784" s="1" t="str">
        <f ca="1">IFERROR(__xludf.DUMMYFUNCTION("""COMPUTED_VALUE"""),"India")</f>
        <v>India</v>
      </c>
      <c r="C784" s="1">
        <f ca="1">IFERROR(__xludf.DUMMYFUNCTION("""COMPUTED_VALUE"""),507001)</f>
        <v>507001</v>
      </c>
      <c r="D784" s="1" t="str">
        <f ca="1">IFERROR(__xludf.DUMMYFUNCTION("""COMPUTED_VALUE"""),"Female")</f>
        <v>Female</v>
      </c>
      <c r="E784" s="1" t="str">
        <f ca="1">IFERROR(__xludf.DUMMYFUNCTION("""COMPUTED_VALUE"""),"Influencers who had successful careers")</f>
        <v>Influencers who had successful careers</v>
      </c>
      <c r="F784" s="1" t="str">
        <f ca="1">IFERROR(__xludf.DUMMYFUNCTION("""COMPUTED_VALUE"""),"No I would not be pursuing Higher Education outside of India")</f>
        <v>No I would not be pursuing Higher Education outside of India</v>
      </c>
      <c r="G784" s="1" t="str">
        <f ca="1">IFERROR(__xludf.DUMMYFUNCTION("""COMPUTED_VALUE"""),"This will be hard to do, but if it is the right company I would try")</f>
        <v>This will be hard to do, but if it is the right company I would try</v>
      </c>
      <c r="H784" s="1" t="str">
        <f ca="1">IFERROR(__xludf.DUMMYFUNCTION("""COMPUTED_VALUE"""),"Yes")</f>
        <v>Yes</v>
      </c>
      <c r="I784" s="1" t="str">
        <f ca="1">IFERROR(__xludf.DUMMYFUNCTION("""COMPUTED_VALUE"""),"Will NOT work for them")</f>
        <v>Will NOT work for them</v>
      </c>
      <c r="J784" s="1">
        <f ca="1">IFERROR(__xludf.DUMMYFUNCTION("""COMPUTED_VALUE"""),6)</f>
        <v>6</v>
      </c>
      <c r="K784" s="1" t="str">
        <f ca="1">IFERROR(__xludf.DUMMYFUNCTION("""COMPUTED_VALUE"""),"Hybrid Working Environment with less than 3 days a month at office")</f>
        <v>Hybrid Working Environment with less than 3 days a month at office</v>
      </c>
      <c r="L784" s="1" t="str">
        <f ca="1">IFERROR(__xludf.DUMMYFUNCTION("""COMPUTED_VALUE"""),"Employer who rewards learning and enables that environment")</f>
        <v>Employer who rewards learning and enables that environment</v>
      </c>
      <c r="M78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N784" s="1"/>
      <c r="O784" s="1" t="str">
        <f ca="1">IFERROR(__xludf.DUMMYFUNCTION("""COMPUTED_VALUE"""),"Manager who explains what is expected, sets a goal and helps achieve it")</f>
        <v>Manager who explains what is expected, sets a goal and helps achieve it</v>
      </c>
      <c r="P784" s="1" t="str">
        <f ca="1">IFERROR(__xludf.DUMMYFUNCTION("""COMPUTED_VALUE"""),"Work &lt;=6 People in the Team")</f>
        <v>Work &lt;=6 People in the Team</v>
      </c>
      <c r="Q784" s="1" t="s">
        <v>43</v>
      </c>
      <c r="R784" s="1"/>
    </row>
    <row r="785" spans="1:18" x14ac:dyDescent="0.25">
      <c r="A785" s="2">
        <f ca="1">IFERROR(__xludf.DUMMYFUNCTION("""COMPUTED_VALUE"""),45022.6601119675)</f>
        <v>45022.660111967503</v>
      </c>
      <c r="B785" s="1" t="str">
        <f ca="1">IFERROR(__xludf.DUMMYFUNCTION("""COMPUTED_VALUE"""),"India")</f>
        <v>India</v>
      </c>
      <c r="C785" s="1">
        <f ca="1">IFERROR(__xludf.DUMMYFUNCTION("""COMPUTED_VALUE"""),380026)</f>
        <v>380026</v>
      </c>
      <c r="D785" s="1" t="str">
        <f ca="1">IFERROR(__xludf.DUMMYFUNCTION("""COMPUTED_VALUE"""),"Male")</f>
        <v>Male</v>
      </c>
      <c r="E785" s="1" t="str">
        <f ca="1">IFERROR(__xludf.DUMMYFUNCTION("""COMPUTED_VALUE"""),"My Parents")</f>
        <v>My Parents</v>
      </c>
      <c r="F785" s="1" t="str">
        <f ca="1">IFERROR(__xludf.DUMMYFUNCTION("""COMPUTED_VALUE"""),"No I would not be pursuing Higher Education outside of India")</f>
        <v>No I would not be pursuing Higher Education outside of India</v>
      </c>
      <c r="G785" s="1" t="str">
        <f ca="1">IFERROR(__xludf.DUMMYFUNCTION("""COMPUTED_VALUE"""),"This will be hard to do, but if it is the right company I would try")</f>
        <v>This will be hard to do, but if it is the right company I would try</v>
      </c>
      <c r="H785" s="1" t="str">
        <f ca="1">IFERROR(__xludf.DUMMYFUNCTION("""COMPUTED_VALUE"""),"No")</f>
        <v>No</v>
      </c>
      <c r="I785" s="1" t="str">
        <f ca="1">IFERROR(__xludf.DUMMYFUNCTION("""COMPUTED_VALUE"""),"Will NOT work for them")</f>
        <v>Will NOT work for them</v>
      </c>
      <c r="J785" s="1">
        <f ca="1">IFERROR(__xludf.DUMMYFUNCTION("""COMPUTED_VALUE"""),5)</f>
        <v>5</v>
      </c>
      <c r="K785" s="1" t="str">
        <f ca="1">IFERROR(__xludf.DUMMYFUNCTION("""COMPUTED_VALUE"""),"Hybrid Working Environment with more than 15 days a month at office")</f>
        <v>Hybrid Working Environment with more than 15 days a month at office</v>
      </c>
      <c r="L785" s="1" t="str">
        <f ca="1">IFERROR(__xludf.DUMMYFUNCTION("""COMPUTED_VALUE"""),"Employer who rewards learning and enables that environment")</f>
        <v>Employer who rewards learning and enables that environment</v>
      </c>
      <c r="M785"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N785" s="1"/>
      <c r="O785" s="1" t="str">
        <f ca="1">IFERROR(__xludf.DUMMYFUNCTION("""COMPUTED_VALUE"""),"Manager who sets goal and helps me achieve it")</f>
        <v>Manager who sets goal and helps me achieve it</v>
      </c>
      <c r="P785" s="1" t="str">
        <f ca="1">IFERROR(__xludf.DUMMYFUNCTION("""COMPUTED_VALUE"""),"Work &gt;10 people in Team")</f>
        <v>Work &gt;10 people in Team</v>
      </c>
      <c r="Q785" s="1" t="s">
        <v>43</v>
      </c>
      <c r="R785" s="1"/>
    </row>
    <row r="786" spans="1:18" x14ac:dyDescent="0.25">
      <c r="A786" s="2">
        <f ca="1">IFERROR(__xludf.DUMMYFUNCTION("""COMPUTED_VALUE"""),45022.673158993)</f>
        <v>45022.673158992999</v>
      </c>
      <c r="B786" s="1" t="str">
        <f ca="1">IFERROR(__xludf.DUMMYFUNCTION("""COMPUTED_VALUE"""),"Others")</f>
        <v>Others</v>
      </c>
      <c r="C786" s="1">
        <f ca="1">IFERROR(__xludf.DUMMYFUNCTION("""COMPUTED_VALUE"""),2911)</f>
        <v>2911</v>
      </c>
      <c r="D786" s="1" t="str">
        <f ca="1">IFERROR(__xludf.DUMMYFUNCTION("""COMPUTED_VALUE"""),"Female")</f>
        <v>Female</v>
      </c>
      <c r="E786" s="1" t="str">
        <f ca="1">IFERROR(__xludf.DUMMYFUNCTION("""COMPUTED_VALUE"""),"People who have changed the world for better")</f>
        <v>People who have changed the world for better</v>
      </c>
      <c r="F786" s="1" t="str">
        <f ca="1">IFERROR(__xludf.DUMMYFUNCTION("""COMPUTED_VALUE"""),"Yes, I will earn and do that")</f>
        <v>Yes, I will earn and do that</v>
      </c>
      <c r="G786" s="1" t="str">
        <f ca="1">IFERROR(__xludf.DUMMYFUNCTION("""COMPUTED_VALUE"""),"Will work for 3 years or more")</f>
        <v>Will work for 3 years or more</v>
      </c>
      <c r="H786" s="1" t="str">
        <f ca="1">IFERROR(__xludf.DUMMYFUNCTION("""COMPUTED_VALUE"""),"No")</f>
        <v>No</v>
      </c>
      <c r="I786" s="1" t="str">
        <f ca="1">IFERROR(__xludf.DUMMYFUNCTION("""COMPUTED_VALUE"""),"Will NOT work for them")</f>
        <v>Will NOT work for them</v>
      </c>
      <c r="J786" s="1">
        <f ca="1">IFERROR(__xludf.DUMMYFUNCTION("""COMPUTED_VALUE"""),10)</f>
        <v>10</v>
      </c>
      <c r="K786" s="1" t="str">
        <f ca="1">IFERROR(__xludf.DUMMYFUNCTION("""COMPUTED_VALUE"""),"Fully Remote with Options to travel as and when needed")</f>
        <v>Fully Remote with Options to travel as and when needed</v>
      </c>
      <c r="L786" s="1" t="str">
        <f ca="1">IFERROR(__xludf.DUMMYFUNCTION("""COMPUTED_VALUE"""),"Employer who appreciates learning and enables that environment")</f>
        <v>Employer who appreciates learning and enables that environment</v>
      </c>
      <c r="M786"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786" s="1"/>
      <c r="O786" s="1" t="str">
        <f ca="1">IFERROR(__xludf.DUMMYFUNCTION("""COMPUTED_VALUE"""),"Manager who explains what is expected, sets a goal and helps achieve it")</f>
        <v>Manager who explains what is expected, sets a goal and helps achieve it</v>
      </c>
      <c r="P786" s="1" t="str">
        <f ca="1">IFERROR(__xludf.DUMMYFUNCTION("""COMPUTED_VALUE"""),"Work &gt;10 people in Team")</f>
        <v>Work &gt;10 people in Team</v>
      </c>
      <c r="Q786" s="1" t="s">
        <v>43</v>
      </c>
      <c r="R786" s="1"/>
    </row>
    <row r="787" spans="1:18" x14ac:dyDescent="0.25">
      <c r="A787" s="2">
        <f ca="1">IFERROR(__xludf.DUMMYFUNCTION("""COMPUTED_VALUE"""),45022.6771887615)</f>
        <v>45022.677188761503</v>
      </c>
      <c r="B787" s="1" t="str">
        <f ca="1">IFERROR(__xludf.DUMMYFUNCTION("""COMPUTED_VALUE"""),"India")</f>
        <v>India</v>
      </c>
      <c r="C787" s="1">
        <f ca="1">IFERROR(__xludf.DUMMYFUNCTION("""COMPUTED_VALUE"""),380054)</f>
        <v>380054</v>
      </c>
      <c r="D787" s="1" t="str">
        <f ca="1">IFERROR(__xludf.DUMMYFUNCTION("""COMPUTED_VALUE"""),"Female")</f>
        <v>Female</v>
      </c>
      <c r="E787" s="1" t="str">
        <f ca="1">IFERROR(__xludf.DUMMYFUNCTION("""COMPUTED_VALUE"""),"People from my circle, but not family members")</f>
        <v>People from my circle, but not family members</v>
      </c>
      <c r="F787" s="1" t="str">
        <f ca="1">IFERROR(__xludf.DUMMYFUNCTION("""COMPUTED_VALUE"""),"Yes, I will earn and do that")</f>
        <v>Yes, I will earn and do that</v>
      </c>
      <c r="G787" s="1" t="str">
        <f ca="1">IFERROR(__xludf.DUMMYFUNCTION("""COMPUTED_VALUE"""),"Will work for 3 years or more")</f>
        <v>Will work for 3 years or more</v>
      </c>
      <c r="H787" s="1" t="str">
        <f ca="1">IFERROR(__xludf.DUMMYFUNCTION("""COMPUTED_VALUE"""),"Yes")</f>
        <v>Yes</v>
      </c>
      <c r="I787" s="1" t="str">
        <f ca="1">IFERROR(__xludf.DUMMYFUNCTION("""COMPUTED_VALUE"""),"Will NOT work for them")</f>
        <v>Will NOT work for them</v>
      </c>
      <c r="J787" s="1">
        <f ca="1">IFERROR(__xludf.DUMMYFUNCTION("""COMPUTED_VALUE"""),9)</f>
        <v>9</v>
      </c>
      <c r="K787" s="1" t="str">
        <f ca="1">IFERROR(__xludf.DUMMYFUNCTION("""COMPUTED_VALUE"""),"Hybrid Working Environment with more than 15 days a month at office")</f>
        <v>Hybrid Working Environment with more than 15 days a month at office</v>
      </c>
      <c r="L787" s="1" t="str">
        <f ca="1">IFERROR(__xludf.DUMMYFUNCTION("""COMPUTED_VALUE"""),"Employer who rewards learning and enables that environment")</f>
        <v>Employer who rewards learning and enables that environment</v>
      </c>
      <c r="M78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N787" s="1"/>
      <c r="O787" s="1" t="str">
        <f ca="1">IFERROR(__xludf.DUMMYFUNCTION("""COMPUTED_VALUE"""),"Manager who explains what is expected, sets a goal and helps achieve it")</f>
        <v>Manager who explains what is expected, sets a goal and helps achieve it</v>
      </c>
      <c r="P787" s="1" t="str">
        <f ca="1">IFERROR(__xludf.DUMMYFUNCTION("""COMPUTED_VALUE"""),"Work &lt;=6 People in the Team")</f>
        <v>Work &lt;=6 People in the Team</v>
      </c>
      <c r="Q787" s="1" t="s">
        <v>42</v>
      </c>
      <c r="R787" s="1"/>
    </row>
    <row r="788" spans="1:18" x14ac:dyDescent="0.25">
      <c r="A788" s="2">
        <f ca="1">IFERROR(__xludf.DUMMYFUNCTION("""COMPUTED_VALUE"""),45022.6776432638)</f>
        <v>45022.6776432638</v>
      </c>
      <c r="B788" s="1" t="str">
        <f ca="1">IFERROR(__xludf.DUMMYFUNCTION("""COMPUTED_VALUE"""),"India")</f>
        <v>India</v>
      </c>
      <c r="C788" s="1">
        <f ca="1">IFERROR(__xludf.DUMMYFUNCTION("""COMPUTED_VALUE"""),173212)</f>
        <v>173212</v>
      </c>
      <c r="D788" s="1" t="str">
        <f ca="1">IFERROR(__xludf.DUMMYFUNCTION("""COMPUTED_VALUE"""),"Male")</f>
        <v>Male</v>
      </c>
      <c r="E788" s="1" t="str">
        <f ca="1">IFERROR(__xludf.DUMMYFUNCTION("""COMPUTED_VALUE"""),"My Parents")</f>
        <v>My Parents</v>
      </c>
      <c r="F788" s="1" t="str">
        <f ca="1">IFERROR(__xludf.DUMMYFUNCTION("""COMPUTED_VALUE"""),"No I would not be pursuing Higher Education outside of India")</f>
        <v>No I would not be pursuing Higher Education outside of India</v>
      </c>
      <c r="G788" s="1" t="str">
        <f ca="1">IFERROR(__xludf.DUMMYFUNCTION("""COMPUTED_VALUE"""),"This will be hard to do, but if it is the right company I would try")</f>
        <v>This will be hard to do, but if it is the right company I would try</v>
      </c>
      <c r="H788" s="1" t="str">
        <f ca="1">IFERROR(__xludf.DUMMYFUNCTION("""COMPUTED_VALUE"""),"No")</f>
        <v>No</v>
      </c>
      <c r="I788" s="1" t="str">
        <f ca="1">IFERROR(__xludf.DUMMYFUNCTION("""COMPUTED_VALUE"""),"Will NOT work for them")</f>
        <v>Will NOT work for them</v>
      </c>
      <c r="J788" s="1">
        <f ca="1">IFERROR(__xludf.DUMMYFUNCTION("""COMPUTED_VALUE"""),5)</f>
        <v>5</v>
      </c>
      <c r="K788" s="1" t="str">
        <f ca="1">IFERROR(__xludf.DUMMYFUNCTION("""COMPUTED_VALUE"""),"Fully Remote with Options to travel as and when needed")</f>
        <v>Fully Remote with Options to travel as and when needed</v>
      </c>
      <c r="L788" s="1" t="str">
        <f ca="1">IFERROR(__xludf.DUMMYFUNCTION("""COMPUTED_VALUE"""),"Employer who pushes your limits by enabling an learning environment, and rewards you at the end")</f>
        <v>Employer who pushes your limits by enabling an learning environment, and rewards you at the end</v>
      </c>
      <c r="M788"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N788" s="1"/>
      <c r="O788" s="1" t="str">
        <f ca="1">IFERROR(__xludf.DUMMYFUNCTION("""COMPUTED_VALUE"""),"Manager who explains what is expected, sets a goal and helps achieve it")</f>
        <v>Manager who explains what is expected, sets a goal and helps achieve it</v>
      </c>
      <c r="P788" s="1" t="str">
        <f ca="1">IFERROR(__xludf.DUMMYFUNCTION("""COMPUTED_VALUE"""),"Work &lt;=6 People in the Team")</f>
        <v>Work &lt;=6 People in the Team</v>
      </c>
      <c r="Q788" s="1" t="s">
        <v>43</v>
      </c>
      <c r="R788" s="1"/>
    </row>
    <row r="789" spans="1:18" x14ac:dyDescent="0.25">
      <c r="A789" s="2">
        <f ca="1">IFERROR(__xludf.DUMMYFUNCTION("""COMPUTED_VALUE"""),45022.6815000347)</f>
        <v>45022.681500034698</v>
      </c>
      <c r="B789" s="1" t="str">
        <f ca="1">IFERROR(__xludf.DUMMYFUNCTION("""COMPUTED_VALUE"""),"India")</f>
        <v>India</v>
      </c>
      <c r="C789" s="1">
        <f ca="1">IFERROR(__xludf.DUMMYFUNCTION("""COMPUTED_VALUE"""),507002)</f>
        <v>507002</v>
      </c>
      <c r="D789" s="1" t="str">
        <f ca="1">IFERROR(__xludf.DUMMYFUNCTION("""COMPUTED_VALUE"""),"Female")</f>
        <v>Female</v>
      </c>
      <c r="E789" s="1" t="str">
        <f ca="1">IFERROR(__xludf.DUMMYFUNCTION("""COMPUTED_VALUE"""),"People from my circle, but not family members")</f>
        <v>People from my circle, but not family members</v>
      </c>
      <c r="F789" s="1" t="str">
        <f ca="1">IFERROR(__xludf.DUMMYFUNCTION("""COMPUTED_VALUE"""),"No I would not be pursuing Higher Education outside of India")</f>
        <v>No I would not be pursuing Higher Education outside of India</v>
      </c>
      <c r="G789" s="1" t="str">
        <f ca="1">IFERROR(__xludf.DUMMYFUNCTION("""COMPUTED_VALUE"""),"Will work for 3 years or more")</f>
        <v>Will work for 3 years or more</v>
      </c>
      <c r="H789" s="1" t="str">
        <f ca="1">IFERROR(__xludf.DUMMYFUNCTION("""COMPUTED_VALUE"""),"Yes")</f>
        <v>Yes</v>
      </c>
      <c r="I789" s="1" t="str">
        <f ca="1">IFERROR(__xludf.DUMMYFUNCTION("""COMPUTED_VALUE"""),"Will NOT work for them")</f>
        <v>Will NOT work for them</v>
      </c>
      <c r="J789" s="1">
        <f ca="1">IFERROR(__xludf.DUMMYFUNCTION("""COMPUTED_VALUE"""),10)</f>
        <v>10</v>
      </c>
      <c r="K789" s="1" t="str">
        <f ca="1">IFERROR(__xludf.DUMMYFUNCTION("""COMPUTED_VALUE"""),"Fully Remote with No option to visit offices")</f>
        <v>Fully Remote with No option to visit offices</v>
      </c>
      <c r="L789" s="1" t="str">
        <f ca="1">IFERROR(__xludf.DUMMYFUNCTION("""COMPUTED_VALUE"""),"Employer who rewards learning and enables that environment")</f>
        <v>Employer who rewards learning and enables that environment</v>
      </c>
      <c r="M78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N789" s="1"/>
      <c r="O789" s="1" t="str">
        <f ca="1">IFERROR(__xludf.DUMMYFUNCTION("""COMPUTED_VALUE"""),"Manager who sets goal and helps me achieve it")</f>
        <v>Manager who sets goal and helps me achieve it</v>
      </c>
      <c r="P789" s="1" t="str">
        <f ca="1">IFERROR(__xludf.DUMMYFUNCTION("""COMPUTED_VALUE"""),"Work Alone, &lt;67 people in team")</f>
        <v>Work Alone, &lt;67 people in team</v>
      </c>
      <c r="Q789" s="1" t="s">
        <v>43</v>
      </c>
      <c r="R789" s="1"/>
    </row>
    <row r="790" spans="1:18" x14ac:dyDescent="0.25">
      <c r="A790" s="2">
        <f ca="1">IFERROR(__xludf.DUMMYFUNCTION("""COMPUTED_VALUE"""),45022.685182662)</f>
        <v>45022.685182661997</v>
      </c>
      <c r="B790" s="1" t="str">
        <f ca="1">IFERROR(__xludf.DUMMYFUNCTION("""COMPUTED_VALUE"""),"India")</f>
        <v>India</v>
      </c>
      <c r="C790" s="1">
        <f ca="1">IFERROR(__xludf.DUMMYFUNCTION("""COMPUTED_VALUE"""),110001)</f>
        <v>110001</v>
      </c>
      <c r="D790" s="1" t="str">
        <f ca="1">IFERROR(__xludf.DUMMYFUNCTION("""COMPUTED_VALUE"""),"Female")</f>
        <v>Female</v>
      </c>
      <c r="E790" s="1" t="str">
        <f ca="1">IFERROR(__xludf.DUMMYFUNCTION("""COMPUTED_VALUE"""),"People who have changed the world for better")</f>
        <v>People who have changed the world for better</v>
      </c>
      <c r="F790" s="1" t="str">
        <f ca="1">IFERROR(__xludf.DUMMYFUNCTION("""COMPUTED_VALUE"""),"Yes, I will earn and do that")</f>
        <v>Yes, I will earn and do that</v>
      </c>
      <c r="G790" s="1" t="str">
        <f ca="1">IFERROR(__xludf.DUMMYFUNCTION("""COMPUTED_VALUE"""),"Will work for 3 years or more")</f>
        <v>Will work for 3 years or more</v>
      </c>
      <c r="H790" s="1" t="str">
        <f ca="1">IFERROR(__xludf.DUMMYFUNCTION("""COMPUTED_VALUE"""),"Yes")</f>
        <v>Yes</v>
      </c>
      <c r="I790" s="1" t="str">
        <f ca="1">IFERROR(__xludf.DUMMYFUNCTION("""COMPUTED_VALUE"""),"Will work for them")</f>
        <v>Will work for them</v>
      </c>
      <c r="J790" s="1">
        <f ca="1">IFERROR(__xludf.DUMMYFUNCTION("""COMPUTED_VALUE"""),1)</f>
        <v>1</v>
      </c>
      <c r="K790" s="1" t="str">
        <f ca="1">IFERROR(__xludf.DUMMYFUNCTION("""COMPUTED_VALUE"""),"Every Day Office Environment")</f>
        <v>Every Day Office Environment</v>
      </c>
      <c r="L790" s="1" t="str">
        <f ca="1">IFERROR(__xludf.DUMMYFUNCTION("""COMPUTED_VALUE"""),"Employer who rewards learning and enables that environment")</f>
        <v>Employer who rewards learning and enables that environment</v>
      </c>
      <c r="M79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790" s="1"/>
      <c r="O790" s="1" t="str">
        <f ca="1">IFERROR(__xludf.DUMMYFUNCTION("""COMPUTED_VALUE"""),"Manager who sets goal and helps me achieve it")</f>
        <v>Manager who sets goal and helps me achieve it</v>
      </c>
      <c r="P790" s="1" t="str">
        <f ca="1">IFERROR(__xludf.DUMMYFUNCTION("""COMPUTED_VALUE"""),"Work &gt;10 people in Team")</f>
        <v>Work &gt;10 people in Team</v>
      </c>
      <c r="Q790" s="1" t="s">
        <v>43</v>
      </c>
      <c r="R790" s="1"/>
    </row>
    <row r="791" spans="1:18" x14ac:dyDescent="0.25">
      <c r="A791" s="2">
        <f ca="1">IFERROR(__xludf.DUMMYFUNCTION("""COMPUTED_VALUE"""),45022.6899167129)</f>
        <v>45022.689916712901</v>
      </c>
      <c r="B791" s="1" t="str">
        <f ca="1">IFERROR(__xludf.DUMMYFUNCTION("""COMPUTED_VALUE"""),"India")</f>
        <v>India</v>
      </c>
      <c r="C791" s="1">
        <f ca="1">IFERROR(__xludf.DUMMYFUNCTION("""COMPUTED_VALUE"""),500032)</f>
        <v>500032</v>
      </c>
      <c r="D791" s="1" t="str">
        <f ca="1">IFERROR(__xludf.DUMMYFUNCTION("""COMPUTED_VALUE"""),"Male")</f>
        <v>Male</v>
      </c>
      <c r="E791" s="1" t="str">
        <f ca="1">IFERROR(__xludf.DUMMYFUNCTION("""COMPUTED_VALUE"""),"People who have changed the world for better")</f>
        <v>People who have changed the world for better</v>
      </c>
      <c r="F791" s="1" t="str">
        <f ca="1">IFERROR(__xludf.DUMMYFUNCTION("""COMPUTED_VALUE"""),"Yes, I will earn and do that")</f>
        <v>Yes, I will earn and do that</v>
      </c>
      <c r="G791" s="1" t="str">
        <f ca="1">IFERROR(__xludf.DUMMYFUNCTION("""COMPUTED_VALUE"""),"Will work for 3 years or more")</f>
        <v>Will work for 3 years or more</v>
      </c>
      <c r="H791" s="1" t="str">
        <f ca="1">IFERROR(__xludf.DUMMYFUNCTION("""COMPUTED_VALUE"""),"No")</f>
        <v>No</v>
      </c>
      <c r="I791" s="1" t="str">
        <f ca="1">IFERROR(__xludf.DUMMYFUNCTION("""COMPUTED_VALUE"""),"Will NOT work for them")</f>
        <v>Will NOT work for them</v>
      </c>
      <c r="J791" s="1">
        <f ca="1">IFERROR(__xludf.DUMMYFUNCTION("""COMPUTED_VALUE"""),5)</f>
        <v>5</v>
      </c>
      <c r="K791" s="1" t="str">
        <f ca="1">IFERROR(__xludf.DUMMYFUNCTION("""COMPUTED_VALUE"""),"Hybrid Working Environment with more than 15 days a month at office")</f>
        <v>Hybrid Working Environment with more than 15 days a month at office</v>
      </c>
      <c r="L791" s="1" t="str">
        <f ca="1">IFERROR(__xludf.DUMMYFUNCTION("""COMPUTED_VALUE"""),"Employer who pushes your limits by enabling an learning environment, and rewards you at the end")</f>
        <v>Employer who pushes your limits by enabling an learning environment, and rewards you at the end</v>
      </c>
      <c r="M79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791" s="1"/>
      <c r="O791" s="1" t="str">
        <f ca="1">IFERROR(__xludf.DUMMYFUNCTION("""COMPUTED_VALUE"""),"Manager who explains what is expected, sets a goal and helps achieve it")</f>
        <v>Manager who explains what is expected, sets a goal and helps achieve it</v>
      </c>
      <c r="P791" s="1" t="str">
        <f ca="1">IFERROR(__xludf.DUMMYFUNCTION("""COMPUTED_VALUE"""),"Work &gt;=7 People in the Team")</f>
        <v>Work &gt;=7 People in the Team</v>
      </c>
      <c r="Q791" s="1" t="s">
        <v>43</v>
      </c>
      <c r="R791" s="1"/>
    </row>
    <row r="792" spans="1:18" x14ac:dyDescent="0.25">
      <c r="A792" s="2">
        <f ca="1">IFERROR(__xludf.DUMMYFUNCTION("""COMPUTED_VALUE"""),45022.7095099652)</f>
        <v>45022.7095099652</v>
      </c>
      <c r="B792" s="1" t="str">
        <f ca="1">IFERROR(__xludf.DUMMYFUNCTION("""COMPUTED_VALUE"""),"India")</f>
        <v>India</v>
      </c>
      <c r="C792" s="1">
        <f ca="1">IFERROR(__xludf.DUMMYFUNCTION("""COMPUTED_VALUE"""),110059)</f>
        <v>110059</v>
      </c>
      <c r="D792" s="1" t="str">
        <f ca="1">IFERROR(__xludf.DUMMYFUNCTION("""COMPUTED_VALUE"""),"Female")</f>
        <v>Female</v>
      </c>
      <c r="E792" s="1" t="str">
        <f ca="1">IFERROR(__xludf.DUMMYFUNCTION("""COMPUTED_VALUE"""),"Influencers who had successful careers")</f>
        <v>Influencers who had successful careers</v>
      </c>
      <c r="F792" s="1" t="str">
        <f ca="1">IFERROR(__xludf.DUMMYFUNCTION("""COMPUTED_VALUE"""),"Yes, I will earn and do that")</f>
        <v>Yes, I will earn and do that</v>
      </c>
      <c r="G792" s="1" t="str">
        <f ca="1">IFERROR(__xludf.DUMMYFUNCTION("""COMPUTED_VALUE"""),"Will work for 3 years or more")</f>
        <v>Will work for 3 years or more</v>
      </c>
      <c r="H792" s="1" t="str">
        <f ca="1">IFERROR(__xludf.DUMMYFUNCTION("""COMPUTED_VALUE"""),"Yes")</f>
        <v>Yes</v>
      </c>
      <c r="I792" s="1" t="str">
        <f ca="1">IFERROR(__xludf.DUMMYFUNCTION("""COMPUTED_VALUE"""),"Will work for them")</f>
        <v>Will work for them</v>
      </c>
      <c r="J792" s="1">
        <f ca="1">IFERROR(__xludf.DUMMYFUNCTION("""COMPUTED_VALUE"""),10)</f>
        <v>10</v>
      </c>
      <c r="K792" s="1" t="str">
        <f ca="1">IFERROR(__xludf.DUMMYFUNCTION("""COMPUTED_VALUE"""),"Fully Remote with Options to travel as and when needed")</f>
        <v>Fully Remote with Options to travel as and when needed</v>
      </c>
      <c r="L792" s="1" t="str">
        <f ca="1">IFERROR(__xludf.DUMMYFUNCTION("""COMPUTED_VALUE"""),"Employer who rewards learning and enables that environment")</f>
        <v>Employer who rewards learning and enables that environment</v>
      </c>
      <c r="M79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792" s="1"/>
      <c r="O792" s="1" t="str">
        <f ca="1">IFERROR(__xludf.DUMMYFUNCTION("""COMPUTED_VALUE"""),"Manager who explains what is expected, sets a goal and helps achieve it")</f>
        <v>Manager who explains what is expected, sets a goal and helps achieve it</v>
      </c>
      <c r="P792" s="1" t="str">
        <f ca="1">IFERROR(__xludf.DUMMYFUNCTION("""COMPUTED_VALUE"""),"Work Alone, &lt;=6 in team")</f>
        <v>Work Alone, &lt;=6 in team</v>
      </c>
      <c r="Q792" s="1" t="s">
        <v>43</v>
      </c>
      <c r="R792" s="1"/>
    </row>
    <row r="793" spans="1:18" x14ac:dyDescent="0.25">
      <c r="A793" s="2">
        <f ca="1">IFERROR(__xludf.DUMMYFUNCTION("""COMPUTED_VALUE"""),45022.7134775347)</f>
        <v>45022.7134775347</v>
      </c>
      <c r="B793" s="1" t="str">
        <f ca="1">IFERROR(__xludf.DUMMYFUNCTION("""COMPUTED_VALUE"""),"India")</f>
        <v>India</v>
      </c>
      <c r="C793" s="1">
        <f ca="1">IFERROR(__xludf.DUMMYFUNCTION("""COMPUTED_VALUE"""),110063)</f>
        <v>110063</v>
      </c>
      <c r="D793" s="1" t="str">
        <f ca="1">IFERROR(__xludf.DUMMYFUNCTION("""COMPUTED_VALUE"""),"Male")</f>
        <v>Male</v>
      </c>
      <c r="E793" s="1" t="str">
        <f ca="1">IFERROR(__xludf.DUMMYFUNCTION("""COMPUTED_VALUE"""),"My Parents")</f>
        <v>My Parents</v>
      </c>
      <c r="F793" s="1" t="str">
        <f ca="1">IFERROR(__xludf.DUMMYFUNCTION("""COMPUTED_VALUE"""),"Yes, I will earn and do that")</f>
        <v>Yes, I will earn and do that</v>
      </c>
      <c r="G793" s="1" t="str">
        <f ca="1">IFERROR(__xludf.DUMMYFUNCTION("""COMPUTED_VALUE"""),"Will work for 3 years or more")</f>
        <v>Will work for 3 years or more</v>
      </c>
      <c r="H793" s="1" t="str">
        <f ca="1">IFERROR(__xludf.DUMMYFUNCTION("""COMPUTED_VALUE"""),"Yes")</f>
        <v>Yes</v>
      </c>
      <c r="I793" s="1" t="str">
        <f ca="1">IFERROR(__xludf.DUMMYFUNCTION("""COMPUTED_VALUE"""),"Will work for them")</f>
        <v>Will work for them</v>
      </c>
      <c r="J793" s="1">
        <f ca="1">IFERROR(__xludf.DUMMYFUNCTION("""COMPUTED_VALUE"""),3)</f>
        <v>3</v>
      </c>
      <c r="K793" s="1" t="str">
        <f ca="1">IFERROR(__xludf.DUMMYFUNCTION("""COMPUTED_VALUE"""),"Hybrid Working Environment with less than 3 days a month at office")</f>
        <v>Hybrid Working Environment with less than 3 days a month at office</v>
      </c>
      <c r="L793" s="1" t="str">
        <f ca="1">IFERROR(__xludf.DUMMYFUNCTION("""COMPUTED_VALUE"""),"Employer who appreciates learning and enables that environment")</f>
        <v>Employer who appreciates learning and enables that environment</v>
      </c>
      <c r="M793"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N793" s="1"/>
      <c r="O793" s="1" t="str">
        <f ca="1">IFERROR(__xludf.DUMMYFUNCTION("""COMPUTED_VALUE"""),"Manager who sets targets and expects me to achieve it")</f>
        <v>Manager who sets targets and expects me to achieve it</v>
      </c>
      <c r="P793" s="1" t="str">
        <f ca="1">IFERROR(__xludf.DUMMYFUNCTION("""COMPUTED_VALUE"""),"Work &gt;=7 People in the Team")</f>
        <v>Work &gt;=7 People in the Team</v>
      </c>
      <c r="Q793" s="1" t="s">
        <v>43</v>
      </c>
      <c r="R793" s="1"/>
    </row>
    <row r="794" spans="1:18" x14ac:dyDescent="0.25">
      <c r="A794" s="2">
        <f ca="1">IFERROR(__xludf.DUMMYFUNCTION("""COMPUTED_VALUE"""),45022.715279375)</f>
        <v>45022.715279374999</v>
      </c>
      <c r="B794" s="1" t="str">
        <f ca="1">IFERROR(__xludf.DUMMYFUNCTION("""COMPUTED_VALUE"""),"India")</f>
        <v>India</v>
      </c>
      <c r="C794" s="1">
        <f ca="1">IFERROR(__xludf.DUMMYFUNCTION("""COMPUTED_VALUE"""),380007)</f>
        <v>380007</v>
      </c>
      <c r="D794" s="1" t="str">
        <f ca="1">IFERROR(__xludf.DUMMYFUNCTION("""COMPUTED_VALUE"""),"Female")</f>
        <v>Female</v>
      </c>
      <c r="E794" s="1" t="str">
        <f ca="1">IFERROR(__xludf.DUMMYFUNCTION("""COMPUTED_VALUE"""),"My Parents")</f>
        <v>My Parents</v>
      </c>
      <c r="F794" s="1" t="str">
        <f ca="1">IFERROR(__xludf.DUMMYFUNCTION("""COMPUTED_VALUE"""),"No I would not be pursuing Higher Education outside of India")</f>
        <v>No I would not be pursuing Higher Education outside of India</v>
      </c>
      <c r="G794" s="1" t="str">
        <f ca="1">IFERROR(__xludf.DUMMYFUNCTION("""COMPUTED_VALUE"""),"This will be hard to do, but if it is the right company I would try")</f>
        <v>This will be hard to do, but if it is the right company I would try</v>
      </c>
      <c r="H794" s="1" t="str">
        <f ca="1">IFERROR(__xludf.DUMMYFUNCTION("""COMPUTED_VALUE"""),"No")</f>
        <v>No</v>
      </c>
      <c r="I794" s="1" t="str">
        <f ca="1">IFERROR(__xludf.DUMMYFUNCTION("""COMPUTED_VALUE"""),"Will NOT work for them")</f>
        <v>Will NOT work for them</v>
      </c>
      <c r="J794" s="1">
        <f ca="1">IFERROR(__xludf.DUMMYFUNCTION("""COMPUTED_VALUE"""),2)</f>
        <v>2</v>
      </c>
      <c r="K794" s="1" t="str">
        <f ca="1">IFERROR(__xludf.DUMMYFUNCTION("""COMPUTED_VALUE"""),"Every Day Office Environment")</f>
        <v>Every Day Office Environment</v>
      </c>
      <c r="L794" s="1" t="str">
        <f ca="1">IFERROR(__xludf.DUMMYFUNCTION("""COMPUTED_VALUE"""),"Employer who rewards learning and enables that environment")</f>
        <v>Employer who rewards learning and enables that environment</v>
      </c>
      <c r="M794" s="1" t="str">
        <f ca="1">IFERROR(__xludf.DUMMYFUNCTION("""COMPUTED_VALUE"""),"Design and Creative strategy in any company, Business Operations in any organization, Look deeply into Data and generate insights, I Want to sell things/Sales")</f>
        <v>Design and Creative strategy in any company, Business Operations in any organization, Look deeply into Data and generate insights, I Want to sell things/Sales</v>
      </c>
      <c r="N794" s="1"/>
      <c r="O794" s="1" t="str">
        <f ca="1">IFERROR(__xludf.DUMMYFUNCTION("""COMPUTED_VALUE"""),"Manager who clearly describes what she/he needs")</f>
        <v>Manager who clearly describes what she/he needs</v>
      </c>
      <c r="P794" s="1" t="str">
        <f ca="1">IFERROR(__xludf.DUMMYFUNCTION("""COMPUTED_VALUE"""),"Work &lt;=6 People in the Team")</f>
        <v>Work &lt;=6 People in the Team</v>
      </c>
      <c r="Q794" s="1" t="s">
        <v>40</v>
      </c>
      <c r="R794" s="1"/>
    </row>
    <row r="795" spans="1:18" x14ac:dyDescent="0.25">
      <c r="A795" s="2">
        <f ca="1">IFERROR(__xludf.DUMMYFUNCTION("""COMPUTED_VALUE"""),45022.7185759722)</f>
        <v>45022.718575972198</v>
      </c>
      <c r="B795" s="1" t="str">
        <f ca="1">IFERROR(__xludf.DUMMYFUNCTION("""COMPUTED_VALUE"""),"India")</f>
        <v>India</v>
      </c>
      <c r="C795" s="1">
        <f ca="1">IFERROR(__xludf.DUMMYFUNCTION("""COMPUTED_VALUE"""),500032)</f>
        <v>500032</v>
      </c>
      <c r="D795" s="1" t="str">
        <f ca="1">IFERROR(__xludf.DUMMYFUNCTION("""COMPUTED_VALUE"""),"Male")</f>
        <v>Male</v>
      </c>
      <c r="E795" s="1" t="str">
        <f ca="1">IFERROR(__xludf.DUMMYFUNCTION("""COMPUTED_VALUE"""),"My Parents")</f>
        <v>My Parents</v>
      </c>
      <c r="F795" s="1" t="str">
        <f ca="1">IFERROR(__xludf.DUMMYFUNCTION("""COMPUTED_VALUE"""),"No, But if someone could bare the cost I will")</f>
        <v>No, But if someone could bare the cost I will</v>
      </c>
      <c r="G795" s="1" t="str">
        <f ca="1">IFERROR(__xludf.DUMMYFUNCTION("""COMPUTED_VALUE"""),"Will work for 3 years or more")</f>
        <v>Will work for 3 years or more</v>
      </c>
      <c r="H795" s="1" t="str">
        <f ca="1">IFERROR(__xludf.DUMMYFUNCTION("""COMPUTED_VALUE"""),"Yes")</f>
        <v>Yes</v>
      </c>
      <c r="I795" s="1" t="str">
        <f ca="1">IFERROR(__xludf.DUMMYFUNCTION("""COMPUTED_VALUE"""),"Will work for them")</f>
        <v>Will work for them</v>
      </c>
      <c r="J795" s="1">
        <f ca="1">IFERROR(__xludf.DUMMYFUNCTION("""COMPUTED_VALUE"""),8)</f>
        <v>8</v>
      </c>
      <c r="K795" s="1" t="str">
        <f ca="1">IFERROR(__xludf.DUMMYFUNCTION("""COMPUTED_VALUE"""),"Fully Remote with No option to visit offices")</f>
        <v>Fully Remote with No option to visit offices</v>
      </c>
      <c r="L795" s="1" t="str">
        <f ca="1">IFERROR(__xludf.DUMMYFUNCTION("""COMPUTED_VALUE"""),"Employer who pushes your limits by enabling an learning environment, and rewards you at the end")</f>
        <v>Employer who pushes your limits by enabling an learning environment, and rewards you at the end</v>
      </c>
      <c r="M795" s="1" t="str">
        <f ca="1">IFERROR(__xludf.DUMMYFUNCTION("""COMPUTED_VALUE"""),"Teaching in any of the institutes/colleges/online or offline, Business Operations in any organization, Work in a BPO setup for some well known client, Work as a freelancer and do my thing my way")</f>
        <v>Teaching in any of the institutes/colleges/online or offline, Business Operations in any organization, Work in a BPO setup for some well known client, Work as a freelancer and do my thing my way</v>
      </c>
      <c r="N795" s="1"/>
      <c r="O795" s="1" t="str">
        <f ca="1">IFERROR(__xludf.DUMMYFUNCTION("""COMPUTED_VALUE"""),"Manager who clearly describes what she/he needs")</f>
        <v>Manager who clearly describes what she/he needs</v>
      </c>
      <c r="P795" s="1" t="str">
        <f ca="1">IFERROR(__xludf.DUMMYFUNCTION("""COMPUTED_VALUE"""),"Work &lt;=6 People in the Team")</f>
        <v>Work &lt;=6 People in the Team</v>
      </c>
      <c r="Q795" s="1" t="s">
        <v>40</v>
      </c>
      <c r="R795" s="1"/>
    </row>
    <row r="796" spans="1:18" x14ac:dyDescent="0.25">
      <c r="A796" s="2">
        <f ca="1">IFERROR(__xludf.DUMMYFUNCTION("""COMPUTED_VALUE"""),45022.7253363773)</f>
        <v>45022.725336377298</v>
      </c>
      <c r="B796" s="1" t="str">
        <f ca="1">IFERROR(__xludf.DUMMYFUNCTION("""COMPUTED_VALUE"""),"India")</f>
        <v>India</v>
      </c>
      <c r="C796" s="1">
        <f ca="1">IFERROR(__xludf.DUMMYFUNCTION("""COMPUTED_VALUE"""),507002)</f>
        <v>507002</v>
      </c>
      <c r="D796" s="1" t="str">
        <f ca="1">IFERROR(__xludf.DUMMYFUNCTION("""COMPUTED_VALUE"""),"Female")</f>
        <v>Female</v>
      </c>
      <c r="E796" s="1" t="str">
        <f ca="1">IFERROR(__xludf.DUMMYFUNCTION("""COMPUTED_VALUE"""),"People who have changed the world for better")</f>
        <v>People who have changed the world for better</v>
      </c>
      <c r="F796" s="1" t="str">
        <f ca="1">IFERROR(__xludf.DUMMYFUNCTION("""COMPUTED_VALUE"""),"Yes, I will earn and do that")</f>
        <v>Yes, I will earn and do that</v>
      </c>
      <c r="G796" s="1" t="str">
        <f ca="1">IFERROR(__xludf.DUMMYFUNCTION("""COMPUTED_VALUE"""),"Will work for 3 years or more")</f>
        <v>Will work for 3 years or more</v>
      </c>
      <c r="H796" s="1" t="str">
        <f ca="1">IFERROR(__xludf.DUMMYFUNCTION("""COMPUTED_VALUE"""),"Yes")</f>
        <v>Yes</v>
      </c>
      <c r="I796" s="1" t="str">
        <f ca="1">IFERROR(__xludf.DUMMYFUNCTION("""COMPUTED_VALUE"""),"Will work for them")</f>
        <v>Will work for them</v>
      </c>
      <c r="J796" s="1">
        <f ca="1">IFERROR(__xludf.DUMMYFUNCTION("""COMPUTED_VALUE"""),7)</f>
        <v>7</v>
      </c>
      <c r="K796" s="1" t="str">
        <f ca="1">IFERROR(__xludf.DUMMYFUNCTION("""COMPUTED_VALUE"""),"Every Day Office Environment")</f>
        <v>Every Day Office Environment</v>
      </c>
      <c r="L796" s="1" t="str">
        <f ca="1">IFERROR(__xludf.DUMMYFUNCTION("""COMPUTED_VALUE"""),"Employer who pushes your limits by enabling an learning environment, and rewards you at the end")</f>
        <v>Employer who pushes your limits by enabling an learning environment, and rewards you at the end</v>
      </c>
      <c r="M79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N796" s="1"/>
      <c r="O796" s="1" t="str">
        <f ca="1">IFERROR(__xludf.DUMMYFUNCTION("""COMPUTED_VALUE"""),"Manager who clearly describes what she/he needs")</f>
        <v>Manager who clearly describes what she/he needs</v>
      </c>
      <c r="P796" s="1" t="str">
        <f ca="1">IFERROR(__xludf.DUMMYFUNCTION("""COMPUTED_VALUE"""),"Work Alone, &lt;=6 in team")</f>
        <v>Work Alone, &lt;=6 in team</v>
      </c>
      <c r="Q796" s="1" t="s">
        <v>43</v>
      </c>
      <c r="R796" s="1"/>
    </row>
    <row r="797" spans="1:18" x14ac:dyDescent="0.25">
      <c r="A797" s="2">
        <f ca="1">IFERROR(__xludf.DUMMYFUNCTION("""COMPUTED_VALUE"""),45022.7329243402)</f>
        <v>45022.732924340198</v>
      </c>
      <c r="B797" s="1" t="str">
        <f ca="1">IFERROR(__xludf.DUMMYFUNCTION("""COMPUTED_VALUE"""),"India")</f>
        <v>India</v>
      </c>
      <c r="C797" s="1">
        <f ca="1">IFERROR(__xludf.DUMMYFUNCTION("""COMPUTED_VALUE"""),641035)</f>
        <v>641035</v>
      </c>
      <c r="D797" s="1" t="str">
        <f ca="1">IFERROR(__xludf.DUMMYFUNCTION("""COMPUTED_VALUE"""),"Male")</f>
        <v>Male</v>
      </c>
      <c r="E797" s="1" t="str">
        <f ca="1">IFERROR(__xludf.DUMMYFUNCTION("""COMPUTED_VALUE"""),"Influencers who had successful careers")</f>
        <v>Influencers who had successful careers</v>
      </c>
      <c r="F797" s="1" t="str">
        <f ca="1">IFERROR(__xludf.DUMMYFUNCTION("""COMPUTED_VALUE"""),"No I would not be pursuing Higher Education outside of India")</f>
        <v>No I would not be pursuing Higher Education outside of India</v>
      </c>
      <c r="G797" s="1" t="str">
        <f ca="1">IFERROR(__xludf.DUMMYFUNCTION("""COMPUTED_VALUE"""),"This will be hard to do, but if it is the right company I would try")</f>
        <v>This will be hard to do, but if it is the right company I would try</v>
      </c>
      <c r="H797" s="1" t="str">
        <f ca="1">IFERROR(__xludf.DUMMYFUNCTION("""COMPUTED_VALUE"""),"No")</f>
        <v>No</v>
      </c>
      <c r="I797" s="1" t="str">
        <f ca="1">IFERROR(__xludf.DUMMYFUNCTION("""COMPUTED_VALUE"""),"Will work for them")</f>
        <v>Will work for them</v>
      </c>
      <c r="J797" s="1">
        <f ca="1">IFERROR(__xludf.DUMMYFUNCTION("""COMPUTED_VALUE"""),3)</f>
        <v>3</v>
      </c>
      <c r="K797" s="1" t="str">
        <f ca="1">IFERROR(__xludf.DUMMYFUNCTION("""COMPUTED_VALUE"""),"Hybrid Working Environment with less than 3 days a month at office")</f>
        <v>Hybrid Working Environment with less than 3 days a month at office</v>
      </c>
      <c r="L797" s="1" t="str">
        <f ca="1">IFERROR(__xludf.DUMMYFUNCTION("""COMPUTED_VALUE"""),"Employer who appreciates learning and enables that environment")</f>
        <v>Employer who appreciates learning and enables that environment</v>
      </c>
      <c r="M79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797" s="1"/>
      <c r="O797" s="1" t="str">
        <f ca="1">IFERROR(__xludf.DUMMYFUNCTION("""COMPUTED_VALUE"""),"Manager who sets goal and helps me achieve it")</f>
        <v>Manager who sets goal and helps me achieve it</v>
      </c>
      <c r="P797" s="1" t="str">
        <f ca="1">IFERROR(__xludf.DUMMYFUNCTION("""COMPUTED_VALUE"""),"Work &gt;10 people in Team")</f>
        <v>Work &gt;10 people in Team</v>
      </c>
      <c r="Q797" s="1" t="s">
        <v>43</v>
      </c>
      <c r="R797" s="1"/>
    </row>
    <row r="798" spans="1:18" x14ac:dyDescent="0.25">
      <c r="A798" s="2">
        <f ca="1">IFERROR(__xludf.DUMMYFUNCTION("""COMPUTED_VALUE"""),45022.7389106365)</f>
        <v>45022.738910636501</v>
      </c>
      <c r="B798" s="1" t="str">
        <f ca="1">IFERROR(__xludf.DUMMYFUNCTION("""COMPUTED_VALUE"""),"India")</f>
        <v>India</v>
      </c>
      <c r="C798" s="1">
        <f ca="1">IFERROR(__xludf.DUMMYFUNCTION("""COMPUTED_VALUE"""),380058)</f>
        <v>380058</v>
      </c>
      <c r="D798" s="1" t="str">
        <f ca="1">IFERROR(__xludf.DUMMYFUNCTION("""COMPUTED_VALUE"""),"Female")</f>
        <v>Female</v>
      </c>
      <c r="E798" s="1" t="str">
        <f ca="1">IFERROR(__xludf.DUMMYFUNCTION("""COMPUTED_VALUE"""),"My Parents")</f>
        <v>My Parents</v>
      </c>
      <c r="F798" s="1" t="str">
        <f ca="1">IFERROR(__xludf.DUMMYFUNCTION("""COMPUTED_VALUE"""),"No I would not be pursuing Higher Education outside of India")</f>
        <v>No I would not be pursuing Higher Education outside of India</v>
      </c>
      <c r="G798" s="1" t="str">
        <f ca="1">IFERROR(__xludf.DUMMYFUNCTION("""COMPUTED_VALUE"""),"This will be hard to do, but if it is the right company I would try")</f>
        <v>This will be hard to do, but if it is the right company I would try</v>
      </c>
      <c r="H798" s="1" t="str">
        <f ca="1">IFERROR(__xludf.DUMMYFUNCTION("""COMPUTED_VALUE"""),"No")</f>
        <v>No</v>
      </c>
      <c r="I798" s="1" t="str">
        <f ca="1">IFERROR(__xludf.DUMMYFUNCTION("""COMPUTED_VALUE"""),"Will NOT work for them")</f>
        <v>Will NOT work for them</v>
      </c>
      <c r="J798" s="1">
        <f ca="1">IFERROR(__xludf.DUMMYFUNCTION("""COMPUTED_VALUE"""),1)</f>
        <v>1</v>
      </c>
      <c r="K798" s="1" t="str">
        <f ca="1">IFERROR(__xludf.DUMMYFUNCTION("""COMPUTED_VALUE"""),"Every Day Office Environment")</f>
        <v>Every Day Office Environment</v>
      </c>
      <c r="L798" s="1" t="str">
        <f ca="1">IFERROR(__xludf.DUMMYFUNCTION("""COMPUTED_VALUE"""),"Employer who appreciates learning and enables that environment")</f>
        <v>Employer who appreciates learning and enables that environment</v>
      </c>
      <c r="M79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N798" s="1"/>
      <c r="O798" s="1" t="str">
        <f ca="1">IFERROR(__xludf.DUMMYFUNCTION("""COMPUTED_VALUE"""),"Manager who sets goal and helps me achieve it")</f>
        <v>Manager who sets goal and helps me achieve it</v>
      </c>
      <c r="P798" s="1" t="str">
        <f ca="1">IFERROR(__xludf.DUMMYFUNCTION("""COMPUTED_VALUE"""),"Work &lt;=6 People in the Team")</f>
        <v>Work &lt;=6 People in the Team</v>
      </c>
      <c r="Q798" s="1" t="s">
        <v>43</v>
      </c>
      <c r="R798" s="1"/>
    </row>
    <row r="799" spans="1:18" x14ac:dyDescent="0.25">
      <c r="A799" s="2">
        <f ca="1">IFERROR(__xludf.DUMMYFUNCTION("""COMPUTED_VALUE"""),45022.7458083101)</f>
        <v>45022.745808310101</v>
      </c>
      <c r="B799" s="1" t="str">
        <f ca="1">IFERROR(__xludf.DUMMYFUNCTION("""COMPUTED_VALUE"""),"India")</f>
        <v>India</v>
      </c>
      <c r="C799" s="1">
        <f ca="1">IFERROR(__xludf.DUMMYFUNCTION("""COMPUTED_VALUE"""),382330)</f>
        <v>382330</v>
      </c>
      <c r="D799" s="1" t="str">
        <f ca="1">IFERROR(__xludf.DUMMYFUNCTION("""COMPUTED_VALUE"""),"Male")</f>
        <v>Male</v>
      </c>
      <c r="E799" s="1" t="str">
        <f ca="1">IFERROR(__xludf.DUMMYFUNCTION("""COMPUTED_VALUE"""),"People who have changed the world for better")</f>
        <v>People who have changed the world for better</v>
      </c>
      <c r="F799" s="1" t="str">
        <f ca="1">IFERROR(__xludf.DUMMYFUNCTION("""COMPUTED_VALUE"""),"Yes, I will earn and do that")</f>
        <v>Yes, I will earn and do that</v>
      </c>
      <c r="G799" s="1" t="str">
        <f ca="1">IFERROR(__xludf.DUMMYFUNCTION("""COMPUTED_VALUE"""),"This will be hard to do, but if it is the right company I would try")</f>
        <v>This will be hard to do, but if it is the right company I would try</v>
      </c>
      <c r="H799" s="1" t="str">
        <f ca="1">IFERROR(__xludf.DUMMYFUNCTION("""COMPUTED_VALUE"""),"No")</f>
        <v>No</v>
      </c>
      <c r="I799" s="1" t="str">
        <f ca="1">IFERROR(__xludf.DUMMYFUNCTION("""COMPUTED_VALUE"""),"Will NOT work for them")</f>
        <v>Will NOT work for them</v>
      </c>
      <c r="J799" s="1">
        <f ca="1">IFERROR(__xludf.DUMMYFUNCTION("""COMPUTED_VALUE"""),9)</f>
        <v>9</v>
      </c>
      <c r="K799" s="1" t="str">
        <f ca="1">IFERROR(__xludf.DUMMYFUNCTION("""COMPUTED_VALUE"""),"Every Day Office Environment")</f>
        <v>Every Day Office Environment</v>
      </c>
      <c r="L799" s="1" t="str">
        <f ca="1">IFERROR(__xludf.DUMMYFUNCTION("""COMPUTED_VALUE"""),"Employer who pushes your limits by enabling an learning environment, and rewards you at the end")</f>
        <v>Employer who pushes your limits by enabling an learning environment, and rewards you at the end</v>
      </c>
      <c r="M799"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N799" s="1"/>
      <c r="O799" s="1" t="str">
        <f ca="1">IFERROR(__xludf.DUMMYFUNCTION("""COMPUTED_VALUE"""),"Manager who sets goal and helps me achieve it")</f>
        <v>Manager who sets goal and helps me achieve it</v>
      </c>
      <c r="P799" s="1" t="str">
        <f ca="1">IFERROR(__xludf.DUMMYFUNCTION("""COMPUTED_VALUE"""),"Work &lt;=6 People in the Team")</f>
        <v>Work &lt;=6 People in the Team</v>
      </c>
      <c r="Q799" s="1" t="s">
        <v>42</v>
      </c>
      <c r="R799" s="1"/>
    </row>
    <row r="800" spans="1:18" x14ac:dyDescent="0.25">
      <c r="A800" s="2">
        <f ca="1">IFERROR(__xludf.DUMMYFUNCTION("""COMPUTED_VALUE"""),45022.7498213541)</f>
        <v>45022.749821354097</v>
      </c>
      <c r="B800" s="1" t="str">
        <f ca="1">IFERROR(__xludf.DUMMYFUNCTION("""COMPUTED_VALUE"""),"India")</f>
        <v>India</v>
      </c>
      <c r="C800" s="1">
        <f ca="1">IFERROR(__xludf.DUMMYFUNCTION("""COMPUTED_VALUE"""),621214)</f>
        <v>621214</v>
      </c>
      <c r="D800" s="1" t="str">
        <f ca="1">IFERROR(__xludf.DUMMYFUNCTION("""COMPUTED_VALUE"""),"Male")</f>
        <v>Male</v>
      </c>
      <c r="E800" s="1" t="str">
        <f ca="1">IFERROR(__xludf.DUMMYFUNCTION("""COMPUTED_VALUE"""),"People who have changed the world for better")</f>
        <v>People who have changed the world for better</v>
      </c>
      <c r="F800" s="1" t="str">
        <f ca="1">IFERROR(__xludf.DUMMYFUNCTION("""COMPUTED_VALUE"""),"Yes, I will earn and do that")</f>
        <v>Yes, I will earn and do that</v>
      </c>
      <c r="G800" s="1" t="str">
        <f ca="1">IFERROR(__xludf.DUMMYFUNCTION("""COMPUTED_VALUE"""),"This will be hard to do, but if it is the right company I would try")</f>
        <v>This will be hard to do, but if it is the right company I would try</v>
      </c>
      <c r="H800" s="1" t="str">
        <f ca="1">IFERROR(__xludf.DUMMYFUNCTION("""COMPUTED_VALUE"""),"No")</f>
        <v>No</v>
      </c>
      <c r="I800" s="1" t="str">
        <f ca="1">IFERROR(__xludf.DUMMYFUNCTION("""COMPUTED_VALUE"""),"Will NOT work for them")</f>
        <v>Will NOT work for them</v>
      </c>
      <c r="J800" s="1">
        <f ca="1">IFERROR(__xludf.DUMMYFUNCTION("""COMPUTED_VALUE"""),1)</f>
        <v>1</v>
      </c>
      <c r="K800" s="1" t="str">
        <f ca="1">IFERROR(__xludf.DUMMYFUNCTION("""COMPUTED_VALUE"""),"Every Day Office Environment")</f>
        <v>Every Day Office Environment</v>
      </c>
      <c r="L800" s="1" t="str">
        <f ca="1">IFERROR(__xludf.DUMMYFUNCTION("""COMPUTED_VALUE"""),"Employer who pushes your limits by enabling an learning environment, and rewards you at the end")</f>
        <v>Employer who pushes your limits by enabling an learning environment, and rewards you at the end</v>
      </c>
      <c r="M800"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N800" s="1"/>
      <c r="O800" s="1" t="str">
        <f ca="1">IFERROR(__xludf.DUMMYFUNCTION("""COMPUTED_VALUE"""),"Manager who explains what is expected, sets a goal and helps achieve it")</f>
        <v>Manager who explains what is expected, sets a goal and helps achieve it</v>
      </c>
      <c r="P800" s="1" t="str">
        <f ca="1">IFERROR(__xludf.DUMMYFUNCTION("""COMPUTED_VALUE"""),"Work alone")</f>
        <v>Work alone</v>
      </c>
      <c r="Q800" s="1" t="s">
        <v>40</v>
      </c>
      <c r="R800" s="1"/>
    </row>
    <row r="801" spans="1:18" x14ac:dyDescent="0.25">
      <c r="A801" s="2">
        <f ca="1">IFERROR(__xludf.DUMMYFUNCTION("""COMPUTED_VALUE"""),45022.756032118)</f>
        <v>45022.756032117999</v>
      </c>
      <c r="B801" s="1" t="str">
        <f ca="1">IFERROR(__xludf.DUMMYFUNCTION("""COMPUTED_VALUE"""),"India")</f>
        <v>India</v>
      </c>
      <c r="C801" s="1">
        <f ca="1">IFERROR(__xludf.DUMMYFUNCTION("""COMPUTED_VALUE"""),110077)</f>
        <v>110077</v>
      </c>
      <c r="D801" s="1" t="str">
        <f ca="1">IFERROR(__xludf.DUMMYFUNCTION("""COMPUTED_VALUE"""),"Female")</f>
        <v>Female</v>
      </c>
      <c r="E801" s="1" t="str">
        <f ca="1">IFERROR(__xludf.DUMMYFUNCTION("""COMPUTED_VALUE"""),"My Parents")</f>
        <v>My Parents</v>
      </c>
      <c r="F801" s="1" t="str">
        <f ca="1">IFERROR(__xludf.DUMMYFUNCTION("""COMPUTED_VALUE"""),"No I would not be pursuing Higher Education outside of India")</f>
        <v>No I would not be pursuing Higher Education outside of India</v>
      </c>
      <c r="G801" s="1" t="str">
        <f ca="1">IFERROR(__xludf.DUMMYFUNCTION("""COMPUTED_VALUE"""),"Will work for 3 years or more")</f>
        <v>Will work for 3 years or more</v>
      </c>
      <c r="H801" s="1" t="str">
        <f ca="1">IFERROR(__xludf.DUMMYFUNCTION("""COMPUTED_VALUE"""),"No")</f>
        <v>No</v>
      </c>
      <c r="I801" s="1" t="str">
        <f ca="1">IFERROR(__xludf.DUMMYFUNCTION("""COMPUTED_VALUE"""),"Will NOT work for them")</f>
        <v>Will NOT work for them</v>
      </c>
      <c r="J801" s="1">
        <f ca="1">IFERROR(__xludf.DUMMYFUNCTION("""COMPUTED_VALUE"""),6)</f>
        <v>6</v>
      </c>
      <c r="K801" s="1" t="str">
        <f ca="1">IFERROR(__xludf.DUMMYFUNCTION("""COMPUTED_VALUE"""),"Hybrid Working Environment with more than 15 days a month at office")</f>
        <v>Hybrid Working Environment with more than 15 days a month at office</v>
      </c>
      <c r="L801" s="1" t="str">
        <f ca="1">IFERROR(__xludf.DUMMYFUNCTION("""COMPUTED_VALUE"""),"Employer who pushes your limits by enabling an learning environment, and rewards you at the end")</f>
        <v>Employer who pushes your limits by enabling an learning environment, and rewards you at the end</v>
      </c>
      <c r="M801" s="1" t="str">
        <f ca="1">IFERROR(__xludf.DUMMYFUNCTION("""COMPUTED_VALUE"""),"Design and Creative strategy in any company, Teaching in any of the institutes/colleges/online or offline, Work in a BPO setup for some well known client, Become a content Creator in some platform")</f>
        <v>Design and Creative strategy in any company, Teaching in any of the institutes/colleges/online or offline, Work in a BPO setup for some well known client, Become a content Creator in some platform</v>
      </c>
      <c r="N801" s="1"/>
      <c r="O801" s="1" t="str">
        <f ca="1">IFERROR(__xludf.DUMMYFUNCTION("""COMPUTED_VALUE"""),"Manager who sets targets and expects me to achieve it")</f>
        <v>Manager who sets targets and expects me to achieve it</v>
      </c>
      <c r="P801" s="1" t="str">
        <f ca="1">IFERROR(__xludf.DUMMYFUNCTION("""COMPUTED_VALUE"""),"Work Alone, &lt;=6 in team")</f>
        <v>Work Alone, &lt;=6 in team</v>
      </c>
      <c r="Q801" s="1" t="s">
        <v>43</v>
      </c>
      <c r="R801" s="1"/>
    </row>
    <row r="802" spans="1:18" x14ac:dyDescent="0.25">
      <c r="A802" s="2">
        <f ca="1">IFERROR(__xludf.DUMMYFUNCTION("""COMPUTED_VALUE"""),45022.7584979976)</f>
        <v>45022.758497997602</v>
      </c>
      <c r="B802" s="1" t="str">
        <f ca="1">IFERROR(__xludf.DUMMYFUNCTION("""COMPUTED_VALUE"""),"India")</f>
        <v>India</v>
      </c>
      <c r="C802" s="1">
        <f ca="1">IFERROR(__xludf.DUMMYFUNCTION("""COMPUTED_VALUE"""),522101)</f>
        <v>522101</v>
      </c>
      <c r="D802" s="1" t="str">
        <f ca="1">IFERROR(__xludf.DUMMYFUNCTION("""COMPUTED_VALUE"""),"Female")</f>
        <v>Female</v>
      </c>
      <c r="E802" s="1" t="str">
        <f ca="1">IFERROR(__xludf.DUMMYFUNCTION("""COMPUTED_VALUE"""),"People who have changed the world for better")</f>
        <v>People who have changed the world for better</v>
      </c>
      <c r="F802" s="1" t="str">
        <f ca="1">IFERROR(__xludf.DUMMYFUNCTION("""COMPUTED_VALUE"""),"No I would not be pursuing Higher Education outside of India")</f>
        <v>No I would not be pursuing Higher Education outside of India</v>
      </c>
      <c r="G802" s="1" t="str">
        <f ca="1">IFERROR(__xludf.DUMMYFUNCTION("""COMPUTED_VALUE"""),"This will be hard to do, but if it is the right company I would try")</f>
        <v>This will be hard to do, but if it is the right company I would try</v>
      </c>
      <c r="H802" s="1" t="str">
        <f ca="1">IFERROR(__xludf.DUMMYFUNCTION("""COMPUTED_VALUE"""),"No")</f>
        <v>No</v>
      </c>
      <c r="I802" s="1" t="str">
        <f ca="1">IFERROR(__xludf.DUMMYFUNCTION("""COMPUTED_VALUE"""),"Will NOT work for them")</f>
        <v>Will NOT work for them</v>
      </c>
      <c r="J802" s="1">
        <f ca="1">IFERROR(__xludf.DUMMYFUNCTION("""COMPUTED_VALUE"""),5)</f>
        <v>5</v>
      </c>
      <c r="K802" s="1" t="str">
        <f ca="1">IFERROR(__xludf.DUMMYFUNCTION("""COMPUTED_VALUE"""),"Fully Remote with No option to visit offices")</f>
        <v>Fully Remote with No option to visit offices</v>
      </c>
      <c r="L802" s="1" t="str">
        <f ca="1">IFERROR(__xludf.DUMMYFUNCTION("""COMPUTED_VALUE"""),"Employer who pushes your limits by enabling an learning environment, and rewards you at the end")</f>
        <v>Employer who pushes your limits by enabling an learning environment, and rewards you at the end</v>
      </c>
      <c r="M802"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N802" s="1"/>
      <c r="O802" s="1" t="str">
        <f ca="1">IFERROR(__xludf.DUMMYFUNCTION("""COMPUTED_VALUE"""),"Manager who clearly describes what she/he needs")</f>
        <v>Manager who clearly describes what she/he needs</v>
      </c>
      <c r="P802" s="1" t="str">
        <f ca="1">IFERROR(__xludf.DUMMYFUNCTION("""COMPUTED_VALUE"""),"Work &lt;=6 People in the Team")</f>
        <v>Work &lt;=6 People in the Team</v>
      </c>
      <c r="Q802" s="1" t="s">
        <v>43</v>
      </c>
      <c r="R802" s="1"/>
    </row>
    <row r="803" spans="1:18" x14ac:dyDescent="0.25">
      <c r="A803" s="2">
        <f ca="1">IFERROR(__xludf.DUMMYFUNCTION("""COMPUTED_VALUE"""),45022.7604213888)</f>
        <v>45022.760421388797</v>
      </c>
      <c r="B803" s="1" t="str">
        <f ca="1">IFERROR(__xludf.DUMMYFUNCTION("""COMPUTED_VALUE"""),"India")</f>
        <v>India</v>
      </c>
      <c r="C803" s="1">
        <f ca="1">IFERROR(__xludf.DUMMYFUNCTION("""COMPUTED_VALUE"""),500097)</f>
        <v>500097</v>
      </c>
      <c r="D803" s="1" t="str">
        <f ca="1">IFERROR(__xludf.DUMMYFUNCTION("""COMPUTED_VALUE"""),"Male")</f>
        <v>Male</v>
      </c>
      <c r="E803" s="1" t="str">
        <f ca="1">IFERROR(__xludf.DUMMYFUNCTION("""COMPUTED_VALUE"""),"Social Media like LinkedIn")</f>
        <v>Social Media like LinkedIn</v>
      </c>
      <c r="F803" s="1" t="str">
        <f ca="1">IFERROR(__xludf.DUMMYFUNCTION("""COMPUTED_VALUE"""),"Yes, I will earn and do that")</f>
        <v>Yes, I will earn and do that</v>
      </c>
      <c r="G803" s="1" t="str">
        <f ca="1">IFERROR(__xludf.DUMMYFUNCTION("""COMPUTED_VALUE"""),"This will be hard to do, but if it is the right company I would try")</f>
        <v>This will be hard to do, but if it is the right company I would try</v>
      </c>
      <c r="H803" s="1" t="str">
        <f ca="1">IFERROR(__xludf.DUMMYFUNCTION("""COMPUTED_VALUE"""),"No")</f>
        <v>No</v>
      </c>
      <c r="I803" s="1" t="str">
        <f ca="1">IFERROR(__xludf.DUMMYFUNCTION("""COMPUTED_VALUE"""),"Will NOT work for them")</f>
        <v>Will NOT work for them</v>
      </c>
      <c r="J803" s="1">
        <f ca="1">IFERROR(__xludf.DUMMYFUNCTION("""COMPUTED_VALUE"""),10)</f>
        <v>10</v>
      </c>
      <c r="K803" s="1" t="str">
        <f ca="1">IFERROR(__xludf.DUMMYFUNCTION("""COMPUTED_VALUE"""),"Hybrid Working Environment with more than 15 days a month at office")</f>
        <v>Hybrid Working Environment with more than 15 days a month at office</v>
      </c>
      <c r="L803" s="1" t="str">
        <f ca="1">IFERROR(__xludf.DUMMYFUNCTION("""COMPUTED_VALUE"""),"Employer who pushes your limits by enabling an learning environment, and rewards you at the end")</f>
        <v>Employer who pushes your limits by enabling an learning environment, and rewards you at the end</v>
      </c>
      <c r="M803"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803" s="1"/>
      <c r="O803" s="1" t="str">
        <f ca="1">IFERROR(__xludf.DUMMYFUNCTION("""COMPUTED_VALUE"""),"Manager who explains what is expected, sets a goal and helps achieve it")</f>
        <v>Manager who explains what is expected, sets a goal and helps achieve it</v>
      </c>
      <c r="P803" s="1" t="str">
        <f ca="1">IFERROR(__xludf.DUMMYFUNCTION("""COMPUTED_VALUE"""),"Work &gt;10 people in Team")</f>
        <v>Work &gt;10 people in Team</v>
      </c>
      <c r="Q803" s="1" t="s">
        <v>43</v>
      </c>
      <c r="R803" s="1"/>
    </row>
    <row r="804" spans="1:18" x14ac:dyDescent="0.25">
      <c r="A804" s="2">
        <f ca="1">IFERROR(__xludf.DUMMYFUNCTION("""COMPUTED_VALUE"""),45022.7608049537)</f>
        <v>45022.760804953701</v>
      </c>
      <c r="B804" s="1" t="str">
        <f ca="1">IFERROR(__xludf.DUMMYFUNCTION("""COMPUTED_VALUE"""),"India")</f>
        <v>India</v>
      </c>
      <c r="C804" s="1">
        <f ca="1">IFERROR(__xludf.DUMMYFUNCTION("""COMPUTED_VALUE"""),500086)</f>
        <v>500086</v>
      </c>
      <c r="D804" s="1" t="str">
        <f ca="1">IFERROR(__xludf.DUMMYFUNCTION("""COMPUTED_VALUE"""),"Female")</f>
        <v>Female</v>
      </c>
      <c r="E804" s="1" t="str">
        <f ca="1">IFERROR(__xludf.DUMMYFUNCTION("""COMPUTED_VALUE"""),"My Parents")</f>
        <v>My Parents</v>
      </c>
      <c r="F804" s="1" t="str">
        <f ca="1">IFERROR(__xludf.DUMMYFUNCTION("""COMPUTED_VALUE"""),"No I would not be pursuing Higher Education outside of India")</f>
        <v>No I would not be pursuing Higher Education outside of India</v>
      </c>
      <c r="G804" s="1" t="str">
        <f ca="1">IFERROR(__xludf.DUMMYFUNCTION("""COMPUTED_VALUE"""),"This will be hard to do, but if it is the right company I would try")</f>
        <v>This will be hard to do, but if it is the right company I would try</v>
      </c>
      <c r="H804" s="1" t="str">
        <f ca="1">IFERROR(__xludf.DUMMYFUNCTION("""COMPUTED_VALUE"""),"No")</f>
        <v>No</v>
      </c>
      <c r="I804" s="1" t="str">
        <f ca="1">IFERROR(__xludf.DUMMYFUNCTION("""COMPUTED_VALUE"""),"Will NOT work for them")</f>
        <v>Will NOT work for them</v>
      </c>
      <c r="J804" s="1">
        <f ca="1">IFERROR(__xludf.DUMMYFUNCTION("""COMPUTED_VALUE"""),4)</f>
        <v>4</v>
      </c>
      <c r="K804" s="1" t="str">
        <f ca="1">IFERROR(__xludf.DUMMYFUNCTION("""COMPUTED_VALUE"""),"Fully Remote with Options to travel as and when needed")</f>
        <v>Fully Remote with Options to travel as and when needed</v>
      </c>
      <c r="L804" s="1" t="str">
        <f ca="1">IFERROR(__xludf.DUMMYFUNCTION("""COMPUTED_VALUE"""),"Employer who pushes your limits by enabling an learning environment, and rewards you at the end")</f>
        <v>Employer who pushes your limits by enabling an learning environment, and rewards you at the end</v>
      </c>
      <c r="M804" s="1" t="str">
        <f ca="1">IFERROR(__xludf.DUMMYFUNCTION("""COMPUTED_VALUE"""),"Manage and drive End-to-End Projects or Products, Build and develop a Team, Look deeply into Data and generate insights, Become a content Creator in some platform")</f>
        <v>Manage and drive End-to-End Projects or Products, Build and develop a Team, Look deeply into Data and generate insights, Become a content Creator in some platform</v>
      </c>
      <c r="N804" s="1"/>
      <c r="O804" s="1" t="str">
        <f ca="1">IFERROR(__xludf.DUMMYFUNCTION("""COMPUTED_VALUE"""),"Manager who explains what is expected, sets a goal and helps achieve it")</f>
        <v>Manager who explains what is expected, sets a goal and helps achieve it</v>
      </c>
      <c r="P804" s="1" t="str">
        <f ca="1">IFERROR(__xludf.DUMMYFUNCTION("""COMPUTED_VALUE"""),"Work &lt;=6 People in the Team")</f>
        <v>Work &lt;=6 People in the Team</v>
      </c>
      <c r="Q804" s="1" t="s">
        <v>40</v>
      </c>
      <c r="R804" s="1"/>
    </row>
    <row r="805" spans="1:18" x14ac:dyDescent="0.25">
      <c r="A805" s="2">
        <f ca="1">IFERROR(__xludf.DUMMYFUNCTION("""COMPUTED_VALUE"""),45022.7613984143)</f>
        <v>45022.761398414303</v>
      </c>
      <c r="B805" s="1" t="str">
        <f ca="1">IFERROR(__xludf.DUMMYFUNCTION("""COMPUTED_VALUE"""),"India")</f>
        <v>India</v>
      </c>
      <c r="C805" s="1">
        <f ca="1">IFERROR(__xludf.DUMMYFUNCTION("""COMPUTED_VALUE"""),623525)</f>
        <v>623525</v>
      </c>
      <c r="D805" s="1" t="str">
        <f ca="1">IFERROR(__xludf.DUMMYFUNCTION("""COMPUTED_VALUE"""),"Female")</f>
        <v>Female</v>
      </c>
      <c r="E805" s="1" t="str">
        <f ca="1">IFERROR(__xludf.DUMMYFUNCTION("""COMPUTED_VALUE"""),"Social Media like LinkedIn")</f>
        <v>Social Media like LinkedIn</v>
      </c>
      <c r="F805" s="1" t="str">
        <f ca="1">IFERROR(__xludf.DUMMYFUNCTION("""COMPUTED_VALUE"""),"No I would not be pursuing Higher Education outside of India")</f>
        <v>No I would not be pursuing Higher Education outside of India</v>
      </c>
      <c r="G805" s="1" t="str">
        <f ca="1">IFERROR(__xludf.DUMMYFUNCTION("""COMPUTED_VALUE"""),"This will be hard to do, but if it is the right company I would try")</f>
        <v>This will be hard to do, but if it is the right company I would try</v>
      </c>
      <c r="H805" s="1" t="str">
        <f ca="1">IFERROR(__xludf.DUMMYFUNCTION("""COMPUTED_VALUE"""),"No")</f>
        <v>No</v>
      </c>
      <c r="I805" s="1" t="str">
        <f ca="1">IFERROR(__xludf.DUMMYFUNCTION("""COMPUTED_VALUE"""),"Will NOT work for them")</f>
        <v>Will NOT work for them</v>
      </c>
      <c r="J805" s="1">
        <f ca="1">IFERROR(__xludf.DUMMYFUNCTION("""COMPUTED_VALUE"""),1)</f>
        <v>1</v>
      </c>
      <c r="K805" s="1" t="str">
        <f ca="1">IFERROR(__xludf.DUMMYFUNCTION("""COMPUTED_VALUE"""),"Every Day Office Environment")</f>
        <v>Every Day Office Environment</v>
      </c>
      <c r="L805" s="1" t="str">
        <f ca="1">IFERROR(__xludf.DUMMYFUNCTION("""COMPUTED_VALUE"""),"Employer who appreciates learning and enables that environment")</f>
        <v>Employer who appreciates learning and enables that environment</v>
      </c>
      <c r="M805"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805" s="1"/>
      <c r="O805" s="1" t="str">
        <f ca="1">IFERROR(__xludf.DUMMYFUNCTION("""COMPUTED_VALUE"""),"Manager who explains what is expected, sets a goal and helps achieve it")</f>
        <v>Manager who explains what is expected, sets a goal and helps achieve it</v>
      </c>
      <c r="P805" s="1" t="str">
        <f ca="1">IFERROR(__xludf.DUMMYFUNCTION("""COMPUTED_VALUE"""),"Work &gt;10 people in Team")</f>
        <v>Work &gt;10 people in Team</v>
      </c>
      <c r="Q805" s="1" t="s">
        <v>43</v>
      </c>
      <c r="R805" s="1"/>
    </row>
    <row r="806" spans="1:18" x14ac:dyDescent="0.25">
      <c r="A806" s="2">
        <f ca="1">IFERROR(__xludf.DUMMYFUNCTION("""COMPUTED_VALUE"""),45022.7726913425)</f>
        <v>45022.772691342499</v>
      </c>
      <c r="B806" s="1" t="str">
        <f ca="1">IFERROR(__xludf.DUMMYFUNCTION("""COMPUTED_VALUE"""),"Others")</f>
        <v>Others</v>
      </c>
      <c r="C806" s="1">
        <f ca="1">IFERROR(__xludf.DUMMYFUNCTION("""COMPUTED_VALUE"""),522236)</f>
        <v>522236</v>
      </c>
      <c r="D806" s="1" t="str">
        <f ca="1">IFERROR(__xludf.DUMMYFUNCTION("""COMPUTED_VALUE"""),"Male")</f>
        <v>Male</v>
      </c>
      <c r="E806" s="1" t="str">
        <f ca="1">IFERROR(__xludf.DUMMYFUNCTION("""COMPUTED_VALUE"""),"Influencers who had successful careers")</f>
        <v>Influencers who had successful careers</v>
      </c>
      <c r="F806" s="1" t="str">
        <f ca="1">IFERROR(__xludf.DUMMYFUNCTION("""COMPUTED_VALUE"""),"Yes, I will earn and do that")</f>
        <v>Yes, I will earn and do that</v>
      </c>
      <c r="G806" s="1" t="str">
        <f ca="1">IFERROR(__xludf.DUMMYFUNCTION("""COMPUTED_VALUE"""),"Will work for 3 years or more")</f>
        <v>Will work for 3 years or more</v>
      </c>
      <c r="H806" s="1" t="str">
        <f ca="1">IFERROR(__xludf.DUMMYFUNCTION("""COMPUTED_VALUE"""),"Yes")</f>
        <v>Yes</v>
      </c>
      <c r="I806" s="1" t="str">
        <f ca="1">IFERROR(__xludf.DUMMYFUNCTION("""COMPUTED_VALUE"""),"Will work for them")</f>
        <v>Will work for them</v>
      </c>
      <c r="J806" s="1">
        <f ca="1">IFERROR(__xludf.DUMMYFUNCTION("""COMPUTED_VALUE"""),10)</f>
        <v>10</v>
      </c>
      <c r="K806" s="1" t="str">
        <f ca="1">IFERROR(__xludf.DUMMYFUNCTION("""COMPUTED_VALUE"""),"Fully Remote with Options to travel as and when needed")</f>
        <v>Fully Remote with Options to travel as and when needed</v>
      </c>
      <c r="L806" s="1" t="str">
        <f ca="1">IFERROR(__xludf.DUMMYFUNCTION("""COMPUTED_VALUE"""),"Employer who pushes your limits by enabling an learning environment, and rewards you at the end")</f>
        <v>Employer who pushes your limits by enabling an learning environment, and rewards you at the end</v>
      </c>
      <c r="M80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806" s="1"/>
      <c r="O806" s="1" t="str">
        <f ca="1">IFERROR(__xludf.DUMMYFUNCTION("""COMPUTED_VALUE"""),"Manager who sets targets and expects me to achieve it")</f>
        <v>Manager who sets targets and expects me to achieve it</v>
      </c>
      <c r="P806" s="1" t="str">
        <f ca="1">IFERROR(__xludf.DUMMYFUNCTION("""COMPUTED_VALUE"""),"Work &gt;=7 People in the Team")</f>
        <v>Work &gt;=7 People in the Team</v>
      </c>
      <c r="Q806" s="1" t="s">
        <v>43</v>
      </c>
      <c r="R806" s="1"/>
    </row>
    <row r="807" spans="1:18" x14ac:dyDescent="0.25">
      <c r="A807" s="2">
        <f ca="1">IFERROR(__xludf.DUMMYFUNCTION("""COMPUTED_VALUE"""),45022.7751719213)</f>
        <v>45022.775171921297</v>
      </c>
      <c r="B807" s="1" t="str">
        <f ca="1">IFERROR(__xludf.DUMMYFUNCTION("""COMPUTED_VALUE"""),"India")</f>
        <v>India</v>
      </c>
      <c r="C807" s="1">
        <f ca="1">IFERROR(__xludf.DUMMYFUNCTION("""COMPUTED_VALUE"""),522101)</f>
        <v>522101</v>
      </c>
      <c r="D807" s="1" t="str">
        <f ca="1">IFERROR(__xludf.DUMMYFUNCTION("""COMPUTED_VALUE"""),"Female")</f>
        <v>Female</v>
      </c>
      <c r="E807" s="1" t="str">
        <f ca="1">IFERROR(__xludf.DUMMYFUNCTION("""COMPUTED_VALUE"""),"People from my circle, but not family members")</f>
        <v>People from my circle, but not family members</v>
      </c>
      <c r="F807" s="1" t="str">
        <f ca="1">IFERROR(__xludf.DUMMYFUNCTION("""COMPUTED_VALUE"""),"No, But if someone could bare the cost I will")</f>
        <v>No, But if someone could bare the cost I will</v>
      </c>
      <c r="G807" s="1" t="str">
        <f ca="1">IFERROR(__xludf.DUMMYFUNCTION("""COMPUTED_VALUE"""),"Will work for 3 years or more")</f>
        <v>Will work for 3 years or more</v>
      </c>
      <c r="H807" s="1" t="str">
        <f ca="1">IFERROR(__xludf.DUMMYFUNCTION("""COMPUTED_VALUE"""),"Yes")</f>
        <v>Yes</v>
      </c>
      <c r="I807" s="1" t="str">
        <f ca="1">IFERROR(__xludf.DUMMYFUNCTION("""COMPUTED_VALUE"""),"Will work for them")</f>
        <v>Will work for them</v>
      </c>
      <c r="J807" s="1">
        <f ca="1">IFERROR(__xludf.DUMMYFUNCTION("""COMPUTED_VALUE"""),7)</f>
        <v>7</v>
      </c>
      <c r="K807" s="1" t="str">
        <f ca="1">IFERROR(__xludf.DUMMYFUNCTION("""COMPUTED_VALUE"""),"Hybrid Working Environment with more than 15 days a month at office")</f>
        <v>Hybrid Working Environment with more than 15 days a month at office</v>
      </c>
      <c r="L807" s="1" t="str">
        <f ca="1">IFERROR(__xludf.DUMMYFUNCTION("""COMPUTED_VALUE"""),"Employer who appreciates learning and enables that environment")</f>
        <v>Employer who appreciates learning and enables that environment</v>
      </c>
      <c r="M807"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N807" s="1"/>
      <c r="O807" s="1" t="str">
        <f ca="1">IFERROR(__xludf.DUMMYFUNCTION("""COMPUTED_VALUE"""),"Manager who sets goal and helps me achieve it")</f>
        <v>Manager who sets goal and helps me achieve it</v>
      </c>
      <c r="P807" s="1" t="str">
        <f ca="1">IFERROR(__xludf.DUMMYFUNCTION("""COMPUTED_VALUE"""),"Work &lt;=6 People in the Team")</f>
        <v>Work &lt;=6 People in the Team</v>
      </c>
      <c r="Q807" s="1" t="s">
        <v>43</v>
      </c>
      <c r="R807" s="1"/>
    </row>
    <row r="808" spans="1:18" x14ac:dyDescent="0.25">
      <c r="A808" s="2">
        <f ca="1">IFERROR(__xludf.DUMMYFUNCTION("""COMPUTED_VALUE"""),45022.7763347569)</f>
        <v>45022.776334756898</v>
      </c>
      <c r="B808" s="1" t="str">
        <f ca="1">IFERROR(__xludf.DUMMYFUNCTION("""COMPUTED_VALUE"""),"India")</f>
        <v>India</v>
      </c>
      <c r="C808" s="1">
        <f ca="1">IFERROR(__xludf.DUMMYFUNCTION("""COMPUTED_VALUE"""),411060)</f>
        <v>411060</v>
      </c>
      <c r="D808" s="1" t="str">
        <f ca="1">IFERROR(__xludf.DUMMYFUNCTION("""COMPUTED_VALUE"""),"Female")</f>
        <v>Female</v>
      </c>
      <c r="E808" s="1" t="str">
        <f ca="1">IFERROR(__xludf.DUMMYFUNCTION("""COMPUTED_VALUE"""),"People from my circle, but not family members")</f>
        <v>People from my circle, but not family members</v>
      </c>
      <c r="F808" s="1" t="str">
        <f ca="1">IFERROR(__xludf.DUMMYFUNCTION("""COMPUTED_VALUE"""),"No, But if someone could bare the cost I will")</f>
        <v>No, But if someone could bare the cost I will</v>
      </c>
      <c r="G808" s="1" t="str">
        <f ca="1">IFERROR(__xludf.DUMMYFUNCTION("""COMPUTED_VALUE"""),"This will be hard to do, but if it is the right company I would try")</f>
        <v>This will be hard to do, but if it is the right company I would try</v>
      </c>
      <c r="H808" s="1" t="str">
        <f ca="1">IFERROR(__xludf.DUMMYFUNCTION("""COMPUTED_VALUE"""),"No")</f>
        <v>No</v>
      </c>
      <c r="I808" s="1" t="str">
        <f ca="1">IFERROR(__xludf.DUMMYFUNCTION("""COMPUTED_VALUE"""),"Will NOT work for them")</f>
        <v>Will NOT work for them</v>
      </c>
      <c r="J808" s="1">
        <f ca="1">IFERROR(__xludf.DUMMYFUNCTION("""COMPUTED_VALUE"""),7)</f>
        <v>7</v>
      </c>
      <c r="K808" s="1" t="str">
        <f ca="1">IFERROR(__xludf.DUMMYFUNCTION("""COMPUTED_VALUE"""),"Fully Remote with Options to travel as and when needed")</f>
        <v>Fully Remote with Options to travel as and when needed</v>
      </c>
      <c r="L808" s="1" t="str">
        <f ca="1">IFERROR(__xludf.DUMMYFUNCTION("""COMPUTED_VALUE"""),"Employer who appreciates learning and enables that environment")</f>
        <v>Employer who appreciates learning and enables that environment</v>
      </c>
      <c r="M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808" s="1"/>
      <c r="O808" s="1" t="str">
        <f ca="1">IFERROR(__xludf.DUMMYFUNCTION("""COMPUTED_VALUE"""),"Manager who explains what is expected, sets a goal and helps achieve it")</f>
        <v>Manager who explains what is expected, sets a goal and helps achieve it</v>
      </c>
      <c r="P808" s="1" t="str">
        <f ca="1">IFERROR(__xludf.DUMMYFUNCTION("""COMPUTED_VALUE"""),"Work &lt;=6 People in the Team")</f>
        <v>Work &lt;=6 People in the Team</v>
      </c>
      <c r="Q808" s="1" t="s">
        <v>43</v>
      </c>
      <c r="R808" s="1"/>
    </row>
    <row r="809" spans="1:18" x14ac:dyDescent="0.25">
      <c r="A809" s="2">
        <f ca="1">IFERROR(__xludf.DUMMYFUNCTION("""COMPUTED_VALUE"""),45022.7817862037)</f>
        <v>45022.781786203697</v>
      </c>
      <c r="B809" s="1" t="str">
        <f ca="1">IFERROR(__xludf.DUMMYFUNCTION("""COMPUTED_VALUE"""),"India")</f>
        <v>India</v>
      </c>
      <c r="C809" s="1">
        <f ca="1">IFERROR(__xludf.DUMMYFUNCTION("""COMPUTED_VALUE"""),500049)</f>
        <v>500049</v>
      </c>
      <c r="D809" s="1" t="str">
        <f ca="1">IFERROR(__xludf.DUMMYFUNCTION("""COMPUTED_VALUE"""),"Female")</f>
        <v>Female</v>
      </c>
      <c r="E809" s="1" t="str">
        <f ca="1">IFERROR(__xludf.DUMMYFUNCTION("""COMPUTED_VALUE"""),"My Parents")</f>
        <v>My Parents</v>
      </c>
      <c r="F809" s="1" t="str">
        <f ca="1">IFERROR(__xludf.DUMMYFUNCTION("""COMPUTED_VALUE"""),"Yes, I will earn and do that")</f>
        <v>Yes, I will earn and do that</v>
      </c>
      <c r="G809" s="1" t="str">
        <f ca="1">IFERROR(__xludf.DUMMYFUNCTION("""COMPUTED_VALUE"""),"This will be hard to do, but if it is the right company I would try")</f>
        <v>This will be hard to do, but if it is the right company I would try</v>
      </c>
      <c r="H809" s="1" t="str">
        <f ca="1">IFERROR(__xludf.DUMMYFUNCTION("""COMPUTED_VALUE"""),"No")</f>
        <v>No</v>
      </c>
      <c r="I809" s="1" t="str">
        <f ca="1">IFERROR(__xludf.DUMMYFUNCTION("""COMPUTED_VALUE"""),"Will NOT work for them")</f>
        <v>Will NOT work for them</v>
      </c>
      <c r="J809" s="1">
        <f ca="1">IFERROR(__xludf.DUMMYFUNCTION("""COMPUTED_VALUE"""),6)</f>
        <v>6</v>
      </c>
      <c r="K809" s="1" t="str">
        <f ca="1">IFERROR(__xludf.DUMMYFUNCTION("""COMPUTED_VALUE"""),"Hybrid Working Environment with more than 15 days a month at office")</f>
        <v>Hybrid Working Environment with more than 15 days a month at office</v>
      </c>
      <c r="L809" s="1" t="str">
        <f ca="1">IFERROR(__xludf.DUMMYFUNCTION("""COMPUTED_VALUE"""),"Employer who appreciates learning and enables that environment")</f>
        <v>Employer who appreciates learning and enables that environment</v>
      </c>
      <c r="M80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809" s="1"/>
      <c r="O809" s="1" t="str">
        <f ca="1">IFERROR(__xludf.DUMMYFUNCTION("""COMPUTED_VALUE"""),"Manager who clearly describes what she/he needs")</f>
        <v>Manager who clearly describes what she/he needs</v>
      </c>
      <c r="P809" s="1" t="str">
        <f ca="1">IFERROR(__xludf.DUMMYFUNCTION("""COMPUTED_VALUE"""),"Work &lt;=6 People in the Team")</f>
        <v>Work &lt;=6 People in the Team</v>
      </c>
      <c r="Q809" s="1" t="s">
        <v>43</v>
      </c>
      <c r="R809" s="1"/>
    </row>
    <row r="810" spans="1:18" x14ac:dyDescent="0.25">
      <c r="A810" s="2">
        <f ca="1">IFERROR(__xludf.DUMMYFUNCTION("""COMPUTED_VALUE"""),45022.7896251851)</f>
        <v>45022.789625185098</v>
      </c>
      <c r="B810" s="1" t="str">
        <f ca="1">IFERROR(__xludf.DUMMYFUNCTION("""COMPUTED_VALUE"""),"India")</f>
        <v>India</v>
      </c>
      <c r="C810" s="1">
        <f ca="1">IFERROR(__xludf.DUMMYFUNCTION("""COMPUTED_VALUE"""),523001)</f>
        <v>523001</v>
      </c>
      <c r="D810" s="1" t="str">
        <f ca="1">IFERROR(__xludf.DUMMYFUNCTION("""COMPUTED_VALUE"""),"Male")</f>
        <v>Male</v>
      </c>
      <c r="E810" s="1" t="str">
        <f ca="1">IFERROR(__xludf.DUMMYFUNCTION("""COMPUTED_VALUE"""),"People who have changed the world for better")</f>
        <v>People who have changed the world for better</v>
      </c>
      <c r="F810" s="1" t="str">
        <f ca="1">IFERROR(__xludf.DUMMYFUNCTION("""COMPUTED_VALUE"""),"No I would not be pursuing Higher Education outside of India")</f>
        <v>No I would not be pursuing Higher Education outside of India</v>
      </c>
      <c r="G810" s="1" t="str">
        <f ca="1">IFERROR(__xludf.DUMMYFUNCTION("""COMPUTED_VALUE"""),"No way")</f>
        <v>No way</v>
      </c>
      <c r="H810" s="1" t="str">
        <f ca="1">IFERROR(__xludf.DUMMYFUNCTION("""COMPUTED_VALUE"""),"No")</f>
        <v>No</v>
      </c>
      <c r="I810" s="1" t="str">
        <f ca="1">IFERROR(__xludf.DUMMYFUNCTION("""COMPUTED_VALUE"""),"Will NOT work for them")</f>
        <v>Will NOT work for them</v>
      </c>
      <c r="J810" s="1">
        <f ca="1">IFERROR(__xludf.DUMMYFUNCTION("""COMPUTED_VALUE"""),1)</f>
        <v>1</v>
      </c>
      <c r="K810" s="1" t="str">
        <f ca="1">IFERROR(__xludf.DUMMYFUNCTION("""COMPUTED_VALUE"""),"Hybrid Working Environment with less than 3 days a month at office")</f>
        <v>Hybrid Working Environment with less than 3 days a month at office</v>
      </c>
      <c r="L810" s="1" t="str">
        <f ca="1">IFERROR(__xludf.DUMMYFUNCTION("""COMPUTED_VALUE"""),"Employer who pushes your limits by enabling an learning environment, and rewards you at the end")</f>
        <v>Employer who pushes your limits by enabling an learning environment, and rewards you at the end</v>
      </c>
      <c r="M81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810" s="1"/>
      <c r="O810" s="1" t="str">
        <f ca="1">IFERROR(__xludf.DUMMYFUNCTION("""COMPUTED_VALUE"""),"Manager who sets goal and helps me achieve it")</f>
        <v>Manager who sets goal and helps me achieve it</v>
      </c>
      <c r="P810" s="1" t="str">
        <f ca="1">IFERROR(__xludf.DUMMYFUNCTION("""COMPUTED_VALUE"""),"Work &lt;=6 People in the Team")</f>
        <v>Work &lt;=6 People in the Team</v>
      </c>
      <c r="Q810" s="1" t="s">
        <v>40</v>
      </c>
      <c r="R810" s="1"/>
    </row>
    <row r="811" spans="1:18" x14ac:dyDescent="0.25">
      <c r="A811" s="2">
        <f ca="1">IFERROR(__xludf.DUMMYFUNCTION("""COMPUTED_VALUE"""),45022.796869618)</f>
        <v>45022.796869618003</v>
      </c>
      <c r="B811" s="1" t="str">
        <f ca="1">IFERROR(__xludf.DUMMYFUNCTION("""COMPUTED_VALUE"""),"India")</f>
        <v>India</v>
      </c>
      <c r="C811" s="1">
        <f ca="1">IFERROR(__xludf.DUMMYFUNCTION("""COMPUTED_VALUE"""),507002)</f>
        <v>507002</v>
      </c>
      <c r="D811" s="1" t="str">
        <f ca="1">IFERROR(__xludf.DUMMYFUNCTION("""COMPUTED_VALUE"""),"Male")</f>
        <v>Male</v>
      </c>
      <c r="E811" s="1" t="str">
        <f ca="1">IFERROR(__xludf.DUMMYFUNCTION("""COMPUTED_VALUE"""),"People who have changed the world for better")</f>
        <v>People who have changed the world for better</v>
      </c>
      <c r="F811" s="1" t="str">
        <f ca="1">IFERROR(__xludf.DUMMYFUNCTION("""COMPUTED_VALUE"""),"Yes, I will earn and do that")</f>
        <v>Yes, I will earn and do that</v>
      </c>
      <c r="G811" s="1" t="str">
        <f ca="1">IFERROR(__xludf.DUMMYFUNCTION("""COMPUTED_VALUE"""),"This will be hard to do, but if it is the right company I would try")</f>
        <v>This will be hard to do, but if it is the right company I would try</v>
      </c>
      <c r="H811" s="1" t="str">
        <f ca="1">IFERROR(__xludf.DUMMYFUNCTION("""COMPUTED_VALUE"""),"No")</f>
        <v>No</v>
      </c>
      <c r="I811" s="1" t="str">
        <f ca="1">IFERROR(__xludf.DUMMYFUNCTION("""COMPUTED_VALUE"""),"Will work for them")</f>
        <v>Will work for them</v>
      </c>
      <c r="J811" s="1">
        <f ca="1">IFERROR(__xludf.DUMMYFUNCTION("""COMPUTED_VALUE"""),9)</f>
        <v>9</v>
      </c>
      <c r="K811" s="1" t="str">
        <f ca="1">IFERROR(__xludf.DUMMYFUNCTION("""COMPUTED_VALUE"""),"Fully Remote with Options to travel as and when needed")</f>
        <v>Fully Remote with Options to travel as and when needed</v>
      </c>
      <c r="L811" s="1" t="str">
        <f ca="1">IFERROR(__xludf.DUMMYFUNCTION("""COMPUTED_VALUE"""),"Employer who pushes your limits and doesn't enables learning environment and never rewards you")</f>
        <v>Employer who pushes your limits and doesn't enables learning environment and never rewards you</v>
      </c>
      <c r="M811" s="1" t="str">
        <f ca="1">IFERROR(__xludf.DUMMYFUNCTION("""COMPUTED_VALUE"""),"Manage and drive End-to-End Projects or Products, Design and Develop amazing software, Work in a BPO setup for some well known client, An Artificial Intelligence Specialist / Talking to Robots")</f>
        <v>Manage and drive End-to-End Projects or Products, Design and Develop amazing software, Work in a BPO setup for some well known client, An Artificial Intelligence Specialist / Talking to Robots</v>
      </c>
      <c r="N811" s="1"/>
      <c r="O811" s="1" t="str">
        <f ca="1">IFERROR(__xludf.DUMMYFUNCTION("""COMPUTED_VALUE"""),"Manager who explains what is expected, sets a goal and helps achieve it")</f>
        <v>Manager who explains what is expected, sets a goal and helps achieve it</v>
      </c>
      <c r="P811" s="1" t="str">
        <f ca="1">IFERROR(__xludf.DUMMYFUNCTION("""COMPUTED_VALUE"""),"Work &gt;=7 People in the Team")</f>
        <v>Work &gt;=7 People in the Team</v>
      </c>
      <c r="Q811" s="1" t="s">
        <v>43</v>
      </c>
      <c r="R811" s="1"/>
    </row>
    <row r="812" spans="1:18" x14ac:dyDescent="0.25">
      <c r="A812" s="2">
        <f ca="1">IFERROR(__xludf.DUMMYFUNCTION("""COMPUTED_VALUE"""),45022.8094249537)</f>
        <v>45022.809424953703</v>
      </c>
      <c r="B812" s="1" t="str">
        <f ca="1">IFERROR(__xludf.DUMMYFUNCTION("""COMPUTED_VALUE"""),"India")</f>
        <v>India</v>
      </c>
      <c r="C812" s="1">
        <f ca="1">IFERROR(__xludf.DUMMYFUNCTION("""COMPUTED_VALUE"""),380001)</f>
        <v>380001</v>
      </c>
      <c r="D812" s="1" t="str">
        <f ca="1">IFERROR(__xludf.DUMMYFUNCTION("""COMPUTED_VALUE"""),"Male")</f>
        <v>Male</v>
      </c>
      <c r="E812" s="1" t="str">
        <f ca="1">IFERROR(__xludf.DUMMYFUNCTION("""COMPUTED_VALUE"""),"My Parents")</f>
        <v>My Parents</v>
      </c>
      <c r="F812" s="1" t="str">
        <f ca="1">IFERROR(__xludf.DUMMYFUNCTION("""COMPUTED_VALUE"""),"No I would not be pursuing Higher Education outside of India")</f>
        <v>No I would not be pursuing Higher Education outside of India</v>
      </c>
      <c r="G812" s="1" t="str">
        <f ca="1">IFERROR(__xludf.DUMMYFUNCTION("""COMPUTED_VALUE"""),"This will be hard to do, but if it is the right company I would try")</f>
        <v>This will be hard to do, but if it is the right company I would try</v>
      </c>
      <c r="H812" s="1" t="str">
        <f ca="1">IFERROR(__xludf.DUMMYFUNCTION("""COMPUTED_VALUE"""),"No")</f>
        <v>No</v>
      </c>
      <c r="I812" s="1" t="str">
        <f ca="1">IFERROR(__xludf.DUMMYFUNCTION("""COMPUTED_VALUE"""),"Will NOT work for them")</f>
        <v>Will NOT work for them</v>
      </c>
      <c r="J812" s="1">
        <f ca="1">IFERROR(__xludf.DUMMYFUNCTION("""COMPUTED_VALUE"""),1)</f>
        <v>1</v>
      </c>
      <c r="K812" s="1" t="str">
        <f ca="1">IFERROR(__xludf.DUMMYFUNCTION("""COMPUTED_VALUE"""),"Every Day Office Environment")</f>
        <v>Every Day Office Environment</v>
      </c>
      <c r="L812" s="1" t="str">
        <f ca="1">IFERROR(__xludf.DUMMYFUNCTION("""COMPUTED_VALUE"""),"Employer who appreciates learning and enables that environment")</f>
        <v>Employer who appreciates learning and enables that environment</v>
      </c>
      <c r="M812"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N812" s="1"/>
      <c r="O812" s="1" t="str">
        <f ca="1">IFERROR(__xludf.DUMMYFUNCTION("""COMPUTED_VALUE"""),"Manager who sets targets and expects me to achieve it")</f>
        <v>Manager who sets targets and expects me to achieve it</v>
      </c>
      <c r="P812" s="1" t="str">
        <f ca="1">IFERROR(__xludf.DUMMYFUNCTION("""COMPUTED_VALUE"""),"Work &lt;=6 People in the Team")</f>
        <v>Work &lt;=6 People in the Team</v>
      </c>
      <c r="Q812" s="1" t="s">
        <v>42</v>
      </c>
      <c r="R812" s="1"/>
    </row>
    <row r="813" spans="1:18" x14ac:dyDescent="0.25">
      <c r="A813" s="2">
        <f ca="1">IFERROR(__xludf.DUMMYFUNCTION("""COMPUTED_VALUE"""),45022.8246184837)</f>
        <v>45022.824618483697</v>
      </c>
      <c r="B813" s="1" t="str">
        <f ca="1">IFERROR(__xludf.DUMMYFUNCTION("""COMPUTED_VALUE"""),"India")</f>
        <v>India</v>
      </c>
      <c r="C813" s="1">
        <f ca="1">IFERROR(__xludf.DUMMYFUNCTION("""COMPUTED_VALUE"""),57001)</f>
        <v>57001</v>
      </c>
      <c r="D813" s="1" t="str">
        <f ca="1">IFERROR(__xludf.DUMMYFUNCTION("""COMPUTED_VALUE"""),"Male")</f>
        <v>Male</v>
      </c>
      <c r="E813" s="1" t="str">
        <f ca="1">IFERROR(__xludf.DUMMYFUNCTION("""COMPUTED_VALUE"""),"My Parents")</f>
        <v>My Parents</v>
      </c>
      <c r="F813" s="1" t="str">
        <f ca="1">IFERROR(__xludf.DUMMYFUNCTION("""COMPUTED_VALUE"""),"No I would not be pursuing Higher Education outside of India")</f>
        <v>No I would not be pursuing Higher Education outside of India</v>
      </c>
      <c r="G813" s="1" t="str">
        <f ca="1">IFERROR(__xludf.DUMMYFUNCTION("""COMPUTED_VALUE"""),"This will be hard to do, but if it is the right company I would try")</f>
        <v>This will be hard to do, but if it is the right company I would try</v>
      </c>
      <c r="H813" s="1" t="str">
        <f ca="1">IFERROR(__xludf.DUMMYFUNCTION("""COMPUTED_VALUE"""),"No")</f>
        <v>No</v>
      </c>
      <c r="I813" s="1" t="str">
        <f ca="1">IFERROR(__xludf.DUMMYFUNCTION("""COMPUTED_VALUE"""),"Will NOT work for them")</f>
        <v>Will NOT work for them</v>
      </c>
      <c r="J813" s="1">
        <f ca="1">IFERROR(__xludf.DUMMYFUNCTION("""COMPUTED_VALUE"""),7)</f>
        <v>7</v>
      </c>
      <c r="K813" s="1" t="str">
        <f ca="1">IFERROR(__xludf.DUMMYFUNCTION("""COMPUTED_VALUE"""),"Fully Remote with Options to travel as and when needed")</f>
        <v>Fully Remote with Options to travel as and when needed</v>
      </c>
      <c r="L813" s="1" t="str">
        <f ca="1">IFERROR(__xludf.DUMMYFUNCTION("""COMPUTED_VALUE"""),"Employer who pushes your limits by enabling an learning environment, and rewards you at the end")</f>
        <v>Employer who pushes your limits by enabling an learning environment, and rewards you at the end</v>
      </c>
      <c r="M813" s="1" t="str">
        <f ca="1">IFERROR(__xludf.DUMMYFUNCTION("""COMPUTED_VALUE"""),"Business Operations in any organization, Manage and drive End-to-End Projects or Products, Work as a freelancer and do my thing my way, Manufacturing / Oil and Gas/ Construction / Hard Physical Work related")</f>
        <v>Business Operations in any organization, Manage and drive End-to-End Projects or Products, Work as a freelancer and do my thing my way, Manufacturing / Oil and Gas/ Construction / Hard Physical Work related</v>
      </c>
      <c r="N813" s="1"/>
      <c r="O813" s="1" t="str">
        <f ca="1">IFERROR(__xludf.DUMMYFUNCTION("""COMPUTED_VALUE"""),"Manager who clearly describes what she/he needs")</f>
        <v>Manager who clearly describes what she/he needs</v>
      </c>
      <c r="P813" s="1" t="str">
        <f ca="1">IFERROR(__xludf.DUMMYFUNCTION("""COMPUTED_VALUE"""),"Work &lt;=6 People in the Team")</f>
        <v>Work &lt;=6 People in the Team</v>
      </c>
      <c r="Q813" s="1" t="s">
        <v>43</v>
      </c>
      <c r="R813" s="1"/>
    </row>
    <row r="814" spans="1:18" x14ac:dyDescent="0.25">
      <c r="A814" s="2">
        <f ca="1">IFERROR(__xludf.DUMMYFUNCTION("""COMPUTED_VALUE"""),45022.8283942824)</f>
        <v>45022.828394282398</v>
      </c>
      <c r="B814" s="1" t="str">
        <f ca="1">IFERROR(__xludf.DUMMYFUNCTION("""COMPUTED_VALUE"""),"India")</f>
        <v>India</v>
      </c>
      <c r="C814" s="1">
        <f ca="1">IFERROR(__xludf.DUMMYFUNCTION("""COMPUTED_VALUE"""),521165)</f>
        <v>521165</v>
      </c>
      <c r="D814" s="1" t="str">
        <f ca="1">IFERROR(__xludf.DUMMYFUNCTION("""COMPUTED_VALUE"""),"Female")</f>
        <v>Female</v>
      </c>
      <c r="E814" s="1" t="str">
        <f ca="1">IFERROR(__xludf.DUMMYFUNCTION("""COMPUTED_VALUE"""),"My Parents")</f>
        <v>My Parents</v>
      </c>
      <c r="F814" s="1" t="str">
        <f ca="1">IFERROR(__xludf.DUMMYFUNCTION("""COMPUTED_VALUE"""),"No I would not be pursuing Higher Education outside of India")</f>
        <v>No I would not be pursuing Higher Education outside of India</v>
      </c>
      <c r="G814" s="1" t="str">
        <f ca="1">IFERROR(__xludf.DUMMYFUNCTION("""COMPUTED_VALUE"""),"This will be hard to do, but if it is the right company I would try")</f>
        <v>This will be hard to do, but if it is the right company I would try</v>
      </c>
      <c r="H814" s="1" t="str">
        <f ca="1">IFERROR(__xludf.DUMMYFUNCTION("""COMPUTED_VALUE"""),"No")</f>
        <v>No</v>
      </c>
      <c r="I814" s="1" t="str">
        <f ca="1">IFERROR(__xludf.DUMMYFUNCTION("""COMPUTED_VALUE"""),"Will NOT work for them")</f>
        <v>Will NOT work for them</v>
      </c>
      <c r="J814" s="1">
        <f ca="1">IFERROR(__xludf.DUMMYFUNCTION("""COMPUTED_VALUE"""),5)</f>
        <v>5</v>
      </c>
      <c r="K814" s="1" t="str">
        <f ca="1">IFERROR(__xludf.DUMMYFUNCTION("""COMPUTED_VALUE"""),"Every Day Office Environment")</f>
        <v>Every Day Office Environment</v>
      </c>
      <c r="L814" s="1" t="str">
        <f ca="1">IFERROR(__xludf.DUMMYFUNCTION("""COMPUTED_VALUE"""),"Employer who rewards learning and enables that environment")</f>
        <v>Employer who rewards learning and enables that environment</v>
      </c>
      <c r="M814"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814" s="1"/>
      <c r="O814" s="1" t="str">
        <f ca="1">IFERROR(__xludf.DUMMYFUNCTION("""COMPUTED_VALUE"""),"Manager who sets goal and helps me achieve it")</f>
        <v>Manager who sets goal and helps me achieve it</v>
      </c>
      <c r="P814" s="1" t="str">
        <f ca="1">IFERROR(__xludf.DUMMYFUNCTION("""COMPUTED_VALUE"""),"Work &lt;=6 People in the Team")</f>
        <v>Work &lt;=6 People in the Team</v>
      </c>
      <c r="Q814" s="1" t="s">
        <v>42</v>
      </c>
      <c r="R814" s="1"/>
    </row>
    <row r="815" spans="1:18" x14ac:dyDescent="0.25">
      <c r="A815" s="2">
        <f ca="1">IFERROR(__xludf.DUMMYFUNCTION("""COMPUTED_VALUE"""),45022.8289780439)</f>
        <v>45022.828978043901</v>
      </c>
      <c r="B815" s="1" t="str">
        <f ca="1">IFERROR(__xludf.DUMMYFUNCTION("""COMPUTED_VALUE"""),"India")</f>
        <v>India</v>
      </c>
      <c r="C815" s="1">
        <f ca="1">IFERROR(__xludf.DUMMYFUNCTION("""COMPUTED_VALUE"""),421306)</f>
        <v>421306</v>
      </c>
      <c r="D815" s="1" t="str">
        <f ca="1">IFERROR(__xludf.DUMMYFUNCTION("""COMPUTED_VALUE"""),"Male")</f>
        <v>Male</v>
      </c>
      <c r="E815" s="1" t="str">
        <f ca="1">IFERROR(__xludf.DUMMYFUNCTION("""COMPUTED_VALUE"""),"People from my circle, but not family members")</f>
        <v>People from my circle, but not family members</v>
      </c>
      <c r="F815" s="1" t="str">
        <f ca="1">IFERROR(__xludf.DUMMYFUNCTION("""COMPUTED_VALUE"""),"Yes, I will earn and do that")</f>
        <v>Yes, I will earn and do that</v>
      </c>
      <c r="G815" s="1" t="str">
        <f ca="1">IFERROR(__xludf.DUMMYFUNCTION("""COMPUTED_VALUE"""),"This will be hard to do, but if it is the right company I would try")</f>
        <v>This will be hard to do, but if it is the right company I would try</v>
      </c>
      <c r="H815" s="1" t="str">
        <f ca="1">IFERROR(__xludf.DUMMYFUNCTION("""COMPUTED_VALUE"""),"No")</f>
        <v>No</v>
      </c>
      <c r="I815" s="1" t="str">
        <f ca="1">IFERROR(__xludf.DUMMYFUNCTION("""COMPUTED_VALUE"""),"Will NOT work for them")</f>
        <v>Will NOT work for them</v>
      </c>
      <c r="J815" s="1">
        <f ca="1">IFERROR(__xludf.DUMMYFUNCTION("""COMPUTED_VALUE"""),9)</f>
        <v>9</v>
      </c>
      <c r="K815" s="1" t="str">
        <f ca="1">IFERROR(__xludf.DUMMYFUNCTION("""COMPUTED_VALUE"""),"Fully Remote with Options to travel as and when needed")</f>
        <v>Fully Remote with Options to travel as and when needed</v>
      </c>
      <c r="L815" s="1" t="str">
        <f ca="1">IFERROR(__xludf.DUMMYFUNCTION("""COMPUTED_VALUE"""),"Employer who pushes your limits by enabling an learning environment, and rewards you at the end")</f>
        <v>Employer who pushes your limits by enabling an learning environment, and rewards you at the end</v>
      </c>
      <c r="M815" s="1" t="str">
        <f ca="1">IFERROR(__xludf.DUMMYFUNCTION("""COMPUTED_VALUE"""),"Business Operations in any organization, Build and develop a Team, Become a content Creator in some platform, An Artificial Intelligence Specialist / Talking to Robots")</f>
        <v>Business Operations in any organization, Build and develop a Team, Become a content Creator in some platform, An Artificial Intelligence Specialist / Talking to Robots</v>
      </c>
      <c r="N815" s="1"/>
      <c r="O815" s="1" t="str">
        <f ca="1">IFERROR(__xludf.DUMMYFUNCTION("""COMPUTED_VALUE"""),"Manager who explains what is expected, sets a goal and helps achieve it")</f>
        <v>Manager who explains what is expected, sets a goal and helps achieve it</v>
      </c>
      <c r="P815" s="1" t="str">
        <f ca="1">IFERROR(__xludf.DUMMYFUNCTION("""COMPUTED_VALUE"""),"Work &lt;67 People in the Team")</f>
        <v>Work &lt;67 People in the Team</v>
      </c>
      <c r="Q815" s="1" t="s">
        <v>43</v>
      </c>
      <c r="R815" s="1"/>
    </row>
    <row r="816" spans="1:18" x14ac:dyDescent="0.25">
      <c r="A816" s="2">
        <f ca="1">IFERROR(__xludf.DUMMYFUNCTION("""COMPUTED_VALUE"""),45022.8319156134)</f>
        <v>45022.831915613402</v>
      </c>
      <c r="B816" s="1" t="str">
        <f ca="1">IFERROR(__xludf.DUMMYFUNCTION("""COMPUTED_VALUE"""),"India")</f>
        <v>India</v>
      </c>
      <c r="C816" s="1">
        <f ca="1">IFERROR(__xludf.DUMMYFUNCTION("""COMPUTED_VALUE"""),440024)</f>
        <v>440024</v>
      </c>
      <c r="D816" s="1" t="str">
        <f ca="1">IFERROR(__xludf.DUMMYFUNCTION("""COMPUTED_VALUE"""),"Female")</f>
        <v>Female</v>
      </c>
      <c r="E816" s="1" t="str">
        <f ca="1">IFERROR(__xludf.DUMMYFUNCTION("""COMPUTED_VALUE"""),"People from my circle, but not family members")</f>
        <v>People from my circle, but not family members</v>
      </c>
      <c r="F816" s="1" t="str">
        <f ca="1">IFERROR(__xludf.DUMMYFUNCTION("""COMPUTED_VALUE"""),"Yes, I will earn and do that")</f>
        <v>Yes, I will earn and do that</v>
      </c>
      <c r="G816" s="1" t="str">
        <f ca="1">IFERROR(__xludf.DUMMYFUNCTION("""COMPUTED_VALUE"""),"This will be hard to do, but if it is the right company I would try")</f>
        <v>This will be hard to do, but if it is the right company I would try</v>
      </c>
      <c r="H816" s="1" t="str">
        <f ca="1">IFERROR(__xludf.DUMMYFUNCTION("""COMPUTED_VALUE"""),"No")</f>
        <v>No</v>
      </c>
      <c r="I816" s="1" t="str">
        <f ca="1">IFERROR(__xludf.DUMMYFUNCTION("""COMPUTED_VALUE"""),"Will work for them")</f>
        <v>Will work for them</v>
      </c>
      <c r="J816" s="1">
        <f ca="1">IFERROR(__xludf.DUMMYFUNCTION("""COMPUTED_VALUE"""),5)</f>
        <v>5</v>
      </c>
      <c r="K816" s="1" t="str">
        <f ca="1">IFERROR(__xludf.DUMMYFUNCTION("""COMPUTED_VALUE"""),"Fully Remote with Options to travel as and when needed")</f>
        <v>Fully Remote with Options to travel as and when needed</v>
      </c>
      <c r="L816" s="1" t="str">
        <f ca="1">IFERROR(__xludf.DUMMYFUNCTION("""COMPUTED_VALUE"""),"Employer who pushes your limits by enabling an learning environment, and rewards you at the end")</f>
        <v>Employer who pushes your limits by enabling an learning environment, and rewards you at the end</v>
      </c>
      <c r="M81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N816" s="1"/>
      <c r="O816" s="1" t="str">
        <f ca="1">IFERROR(__xludf.DUMMYFUNCTION("""COMPUTED_VALUE"""),"Manager who explains what is expected, sets a goal and helps achieve it")</f>
        <v>Manager who explains what is expected, sets a goal and helps achieve it</v>
      </c>
      <c r="P816" s="1" t="str">
        <f ca="1">IFERROR(__xludf.DUMMYFUNCTION("""COMPUTED_VALUE"""),"Work Alone, &lt;=6 in team")</f>
        <v>Work Alone, &lt;=6 in team</v>
      </c>
      <c r="Q816" s="1" t="s">
        <v>43</v>
      </c>
      <c r="R816" s="1"/>
    </row>
    <row r="817" spans="1:18" x14ac:dyDescent="0.25">
      <c r="A817" s="2">
        <f ca="1">IFERROR(__xludf.DUMMYFUNCTION("""COMPUTED_VALUE"""),45022.8359663078)</f>
        <v>45022.835966307801</v>
      </c>
      <c r="B817" s="1" t="str">
        <f ca="1">IFERROR(__xludf.DUMMYFUNCTION("""COMPUTED_VALUE"""),"India")</f>
        <v>India</v>
      </c>
      <c r="C817" s="1">
        <f ca="1">IFERROR(__xludf.DUMMYFUNCTION("""COMPUTED_VALUE"""),400607)</f>
        <v>400607</v>
      </c>
      <c r="D817" s="1" t="str">
        <f ca="1">IFERROR(__xludf.DUMMYFUNCTION("""COMPUTED_VALUE"""),"Male")</f>
        <v>Male</v>
      </c>
      <c r="E817" s="1" t="str">
        <f ca="1">IFERROR(__xludf.DUMMYFUNCTION("""COMPUTED_VALUE"""),"People who have changed the world for better")</f>
        <v>People who have changed the world for better</v>
      </c>
      <c r="F817" s="1" t="str">
        <f ca="1">IFERROR(__xludf.DUMMYFUNCTION("""COMPUTED_VALUE"""),"Yes, I will earn and do that")</f>
        <v>Yes, I will earn and do that</v>
      </c>
      <c r="G817" s="1" t="str">
        <f ca="1">IFERROR(__xludf.DUMMYFUNCTION("""COMPUTED_VALUE"""),"This will be hard to do, but if it is the right company I would try")</f>
        <v>This will be hard to do, but if it is the right company I would try</v>
      </c>
      <c r="H817" s="1" t="str">
        <f ca="1">IFERROR(__xludf.DUMMYFUNCTION("""COMPUTED_VALUE"""),"No")</f>
        <v>No</v>
      </c>
      <c r="I817" s="1" t="str">
        <f ca="1">IFERROR(__xludf.DUMMYFUNCTION("""COMPUTED_VALUE"""),"Will NOT work for them")</f>
        <v>Will NOT work for them</v>
      </c>
      <c r="J817" s="1">
        <f ca="1">IFERROR(__xludf.DUMMYFUNCTION("""COMPUTED_VALUE"""),1)</f>
        <v>1</v>
      </c>
      <c r="K817" s="1" t="str">
        <f ca="1">IFERROR(__xludf.DUMMYFUNCTION("""COMPUTED_VALUE"""),"Hybrid Working Environment with more than 15 days a month at office")</f>
        <v>Hybrid Working Environment with more than 15 days a month at office</v>
      </c>
      <c r="L817" s="1" t="str">
        <f ca="1">IFERROR(__xludf.DUMMYFUNCTION("""COMPUTED_VALUE"""),"Employer who pushes your limits by enabling an learning environment, and rewards you at the end")</f>
        <v>Employer who pushes your limits by enabling an learning environment, and rewards you at the end</v>
      </c>
      <c r="M81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817" s="1"/>
      <c r="O817" s="1" t="str">
        <f ca="1">IFERROR(__xludf.DUMMYFUNCTION("""COMPUTED_VALUE"""),"Manager who sets targets and expects me to achieve it")</f>
        <v>Manager who sets targets and expects me to achieve it</v>
      </c>
      <c r="P817" s="1" t="str">
        <f ca="1">IFERROR(__xludf.DUMMYFUNCTION("""COMPUTED_VALUE"""),"Work &lt;=6 People in the Team")</f>
        <v>Work &lt;=6 People in the Team</v>
      </c>
      <c r="Q817" s="1" t="s">
        <v>42</v>
      </c>
      <c r="R817" s="1"/>
    </row>
    <row r="818" spans="1:18" x14ac:dyDescent="0.25">
      <c r="A818" s="2">
        <f ca="1">IFERROR(__xludf.DUMMYFUNCTION("""COMPUTED_VALUE"""),45022.8368635069)</f>
        <v>45022.836863506898</v>
      </c>
      <c r="B818" s="1" t="str">
        <f ca="1">IFERROR(__xludf.DUMMYFUNCTION("""COMPUTED_VALUE"""),"India")</f>
        <v>India</v>
      </c>
      <c r="C818" s="1">
        <f ca="1">IFERROR(__xludf.DUMMYFUNCTION("""COMPUTED_VALUE"""),522001)</f>
        <v>522001</v>
      </c>
      <c r="D818" s="1" t="str">
        <f ca="1">IFERROR(__xludf.DUMMYFUNCTION("""COMPUTED_VALUE"""),"Male")</f>
        <v>Male</v>
      </c>
      <c r="E818" s="1" t="str">
        <f ca="1">IFERROR(__xludf.DUMMYFUNCTION("""COMPUTED_VALUE"""),"People from my circle, but not family members")</f>
        <v>People from my circle, but not family members</v>
      </c>
      <c r="F818" s="1" t="str">
        <f ca="1">IFERROR(__xludf.DUMMYFUNCTION("""COMPUTED_VALUE"""),"No I would not be pursuing Higher Education outside of India")</f>
        <v>No I would not be pursuing Higher Education outside of India</v>
      </c>
      <c r="G818" s="1" t="str">
        <f ca="1">IFERROR(__xludf.DUMMYFUNCTION("""COMPUTED_VALUE"""),"Will work for 3 years or more")</f>
        <v>Will work for 3 years or more</v>
      </c>
      <c r="H818" s="1" t="str">
        <f ca="1">IFERROR(__xludf.DUMMYFUNCTION("""COMPUTED_VALUE"""),"No")</f>
        <v>No</v>
      </c>
      <c r="I818" s="1" t="str">
        <f ca="1">IFERROR(__xludf.DUMMYFUNCTION("""COMPUTED_VALUE"""),"Will NOT work for them")</f>
        <v>Will NOT work for them</v>
      </c>
      <c r="J818" s="1">
        <f ca="1">IFERROR(__xludf.DUMMYFUNCTION("""COMPUTED_VALUE"""),7)</f>
        <v>7</v>
      </c>
      <c r="K818" s="1" t="str">
        <f ca="1">IFERROR(__xludf.DUMMYFUNCTION("""COMPUTED_VALUE"""),"Fully Remote with Options to travel as and when needed")</f>
        <v>Fully Remote with Options to travel as and when needed</v>
      </c>
      <c r="L818" s="1" t="str">
        <f ca="1">IFERROR(__xludf.DUMMYFUNCTION("""COMPUTED_VALUE"""),"Employer who pushes your limits by enabling an learning environment, and rewards you at the end")</f>
        <v>Employer who pushes your limits by enabling an learning environment, and rewards you at the end</v>
      </c>
      <c r="M818"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N818" s="1"/>
      <c r="O818" s="1" t="str">
        <f ca="1">IFERROR(__xludf.DUMMYFUNCTION("""COMPUTED_VALUE"""),"Manager who explains what is expected, sets a goal and helps achieve it")</f>
        <v>Manager who explains what is expected, sets a goal and helps achieve it</v>
      </c>
      <c r="P818" s="1" t="str">
        <f ca="1">IFERROR(__xludf.DUMMYFUNCTION("""COMPUTED_VALUE"""),"Work &lt;=6 People in the Team")</f>
        <v>Work &lt;=6 People in the Team</v>
      </c>
      <c r="Q818" s="1" t="s">
        <v>43</v>
      </c>
      <c r="R818" s="1"/>
    </row>
    <row r="819" spans="1:18" x14ac:dyDescent="0.25">
      <c r="A819" s="2">
        <f ca="1">IFERROR(__xludf.DUMMYFUNCTION("""COMPUTED_VALUE"""),45022.8427504861)</f>
        <v>45022.842750486103</v>
      </c>
      <c r="B819" s="1" t="str">
        <f ca="1">IFERROR(__xludf.DUMMYFUNCTION("""COMPUTED_VALUE"""),"India")</f>
        <v>India</v>
      </c>
      <c r="C819" s="1">
        <f ca="1">IFERROR(__xludf.DUMMYFUNCTION("""COMPUTED_VALUE"""),400709)</f>
        <v>400709</v>
      </c>
      <c r="D819" s="1" t="str">
        <f ca="1">IFERROR(__xludf.DUMMYFUNCTION("""COMPUTED_VALUE"""),"Male")</f>
        <v>Male</v>
      </c>
      <c r="E819" s="1" t="str">
        <f ca="1">IFERROR(__xludf.DUMMYFUNCTION("""COMPUTED_VALUE"""),"My Parents")</f>
        <v>My Parents</v>
      </c>
      <c r="F819" s="1" t="str">
        <f ca="1">IFERROR(__xludf.DUMMYFUNCTION("""COMPUTED_VALUE"""),"No I would not be pursuing Higher Education outside of India")</f>
        <v>No I would not be pursuing Higher Education outside of India</v>
      </c>
      <c r="G819" s="1" t="str">
        <f ca="1">IFERROR(__xludf.DUMMYFUNCTION("""COMPUTED_VALUE"""),"No way")</f>
        <v>No way</v>
      </c>
      <c r="H819" s="1" t="str">
        <f ca="1">IFERROR(__xludf.DUMMYFUNCTION("""COMPUTED_VALUE"""),"Yes")</f>
        <v>Yes</v>
      </c>
      <c r="I819" s="1" t="str">
        <f ca="1">IFERROR(__xludf.DUMMYFUNCTION("""COMPUTED_VALUE"""),"Will work for them")</f>
        <v>Will work for them</v>
      </c>
      <c r="J819" s="1">
        <f ca="1">IFERROR(__xludf.DUMMYFUNCTION("""COMPUTED_VALUE"""),3)</f>
        <v>3</v>
      </c>
      <c r="K819" s="1" t="str">
        <f ca="1">IFERROR(__xludf.DUMMYFUNCTION("""COMPUTED_VALUE"""),"Hybrid Working Environment with more than 15 days a month at office")</f>
        <v>Hybrid Working Environment with more than 15 days a month at office</v>
      </c>
      <c r="L819" s="1" t="str">
        <f ca="1">IFERROR(__xludf.DUMMYFUNCTION("""COMPUTED_VALUE"""),"Employer who pushes your limits and doesn't enables learning environment and never rewards you")</f>
        <v>Employer who pushes your limits and doesn't enables learning environment and never rewards you</v>
      </c>
      <c r="M819"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819" s="1"/>
      <c r="O819" s="1" t="str">
        <f ca="1">IFERROR(__xludf.DUMMYFUNCTION("""COMPUTED_VALUE"""),"Manager who sets targets and expects me to achieve it")</f>
        <v>Manager who sets targets and expects me to achieve it</v>
      </c>
      <c r="P819" s="1" t="str">
        <f ca="1">IFERROR(__xludf.DUMMYFUNCTION("""COMPUTED_VALUE"""),"Work &lt;67 People in the Team")</f>
        <v>Work &lt;67 People in the Team</v>
      </c>
      <c r="Q819" s="1" t="s">
        <v>44</v>
      </c>
      <c r="R819" s="1"/>
    </row>
    <row r="820" spans="1:18" x14ac:dyDescent="0.25">
      <c r="A820" s="2">
        <f ca="1">IFERROR(__xludf.DUMMYFUNCTION("""COMPUTED_VALUE"""),45022.847370706)</f>
        <v>45022.847370705997</v>
      </c>
      <c r="B820" s="1" t="str">
        <f ca="1">IFERROR(__xludf.DUMMYFUNCTION("""COMPUTED_VALUE"""),"India")</f>
        <v>India</v>
      </c>
      <c r="C820" s="1" t="str">
        <f ca="1">IFERROR(__xludf.DUMMYFUNCTION("""COMPUTED_VALUE"""),"000000")</f>
        <v>000000</v>
      </c>
      <c r="D820" s="1" t="str">
        <f ca="1">IFERROR(__xludf.DUMMYFUNCTION("""COMPUTED_VALUE"""),"Female")</f>
        <v>Female</v>
      </c>
      <c r="E820" s="1" t="str">
        <f ca="1">IFERROR(__xludf.DUMMYFUNCTION("""COMPUTED_VALUE"""),"People who have changed the world for better")</f>
        <v>People who have changed the world for better</v>
      </c>
      <c r="F820" s="1" t="str">
        <f ca="1">IFERROR(__xludf.DUMMYFUNCTION("""COMPUTED_VALUE"""),"No I would not be pursuing Higher Education outside of India")</f>
        <v>No I would not be pursuing Higher Education outside of India</v>
      </c>
      <c r="G820" s="1" t="str">
        <f ca="1">IFERROR(__xludf.DUMMYFUNCTION("""COMPUTED_VALUE"""),"No way")</f>
        <v>No way</v>
      </c>
      <c r="H820" s="1" t="str">
        <f ca="1">IFERROR(__xludf.DUMMYFUNCTION("""COMPUTED_VALUE"""),"Yes")</f>
        <v>Yes</v>
      </c>
      <c r="I820" s="1" t="str">
        <f ca="1">IFERROR(__xludf.DUMMYFUNCTION("""COMPUTED_VALUE"""),"Will work for them")</f>
        <v>Will work for them</v>
      </c>
      <c r="J820" s="1">
        <f ca="1">IFERROR(__xludf.DUMMYFUNCTION("""COMPUTED_VALUE"""),5)</f>
        <v>5</v>
      </c>
      <c r="K820" s="1" t="str">
        <f ca="1">IFERROR(__xludf.DUMMYFUNCTION("""COMPUTED_VALUE"""),"Fully Remote with No option to visit offices")</f>
        <v>Fully Remote with No option to visit offices</v>
      </c>
      <c r="L820" s="1" t="str">
        <f ca="1">IFERROR(__xludf.DUMMYFUNCTION("""COMPUTED_VALUE"""),"Employer who pushes your limits by enabling an learning environment, and rewards you at the end")</f>
        <v>Employer who pushes your limits by enabling an learning environment, and rewards you at the end</v>
      </c>
      <c r="M820"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820" s="1"/>
      <c r="O820" s="1" t="str">
        <f ca="1">IFERROR(__xludf.DUMMYFUNCTION("""COMPUTED_VALUE"""),"Manager who sets unrealistic targets")</f>
        <v>Manager who sets unrealistic targets</v>
      </c>
      <c r="P820" s="1" t="str">
        <f ca="1">IFERROR(__xludf.DUMMYFUNCTION("""COMPUTED_VALUE"""),"Work &gt;10 people in Team")</f>
        <v>Work &gt;10 people in Team</v>
      </c>
      <c r="Q820" s="1" t="s">
        <v>42</v>
      </c>
      <c r="R820" s="1"/>
    </row>
    <row r="821" spans="1:18" x14ac:dyDescent="0.25">
      <c r="A821" s="2">
        <f ca="1">IFERROR(__xludf.DUMMYFUNCTION("""COMPUTED_VALUE"""),45022.8529682175)</f>
        <v>45022.852968217499</v>
      </c>
      <c r="B821" s="1" t="str">
        <f ca="1">IFERROR(__xludf.DUMMYFUNCTION("""COMPUTED_VALUE"""),"India")</f>
        <v>India</v>
      </c>
      <c r="C821" s="1">
        <f ca="1">IFERROR(__xludf.DUMMYFUNCTION("""COMPUTED_VALUE"""),400068)</f>
        <v>400068</v>
      </c>
      <c r="D821" s="1" t="str">
        <f ca="1">IFERROR(__xludf.DUMMYFUNCTION("""COMPUTED_VALUE"""),"Male")</f>
        <v>Male</v>
      </c>
      <c r="E821" s="1" t="str">
        <f ca="1">IFERROR(__xludf.DUMMYFUNCTION("""COMPUTED_VALUE"""),"My Parents")</f>
        <v>My Parents</v>
      </c>
      <c r="F821" s="1" t="str">
        <f ca="1">IFERROR(__xludf.DUMMYFUNCTION("""COMPUTED_VALUE"""),"Yes, I will earn and do that")</f>
        <v>Yes, I will earn and do that</v>
      </c>
      <c r="G821" s="1" t="str">
        <f ca="1">IFERROR(__xludf.DUMMYFUNCTION("""COMPUTED_VALUE"""),"This will be hard to do, but if it is the right company I would try")</f>
        <v>This will be hard to do, but if it is the right company I would try</v>
      </c>
      <c r="H821" s="1" t="str">
        <f ca="1">IFERROR(__xludf.DUMMYFUNCTION("""COMPUTED_VALUE"""),"Yes")</f>
        <v>Yes</v>
      </c>
      <c r="I821" s="1" t="str">
        <f ca="1">IFERROR(__xludf.DUMMYFUNCTION("""COMPUTED_VALUE"""),"Will NOT work for them")</f>
        <v>Will NOT work for them</v>
      </c>
      <c r="J821" s="1">
        <f ca="1">IFERROR(__xludf.DUMMYFUNCTION("""COMPUTED_VALUE"""),5)</f>
        <v>5</v>
      </c>
      <c r="K821" s="1" t="str">
        <f ca="1">IFERROR(__xludf.DUMMYFUNCTION("""COMPUTED_VALUE"""),"Hybrid Working Environment with more than 15 days a month at office")</f>
        <v>Hybrid Working Environment with more than 15 days a month at office</v>
      </c>
      <c r="L821" s="1" t="str">
        <f ca="1">IFERROR(__xludf.DUMMYFUNCTION("""COMPUTED_VALUE"""),"Employer who pushes your limits by enabling an learning environment, and rewards you at the end")</f>
        <v>Employer who pushes your limits by enabling an learning environment, and rewards you at the end</v>
      </c>
      <c r="M821"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N821" s="1"/>
      <c r="O821" s="1" t="str">
        <f ca="1">IFERROR(__xludf.DUMMYFUNCTION("""COMPUTED_VALUE"""),"Manager who explains what is expected, sets a goal and helps achieve it")</f>
        <v>Manager who explains what is expected, sets a goal and helps achieve it</v>
      </c>
      <c r="P821" s="1" t="str">
        <f ca="1">IFERROR(__xludf.DUMMYFUNCTION("""COMPUTED_VALUE"""),"Work &gt;10 people in Team")</f>
        <v>Work &gt;10 people in Team</v>
      </c>
      <c r="Q821" s="1" t="s">
        <v>40</v>
      </c>
      <c r="R821" s="1"/>
    </row>
    <row r="822" spans="1:18" x14ac:dyDescent="0.25">
      <c r="A822" s="2">
        <f ca="1">IFERROR(__xludf.DUMMYFUNCTION("""COMPUTED_VALUE"""),45022.8667558101)</f>
        <v>45022.866755810101</v>
      </c>
      <c r="B822" s="1" t="str">
        <f ca="1">IFERROR(__xludf.DUMMYFUNCTION("""COMPUTED_VALUE"""),"United States of America")</f>
        <v>United States of America</v>
      </c>
      <c r="C822" s="1">
        <f ca="1">IFERROR(__xludf.DUMMYFUNCTION("""COMPUTED_VALUE"""),44114)</f>
        <v>44114</v>
      </c>
      <c r="D822" s="1" t="str">
        <f ca="1">IFERROR(__xludf.DUMMYFUNCTION("""COMPUTED_VALUE"""),"Male")</f>
        <v>Male</v>
      </c>
      <c r="E822" s="1" t="str">
        <f ca="1">IFERROR(__xludf.DUMMYFUNCTION("""COMPUTED_VALUE"""),"Influencers who had successful careers")</f>
        <v>Influencers who had successful careers</v>
      </c>
      <c r="F822" s="1" t="str">
        <f ca="1">IFERROR(__xludf.DUMMYFUNCTION("""COMPUTED_VALUE"""),"Yes, I will earn and do that")</f>
        <v>Yes, I will earn and do that</v>
      </c>
      <c r="G822" s="1" t="str">
        <f ca="1">IFERROR(__xludf.DUMMYFUNCTION("""COMPUTED_VALUE"""),"This will be hard to do, but if it is the right company I would try")</f>
        <v>This will be hard to do, but if it is the right company I would try</v>
      </c>
      <c r="H822" s="1" t="str">
        <f ca="1">IFERROR(__xludf.DUMMYFUNCTION("""COMPUTED_VALUE"""),"No")</f>
        <v>No</v>
      </c>
      <c r="I822" s="1" t="str">
        <f ca="1">IFERROR(__xludf.DUMMYFUNCTION("""COMPUTED_VALUE"""),"Will work for them")</f>
        <v>Will work for them</v>
      </c>
      <c r="J822" s="1">
        <f ca="1">IFERROR(__xludf.DUMMYFUNCTION("""COMPUTED_VALUE"""),9)</f>
        <v>9</v>
      </c>
      <c r="K822" s="1" t="str">
        <f ca="1">IFERROR(__xludf.DUMMYFUNCTION("""COMPUTED_VALUE"""),"Hybrid Working Environment with less than 3 days a month at office")</f>
        <v>Hybrid Working Environment with less than 3 days a month at office</v>
      </c>
      <c r="L822" s="1" t="str">
        <f ca="1">IFERROR(__xludf.DUMMYFUNCTION("""COMPUTED_VALUE"""),"Employer who pushes your limits by enabling an learning environment, and rewards you at the end")</f>
        <v>Employer who pushes your limits by enabling an learning environment, and rewards you at the end</v>
      </c>
      <c r="M822" s="1" t="str">
        <f ca="1">IFERROR(__xludf.DUMMYFUNCTION("""COMPUTED_VALUE"""),"Business Operations in any organization, Look deeply into Data and generate insights, Become a content Creator in some platform, Entrepreneur or Start Up")</f>
        <v>Business Operations in any organization, Look deeply into Data and generate insights, Become a content Creator in some platform, Entrepreneur or Start Up</v>
      </c>
      <c r="N822" s="1"/>
      <c r="O822" s="1" t="str">
        <f ca="1">IFERROR(__xludf.DUMMYFUNCTION("""COMPUTED_VALUE"""),"Manager who explains what is expected, sets a goal and helps achieve it")</f>
        <v>Manager who explains what is expected, sets a goal and helps achieve it</v>
      </c>
      <c r="P822" s="1" t="str">
        <f ca="1">IFERROR(__xludf.DUMMYFUNCTION("""COMPUTED_VALUE"""),"Work &lt;=6 People in the Team")</f>
        <v>Work &lt;=6 People in the Team</v>
      </c>
      <c r="Q822" s="1" t="s">
        <v>43</v>
      </c>
      <c r="R822" s="1"/>
    </row>
    <row r="823" spans="1:18" x14ac:dyDescent="0.25">
      <c r="A823" s="2">
        <f ca="1">IFERROR(__xludf.DUMMYFUNCTION("""COMPUTED_VALUE"""),45022.8823366898)</f>
        <v>45022.8823366898</v>
      </c>
      <c r="B823" s="1" t="str">
        <f ca="1">IFERROR(__xludf.DUMMYFUNCTION("""COMPUTED_VALUE"""),"India")</f>
        <v>India</v>
      </c>
      <c r="C823" s="1">
        <f ca="1">IFERROR(__xludf.DUMMYFUNCTION("""COMPUTED_VALUE"""),522212)</f>
        <v>522212</v>
      </c>
      <c r="D823" s="1" t="str">
        <f ca="1">IFERROR(__xludf.DUMMYFUNCTION("""COMPUTED_VALUE"""),"Female")</f>
        <v>Female</v>
      </c>
      <c r="E823" s="1" t="str">
        <f ca="1">IFERROR(__xludf.DUMMYFUNCTION("""COMPUTED_VALUE"""),"People who have changed the world for better")</f>
        <v>People who have changed the world for better</v>
      </c>
      <c r="F823" s="1" t="str">
        <f ca="1">IFERROR(__xludf.DUMMYFUNCTION("""COMPUTED_VALUE"""),"No I would not be pursuing Higher Education outside of India")</f>
        <v>No I would not be pursuing Higher Education outside of India</v>
      </c>
      <c r="G823" s="1" t="str">
        <f ca="1">IFERROR(__xludf.DUMMYFUNCTION("""COMPUTED_VALUE"""),"This will be hard to do, but if it is the right company I would try")</f>
        <v>This will be hard to do, but if it is the right company I would try</v>
      </c>
      <c r="H823" s="1" t="str">
        <f ca="1">IFERROR(__xludf.DUMMYFUNCTION("""COMPUTED_VALUE"""),"No")</f>
        <v>No</v>
      </c>
      <c r="I823" s="1" t="str">
        <f ca="1">IFERROR(__xludf.DUMMYFUNCTION("""COMPUTED_VALUE"""),"Will NOT work for them")</f>
        <v>Will NOT work for them</v>
      </c>
      <c r="J823" s="1">
        <f ca="1">IFERROR(__xludf.DUMMYFUNCTION("""COMPUTED_VALUE"""),8)</f>
        <v>8</v>
      </c>
      <c r="K823" s="1" t="str">
        <f ca="1">IFERROR(__xludf.DUMMYFUNCTION("""COMPUTED_VALUE"""),"Every Day Office Environment")</f>
        <v>Every Day Office Environment</v>
      </c>
      <c r="L823" s="1" t="str">
        <f ca="1">IFERROR(__xludf.DUMMYFUNCTION("""COMPUTED_VALUE"""),"Employer who pushes your limits by enabling an learning environment, and rewards you at the end")</f>
        <v>Employer who pushes your limits by enabling an learning environment, and rewards you at the end</v>
      </c>
      <c r="M823"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823" s="1"/>
      <c r="O823" s="1" t="str">
        <f ca="1">IFERROR(__xludf.DUMMYFUNCTION("""COMPUTED_VALUE"""),"Manager who explains what is expected, sets a goal and helps achieve it")</f>
        <v>Manager who explains what is expected, sets a goal and helps achieve it</v>
      </c>
      <c r="P823" s="1" t="str">
        <f ca="1">IFERROR(__xludf.DUMMYFUNCTION("""COMPUTED_VALUE"""),"Work &lt;=6 People in the Team")</f>
        <v>Work &lt;=6 People in the Team</v>
      </c>
      <c r="Q823" s="1" t="s">
        <v>43</v>
      </c>
      <c r="R823" s="1"/>
    </row>
    <row r="824" spans="1:18" x14ac:dyDescent="0.25">
      <c r="A824" s="2">
        <f ca="1">IFERROR(__xludf.DUMMYFUNCTION("""COMPUTED_VALUE"""),45022.8881923148)</f>
        <v>45022.8881923148</v>
      </c>
      <c r="B824" s="1" t="str">
        <f ca="1">IFERROR(__xludf.DUMMYFUNCTION("""COMPUTED_VALUE"""),"Others")</f>
        <v>Others</v>
      </c>
      <c r="C824" s="1" t="str">
        <f ca="1">IFERROR(__xludf.DUMMYFUNCTION("""COMPUTED_VALUE"""),"02-781")</f>
        <v>02-781</v>
      </c>
      <c r="D824" s="1" t="str">
        <f ca="1">IFERROR(__xludf.DUMMYFUNCTION("""COMPUTED_VALUE"""),"Female")</f>
        <v>Female</v>
      </c>
      <c r="E824" s="1" t="str">
        <f ca="1">IFERROR(__xludf.DUMMYFUNCTION("""COMPUTED_VALUE"""),"People from my circle, but not family members")</f>
        <v>People from my circle, but not family members</v>
      </c>
      <c r="F824" s="1" t="str">
        <f ca="1">IFERROR(__xludf.DUMMYFUNCTION("""COMPUTED_VALUE"""),"No I would not be pursuing Higher Education outside of India")</f>
        <v>No I would not be pursuing Higher Education outside of India</v>
      </c>
      <c r="G824" s="1" t="str">
        <f ca="1">IFERROR(__xludf.DUMMYFUNCTION("""COMPUTED_VALUE"""),"Will work for 3 years or more")</f>
        <v>Will work for 3 years or more</v>
      </c>
      <c r="H824" s="1" t="str">
        <f ca="1">IFERROR(__xludf.DUMMYFUNCTION("""COMPUTED_VALUE"""),"No")</f>
        <v>No</v>
      </c>
      <c r="I824" s="1" t="str">
        <f ca="1">IFERROR(__xludf.DUMMYFUNCTION("""COMPUTED_VALUE"""),"Will NOT work for them")</f>
        <v>Will NOT work for them</v>
      </c>
      <c r="J824" s="1">
        <f ca="1">IFERROR(__xludf.DUMMYFUNCTION("""COMPUTED_VALUE"""),1)</f>
        <v>1</v>
      </c>
      <c r="K824" s="1" t="str">
        <f ca="1">IFERROR(__xludf.DUMMYFUNCTION("""COMPUTED_VALUE"""),"Every Day Office Environment")</f>
        <v>Every Day Office Environment</v>
      </c>
      <c r="L824" s="1" t="str">
        <f ca="1">IFERROR(__xludf.DUMMYFUNCTION("""COMPUTED_VALUE"""),"Employer who rewards learning and enables that environment")</f>
        <v>Employer who rewards learning and enables that environment</v>
      </c>
      <c r="M824"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N824" s="1"/>
      <c r="O824" s="1" t="str">
        <f ca="1">IFERROR(__xludf.DUMMYFUNCTION("""COMPUTED_VALUE"""),"Manager who explains what is expected, sets a goal and helps achieve it")</f>
        <v>Manager who explains what is expected, sets a goal and helps achieve it</v>
      </c>
      <c r="P824" s="1" t="str">
        <f ca="1">IFERROR(__xludf.DUMMYFUNCTION("""COMPUTED_VALUE"""),"Work &gt;=7 People in the Team")</f>
        <v>Work &gt;=7 People in the Team</v>
      </c>
      <c r="Q824" s="1" t="s">
        <v>43</v>
      </c>
      <c r="R824" s="1"/>
    </row>
    <row r="825" spans="1:18" x14ac:dyDescent="0.25">
      <c r="A825" s="2">
        <f ca="1">IFERROR(__xludf.DUMMYFUNCTION("""COMPUTED_VALUE"""),45022.8895086921)</f>
        <v>45022.889508692097</v>
      </c>
      <c r="B825" s="1" t="str">
        <f ca="1">IFERROR(__xludf.DUMMYFUNCTION("""COMPUTED_VALUE"""),"India")</f>
        <v>India</v>
      </c>
      <c r="C825" s="1">
        <f ca="1">IFERROR(__xludf.DUMMYFUNCTION("""COMPUTED_VALUE"""),641105)</f>
        <v>641105</v>
      </c>
      <c r="D825" s="1" t="str">
        <f ca="1">IFERROR(__xludf.DUMMYFUNCTION("""COMPUTED_VALUE"""),"Male")</f>
        <v>Male</v>
      </c>
      <c r="E825" s="1" t="str">
        <f ca="1">IFERROR(__xludf.DUMMYFUNCTION("""COMPUTED_VALUE"""),"People who have changed the world for better")</f>
        <v>People who have changed the world for better</v>
      </c>
      <c r="F825" s="1" t="str">
        <f ca="1">IFERROR(__xludf.DUMMYFUNCTION("""COMPUTED_VALUE"""),"No I would not be pursuing Higher Education outside of India")</f>
        <v>No I would not be pursuing Higher Education outside of India</v>
      </c>
      <c r="G825" s="1" t="str">
        <f ca="1">IFERROR(__xludf.DUMMYFUNCTION("""COMPUTED_VALUE"""),"This will be hard to do, but if it is the right company I would try")</f>
        <v>This will be hard to do, but if it is the right company I would try</v>
      </c>
      <c r="H825" s="1" t="str">
        <f ca="1">IFERROR(__xludf.DUMMYFUNCTION("""COMPUTED_VALUE"""),"Yes")</f>
        <v>Yes</v>
      </c>
      <c r="I825" s="1" t="str">
        <f ca="1">IFERROR(__xludf.DUMMYFUNCTION("""COMPUTED_VALUE"""),"Will work for them")</f>
        <v>Will work for them</v>
      </c>
      <c r="J825" s="1">
        <f ca="1">IFERROR(__xludf.DUMMYFUNCTION("""COMPUTED_VALUE"""),10)</f>
        <v>10</v>
      </c>
      <c r="K825" s="1" t="str">
        <f ca="1">IFERROR(__xludf.DUMMYFUNCTION("""COMPUTED_VALUE"""),"Hybrid Working Environment with more than 15 days a month at office")</f>
        <v>Hybrid Working Environment with more than 15 days a month at office</v>
      </c>
      <c r="L825" s="1" t="str">
        <f ca="1">IFERROR(__xludf.DUMMYFUNCTION("""COMPUTED_VALUE"""),"Employer who pushes your limits by enabling an learning environment, and rewards you at the end")</f>
        <v>Employer who pushes your limits by enabling an learning environment, and rewards you at the end</v>
      </c>
      <c r="M825"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825" s="1"/>
      <c r="O825" s="1" t="str">
        <f ca="1">IFERROR(__xludf.DUMMYFUNCTION("""COMPUTED_VALUE"""),"Manager who explains what is expected, sets a goal and helps achieve it")</f>
        <v>Manager who explains what is expected, sets a goal and helps achieve it</v>
      </c>
      <c r="P825" s="1" t="str">
        <f ca="1">IFERROR(__xludf.DUMMYFUNCTION("""COMPUTED_VALUE"""),"Work &lt;=6 People in the Team")</f>
        <v>Work &lt;=6 People in the Team</v>
      </c>
      <c r="Q825" s="1" t="s">
        <v>43</v>
      </c>
      <c r="R825" s="1"/>
    </row>
    <row r="826" spans="1:18" x14ac:dyDescent="0.25">
      <c r="A826" s="2">
        <f ca="1">IFERROR(__xludf.DUMMYFUNCTION("""COMPUTED_VALUE"""),45022.8985792476)</f>
        <v>45022.898579247601</v>
      </c>
      <c r="B826" s="1" t="str">
        <f ca="1">IFERROR(__xludf.DUMMYFUNCTION("""COMPUTED_VALUE"""),"India")</f>
        <v>India</v>
      </c>
      <c r="C826" s="1">
        <f ca="1">IFERROR(__xludf.DUMMYFUNCTION("""COMPUTED_VALUE"""),400603)</f>
        <v>400603</v>
      </c>
      <c r="D826" s="1" t="str">
        <f ca="1">IFERROR(__xludf.DUMMYFUNCTION("""COMPUTED_VALUE"""),"Female")</f>
        <v>Female</v>
      </c>
      <c r="E826" s="1" t="str">
        <f ca="1">IFERROR(__xludf.DUMMYFUNCTION("""COMPUTED_VALUE"""),"People from my circle, but not family members")</f>
        <v>People from my circle, but not family members</v>
      </c>
      <c r="F826" s="1" t="str">
        <f ca="1">IFERROR(__xludf.DUMMYFUNCTION("""COMPUTED_VALUE"""),"Yes, I will earn and do that")</f>
        <v>Yes, I will earn and do that</v>
      </c>
      <c r="G826" s="1" t="str">
        <f ca="1">IFERROR(__xludf.DUMMYFUNCTION("""COMPUTED_VALUE"""),"This will be hard to do, but if it is the right company I would try")</f>
        <v>This will be hard to do, but if it is the right company I would try</v>
      </c>
      <c r="H826" s="1" t="str">
        <f ca="1">IFERROR(__xludf.DUMMYFUNCTION("""COMPUTED_VALUE"""),"Yes")</f>
        <v>Yes</v>
      </c>
      <c r="I826" s="1" t="str">
        <f ca="1">IFERROR(__xludf.DUMMYFUNCTION("""COMPUTED_VALUE"""),"Will work for them")</f>
        <v>Will work for them</v>
      </c>
      <c r="J826" s="1">
        <f ca="1">IFERROR(__xludf.DUMMYFUNCTION("""COMPUTED_VALUE"""),5)</f>
        <v>5</v>
      </c>
      <c r="K826" s="1" t="str">
        <f ca="1">IFERROR(__xludf.DUMMYFUNCTION("""COMPUTED_VALUE"""),"Hybrid Working Environment with less than 3 days a month at office")</f>
        <v>Hybrid Working Environment with less than 3 days a month at office</v>
      </c>
      <c r="L826" s="1" t="str">
        <f ca="1">IFERROR(__xludf.DUMMYFUNCTION("""COMPUTED_VALUE"""),"Employer who pushes your limits by enabling an learning environment, and rewards you at the end")</f>
        <v>Employer who pushes your limits by enabling an learning environment, and rewards you at the end</v>
      </c>
      <c r="M826"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826" s="1"/>
      <c r="O826" s="1" t="str">
        <f ca="1">IFERROR(__xludf.DUMMYFUNCTION("""COMPUTED_VALUE"""),"Manager who explains what is expected, sets a goal and helps achieve it")</f>
        <v>Manager who explains what is expected, sets a goal and helps achieve it</v>
      </c>
      <c r="P826" s="1" t="str">
        <f ca="1">IFERROR(__xludf.DUMMYFUNCTION("""COMPUTED_VALUE"""),"Work &lt;=6 People in the Team")</f>
        <v>Work &lt;=6 People in the Team</v>
      </c>
      <c r="Q826" s="1" t="s">
        <v>40</v>
      </c>
      <c r="R826" s="1"/>
    </row>
    <row r="827" spans="1:18" x14ac:dyDescent="0.25">
      <c r="A827" s="2">
        <f ca="1">IFERROR(__xludf.DUMMYFUNCTION("""COMPUTED_VALUE"""),45022.9450558333)</f>
        <v>45022.945055833297</v>
      </c>
      <c r="B827" s="1" t="str">
        <f ca="1">IFERROR(__xludf.DUMMYFUNCTION("""COMPUTED_VALUE"""),"India")</f>
        <v>India</v>
      </c>
      <c r="C827" s="1">
        <f ca="1">IFERROR(__xludf.DUMMYFUNCTION("""COMPUTED_VALUE"""),670002)</f>
        <v>670002</v>
      </c>
      <c r="D827" s="1" t="str">
        <f ca="1">IFERROR(__xludf.DUMMYFUNCTION("""COMPUTED_VALUE"""),"Male")</f>
        <v>Male</v>
      </c>
      <c r="E827" s="1" t="str">
        <f ca="1">IFERROR(__xludf.DUMMYFUNCTION("""COMPUTED_VALUE"""),"Social Media like LinkedIn")</f>
        <v>Social Media like LinkedIn</v>
      </c>
      <c r="F827" s="1" t="str">
        <f ca="1">IFERROR(__xludf.DUMMYFUNCTION("""COMPUTED_VALUE"""),"Yes, I will earn and do that")</f>
        <v>Yes, I will earn and do that</v>
      </c>
      <c r="G827" s="1" t="str">
        <f ca="1">IFERROR(__xludf.DUMMYFUNCTION("""COMPUTED_VALUE"""),"Will work for 3 years or more")</f>
        <v>Will work for 3 years or more</v>
      </c>
      <c r="H827" s="1" t="str">
        <f ca="1">IFERROR(__xludf.DUMMYFUNCTION("""COMPUTED_VALUE"""),"No")</f>
        <v>No</v>
      </c>
      <c r="I827" s="1" t="str">
        <f ca="1">IFERROR(__xludf.DUMMYFUNCTION("""COMPUTED_VALUE"""),"Will NOT work for them")</f>
        <v>Will NOT work for them</v>
      </c>
      <c r="J827" s="1">
        <f ca="1">IFERROR(__xludf.DUMMYFUNCTION("""COMPUTED_VALUE"""),1)</f>
        <v>1</v>
      </c>
      <c r="K827" s="1" t="str">
        <f ca="1">IFERROR(__xludf.DUMMYFUNCTION("""COMPUTED_VALUE"""),"Hybrid Working Environment with less than 3 days a month at office")</f>
        <v>Hybrid Working Environment with less than 3 days a month at office</v>
      </c>
      <c r="L827" s="1" t="str">
        <f ca="1">IFERROR(__xludf.DUMMYFUNCTION("""COMPUTED_VALUE"""),"Employer who rewards learning and enables that environment")</f>
        <v>Employer who rewards learning and enables that environment</v>
      </c>
      <c r="M827"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N827" s="1"/>
      <c r="O827" s="1" t="str">
        <f ca="1">IFERROR(__xludf.DUMMYFUNCTION("""COMPUTED_VALUE"""),"Manager who sets targets and expects me to achieve it")</f>
        <v>Manager who sets targets and expects me to achieve it</v>
      </c>
      <c r="P827" s="1" t="str">
        <f ca="1">IFERROR(__xludf.DUMMYFUNCTION("""COMPUTED_VALUE"""),"Work &gt;=7 People in the Team")</f>
        <v>Work &gt;=7 People in the Team</v>
      </c>
      <c r="Q827" s="1" t="s">
        <v>43</v>
      </c>
      <c r="R827" s="1"/>
    </row>
    <row r="828" spans="1:18" x14ac:dyDescent="0.25">
      <c r="A828" s="2">
        <f ca="1">IFERROR(__xludf.DUMMYFUNCTION("""COMPUTED_VALUE"""),45022.9527128009)</f>
        <v>45022.952712800899</v>
      </c>
      <c r="B828" s="1" t="str">
        <f ca="1">IFERROR(__xludf.DUMMYFUNCTION("""COMPUTED_VALUE"""),"India")</f>
        <v>India</v>
      </c>
      <c r="C828" s="1">
        <f ca="1">IFERROR(__xludf.DUMMYFUNCTION("""COMPUTED_VALUE"""),751012)</f>
        <v>751012</v>
      </c>
      <c r="D828" s="1" t="str">
        <f ca="1">IFERROR(__xludf.DUMMYFUNCTION("""COMPUTED_VALUE"""),"Male")</f>
        <v>Male</v>
      </c>
      <c r="E828" s="1" t="str">
        <f ca="1">IFERROR(__xludf.DUMMYFUNCTION("""COMPUTED_VALUE"""),"People who have changed the world for better")</f>
        <v>People who have changed the world for better</v>
      </c>
      <c r="F828" s="1" t="str">
        <f ca="1">IFERROR(__xludf.DUMMYFUNCTION("""COMPUTED_VALUE"""),"Yes, I will earn and do that")</f>
        <v>Yes, I will earn and do that</v>
      </c>
      <c r="G828" s="1" t="str">
        <f ca="1">IFERROR(__xludf.DUMMYFUNCTION("""COMPUTED_VALUE"""),"Will work for 3 years or more")</f>
        <v>Will work for 3 years or more</v>
      </c>
      <c r="H828" s="1" t="str">
        <f ca="1">IFERROR(__xludf.DUMMYFUNCTION("""COMPUTED_VALUE"""),"No")</f>
        <v>No</v>
      </c>
      <c r="I828" s="1" t="str">
        <f ca="1">IFERROR(__xludf.DUMMYFUNCTION("""COMPUTED_VALUE"""),"Will NOT work for them")</f>
        <v>Will NOT work for them</v>
      </c>
      <c r="J828" s="1">
        <f ca="1">IFERROR(__xludf.DUMMYFUNCTION("""COMPUTED_VALUE"""),8)</f>
        <v>8</v>
      </c>
      <c r="K828" s="1" t="str">
        <f ca="1">IFERROR(__xludf.DUMMYFUNCTION("""COMPUTED_VALUE"""),"Hybrid Working Environment with more than 15 days a month at office")</f>
        <v>Hybrid Working Environment with more than 15 days a month at office</v>
      </c>
      <c r="L828" s="1" t="str">
        <f ca="1">IFERROR(__xludf.DUMMYFUNCTION("""COMPUTED_VALUE"""),"Employer who appreciates learning and enables that environment")</f>
        <v>Employer who appreciates learning and enables that environment</v>
      </c>
      <c r="M828"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828" s="1"/>
      <c r="O828" s="1" t="str">
        <f ca="1">IFERROR(__xludf.DUMMYFUNCTION("""COMPUTED_VALUE"""),"Manager who explains what is expected, sets a goal and helps achieve it")</f>
        <v>Manager who explains what is expected, sets a goal and helps achieve it</v>
      </c>
      <c r="P828" s="1" t="str">
        <f ca="1">IFERROR(__xludf.DUMMYFUNCTION("""COMPUTED_VALUE"""),"Work &lt;=6 People in the Team")</f>
        <v>Work &lt;=6 People in the Team</v>
      </c>
      <c r="Q828" s="1" t="s">
        <v>40</v>
      </c>
      <c r="R828" s="1"/>
    </row>
    <row r="829" spans="1:18" x14ac:dyDescent="0.25">
      <c r="A829" s="2">
        <f ca="1">IFERROR(__xludf.DUMMYFUNCTION("""COMPUTED_VALUE"""),45022.9842512962)</f>
        <v>45022.984251296199</v>
      </c>
      <c r="B829" s="1" t="str">
        <f ca="1">IFERROR(__xludf.DUMMYFUNCTION("""COMPUTED_VALUE"""),"India")</f>
        <v>India</v>
      </c>
      <c r="C829" s="1">
        <f ca="1">IFERROR(__xludf.DUMMYFUNCTION("""COMPUTED_VALUE"""),400022)</f>
        <v>400022</v>
      </c>
      <c r="D829" s="1" t="str">
        <f ca="1">IFERROR(__xludf.DUMMYFUNCTION("""COMPUTED_VALUE"""),"Female")</f>
        <v>Female</v>
      </c>
      <c r="E829" s="1" t="str">
        <f ca="1">IFERROR(__xludf.DUMMYFUNCTION("""COMPUTED_VALUE"""),"My Parents")</f>
        <v>My Parents</v>
      </c>
      <c r="F829" s="1" t="str">
        <f ca="1">IFERROR(__xludf.DUMMYFUNCTION("""COMPUTED_VALUE"""),"Yes, I will earn and do that")</f>
        <v>Yes, I will earn and do that</v>
      </c>
      <c r="G829" s="1" t="str">
        <f ca="1">IFERROR(__xludf.DUMMYFUNCTION("""COMPUTED_VALUE"""),"No way")</f>
        <v>No way</v>
      </c>
      <c r="H829" s="1" t="str">
        <f ca="1">IFERROR(__xludf.DUMMYFUNCTION("""COMPUTED_VALUE"""),"No")</f>
        <v>No</v>
      </c>
      <c r="I829" s="1" t="str">
        <f ca="1">IFERROR(__xludf.DUMMYFUNCTION("""COMPUTED_VALUE"""),"Will NOT work for them")</f>
        <v>Will NOT work for them</v>
      </c>
      <c r="J829" s="1">
        <f ca="1">IFERROR(__xludf.DUMMYFUNCTION("""COMPUTED_VALUE"""),5)</f>
        <v>5</v>
      </c>
      <c r="K829" s="1" t="str">
        <f ca="1">IFERROR(__xludf.DUMMYFUNCTION("""COMPUTED_VALUE"""),"Fully Remote with Options to travel as and when needed")</f>
        <v>Fully Remote with Options to travel as and when needed</v>
      </c>
      <c r="L829" s="1" t="str">
        <f ca="1">IFERROR(__xludf.DUMMYFUNCTION("""COMPUTED_VALUE"""),"Employer who appreciates learning and enables that environment")</f>
        <v>Employer who appreciates learning and enables that environment</v>
      </c>
      <c r="M829" s="1" t="str">
        <f ca="1">IFERROR(__xludf.DUMMYFUNCTION("""COMPUTED_VALUE"""),"Teaching in any of the institutes/colleges/online or offline, Business Operations in any organization, Manage and drive End-to-End Projects or Products, Work as a freelancer and do my thing my way")</f>
        <v>Teaching in any of the institutes/colleges/online or offline, Business Operations in any organization, Manage and drive End-to-End Projects or Products, Work as a freelancer and do my thing my way</v>
      </c>
      <c r="N829" s="1"/>
      <c r="O829" s="1" t="str">
        <f ca="1">IFERROR(__xludf.DUMMYFUNCTION("""COMPUTED_VALUE"""),"Manager who explains what is expected, sets a goal and helps achieve it")</f>
        <v>Manager who explains what is expected, sets a goal and helps achieve it</v>
      </c>
      <c r="P829" s="1" t="str">
        <f ca="1">IFERROR(__xludf.DUMMYFUNCTION("""COMPUTED_VALUE"""),"Work &lt;=6 People in the Team")</f>
        <v>Work &lt;=6 People in the Team</v>
      </c>
      <c r="Q829" s="1" t="s">
        <v>43</v>
      </c>
      <c r="R829" s="1"/>
    </row>
    <row r="830" spans="1:18" x14ac:dyDescent="0.25">
      <c r="A830" s="2">
        <f ca="1">IFERROR(__xludf.DUMMYFUNCTION("""COMPUTED_VALUE"""),45023.0013674421)</f>
        <v>45023.001367442099</v>
      </c>
      <c r="B830" s="1" t="str">
        <f ca="1">IFERROR(__xludf.DUMMYFUNCTION("""COMPUTED_VALUE"""),"India")</f>
        <v>India</v>
      </c>
      <c r="C830" s="1">
        <f ca="1">IFERROR(__xludf.DUMMYFUNCTION("""COMPUTED_VALUE"""),688529)</f>
        <v>688529</v>
      </c>
      <c r="D830" s="1" t="str">
        <f ca="1">IFERROR(__xludf.DUMMYFUNCTION("""COMPUTED_VALUE"""),"Female")</f>
        <v>Female</v>
      </c>
      <c r="E830" s="1" t="str">
        <f ca="1">IFERROR(__xludf.DUMMYFUNCTION("""COMPUTED_VALUE"""),"My Parents")</f>
        <v>My Parents</v>
      </c>
      <c r="F830" s="1" t="str">
        <f ca="1">IFERROR(__xludf.DUMMYFUNCTION("""COMPUTED_VALUE"""),"Yes, I will earn and do that")</f>
        <v>Yes, I will earn and do that</v>
      </c>
      <c r="G830" s="1" t="str">
        <f ca="1">IFERROR(__xludf.DUMMYFUNCTION("""COMPUTED_VALUE"""),"This will be hard to do, but if it is the right company I would try")</f>
        <v>This will be hard to do, but if it is the right company I would try</v>
      </c>
      <c r="H830" s="1" t="str">
        <f ca="1">IFERROR(__xludf.DUMMYFUNCTION("""COMPUTED_VALUE"""),"No")</f>
        <v>No</v>
      </c>
      <c r="I830" s="1" t="str">
        <f ca="1">IFERROR(__xludf.DUMMYFUNCTION("""COMPUTED_VALUE"""),"Will NOT work for them")</f>
        <v>Will NOT work for them</v>
      </c>
      <c r="J830" s="1">
        <f ca="1">IFERROR(__xludf.DUMMYFUNCTION("""COMPUTED_VALUE"""),8)</f>
        <v>8</v>
      </c>
      <c r="K830" s="1" t="str">
        <f ca="1">IFERROR(__xludf.DUMMYFUNCTION("""COMPUTED_VALUE"""),"Every Day Office Environment")</f>
        <v>Every Day Office Environment</v>
      </c>
      <c r="L830" s="1" t="str">
        <f ca="1">IFERROR(__xludf.DUMMYFUNCTION("""COMPUTED_VALUE"""),"Employer who pushes your limits by enabling an learning environment, and rewards you at the end")</f>
        <v>Employer who pushes your limits by enabling an learning environment, and rewards you at the end</v>
      </c>
      <c r="M830"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N830" s="1"/>
      <c r="O830" s="1" t="str">
        <f ca="1">IFERROR(__xludf.DUMMYFUNCTION("""COMPUTED_VALUE"""),"Manager who clearly describes what she/he needs")</f>
        <v>Manager who clearly describes what she/he needs</v>
      </c>
      <c r="P830" s="1" t="str">
        <f ca="1">IFERROR(__xludf.DUMMYFUNCTION("""COMPUTED_VALUE"""),"Work &lt;=6 People in the Team")</f>
        <v>Work &lt;=6 People in the Team</v>
      </c>
      <c r="Q830" s="1" t="s">
        <v>43</v>
      </c>
      <c r="R830" s="1"/>
    </row>
    <row r="831" spans="1:18" x14ac:dyDescent="0.25">
      <c r="A831" s="2">
        <f ca="1">IFERROR(__xludf.DUMMYFUNCTION("""COMPUTED_VALUE"""),45023.0227275578)</f>
        <v>45023.0227275578</v>
      </c>
      <c r="B831" s="1" t="str">
        <f ca="1">IFERROR(__xludf.DUMMYFUNCTION("""COMPUTED_VALUE"""),"India")</f>
        <v>India</v>
      </c>
      <c r="C831" s="1">
        <f ca="1">IFERROR(__xludf.DUMMYFUNCTION("""COMPUTED_VALUE"""),190020)</f>
        <v>190020</v>
      </c>
      <c r="D831" s="1" t="str">
        <f ca="1">IFERROR(__xludf.DUMMYFUNCTION("""COMPUTED_VALUE"""),"Female")</f>
        <v>Female</v>
      </c>
      <c r="E831" s="1" t="str">
        <f ca="1">IFERROR(__xludf.DUMMYFUNCTION("""COMPUTED_VALUE"""),"Social Media like LinkedIn")</f>
        <v>Social Media like LinkedIn</v>
      </c>
      <c r="F831" s="1" t="str">
        <f ca="1">IFERROR(__xludf.DUMMYFUNCTION("""COMPUTED_VALUE"""),"No I would not be pursuing Higher Education outside of India")</f>
        <v>No I would not be pursuing Higher Education outside of India</v>
      </c>
      <c r="G831" s="1" t="str">
        <f ca="1">IFERROR(__xludf.DUMMYFUNCTION("""COMPUTED_VALUE"""),"No way")</f>
        <v>No way</v>
      </c>
      <c r="H831" s="1" t="str">
        <f ca="1">IFERROR(__xludf.DUMMYFUNCTION("""COMPUTED_VALUE"""),"No")</f>
        <v>No</v>
      </c>
      <c r="I831" s="1" t="str">
        <f ca="1">IFERROR(__xludf.DUMMYFUNCTION("""COMPUTED_VALUE"""),"Will NOT work for them")</f>
        <v>Will NOT work for them</v>
      </c>
      <c r="J831" s="1">
        <f ca="1">IFERROR(__xludf.DUMMYFUNCTION("""COMPUTED_VALUE"""),10)</f>
        <v>10</v>
      </c>
      <c r="K831" s="1" t="str">
        <f ca="1">IFERROR(__xludf.DUMMYFUNCTION("""COMPUTED_VALUE"""),"Fully Remote with No option to visit offices")</f>
        <v>Fully Remote with No option to visit offices</v>
      </c>
      <c r="L831" s="1" t="str">
        <f ca="1">IFERROR(__xludf.DUMMYFUNCTION("""COMPUTED_VALUE"""),"Employer who rewards learning and enables that environment")</f>
        <v>Employer who rewards learning and enables that environment</v>
      </c>
      <c r="M83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N831" s="1"/>
      <c r="O831" s="1" t="str">
        <f ca="1">IFERROR(__xludf.DUMMYFUNCTION("""COMPUTED_VALUE"""),"Manager who explains what is expected, sets a goal and helps achieve it")</f>
        <v>Manager who explains what is expected, sets a goal and helps achieve it</v>
      </c>
      <c r="P831" s="1" t="str">
        <f ca="1">IFERROR(__xludf.DUMMYFUNCTION("""COMPUTED_VALUE"""),"Work &gt;=7 People in the Team")</f>
        <v>Work &gt;=7 People in the Team</v>
      </c>
      <c r="Q831" s="1" t="s">
        <v>43</v>
      </c>
      <c r="R831" s="1"/>
    </row>
    <row r="832" spans="1:18" x14ac:dyDescent="0.25">
      <c r="A832" s="2">
        <f ca="1">IFERROR(__xludf.DUMMYFUNCTION("""COMPUTED_VALUE"""),45023.0585349768)</f>
        <v>45023.058534976801</v>
      </c>
      <c r="B832" s="1" t="str">
        <f ca="1">IFERROR(__xludf.DUMMYFUNCTION("""COMPUTED_VALUE"""),"India")</f>
        <v>India</v>
      </c>
      <c r="C832" s="1">
        <f ca="1">IFERROR(__xludf.DUMMYFUNCTION("""COMPUTED_VALUE"""),500074)</f>
        <v>500074</v>
      </c>
      <c r="D832" s="1" t="str">
        <f ca="1">IFERROR(__xludf.DUMMYFUNCTION("""COMPUTED_VALUE"""),"Male")</f>
        <v>Male</v>
      </c>
      <c r="E832" s="1" t="str">
        <f ca="1">IFERROR(__xludf.DUMMYFUNCTION("""COMPUTED_VALUE"""),"People who have changed the world for better")</f>
        <v>People who have changed the world for better</v>
      </c>
      <c r="F832" s="1" t="str">
        <f ca="1">IFERROR(__xludf.DUMMYFUNCTION("""COMPUTED_VALUE"""),"Yes, I will earn and do that")</f>
        <v>Yes, I will earn and do that</v>
      </c>
      <c r="G832" s="1" t="str">
        <f ca="1">IFERROR(__xludf.DUMMYFUNCTION("""COMPUTED_VALUE"""),"This will be hard to do, but if it is the right company I would try")</f>
        <v>This will be hard to do, but if it is the right company I would try</v>
      </c>
      <c r="H832" s="1" t="str">
        <f ca="1">IFERROR(__xludf.DUMMYFUNCTION("""COMPUTED_VALUE"""),"No")</f>
        <v>No</v>
      </c>
      <c r="I832" s="1" t="str">
        <f ca="1">IFERROR(__xludf.DUMMYFUNCTION("""COMPUTED_VALUE"""),"Will NOT work for them")</f>
        <v>Will NOT work for them</v>
      </c>
      <c r="J832" s="1">
        <f ca="1">IFERROR(__xludf.DUMMYFUNCTION("""COMPUTED_VALUE"""),7)</f>
        <v>7</v>
      </c>
      <c r="K832" s="1" t="str">
        <f ca="1">IFERROR(__xludf.DUMMYFUNCTION("""COMPUTED_VALUE"""),"Fully Remote with No option to visit offices")</f>
        <v>Fully Remote with No option to visit offices</v>
      </c>
      <c r="L832" s="1" t="str">
        <f ca="1">IFERROR(__xludf.DUMMYFUNCTION("""COMPUTED_VALUE"""),"Employer who pushes your limits by enabling an learning environment, and rewards you at the end")</f>
        <v>Employer who pushes your limits by enabling an learning environment, and rewards you at the end</v>
      </c>
      <c r="M832"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832" s="1"/>
      <c r="O832" s="1" t="str">
        <f ca="1">IFERROR(__xludf.DUMMYFUNCTION("""COMPUTED_VALUE"""),"Manager who sets goal and helps me achieve it")</f>
        <v>Manager who sets goal and helps me achieve it</v>
      </c>
      <c r="P832" s="1" t="str">
        <f ca="1">IFERROR(__xludf.DUMMYFUNCTION("""COMPUTED_VALUE"""),"Work &lt;=6 People in the Team")</f>
        <v>Work &lt;=6 People in the Team</v>
      </c>
      <c r="Q832" s="1" t="s">
        <v>43</v>
      </c>
      <c r="R832" s="1"/>
    </row>
    <row r="833" spans="1:18" x14ac:dyDescent="0.25">
      <c r="A833" s="2">
        <f ca="1">IFERROR(__xludf.DUMMYFUNCTION("""COMPUTED_VALUE"""),45023.2530901388)</f>
        <v>45023.253090138802</v>
      </c>
      <c r="B833" s="1" t="str">
        <f ca="1">IFERROR(__xludf.DUMMYFUNCTION("""COMPUTED_VALUE"""),"India")</f>
        <v>India</v>
      </c>
      <c r="C833" s="1">
        <f ca="1">IFERROR(__xludf.DUMMYFUNCTION("""COMPUTED_VALUE"""),110078)</f>
        <v>110078</v>
      </c>
      <c r="D833" s="1" t="str">
        <f ca="1">IFERROR(__xludf.DUMMYFUNCTION("""COMPUTED_VALUE"""),"Male")</f>
        <v>Male</v>
      </c>
      <c r="E833" s="1" t="str">
        <f ca="1">IFERROR(__xludf.DUMMYFUNCTION("""COMPUTED_VALUE"""),"My Parents")</f>
        <v>My Parents</v>
      </c>
      <c r="F833" s="1" t="str">
        <f ca="1">IFERROR(__xludf.DUMMYFUNCTION("""COMPUTED_VALUE"""),"Yes, I will earn and do that")</f>
        <v>Yes, I will earn and do that</v>
      </c>
      <c r="G833" s="1" t="str">
        <f ca="1">IFERROR(__xludf.DUMMYFUNCTION("""COMPUTED_VALUE"""),"Will work for 3 years or more")</f>
        <v>Will work for 3 years or more</v>
      </c>
      <c r="H833" s="1" t="str">
        <f ca="1">IFERROR(__xludf.DUMMYFUNCTION("""COMPUTED_VALUE"""),"No")</f>
        <v>No</v>
      </c>
      <c r="I833" s="1" t="str">
        <f ca="1">IFERROR(__xludf.DUMMYFUNCTION("""COMPUTED_VALUE"""),"Will NOT work for them")</f>
        <v>Will NOT work for them</v>
      </c>
      <c r="J833" s="1">
        <f ca="1">IFERROR(__xludf.DUMMYFUNCTION("""COMPUTED_VALUE"""),8)</f>
        <v>8</v>
      </c>
      <c r="K833" s="1" t="str">
        <f ca="1">IFERROR(__xludf.DUMMYFUNCTION("""COMPUTED_VALUE"""),"Every Day Office Environment")</f>
        <v>Every Day Office Environment</v>
      </c>
      <c r="L833" s="1" t="str">
        <f ca="1">IFERROR(__xludf.DUMMYFUNCTION("""COMPUTED_VALUE"""),"Employer who appreciates learning and enables that environment")</f>
        <v>Employer who appreciates learning and enables that environment</v>
      </c>
      <c r="M83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833" s="1"/>
      <c r="O833" s="1" t="str">
        <f ca="1">IFERROR(__xludf.DUMMYFUNCTION("""COMPUTED_VALUE"""),"Manager who clearly describes what she/he needs")</f>
        <v>Manager who clearly describes what she/he needs</v>
      </c>
      <c r="P833" s="1" t="str">
        <f ca="1">IFERROR(__xludf.DUMMYFUNCTION("""COMPUTED_VALUE"""),"Work &lt;=6 People in the Team")</f>
        <v>Work &lt;=6 People in the Team</v>
      </c>
      <c r="Q833" s="1" t="s">
        <v>43</v>
      </c>
      <c r="R833" s="1"/>
    </row>
    <row r="834" spans="1:18" x14ac:dyDescent="0.25">
      <c r="A834" s="2">
        <f ca="1">IFERROR(__xludf.DUMMYFUNCTION("""COMPUTED_VALUE"""),45023.2829494212)</f>
        <v>45023.282949421198</v>
      </c>
      <c r="B834" s="1" t="str">
        <f ca="1">IFERROR(__xludf.DUMMYFUNCTION("""COMPUTED_VALUE"""),"India")</f>
        <v>India</v>
      </c>
      <c r="C834" s="1">
        <f ca="1">IFERROR(__xludf.DUMMYFUNCTION("""COMPUTED_VALUE"""),247667)</f>
        <v>247667</v>
      </c>
      <c r="D834" s="1" t="str">
        <f ca="1">IFERROR(__xludf.DUMMYFUNCTION("""COMPUTED_VALUE"""),"Female")</f>
        <v>Female</v>
      </c>
      <c r="E834" s="1" t="str">
        <f ca="1">IFERROR(__xludf.DUMMYFUNCTION("""COMPUTED_VALUE"""),"People from my circle, but not family members")</f>
        <v>People from my circle, but not family members</v>
      </c>
      <c r="F834" s="1" t="str">
        <f ca="1">IFERROR(__xludf.DUMMYFUNCTION("""COMPUTED_VALUE"""),"Yes, I will earn and do that")</f>
        <v>Yes, I will earn and do that</v>
      </c>
      <c r="G834" s="1" t="str">
        <f ca="1">IFERROR(__xludf.DUMMYFUNCTION("""COMPUTED_VALUE"""),"Will work for 3 years or more")</f>
        <v>Will work for 3 years or more</v>
      </c>
      <c r="H834" s="1" t="str">
        <f ca="1">IFERROR(__xludf.DUMMYFUNCTION("""COMPUTED_VALUE"""),"No")</f>
        <v>No</v>
      </c>
      <c r="I834" s="1" t="str">
        <f ca="1">IFERROR(__xludf.DUMMYFUNCTION("""COMPUTED_VALUE"""),"Will NOT work for them")</f>
        <v>Will NOT work for them</v>
      </c>
      <c r="J834" s="1">
        <f ca="1">IFERROR(__xludf.DUMMYFUNCTION("""COMPUTED_VALUE"""),7)</f>
        <v>7</v>
      </c>
      <c r="K834" s="1" t="str">
        <f ca="1">IFERROR(__xludf.DUMMYFUNCTION("""COMPUTED_VALUE"""),"Fully Remote with Options to travel as and when needed")</f>
        <v>Fully Remote with Options to travel as and when needed</v>
      </c>
      <c r="L834" s="1" t="str">
        <f ca="1">IFERROR(__xludf.DUMMYFUNCTION("""COMPUTED_VALUE"""),"Employer who pushes your limits by enabling an learning environment, and rewards you at the end")</f>
        <v>Employer who pushes your limits by enabling an learning environment, and rewards you at the end</v>
      </c>
      <c r="M83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834" s="1"/>
      <c r="O834" s="1" t="str">
        <f ca="1">IFERROR(__xludf.DUMMYFUNCTION("""COMPUTED_VALUE"""),"Manager who explains what is expected, sets a goal and helps achieve it")</f>
        <v>Manager who explains what is expected, sets a goal and helps achieve it</v>
      </c>
      <c r="P834" s="1" t="str">
        <f ca="1">IFERROR(__xludf.DUMMYFUNCTION("""COMPUTED_VALUE"""),"Work &lt;=6 People in the Team")</f>
        <v>Work &lt;=6 People in the Team</v>
      </c>
      <c r="Q834" s="1" t="s">
        <v>40</v>
      </c>
      <c r="R834" s="1"/>
    </row>
    <row r="835" spans="1:18" x14ac:dyDescent="0.25">
      <c r="A835" s="2">
        <f ca="1">IFERROR(__xludf.DUMMYFUNCTION("""COMPUTED_VALUE"""),45023.3115559259)</f>
        <v>45023.311555925902</v>
      </c>
      <c r="B835" s="1" t="str">
        <f ca="1">IFERROR(__xludf.DUMMYFUNCTION("""COMPUTED_VALUE"""),"India")</f>
        <v>India</v>
      </c>
      <c r="C835" s="1">
        <f ca="1">IFERROR(__xludf.DUMMYFUNCTION("""COMPUTED_VALUE"""),625010)</f>
        <v>625010</v>
      </c>
      <c r="D835" s="1" t="str">
        <f ca="1">IFERROR(__xludf.DUMMYFUNCTION("""COMPUTED_VALUE"""),"Female")</f>
        <v>Female</v>
      </c>
      <c r="E835" s="1" t="str">
        <f ca="1">IFERROR(__xludf.DUMMYFUNCTION("""COMPUTED_VALUE"""),"Influencers who had successful careers")</f>
        <v>Influencers who had successful careers</v>
      </c>
      <c r="F835" s="1" t="str">
        <f ca="1">IFERROR(__xludf.DUMMYFUNCTION("""COMPUTED_VALUE"""),"No, But if someone could bare the cost I will")</f>
        <v>No, But if someone could bare the cost I will</v>
      </c>
      <c r="G835" s="1" t="str">
        <f ca="1">IFERROR(__xludf.DUMMYFUNCTION("""COMPUTED_VALUE"""),"Will work for 3 years or more")</f>
        <v>Will work for 3 years or more</v>
      </c>
      <c r="H835" s="1" t="str">
        <f ca="1">IFERROR(__xludf.DUMMYFUNCTION("""COMPUTED_VALUE"""),"No")</f>
        <v>No</v>
      </c>
      <c r="I835" s="1" t="str">
        <f ca="1">IFERROR(__xludf.DUMMYFUNCTION("""COMPUTED_VALUE"""),"Will NOT work for them")</f>
        <v>Will NOT work for them</v>
      </c>
      <c r="J835" s="1">
        <f ca="1">IFERROR(__xludf.DUMMYFUNCTION("""COMPUTED_VALUE"""),5)</f>
        <v>5</v>
      </c>
      <c r="K835" s="1" t="str">
        <f ca="1">IFERROR(__xludf.DUMMYFUNCTION("""COMPUTED_VALUE"""),"Hybrid Working Environment with less than 3 days a month at office")</f>
        <v>Hybrid Working Environment with less than 3 days a month at office</v>
      </c>
      <c r="L835" s="1" t="str">
        <f ca="1">IFERROR(__xludf.DUMMYFUNCTION("""COMPUTED_VALUE"""),"Employer who rewards learning and enables that environment")</f>
        <v>Employer who rewards learning and enables that environment</v>
      </c>
      <c r="M835"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N835" s="1"/>
      <c r="O835" s="1" t="str">
        <f ca="1">IFERROR(__xludf.DUMMYFUNCTION("""COMPUTED_VALUE"""),"Manager who explains what is expected, sets a goal and helps achieve it")</f>
        <v>Manager who explains what is expected, sets a goal and helps achieve it</v>
      </c>
      <c r="P835" s="1" t="str">
        <f ca="1">IFERROR(__xludf.DUMMYFUNCTION("""COMPUTED_VALUE"""),"Work &gt;=7 People in the Team")</f>
        <v>Work &gt;=7 People in the Team</v>
      </c>
      <c r="Q835" s="1" t="s">
        <v>40</v>
      </c>
      <c r="R835" s="1"/>
    </row>
    <row r="836" spans="1:18" x14ac:dyDescent="0.25">
      <c r="A836" s="2">
        <f ca="1">IFERROR(__xludf.DUMMYFUNCTION("""COMPUTED_VALUE"""),45023.3708238078)</f>
        <v>45023.370823807803</v>
      </c>
      <c r="B836" s="1" t="str">
        <f ca="1">IFERROR(__xludf.DUMMYFUNCTION("""COMPUTED_VALUE"""),"India")</f>
        <v>India</v>
      </c>
      <c r="C836" s="1">
        <f ca="1">IFERROR(__xludf.DUMMYFUNCTION("""COMPUTED_VALUE"""),400607)</f>
        <v>400607</v>
      </c>
      <c r="D836" s="1" t="str">
        <f ca="1">IFERROR(__xludf.DUMMYFUNCTION("""COMPUTED_VALUE"""),"Female")</f>
        <v>Female</v>
      </c>
      <c r="E836" s="1" t="str">
        <f ca="1">IFERROR(__xludf.DUMMYFUNCTION("""COMPUTED_VALUE"""),"Influencers who had successful careers")</f>
        <v>Influencers who had successful careers</v>
      </c>
      <c r="F836" s="1" t="str">
        <f ca="1">IFERROR(__xludf.DUMMYFUNCTION("""COMPUTED_VALUE"""),"Yes, I will earn and do that")</f>
        <v>Yes, I will earn and do that</v>
      </c>
      <c r="G836" s="1" t="str">
        <f ca="1">IFERROR(__xludf.DUMMYFUNCTION("""COMPUTED_VALUE"""),"This will be hard to do, but if it is the right company I would try")</f>
        <v>This will be hard to do, but if it is the right company I would try</v>
      </c>
      <c r="H836" s="1" t="str">
        <f ca="1">IFERROR(__xludf.DUMMYFUNCTION("""COMPUTED_VALUE"""),"Yes")</f>
        <v>Yes</v>
      </c>
      <c r="I836" s="1" t="str">
        <f ca="1">IFERROR(__xludf.DUMMYFUNCTION("""COMPUTED_VALUE"""),"Will NOT work for them")</f>
        <v>Will NOT work for them</v>
      </c>
      <c r="J836" s="1">
        <f ca="1">IFERROR(__xludf.DUMMYFUNCTION("""COMPUTED_VALUE"""),6)</f>
        <v>6</v>
      </c>
      <c r="K836" s="1" t="str">
        <f ca="1">IFERROR(__xludf.DUMMYFUNCTION("""COMPUTED_VALUE"""),"Fully Remote with Options to travel as and when needed")</f>
        <v>Fully Remote with Options to travel as and when needed</v>
      </c>
      <c r="L836" s="1" t="str">
        <f ca="1">IFERROR(__xludf.DUMMYFUNCTION("""COMPUTED_VALUE"""),"Employer who pushes your limits by enabling an learning environment, and rewards you at the end")</f>
        <v>Employer who pushes your limits by enabling an learning environment, and rewards you at the end</v>
      </c>
      <c r="M836"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N836" s="1"/>
      <c r="O836" s="1" t="str">
        <f ca="1">IFERROR(__xludf.DUMMYFUNCTION("""COMPUTED_VALUE"""),"Manager who clearly describes what she/he needs")</f>
        <v>Manager who clearly describes what she/he needs</v>
      </c>
      <c r="P836" s="1" t="str">
        <f ca="1">IFERROR(__xludf.DUMMYFUNCTION("""COMPUTED_VALUE"""),"Work Alone, &lt;=6 in team")</f>
        <v>Work Alone, &lt;=6 in team</v>
      </c>
      <c r="Q836" s="1" t="s">
        <v>43</v>
      </c>
      <c r="R836" s="1"/>
    </row>
    <row r="837" spans="1:18" x14ac:dyDescent="0.25">
      <c r="A837" s="2">
        <f ca="1">IFERROR(__xludf.DUMMYFUNCTION("""COMPUTED_VALUE"""),45023.3731447337)</f>
        <v>45023.373144733698</v>
      </c>
      <c r="B837" s="1" t="str">
        <f ca="1">IFERROR(__xludf.DUMMYFUNCTION("""COMPUTED_VALUE"""),"India")</f>
        <v>India</v>
      </c>
      <c r="C837" s="1">
        <f ca="1">IFERROR(__xludf.DUMMYFUNCTION("""COMPUTED_VALUE"""),600125)</f>
        <v>600125</v>
      </c>
      <c r="D837" s="1" t="str">
        <f ca="1">IFERROR(__xludf.DUMMYFUNCTION("""COMPUTED_VALUE"""),"Male")</f>
        <v>Male</v>
      </c>
      <c r="E837" s="1" t="str">
        <f ca="1">IFERROR(__xludf.DUMMYFUNCTION("""COMPUTED_VALUE"""),"People who have changed the world for better")</f>
        <v>People who have changed the world for better</v>
      </c>
      <c r="F837" s="1" t="str">
        <f ca="1">IFERROR(__xludf.DUMMYFUNCTION("""COMPUTED_VALUE"""),"No I would not be pursuing Higher Education outside of India")</f>
        <v>No I would not be pursuing Higher Education outside of India</v>
      </c>
      <c r="G837" s="1" t="str">
        <f ca="1">IFERROR(__xludf.DUMMYFUNCTION("""COMPUTED_VALUE"""),"Will work for 3 years or more")</f>
        <v>Will work for 3 years or more</v>
      </c>
      <c r="H837" s="1" t="str">
        <f ca="1">IFERROR(__xludf.DUMMYFUNCTION("""COMPUTED_VALUE"""),"No")</f>
        <v>No</v>
      </c>
      <c r="I837" s="1" t="str">
        <f ca="1">IFERROR(__xludf.DUMMYFUNCTION("""COMPUTED_VALUE"""),"Will NOT work for them")</f>
        <v>Will NOT work for them</v>
      </c>
      <c r="J837" s="1">
        <f ca="1">IFERROR(__xludf.DUMMYFUNCTION("""COMPUTED_VALUE"""),7)</f>
        <v>7</v>
      </c>
      <c r="K837" s="1" t="str">
        <f ca="1">IFERROR(__xludf.DUMMYFUNCTION("""COMPUTED_VALUE"""),"Every Day Office Environment")</f>
        <v>Every Day Office Environment</v>
      </c>
      <c r="L837" s="1" t="str">
        <f ca="1">IFERROR(__xludf.DUMMYFUNCTION("""COMPUTED_VALUE"""),"Employer who pushes your limits by enabling an learning environment, and rewards you at the end")</f>
        <v>Employer who pushes your limits by enabling an learning environment, and rewards you at the end</v>
      </c>
      <c r="M83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837" s="1"/>
      <c r="O837" s="1" t="str">
        <f ca="1">IFERROR(__xludf.DUMMYFUNCTION("""COMPUTED_VALUE"""),"Manager who clearly describes what she/he needs")</f>
        <v>Manager who clearly describes what she/he needs</v>
      </c>
      <c r="P837" s="1" t="str">
        <f ca="1">IFERROR(__xludf.DUMMYFUNCTION("""COMPUTED_VALUE"""),"Work &gt;=7 People in the Team")</f>
        <v>Work &gt;=7 People in the Team</v>
      </c>
      <c r="Q837" s="1" t="s">
        <v>40</v>
      </c>
      <c r="R837" s="1"/>
    </row>
    <row r="838" spans="1:18" x14ac:dyDescent="0.25">
      <c r="A838" s="2">
        <f ca="1">IFERROR(__xludf.DUMMYFUNCTION("""COMPUTED_VALUE"""),45023.380565787)</f>
        <v>45023.380565787003</v>
      </c>
      <c r="B838" s="1" t="str">
        <f ca="1">IFERROR(__xludf.DUMMYFUNCTION("""COMPUTED_VALUE"""),"India")</f>
        <v>India</v>
      </c>
      <c r="C838" s="1">
        <f ca="1">IFERROR(__xludf.DUMMYFUNCTION("""COMPUTED_VALUE"""),560043)</f>
        <v>560043</v>
      </c>
      <c r="D838" s="1" t="str">
        <f ca="1">IFERROR(__xludf.DUMMYFUNCTION("""COMPUTED_VALUE"""),"Male")</f>
        <v>Male</v>
      </c>
      <c r="E838" s="1" t="str">
        <f ca="1">IFERROR(__xludf.DUMMYFUNCTION("""COMPUTED_VALUE"""),"People who have changed the world for better")</f>
        <v>People who have changed the world for better</v>
      </c>
      <c r="F838" s="1" t="str">
        <f ca="1">IFERROR(__xludf.DUMMYFUNCTION("""COMPUTED_VALUE"""),"Yes, I will earn and do that")</f>
        <v>Yes, I will earn and do that</v>
      </c>
      <c r="G838" s="1" t="str">
        <f ca="1">IFERROR(__xludf.DUMMYFUNCTION("""COMPUTED_VALUE"""),"This will be hard to do, but if it is the right company I would try")</f>
        <v>This will be hard to do, but if it is the right company I would try</v>
      </c>
      <c r="H838" s="1" t="str">
        <f ca="1">IFERROR(__xludf.DUMMYFUNCTION("""COMPUTED_VALUE"""),"No")</f>
        <v>No</v>
      </c>
      <c r="I838" s="1" t="str">
        <f ca="1">IFERROR(__xludf.DUMMYFUNCTION("""COMPUTED_VALUE"""),"Will NOT work for them")</f>
        <v>Will NOT work for them</v>
      </c>
      <c r="J838" s="1">
        <f ca="1">IFERROR(__xludf.DUMMYFUNCTION("""COMPUTED_VALUE"""),6)</f>
        <v>6</v>
      </c>
      <c r="K838" s="1" t="str">
        <f ca="1">IFERROR(__xludf.DUMMYFUNCTION("""COMPUTED_VALUE"""),"Hybrid Working Environment with more than 15 days a month at office")</f>
        <v>Hybrid Working Environment with more than 15 days a month at office</v>
      </c>
      <c r="L838" s="1" t="str">
        <f ca="1">IFERROR(__xludf.DUMMYFUNCTION("""COMPUTED_VALUE"""),"Employer who pushes your limits by enabling an learning environment, and rewards you at the end")</f>
        <v>Employer who pushes your limits by enabling an learning environment, and rewards you at the end</v>
      </c>
      <c r="M838"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N838" s="1"/>
      <c r="O838" s="1" t="str">
        <f ca="1">IFERROR(__xludf.DUMMYFUNCTION("""COMPUTED_VALUE"""),"Manager who explains what is expected, sets a goal and helps achieve it")</f>
        <v>Manager who explains what is expected, sets a goal and helps achieve it</v>
      </c>
      <c r="P838" s="1" t="str">
        <f ca="1">IFERROR(__xludf.DUMMYFUNCTION("""COMPUTED_VALUE"""),"Work &lt;=6 People in the Team")</f>
        <v>Work &lt;=6 People in the Team</v>
      </c>
      <c r="Q838" s="1" t="s">
        <v>43</v>
      </c>
      <c r="R838" s="1"/>
    </row>
    <row r="839" spans="1:18" x14ac:dyDescent="0.25">
      <c r="A839" s="2">
        <f ca="1">IFERROR(__xludf.DUMMYFUNCTION("""COMPUTED_VALUE"""),45023.445409699)</f>
        <v>45023.445409699001</v>
      </c>
      <c r="B839" s="1" t="str">
        <f ca="1">IFERROR(__xludf.DUMMYFUNCTION("""COMPUTED_VALUE"""),"India")</f>
        <v>India</v>
      </c>
      <c r="C839" s="1">
        <f ca="1">IFERROR(__xludf.DUMMYFUNCTION("""COMPUTED_VALUE"""),400607)</f>
        <v>400607</v>
      </c>
      <c r="D839" s="1" t="str">
        <f ca="1">IFERROR(__xludf.DUMMYFUNCTION("""COMPUTED_VALUE"""),"Male")</f>
        <v>Male</v>
      </c>
      <c r="E839" s="1" t="str">
        <f ca="1">IFERROR(__xludf.DUMMYFUNCTION("""COMPUTED_VALUE"""),"People from my circle, but not family members")</f>
        <v>People from my circle, but not family members</v>
      </c>
      <c r="F839" s="1" t="str">
        <f ca="1">IFERROR(__xludf.DUMMYFUNCTION("""COMPUTED_VALUE"""),"No, But if someone could bare the cost I will")</f>
        <v>No, But if someone could bare the cost I will</v>
      </c>
      <c r="G839" s="1" t="str">
        <f ca="1">IFERROR(__xludf.DUMMYFUNCTION("""COMPUTED_VALUE"""),"Will work for 3 years or more")</f>
        <v>Will work for 3 years or more</v>
      </c>
      <c r="H839" s="1" t="str">
        <f ca="1">IFERROR(__xludf.DUMMYFUNCTION("""COMPUTED_VALUE"""),"Yes")</f>
        <v>Yes</v>
      </c>
      <c r="I839" s="1" t="str">
        <f ca="1">IFERROR(__xludf.DUMMYFUNCTION("""COMPUTED_VALUE"""),"Will NOT work for them")</f>
        <v>Will NOT work for them</v>
      </c>
      <c r="J839" s="1">
        <f ca="1">IFERROR(__xludf.DUMMYFUNCTION("""COMPUTED_VALUE"""),9)</f>
        <v>9</v>
      </c>
      <c r="K839" s="1" t="str">
        <f ca="1">IFERROR(__xludf.DUMMYFUNCTION("""COMPUTED_VALUE"""),"Hybrid Working Environment with less than 3 days a month at office")</f>
        <v>Hybrid Working Environment with less than 3 days a month at office</v>
      </c>
      <c r="L839" s="1" t="str">
        <f ca="1">IFERROR(__xludf.DUMMYFUNCTION("""COMPUTED_VALUE"""),"Employer who rewards learning and enables that environment")</f>
        <v>Employer who rewards learning and enables that environment</v>
      </c>
      <c r="M83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N839" s="1"/>
      <c r="O839" s="1" t="str">
        <f ca="1">IFERROR(__xludf.DUMMYFUNCTION("""COMPUTED_VALUE"""),"Manager who sets goal and helps me achieve it")</f>
        <v>Manager who sets goal and helps me achieve it</v>
      </c>
      <c r="P839" s="1" t="str">
        <f ca="1">IFERROR(__xludf.DUMMYFUNCTION("""COMPUTED_VALUE"""),"Work &lt;=6 People in the Team")</f>
        <v>Work &lt;=6 People in the Team</v>
      </c>
      <c r="Q839" s="1" t="s">
        <v>42</v>
      </c>
      <c r="R839" s="1"/>
    </row>
    <row r="840" spans="1:18" x14ac:dyDescent="0.25">
      <c r="A840" s="2">
        <f ca="1">IFERROR(__xludf.DUMMYFUNCTION("""COMPUTED_VALUE"""),45023.4506556018)</f>
        <v>45023.450655601802</v>
      </c>
      <c r="B840" s="1" t="str">
        <f ca="1">IFERROR(__xludf.DUMMYFUNCTION("""COMPUTED_VALUE"""),"India")</f>
        <v>India</v>
      </c>
      <c r="C840" s="1">
        <f ca="1">IFERROR(__xludf.DUMMYFUNCTION("""COMPUTED_VALUE"""),382424)</f>
        <v>382424</v>
      </c>
      <c r="D840" s="1" t="str">
        <f ca="1">IFERROR(__xludf.DUMMYFUNCTION("""COMPUTED_VALUE"""),"Female")</f>
        <v>Female</v>
      </c>
      <c r="E840" s="1" t="str">
        <f ca="1">IFERROR(__xludf.DUMMYFUNCTION("""COMPUTED_VALUE"""),"People who have changed the world for better")</f>
        <v>People who have changed the world for better</v>
      </c>
      <c r="F840" s="1" t="str">
        <f ca="1">IFERROR(__xludf.DUMMYFUNCTION("""COMPUTED_VALUE"""),"Yes, I will earn and do that")</f>
        <v>Yes, I will earn and do that</v>
      </c>
      <c r="G840" s="1" t="str">
        <f ca="1">IFERROR(__xludf.DUMMYFUNCTION("""COMPUTED_VALUE"""),"Will work for 3 years or more")</f>
        <v>Will work for 3 years or more</v>
      </c>
      <c r="H840" s="1" t="str">
        <f ca="1">IFERROR(__xludf.DUMMYFUNCTION("""COMPUTED_VALUE"""),"No")</f>
        <v>No</v>
      </c>
      <c r="I840" s="1" t="str">
        <f ca="1">IFERROR(__xludf.DUMMYFUNCTION("""COMPUTED_VALUE"""),"Will NOT work for them")</f>
        <v>Will NOT work for them</v>
      </c>
      <c r="J840" s="1">
        <f ca="1">IFERROR(__xludf.DUMMYFUNCTION("""COMPUTED_VALUE"""),5)</f>
        <v>5</v>
      </c>
      <c r="K840" s="1" t="str">
        <f ca="1">IFERROR(__xludf.DUMMYFUNCTION("""COMPUTED_VALUE"""),"Fully Remote with Options to travel as and when needed")</f>
        <v>Fully Remote with Options to travel as and when needed</v>
      </c>
      <c r="L840" s="1" t="str">
        <f ca="1">IFERROR(__xludf.DUMMYFUNCTION("""COMPUTED_VALUE"""),"Employer who pushes your limits by enabling an learning environment, and rewards you at the end")</f>
        <v>Employer who pushes your limits by enabling an learning environment, and rewards you at the end</v>
      </c>
      <c r="M84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840" s="1"/>
      <c r="O840" s="1" t="str">
        <f ca="1">IFERROR(__xludf.DUMMYFUNCTION("""COMPUTED_VALUE"""),"Manager who explains what is expected, sets a goal and helps achieve it")</f>
        <v>Manager who explains what is expected, sets a goal and helps achieve it</v>
      </c>
      <c r="P840" s="1" t="str">
        <f ca="1">IFERROR(__xludf.DUMMYFUNCTION("""COMPUTED_VALUE"""),"Work &lt;=6 People in the Team")</f>
        <v>Work &lt;=6 People in the Team</v>
      </c>
      <c r="Q840" s="1" t="s">
        <v>40</v>
      </c>
      <c r="R840" s="1"/>
    </row>
    <row r="841" spans="1:18" x14ac:dyDescent="0.25">
      <c r="A841" s="2">
        <f ca="1">IFERROR(__xludf.DUMMYFUNCTION("""COMPUTED_VALUE"""),45023.4657532291)</f>
        <v>45023.465753229102</v>
      </c>
      <c r="B841" s="1" t="str">
        <f ca="1">IFERROR(__xludf.DUMMYFUNCTION("""COMPUTED_VALUE"""),"India")</f>
        <v>India</v>
      </c>
      <c r="C841" s="1">
        <f ca="1">IFERROR(__xludf.DUMMYFUNCTION("""COMPUTED_VALUE"""),400607)</f>
        <v>400607</v>
      </c>
      <c r="D841" s="1" t="str">
        <f ca="1">IFERROR(__xludf.DUMMYFUNCTION("""COMPUTED_VALUE"""),"Male")</f>
        <v>Male</v>
      </c>
      <c r="E841" s="1" t="str">
        <f ca="1">IFERROR(__xludf.DUMMYFUNCTION("""COMPUTED_VALUE"""),"My Parents")</f>
        <v>My Parents</v>
      </c>
      <c r="F841" s="1" t="str">
        <f ca="1">IFERROR(__xludf.DUMMYFUNCTION("""COMPUTED_VALUE"""),"Yes, I will earn and do that")</f>
        <v>Yes, I will earn and do that</v>
      </c>
      <c r="G841" s="1" t="str">
        <f ca="1">IFERROR(__xludf.DUMMYFUNCTION("""COMPUTED_VALUE"""),"No way")</f>
        <v>No way</v>
      </c>
      <c r="H841" s="1" t="str">
        <f ca="1">IFERROR(__xludf.DUMMYFUNCTION("""COMPUTED_VALUE"""),"Yes")</f>
        <v>Yes</v>
      </c>
      <c r="I841" s="1" t="str">
        <f ca="1">IFERROR(__xludf.DUMMYFUNCTION("""COMPUTED_VALUE"""),"Will NOT work for them")</f>
        <v>Will NOT work for them</v>
      </c>
      <c r="J841" s="1">
        <f ca="1">IFERROR(__xludf.DUMMYFUNCTION("""COMPUTED_VALUE"""),6)</f>
        <v>6</v>
      </c>
      <c r="K841" s="1" t="str">
        <f ca="1">IFERROR(__xludf.DUMMYFUNCTION("""COMPUTED_VALUE"""),"Hybrid Working Environment with less than 3 days a month at office")</f>
        <v>Hybrid Working Environment with less than 3 days a month at office</v>
      </c>
      <c r="L841" s="1" t="str">
        <f ca="1">IFERROR(__xludf.DUMMYFUNCTION("""COMPUTED_VALUE"""),"Employer who appreciates learning and enables that environment")</f>
        <v>Employer who appreciates learning and enables that environment</v>
      </c>
      <c r="M84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N841" s="1"/>
      <c r="O841" s="1" t="str">
        <f ca="1">IFERROR(__xludf.DUMMYFUNCTION("""COMPUTED_VALUE"""),"Manager who sets targets and expects me to achieve it")</f>
        <v>Manager who sets targets and expects me to achieve it</v>
      </c>
      <c r="P841" s="1" t="str">
        <f ca="1">IFERROR(__xludf.DUMMYFUNCTION("""COMPUTED_VALUE"""),"Work &gt;10 people in Team")</f>
        <v>Work &gt;10 people in Team</v>
      </c>
      <c r="Q841" s="1" t="s">
        <v>42</v>
      </c>
      <c r="R841" s="1"/>
    </row>
    <row r="842" spans="1:18" x14ac:dyDescent="0.25">
      <c r="A842" s="2">
        <f ca="1">IFERROR(__xludf.DUMMYFUNCTION("""COMPUTED_VALUE"""),45023.4738119213)</f>
        <v>45023.4738119213</v>
      </c>
      <c r="B842" s="1" t="str">
        <f ca="1">IFERROR(__xludf.DUMMYFUNCTION("""COMPUTED_VALUE"""),"India")</f>
        <v>India</v>
      </c>
      <c r="C842" s="1">
        <f ca="1">IFERROR(__xludf.DUMMYFUNCTION("""COMPUTED_VALUE"""),400607)</f>
        <v>400607</v>
      </c>
      <c r="D842" s="1" t="str">
        <f ca="1">IFERROR(__xludf.DUMMYFUNCTION("""COMPUTED_VALUE"""),"Male")</f>
        <v>Male</v>
      </c>
      <c r="E842" s="1" t="str">
        <f ca="1">IFERROR(__xludf.DUMMYFUNCTION("""COMPUTED_VALUE"""),"People who have changed the world for better")</f>
        <v>People who have changed the world for better</v>
      </c>
      <c r="F842" s="1" t="str">
        <f ca="1">IFERROR(__xludf.DUMMYFUNCTION("""COMPUTED_VALUE"""),"No I would not be pursuing Higher Education outside of India")</f>
        <v>No I would not be pursuing Higher Education outside of India</v>
      </c>
      <c r="G842" s="1" t="str">
        <f ca="1">IFERROR(__xludf.DUMMYFUNCTION("""COMPUTED_VALUE"""),"This will be hard to do, but if it is the right company I would try")</f>
        <v>This will be hard to do, but if it is the right company I would try</v>
      </c>
      <c r="H842" s="1" t="str">
        <f ca="1">IFERROR(__xludf.DUMMYFUNCTION("""COMPUTED_VALUE"""),"Yes")</f>
        <v>Yes</v>
      </c>
      <c r="I842" s="1" t="str">
        <f ca="1">IFERROR(__xludf.DUMMYFUNCTION("""COMPUTED_VALUE"""),"Will work for them")</f>
        <v>Will work for them</v>
      </c>
      <c r="J842" s="1">
        <f ca="1">IFERROR(__xludf.DUMMYFUNCTION("""COMPUTED_VALUE"""),8)</f>
        <v>8</v>
      </c>
      <c r="K842" s="1" t="str">
        <f ca="1">IFERROR(__xludf.DUMMYFUNCTION("""COMPUTED_VALUE"""),"Hybrid Working Environment with more than 15 days a month at office")</f>
        <v>Hybrid Working Environment with more than 15 days a month at office</v>
      </c>
      <c r="L842" s="1" t="str">
        <f ca="1">IFERROR(__xludf.DUMMYFUNCTION("""COMPUTED_VALUE"""),"Employer who pushes your limits by enabling an learning environment, and rewards you at the end")</f>
        <v>Employer who pushes your limits by enabling an learning environment, and rewards you at the end</v>
      </c>
      <c r="M84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842" s="1"/>
      <c r="O842" s="1" t="str">
        <f ca="1">IFERROR(__xludf.DUMMYFUNCTION("""COMPUTED_VALUE"""),"Manager who explains what is expected, sets a goal and helps achieve it")</f>
        <v>Manager who explains what is expected, sets a goal and helps achieve it</v>
      </c>
      <c r="P842" s="1" t="str">
        <f ca="1">IFERROR(__xludf.DUMMYFUNCTION("""COMPUTED_VALUE"""),"Work &gt;=7 People in the Team")</f>
        <v>Work &gt;=7 People in the Team</v>
      </c>
      <c r="Q842" s="1" t="s">
        <v>43</v>
      </c>
      <c r="R842" s="1"/>
    </row>
    <row r="843" spans="1:18" x14ac:dyDescent="0.25">
      <c r="A843" s="2">
        <f ca="1">IFERROR(__xludf.DUMMYFUNCTION("""COMPUTED_VALUE"""),45023.5013237037)</f>
        <v>45023.501323703698</v>
      </c>
      <c r="B843" s="1" t="str">
        <f ca="1">IFERROR(__xludf.DUMMYFUNCTION("""COMPUTED_VALUE"""),"India")</f>
        <v>India</v>
      </c>
      <c r="C843" s="1">
        <f ca="1">IFERROR(__xludf.DUMMYFUNCTION("""COMPUTED_VALUE"""),533001)</f>
        <v>533001</v>
      </c>
      <c r="D843" s="1" t="str">
        <f ca="1">IFERROR(__xludf.DUMMYFUNCTION("""COMPUTED_VALUE"""),"Male")</f>
        <v>Male</v>
      </c>
      <c r="E843" s="1" t="str">
        <f ca="1">IFERROR(__xludf.DUMMYFUNCTION("""COMPUTED_VALUE"""),"Influencers who had successful careers")</f>
        <v>Influencers who had successful careers</v>
      </c>
      <c r="F843" s="1" t="str">
        <f ca="1">IFERROR(__xludf.DUMMYFUNCTION("""COMPUTED_VALUE"""),"No I would not be pursuing Higher Education outside of India")</f>
        <v>No I would not be pursuing Higher Education outside of India</v>
      </c>
      <c r="G843" s="1" t="str">
        <f ca="1">IFERROR(__xludf.DUMMYFUNCTION("""COMPUTED_VALUE"""),"This will be hard to do, but if it is the right company I would try")</f>
        <v>This will be hard to do, but if it is the right company I would try</v>
      </c>
      <c r="H843" s="1" t="str">
        <f ca="1">IFERROR(__xludf.DUMMYFUNCTION("""COMPUTED_VALUE"""),"No")</f>
        <v>No</v>
      </c>
      <c r="I843" s="1" t="str">
        <f ca="1">IFERROR(__xludf.DUMMYFUNCTION("""COMPUTED_VALUE"""),"Will NOT work for them")</f>
        <v>Will NOT work for them</v>
      </c>
      <c r="J843" s="1">
        <f ca="1">IFERROR(__xludf.DUMMYFUNCTION("""COMPUTED_VALUE"""),10)</f>
        <v>10</v>
      </c>
      <c r="K843" s="1" t="str">
        <f ca="1">IFERROR(__xludf.DUMMYFUNCTION("""COMPUTED_VALUE"""),"Fully Remote with Options to travel as and when needed")</f>
        <v>Fully Remote with Options to travel as and when needed</v>
      </c>
      <c r="L843" s="1" t="str">
        <f ca="1">IFERROR(__xludf.DUMMYFUNCTION("""COMPUTED_VALUE"""),"Employer who pushes your limits by enabling an learning environment, and rewards you at the end")</f>
        <v>Employer who pushes your limits by enabling an learning environment, and rewards you at the end</v>
      </c>
      <c r="M84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N843" s="1"/>
      <c r="O843" s="1" t="str">
        <f ca="1">IFERROR(__xludf.DUMMYFUNCTION("""COMPUTED_VALUE"""),"Manager who explains what is expected, sets a goal and helps achieve it")</f>
        <v>Manager who explains what is expected, sets a goal and helps achieve it</v>
      </c>
      <c r="P843" s="1" t="str">
        <f ca="1">IFERROR(__xludf.DUMMYFUNCTION("""COMPUTED_VALUE"""),"Work &gt;10 people in Team")</f>
        <v>Work &gt;10 people in Team</v>
      </c>
      <c r="Q843" s="1" t="s">
        <v>43</v>
      </c>
      <c r="R843" s="1"/>
    </row>
    <row r="844" spans="1:18" x14ac:dyDescent="0.25">
      <c r="A844" s="2">
        <f ca="1">IFERROR(__xludf.DUMMYFUNCTION("""COMPUTED_VALUE"""),45023.5098894097)</f>
        <v>45023.509889409703</v>
      </c>
      <c r="B844" s="1" t="str">
        <f ca="1">IFERROR(__xludf.DUMMYFUNCTION("""COMPUTED_VALUE"""),"India")</f>
        <v>India</v>
      </c>
      <c r="C844" s="1">
        <f ca="1">IFERROR(__xludf.DUMMYFUNCTION("""COMPUTED_VALUE"""),612001)</f>
        <v>612001</v>
      </c>
      <c r="D844" s="1" t="str">
        <f ca="1">IFERROR(__xludf.DUMMYFUNCTION("""COMPUTED_VALUE"""),"Male")</f>
        <v>Male</v>
      </c>
      <c r="E844" s="1" t="str">
        <f ca="1">IFERROR(__xludf.DUMMYFUNCTION("""COMPUTED_VALUE"""),"Influencers who had successful careers")</f>
        <v>Influencers who had successful careers</v>
      </c>
      <c r="F844" s="1" t="str">
        <f ca="1">IFERROR(__xludf.DUMMYFUNCTION("""COMPUTED_VALUE"""),"Yes, I will earn and do that")</f>
        <v>Yes, I will earn and do that</v>
      </c>
      <c r="G844" s="1" t="str">
        <f ca="1">IFERROR(__xludf.DUMMYFUNCTION("""COMPUTED_VALUE"""),"Will work for 3 years or more")</f>
        <v>Will work for 3 years or more</v>
      </c>
      <c r="H844" s="1" t="str">
        <f ca="1">IFERROR(__xludf.DUMMYFUNCTION("""COMPUTED_VALUE"""),"No")</f>
        <v>No</v>
      </c>
      <c r="I844" s="1" t="str">
        <f ca="1">IFERROR(__xludf.DUMMYFUNCTION("""COMPUTED_VALUE"""),"Will NOT work for them")</f>
        <v>Will NOT work for them</v>
      </c>
      <c r="J844" s="1">
        <f ca="1">IFERROR(__xludf.DUMMYFUNCTION("""COMPUTED_VALUE"""),8)</f>
        <v>8</v>
      </c>
      <c r="K844" s="1" t="str">
        <f ca="1">IFERROR(__xludf.DUMMYFUNCTION("""COMPUTED_VALUE"""),"Fully Remote with Options to travel as and when needed")</f>
        <v>Fully Remote with Options to travel as and when needed</v>
      </c>
      <c r="L844" s="1" t="str">
        <f ca="1">IFERROR(__xludf.DUMMYFUNCTION("""COMPUTED_VALUE"""),"Employer who appreciates learning and enables that environment")</f>
        <v>Employer who appreciates learning and enables that environment</v>
      </c>
      <c r="M844"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N844" s="1"/>
      <c r="O844" s="1" t="str">
        <f ca="1">IFERROR(__xludf.DUMMYFUNCTION("""COMPUTED_VALUE"""),"Manager who explains what is expected, sets a goal and helps achieve it")</f>
        <v>Manager who explains what is expected, sets a goal and helps achieve it</v>
      </c>
      <c r="P844" s="1" t="str">
        <f ca="1">IFERROR(__xludf.DUMMYFUNCTION("""COMPUTED_VALUE"""),"Work &gt;10 people in Team")</f>
        <v>Work &gt;10 people in Team</v>
      </c>
      <c r="Q844" s="1" t="s">
        <v>40</v>
      </c>
      <c r="R844" s="1"/>
    </row>
    <row r="845" spans="1:18" x14ac:dyDescent="0.25">
      <c r="A845" s="2">
        <f ca="1">IFERROR(__xludf.DUMMYFUNCTION("""COMPUTED_VALUE"""),45023.5266821759)</f>
        <v>45023.5266821759</v>
      </c>
      <c r="B845" s="1" t="str">
        <f ca="1">IFERROR(__xludf.DUMMYFUNCTION("""COMPUTED_VALUE"""),"India")</f>
        <v>India</v>
      </c>
      <c r="C845" s="1">
        <f ca="1">IFERROR(__xludf.DUMMYFUNCTION("""COMPUTED_VALUE"""),441002)</f>
        <v>441002</v>
      </c>
      <c r="D845" s="1" t="str">
        <f ca="1">IFERROR(__xludf.DUMMYFUNCTION("""COMPUTED_VALUE"""),"Male")</f>
        <v>Male</v>
      </c>
      <c r="E845" s="1" t="str">
        <f ca="1">IFERROR(__xludf.DUMMYFUNCTION("""COMPUTED_VALUE"""),"My Parents")</f>
        <v>My Parents</v>
      </c>
      <c r="F845" s="1" t="str">
        <f ca="1">IFERROR(__xludf.DUMMYFUNCTION("""COMPUTED_VALUE"""),"No, But if someone could bare the cost I will")</f>
        <v>No, But if someone could bare the cost I will</v>
      </c>
      <c r="G845" s="1" t="str">
        <f ca="1">IFERROR(__xludf.DUMMYFUNCTION("""COMPUTED_VALUE"""),"No way")</f>
        <v>No way</v>
      </c>
      <c r="H845" s="1" t="str">
        <f ca="1">IFERROR(__xludf.DUMMYFUNCTION("""COMPUTED_VALUE"""),"No")</f>
        <v>No</v>
      </c>
      <c r="I845" s="1" t="str">
        <f ca="1">IFERROR(__xludf.DUMMYFUNCTION("""COMPUTED_VALUE"""),"Will NOT work for them")</f>
        <v>Will NOT work for them</v>
      </c>
      <c r="J845" s="1">
        <f ca="1">IFERROR(__xludf.DUMMYFUNCTION("""COMPUTED_VALUE"""),2)</f>
        <v>2</v>
      </c>
      <c r="K845" s="1" t="str">
        <f ca="1">IFERROR(__xludf.DUMMYFUNCTION("""COMPUTED_VALUE"""),"Fully Remote with No option to visit offices")</f>
        <v>Fully Remote with No option to visit offices</v>
      </c>
      <c r="L845" s="1" t="str">
        <f ca="1">IFERROR(__xludf.DUMMYFUNCTION("""COMPUTED_VALUE"""),"Employer who appreciates learning and enables that environment")</f>
        <v>Employer who appreciates learning and enables that environment</v>
      </c>
      <c r="M845"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845" s="1"/>
      <c r="O845" s="1" t="str">
        <f ca="1">IFERROR(__xludf.DUMMYFUNCTION("""COMPUTED_VALUE"""),"Manager who sets goal and helps me achieve it")</f>
        <v>Manager who sets goal and helps me achieve it</v>
      </c>
      <c r="P845" s="1" t="str">
        <f ca="1">IFERROR(__xludf.DUMMYFUNCTION("""COMPUTED_VALUE"""),"Work &gt;10 people in Team")</f>
        <v>Work &gt;10 people in Team</v>
      </c>
      <c r="Q845" s="1" t="s">
        <v>40</v>
      </c>
      <c r="R845" s="1"/>
    </row>
    <row r="846" spans="1:18" x14ac:dyDescent="0.25">
      <c r="A846" s="2">
        <f ca="1">IFERROR(__xludf.DUMMYFUNCTION("""COMPUTED_VALUE"""),45023.678251736)</f>
        <v>45023.678251735997</v>
      </c>
      <c r="B846" s="1" t="str">
        <f ca="1">IFERROR(__xludf.DUMMYFUNCTION("""COMPUTED_VALUE"""),"India")</f>
        <v>India</v>
      </c>
      <c r="C846" s="1">
        <f ca="1">IFERROR(__xludf.DUMMYFUNCTION("""COMPUTED_VALUE"""),507001)</f>
        <v>507001</v>
      </c>
      <c r="D846" s="1" t="str">
        <f ca="1">IFERROR(__xludf.DUMMYFUNCTION("""COMPUTED_VALUE"""),"Male")</f>
        <v>Male</v>
      </c>
      <c r="E846" s="1" t="str">
        <f ca="1">IFERROR(__xludf.DUMMYFUNCTION("""COMPUTED_VALUE"""),"My Parents")</f>
        <v>My Parents</v>
      </c>
      <c r="F846" s="1" t="str">
        <f ca="1">IFERROR(__xludf.DUMMYFUNCTION("""COMPUTED_VALUE"""),"No, But if someone could bare the cost I will")</f>
        <v>No, But if someone could bare the cost I will</v>
      </c>
      <c r="G846" s="1" t="str">
        <f ca="1">IFERROR(__xludf.DUMMYFUNCTION("""COMPUTED_VALUE"""),"Will work for 3 years or more")</f>
        <v>Will work for 3 years or more</v>
      </c>
      <c r="H846" s="1" t="str">
        <f ca="1">IFERROR(__xludf.DUMMYFUNCTION("""COMPUTED_VALUE"""),"No")</f>
        <v>No</v>
      </c>
      <c r="I846" s="1" t="str">
        <f ca="1">IFERROR(__xludf.DUMMYFUNCTION("""COMPUTED_VALUE"""),"Will NOT work for them")</f>
        <v>Will NOT work for them</v>
      </c>
      <c r="J846" s="1">
        <f ca="1">IFERROR(__xludf.DUMMYFUNCTION("""COMPUTED_VALUE"""),4)</f>
        <v>4</v>
      </c>
      <c r="K846" s="1" t="str">
        <f ca="1">IFERROR(__xludf.DUMMYFUNCTION("""COMPUTED_VALUE"""),"Every Day Office Environment")</f>
        <v>Every Day Office Environment</v>
      </c>
      <c r="L846" s="1" t="str">
        <f ca="1">IFERROR(__xludf.DUMMYFUNCTION("""COMPUTED_VALUE"""),"Employer who appreciates learning and enables that environment")</f>
        <v>Employer who appreciates learning and enables that environment</v>
      </c>
      <c r="M846"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N846" s="1"/>
      <c r="O846" s="1" t="str">
        <f ca="1">IFERROR(__xludf.DUMMYFUNCTION("""COMPUTED_VALUE"""),"Manager who sets goal and helps me achieve it")</f>
        <v>Manager who sets goal and helps me achieve it</v>
      </c>
      <c r="P846" s="1" t="str">
        <f ca="1">IFERROR(__xludf.DUMMYFUNCTION("""COMPUTED_VALUE"""),"Work &lt;=6 People in the Team")</f>
        <v>Work &lt;=6 People in the Team</v>
      </c>
      <c r="Q846" s="1" t="s">
        <v>43</v>
      </c>
      <c r="R846" s="1"/>
    </row>
    <row r="847" spans="1:18" x14ac:dyDescent="0.25">
      <c r="A847" s="2">
        <f ca="1">IFERROR(__xludf.DUMMYFUNCTION("""COMPUTED_VALUE"""),45023.6788496643)</f>
        <v>45023.678849664298</v>
      </c>
      <c r="B847" s="1" t="str">
        <f ca="1">IFERROR(__xludf.DUMMYFUNCTION("""COMPUTED_VALUE"""),"India")</f>
        <v>India</v>
      </c>
      <c r="C847" s="1">
        <f ca="1">IFERROR(__xludf.DUMMYFUNCTION("""COMPUTED_VALUE"""),201310)</f>
        <v>201310</v>
      </c>
      <c r="D847" s="1" t="str">
        <f ca="1">IFERROR(__xludf.DUMMYFUNCTION("""COMPUTED_VALUE"""),"Female")</f>
        <v>Female</v>
      </c>
      <c r="E847" s="1" t="str">
        <f ca="1">IFERROR(__xludf.DUMMYFUNCTION("""COMPUTED_VALUE"""),"My Parents")</f>
        <v>My Parents</v>
      </c>
      <c r="F847" s="1" t="str">
        <f ca="1">IFERROR(__xludf.DUMMYFUNCTION("""COMPUTED_VALUE"""),"Yes, I will earn and do that")</f>
        <v>Yes, I will earn and do that</v>
      </c>
      <c r="G847" s="1" t="str">
        <f ca="1">IFERROR(__xludf.DUMMYFUNCTION("""COMPUTED_VALUE"""),"This will be hard to do, but if it is the right company I would try")</f>
        <v>This will be hard to do, but if it is the right company I would try</v>
      </c>
      <c r="H847" s="1" t="str">
        <f ca="1">IFERROR(__xludf.DUMMYFUNCTION("""COMPUTED_VALUE"""),"No")</f>
        <v>No</v>
      </c>
      <c r="I847" s="1" t="str">
        <f ca="1">IFERROR(__xludf.DUMMYFUNCTION("""COMPUTED_VALUE"""),"Will NOT work for them")</f>
        <v>Will NOT work for them</v>
      </c>
      <c r="J847" s="1">
        <f ca="1">IFERROR(__xludf.DUMMYFUNCTION("""COMPUTED_VALUE"""),5)</f>
        <v>5</v>
      </c>
      <c r="K847" s="1" t="str">
        <f ca="1">IFERROR(__xludf.DUMMYFUNCTION("""COMPUTED_VALUE"""),"Hybrid Working Environment with more than 15 days a month at office")</f>
        <v>Hybrid Working Environment with more than 15 days a month at office</v>
      </c>
      <c r="L847" s="1" t="str">
        <f ca="1">IFERROR(__xludf.DUMMYFUNCTION("""COMPUTED_VALUE"""),"Employer who pushes your limits by enabling an learning environment, and rewards you at the end")</f>
        <v>Employer who pushes your limits by enabling an learning environment, and rewards you at the end</v>
      </c>
      <c r="M847"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847" s="1"/>
      <c r="O847" s="1" t="str">
        <f ca="1">IFERROR(__xludf.DUMMYFUNCTION("""COMPUTED_VALUE"""),"Manager who explains what is expected, sets a goal and helps achieve it")</f>
        <v>Manager who explains what is expected, sets a goal and helps achieve it</v>
      </c>
      <c r="P847" s="1" t="str">
        <f ca="1">IFERROR(__xludf.DUMMYFUNCTION("""COMPUTED_VALUE"""),"Work &lt;=6 People in the Team")</f>
        <v>Work &lt;=6 People in the Team</v>
      </c>
      <c r="Q847" s="1" t="s">
        <v>43</v>
      </c>
      <c r="R847" s="1"/>
    </row>
    <row r="848" spans="1:18" x14ac:dyDescent="0.25">
      <c r="A848" s="2">
        <f ca="1">IFERROR(__xludf.DUMMYFUNCTION("""COMPUTED_VALUE"""),45023.7052649884)</f>
        <v>45023.705264988399</v>
      </c>
      <c r="B848" s="1" t="str">
        <f ca="1">IFERROR(__xludf.DUMMYFUNCTION("""COMPUTED_VALUE"""),"India")</f>
        <v>India</v>
      </c>
      <c r="C848" s="1">
        <f ca="1">IFERROR(__xludf.DUMMYFUNCTION("""COMPUTED_VALUE"""),221103)</f>
        <v>221103</v>
      </c>
      <c r="D848" s="1" t="str">
        <f ca="1">IFERROR(__xludf.DUMMYFUNCTION("""COMPUTED_VALUE"""),"Male")</f>
        <v>Male</v>
      </c>
      <c r="E848" s="1" t="str">
        <f ca="1">IFERROR(__xludf.DUMMYFUNCTION("""COMPUTED_VALUE"""),"My Parents")</f>
        <v>My Parents</v>
      </c>
      <c r="F848" s="1" t="str">
        <f ca="1">IFERROR(__xludf.DUMMYFUNCTION("""COMPUTED_VALUE"""),"Yes, I will earn and do that")</f>
        <v>Yes, I will earn and do that</v>
      </c>
      <c r="G848" s="1" t="str">
        <f ca="1">IFERROR(__xludf.DUMMYFUNCTION("""COMPUTED_VALUE"""),"This will be hard to do, but if it is the right company I would try")</f>
        <v>This will be hard to do, but if it is the right company I would try</v>
      </c>
      <c r="H848" s="1" t="str">
        <f ca="1">IFERROR(__xludf.DUMMYFUNCTION("""COMPUTED_VALUE"""),"No")</f>
        <v>No</v>
      </c>
      <c r="I848" s="1" t="str">
        <f ca="1">IFERROR(__xludf.DUMMYFUNCTION("""COMPUTED_VALUE"""),"Will NOT work for them")</f>
        <v>Will NOT work for them</v>
      </c>
      <c r="J848" s="1">
        <f ca="1">IFERROR(__xludf.DUMMYFUNCTION("""COMPUTED_VALUE"""),1)</f>
        <v>1</v>
      </c>
      <c r="K848" s="1" t="str">
        <f ca="1">IFERROR(__xludf.DUMMYFUNCTION("""COMPUTED_VALUE"""),"Hybrid Working Environment with more than 15 days a month at office")</f>
        <v>Hybrid Working Environment with more than 15 days a month at office</v>
      </c>
      <c r="L848" s="1" t="str">
        <f ca="1">IFERROR(__xludf.DUMMYFUNCTION("""COMPUTED_VALUE"""),"Employer who pushes your limits by enabling an learning environment, and rewards you at the end")</f>
        <v>Employer who pushes your limits by enabling an learning environment, and rewards you at the end</v>
      </c>
      <c r="M848" s="1" t="str">
        <f ca="1">IFERROR(__xludf.DUMMYFUNCTION("""COMPUTED_VALUE"""),"Teaching in any of the institutes/colleges/online or offline, Business Operations in any organization, Become a content Creator in some platform, An Artificial Intelligence Specialist / Talking to Robots")</f>
        <v>Teaching in any of the institutes/colleges/online or offline, Business Operations in any organization, Become a content Creator in some platform, An Artificial Intelligence Specialist / Talking to Robots</v>
      </c>
      <c r="N848" s="1"/>
      <c r="O848" s="1" t="str">
        <f ca="1">IFERROR(__xludf.DUMMYFUNCTION("""COMPUTED_VALUE"""),"Manager who explains what is expected, sets a goal and helps achieve it")</f>
        <v>Manager who explains what is expected, sets a goal and helps achieve it</v>
      </c>
      <c r="P848" s="1" t="str">
        <f ca="1">IFERROR(__xludf.DUMMYFUNCTION("""COMPUTED_VALUE"""),"Work &gt;10 people in Team")</f>
        <v>Work &gt;10 people in Team</v>
      </c>
      <c r="Q848" s="1" t="s">
        <v>40</v>
      </c>
      <c r="R848" s="1"/>
    </row>
    <row r="849" spans="1:18" x14ac:dyDescent="0.25">
      <c r="A849" s="2">
        <f ca="1">IFERROR(__xludf.DUMMYFUNCTION("""COMPUTED_VALUE"""),45023.7394117244)</f>
        <v>45023.739411724397</v>
      </c>
      <c r="B849" s="1" t="str">
        <f ca="1">IFERROR(__xludf.DUMMYFUNCTION("""COMPUTED_VALUE"""),"India")</f>
        <v>India</v>
      </c>
      <c r="C849" s="1">
        <f ca="1">IFERROR(__xludf.DUMMYFUNCTION("""COMPUTED_VALUE"""),221010)</f>
        <v>221010</v>
      </c>
      <c r="D849" s="1" t="str">
        <f ca="1">IFERROR(__xludf.DUMMYFUNCTION("""COMPUTED_VALUE"""),"Female")</f>
        <v>Female</v>
      </c>
      <c r="E849" s="1" t="str">
        <f ca="1">IFERROR(__xludf.DUMMYFUNCTION("""COMPUTED_VALUE"""),"People who have changed the world for better")</f>
        <v>People who have changed the world for better</v>
      </c>
      <c r="F849" s="1" t="str">
        <f ca="1">IFERROR(__xludf.DUMMYFUNCTION("""COMPUTED_VALUE"""),"No I would not be pursuing Higher Education outside of India")</f>
        <v>No I would not be pursuing Higher Education outside of India</v>
      </c>
      <c r="G849" s="1" t="str">
        <f ca="1">IFERROR(__xludf.DUMMYFUNCTION("""COMPUTED_VALUE"""),"This will be hard to do, but if it is the right company I would try")</f>
        <v>This will be hard to do, but if it is the right company I would try</v>
      </c>
      <c r="H849" s="1" t="str">
        <f ca="1">IFERROR(__xludf.DUMMYFUNCTION("""COMPUTED_VALUE"""),"No")</f>
        <v>No</v>
      </c>
      <c r="I849" s="1" t="str">
        <f ca="1">IFERROR(__xludf.DUMMYFUNCTION("""COMPUTED_VALUE"""),"Will NOT work for them")</f>
        <v>Will NOT work for them</v>
      </c>
      <c r="J849" s="1">
        <f ca="1">IFERROR(__xludf.DUMMYFUNCTION("""COMPUTED_VALUE"""),4)</f>
        <v>4</v>
      </c>
      <c r="K849" s="1" t="str">
        <f ca="1">IFERROR(__xludf.DUMMYFUNCTION("""COMPUTED_VALUE"""),"Fully Remote with Options to travel as and when needed")</f>
        <v>Fully Remote with Options to travel as and when needed</v>
      </c>
      <c r="L849" s="1" t="str">
        <f ca="1">IFERROR(__xludf.DUMMYFUNCTION("""COMPUTED_VALUE"""),"Employer who appreciates learning and enables that environment")</f>
        <v>Employer who appreciates learning and enables that environment</v>
      </c>
      <c r="M84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N849" s="1"/>
      <c r="O849" s="1" t="str">
        <f ca="1">IFERROR(__xludf.DUMMYFUNCTION("""COMPUTED_VALUE"""),"Manager who explains what is expected, sets a goal and helps achieve it")</f>
        <v>Manager who explains what is expected, sets a goal and helps achieve it</v>
      </c>
      <c r="P849" s="1" t="str">
        <f ca="1">IFERROR(__xludf.DUMMYFUNCTION("""COMPUTED_VALUE"""),"Work &gt;=7 People in the Team")</f>
        <v>Work &gt;=7 People in the Team</v>
      </c>
      <c r="Q849" s="1" t="s">
        <v>40</v>
      </c>
      <c r="R849" s="1"/>
    </row>
    <row r="850" spans="1:18" x14ac:dyDescent="0.25">
      <c r="A850" s="2">
        <f ca="1">IFERROR(__xludf.DUMMYFUNCTION("""COMPUTED_VALUE"""),45023.7433845023)</f>
        <v>45023.743384502297</v>
      </c>
      <c r="B850" s="1" t="str">
        <f ca="1">IFERROR(__xludf.DUMMYFUNCTION("""COMPUTED_VALUE"""),"India")</f>
        <v>India</v>
      </c>
      <c r="C850" s="1">
        <f ca="1">IFERROR(__xludf.DUMMYFUNCTION("""COMPUTED_VALUE"""),251001)</f>
        <v>251001</v>
      </c>
      <c r="D850" s="1" t="str">
        <f ca="1">IFERROR(__xludf.DUMMYFUNCTION("""COMPUTED_VALUE"""),"Female")</f>
        <v>Female</v>
      </c>
      <c r="E850" s="1" t="str">
        <f ca="1">IFERROR(__xludf.DUMMYFUNCTION("""COMPUTED_VALUE"""),"My Parents")</f>
        <v>My Parents</v>
      </c>
      <c r="F850" s="1" t="str">
        <f ca="1">IFERROR(__xludf.DUMMYFUNCTION("""COMPUTED_VALUE"""),"No I would not be pursuing Higher Education outside of India")</f>
        <v>No I would not be pursuing Higher Education outside of India</v>
      </c>
      <c r="G850" s="1" t="str">
        <f ca="1">IFERROR(__xludf.DUMMYFUNCTION("""COMPUTED_VALUE"""),"This will be hard to do, but if it is the right company I would try")</f>
        <v>This will be hard to do, but if it is the right company I would try</v>
      </c>
      <c r="H850" s="1" t="str">
        <f ca="1">IFERROR(__xludf.DUMMYFUNCTION("""COMPUTED_VALUE"""),"No")</f>
        <v>No</v>
      </c>
      <c r="I850" s="1" t="str">
        <f ca="1">IFERROR(__xludf.DUMMYFUNCTION("""COMPUTED_VALUE"""),"Will NOT work for them")</f>
        <v>Will NOT work for them</v>
      </c>
      <c r="J850" s="1">
        <f ca="1">IFERROR(__xludf.DUMMYFUNCTION("""COMPUTED_VALUE"""),4)</f>
        <v>4</v>
      </c>
      <c r="K850" s="1" t="str">
        <f ca="1">IFERROR(__xludf.DUMMYFUNCTION("""COMPUTED_VALUE"""),"Fully Remote with Options to travel as and when needed")</f>
        <v>Fully Remote with Options to travel as and when needed</v>
      </c>
      <c r="L850" s="1" t="str">
        <f ca="1">IFERROR(__xludf.DUMMYFUNCTION("""COMPUTED_VALUE"""),"Employer who appreciates learning and enables that environment")</f>
        <v>Employer who appreciates learning and enables that environment</v>
      </c>
      <c r="M850"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N850" s="1"/>
      <c r="O850" s="1" t="str">
        <f ca="1">IFERROR(__xludf.DUMMYFUNCTION("""COMPUTED_VALUE"""),"Manager who explains what is expected, sets a goal and helps achieve it")</f>
        <v>Manager who explains what is expected, sets a goal and helps achieve it</v>
      </c>
      <c r="P850" s="1" t="str">
        <f ca="1">IFERROR(__xludf.DUMMYFUNCTION("""COMPUTED_VALUE"""),"Work &lt;=6 People in the Team")</f>
        <v>Work &lt;=6 People in the Team</v>
      </c>
      <c r="Q850" s="1" t="s">
        <v>43</v>
      </c>
      <c r="R850" s="1"/>
    </row>
    <row r="851" spans="1:18" x14ac:dyDescent="0.25">
      <c r="A851" s="2">
        <f ca="1">IFERROR(__xludf.DUMMYFUNCTION("""COMPUTED_VALUE"""),45023.8195882638)</f>
        <v>45023.819588263803</v>
      </c>
      <c r="B851" s="1" t="str">
        <f ca="1">IFERROR(__xludf.DUMMYFUNCTION("""COMPUTED_VALUE"""),"India")</f>
        <v>India</v>
      </c>
      <c r="C851" s="1">
        <f ca="1">IFERROR(__xludf.DUMMYFUNCTION("""COMPUTED_VALUE"""),203001)</f>
        <v>203001</v>
      </c>
      <c r="D851" s="1" t="str">
        <f ca="1">IFERROR(__xludf.DUMMYFUNCTION("""COMPUTED_VALUE"""),"Female")</f>
        <v>Female</v>
      </c>
      <c r="E851" s="1" t="str">
        <f ca="1">IFERROR(__xludf.DUMMYFUNCTION("""COMPUTED_VALUE"""),"My Parents")</f>
        <v>My Parents</v>
      </c>
      <c r="F851" s="1" t="str">
        <f ca="1">IFERROR(__xludf.DUMMYFUNCTION("""COMPUTED_VALUE"""),"No I would not be pursuing Higher Education outside of India")</f>
        <v>No I would not be pursuing Higher Education outside of India</v>
      </c>
      <c r="G851" s="1" t="str">
        <f ca="1">IFERROR(__xludf.DUMMYFUNCTION("""COMPUTED_VALUE"""),"This will be hard to do, but if it is the right company I would try")</f>
        <v>This will be hard to do, but if it is the right company I would try</v>
      </c>
      <c r="H851" s="1" t="str">
        <f ca="1">IFERROR(__xludf.DUMMYFUNCTION("""COMPUTED_VALUE"""),"No")</f>
        <v>No</v>
      </c>
      <c r="I851" s="1" t="str">
        <f ca="1">IFERROR(__xludf.DUMMYFUNCTION("""COMPUTED_VALUE"""),"Will NOT work for them")</f>
        <v>Will NOT work for them</v>
      </c>
      <c r="J851" s="1">
        <f ca="1">IFERROR(__xludf.DUMMYFUNCTION("""COMPUTED_VALUE"""),5)</f>
        <v>5</v>
      </c>
      <c r="K851" s="1" t="str">
        <f ca="1">IFERROR(__xludf.DUMMYFUNCTION("""COMPUTED_VALUE"""),"Fully Remote with Options to travel as and when needed")</f>
        <v>Fully Remote with Options to travel as and when needed</v>
      </c>
      <c r="L851" s="1" t="str">
        <f ca="1">IFERROR(__xludf.DUMMYFUNCTION("""COMPUTED_VALUE"""),"Employer who pushes your limits by enabling an learning environment, and rewards you at the end")</f>
        <v>Employer who pushes your limits by enabling an learning environment, and rewards you at the end</v>
      </c>
      <c r="M85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851" s="1"/>
      <c r="O851" s="1" t="str">
        <f ca="1">IFERROR(__xludf.DUMMYFUNCTION("""COMPUTED_VALUE"""),"Manager who explains what is expected, sets a goal and helps achieve it")</f>
        <v>Manager who explains what is expected, sets a goal and helps achieve it</v>
      </c>
      <c r="P851" s="1" t="str">
        <f ca="1">IFERROR(__xludf.DUMMYFUNCTION("""COMPUTED_VALUE"""),"Work &lt;=6 People in the Team")</f>
        <v>Work &lt;=6 People in the Team</v>
      </c>
      <c r="Q851" s="1" t="s">
        <v>43</v>
      </c>
      <c r="R851" s="1"/>
    </row>
    <row r="852" spans="1:18" x14ac:dyDescent="0.25">
      <c r="A852" s="2">
        <f ca="1">IFERROR(__xludf.DUMMYFUNCTION("""COMPUTED_VALUE"""),45023.8232391782)</f>
        <v>45023.8232391782</v>
      </c>
      <c r="B852" s="1" t="str">
        <f ca="1">IFERROR(__xludf.DUMMYFUNCTION("""COMPUTED_VALUE"""),"India")</f>
        <v>India</v>
      </c>
      <c r="C852" s="1">
        <f ca="1">IFERROR(__xludf.DUMMYFUNCTION("""COMPUTED_VALUE"""),522508)</f>
        <v>522508</v>
      </c>
      <c r="D852" s="1" t="str">
        <f ca="1">IFERROR(__xludf.DUMMYFUNCTION("""COMPUTED_VALUE"""),"Male")</f>
        <v>Male</v>
      </c>
      <c r="E852" s="1" t="str">
        <f ca="1">IFERROR(__xludf.DUMMYFUNCTION("""COMPUTED_VALUE"""),"My Parents")</f>
        <v>My Parents</v>
      </c>
      <c r="F852" s="1" t="str">
        <f ca="1">IFERROR(__xludf.DUMMYFUNCTION("""COMPUTED_VALUE"""),"No I would not be pursuing Higher Education outside of India")</f>
        <v>No I would not be pursuing Higher Education outside of India</v>
      </c>
      <c r="G852" s="1" t="str">
        <f ca="1">IFERROR(__xludf.DUMMYFUNCTION("""COMPUTED_VALUE"""),"Will work for 3 years or more")</f>
        <v>Will work for 3 years or more</v>
      </c>
      <c r="H852" s="1" t="str">
        <f ca="1">IFERROR(__xludf.DUMMYFUNCTION("""COMPUTED_VALUE"""),"Yes")</f>
        <v>Yes</v>
      </c>
      <c r="I852" s="1" t="str">
        <f ca="1">IFERROR(__xludf.DUMMYFUNCTION("""COMPUTED_VALUE"""),"Will work for them")</f>
        <v>Will work for them</v>
      </c>
      <c r="J852" s="1">
        <f ca="1">IFERROR(__xludf.DUMMYFUNCTION("""COMPUTED_VALUE"""),10)</f>
        <v>10</v>
      </c>
      <c r="K852" s="1" t="str">
        <f ca="1">IFERROR(__xludf.DUMMYFUNCTION("""COMPUTED_VALUE"""),"Every Day Office Environment")</f>
        <v>Every Day Office Environment</v>
      </c>
      <c r="L852" s="1" t="str">
        <f ca="1">IFERROR(__xludf.DUMMYFUNCTION("""COMPUTED_VALUE"""),"Employer who appreciates learning and enables that environment")</f>
        <v>Employer who appreciates learning and enables that environment</v>
      </c>
      <c r="M852" s="1" t="str">
        <f ca="1">IFERROR(__xludf.DUMMYFUNCTION("""COMPUTED_VALUE"""),"Teaching in any of the institutes/colleges/online or offline, Business Operations in any organization, Design and Develop amazing software, Work in a BPO setup for some well known client")</f>
        <v>Teaching in any of the institutes/colleges/online or offline, Business Operations in any organization, Design and Develop amazing software, Work in a BPO setup for some well known client</v>
      </c>
      <c r="N852" s="1"/>
      <c r="O852" s="1" t="str">
        <f ca="1">IFERROR(__xludf.DUMMYFUNCTION("""COMPUTED_VALUE"""),"Manager who sets goal and helps me achieve it")</f>
        <v>Manager who sets goal and helps me achieve it</v>
      </c>
      <c r="P852" s="1" t="str">
        <f ca="1">IFERROR(__xludf.DUMMYFUNCTION("""COMPUTED_VALUE"""),"Work &gt;10 people in Team")</f>
        <v>Work &gt;10 people in Team</v>
      </c>
      <c r="Q852" s="1" t="s">
        <v>43</v>
      </c>
      <c r="R852" s="1"/>
    </row>
    <row r="853" spans="1:18" x14ac:dyDescent="0.25">
      <c r="A853" s="2">
        <f ca="1">IFERROR(__xludf.DUMMYFUNCTION("""COMPUTED_VALUE"""),45023.8238914236)</f>
        <v>45023.823891423599</v>
      </c>
      <c r="B853" s="1" t="str">
        <f ca="1">IFERROR(__xludf.DUMMYFUNCTION("""COMPUTED_VALUE"""),"India")</f>
        <v>India</v>
      </c>
      <c r="C853" s="1">
        <f ca="1">IFERROR(__xludf.DUMMYFUNCTION("""COMPUTED_VALUE"""),243006)</f>
        <v>243006</v>
      </c>
      <c r="D853" s="1" t="str">
        <f ca="1">IFERROR(__xludf.DUMMYFUNCTION("""COMPUTED_VALUE"""),"Male")</f>
        <v>Male</v>
      </c>
      <c r="E853" s="1" t="str">
        <f ca="1">IFERROR(__xludf.DUMMYFUNCTION("""COMPUTED_VALUE"""),"People who have changed the world for better")</f>
        <v>People who have changed the world for better</v>
      </c>
      <c r="F853" s="1" t="str">
        <f ca="1">IFERROR(__xludf.DUMMYFUNCTION("""COMPUTED_VALUE"""),"No I would not be pursuing Higher Education outside of India")</f>
        <v>No I would not be pursuing Higher Education outside of India</v>
      </c>
      <c r="G853" s="1" t="str">
        <f ca="1">IFERROR(__xludf.DUMMYFUNCTION("""COMPUTED_VALUE"""),"This will be hard to do, but if it is the right company I would try")</f>
        <v>This will be hard to do, but if it is the right company I would try</v>
      </c>
      <c r="H853" s="1" t="str">
        <f ca="1">IFERROR(__xludf.DUMMYFUNCTION("""COMPUTED_VALUE"""),"No")</f>
        <v>No</v>
      </c>
      <c r="I853" s="1" t="str">
        <f ca="1">IFERROR(__xludf.DUMMYFUNCTION("""COMPUTED_VALUE"""),"Will NOT work for them")</f>
        <v>Will NOT work for them</v>
      </c>
      <c r="J853" s="1">
        <f ca="1">IFERROR(__xludf.DUMMYFUNCTION("""COMPUTED_VALUE"""),1)</f>
        <v>1</v>
      </c>
      <c r="K853" s="1" t="str">
        <f ca="1">IFERROR(__xludf.DUMMYFUNCTION("""COMPUTED_VALUE"""),"Fully Remote with No option to visit offices")</f>
        <v>Fully Remote with No option to visit offices</v>
      </c>
      <c r="L853" s="1" t="str">
        <f ca="1">IFERROR(__xludf.DUMMYFUNCTION("""COMPUTED_VALUE"""),"Employer who appreciates learning and enables that environment")</f>
        <v>Employer who appreciates learning and enables that environment</v>
      </c>
      <c r="M853"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853" s="1"/>
      <c r="O853" s="1" t="str">
        <f ca="1">IFERROR(__xludf.DUMMYFUNCTION("""COMPUTED_VALUE"""),"Manager who explains what is expected, sets a goal and helps achieve it")</f>
        <v>Manager who explains what is expected, sets a goal and helps achieve it</v>
      </c>
      <c r="P853" s="1" t="str">
        <f ca="1">IFERROR(__xludf.DUMMYFUNCTION("""COMPUTED_VALUE"""),"Work alone")</f>
        <v>Work alone</v>
      </c>
      <c r="Q853" s="1" t="s">
        <v>43</v>
      </c>
      <c r="R853" s="1"/>
    </row>
    <row r="854" spans="1:18" x14ac:dyDescent="0.25">
      <c r="A854" s="2">
        <f ca="1">IFERROR(__xludf.DUMMYFUNCTION("""COMPUTED_VALUE"""),45023.8248920254)</f>
        <v>45023.824892025397</v>
      </c>
      <c r="B854" s="1" t="str">
        <f ca="1">IFERROR(__xludf.DUMMYFUNCTION("""COMPUTED_VALUE"""),"India")</f>
        <v>India</v>
      </c>
      <c r="C854" s="1">
        <f ca="1">IFERROR(__xludf.DUMMYFUNCTION("""COMPUTED_VALUE"""),110076)</f>
        <v>110076</v>
      </c>
      <c r="D854" s="1" t="str">
        <f ca="1">IFERROR(__xludf.DUMMYFUNCTION("""COMPUTED_VALUE"""),"Female")</f>
        <v>Female</v>
      </c>
      <c r="E854" s="1" t="str">
        <f ca="1">IFERROR(__xludf.DUMMYFUNCTION("""COMPUTED_VALUE"""),"People who have changed the world for better")</f>
        <v>People who have changed the world for better</v>
      </c>
      <c r="F854" s="1" t="str">
        <f ca="1">IFERROR(__xludf.DUMMYFUNCTION("""COMPUTED_VALUE"""),"Yes, I will earn and do that")</f>
        <v>Yes, I will earn and do that</v>
      </c>
      <c r="G854" s="1" t="str">
        <f ca="1">IFERROR(__xludf.DUMMYFUNCTION("""COMPUTED_VALUE"""),"This will be hard to do, but if it is the right company I would try")</f>
        <v>This will be hard to do, but if it is the right company I would try</v>
      </c>
      <c r="H854" s="1" t="str">
        <f ca="1">IFERROR(__xludf.DUMMYFUNCTION("""COMPUTED_VALUE"""),"No")</f>
        <v>No</v>
      </c>
      <c r="I854" s="1" t="str">
        <f ca="1">IFERROR(__xludf.DUMMYFUNCTION("""COMPUTED_VALUE"""),"Will NOT work for them")</f>
        <v>Will NOT work for them</v>
      </c>
      <c r="J854" s="1">
        <f ca="1">IFERROR(__xludf.DUMMYFUNCTION("""COMPUTED_VALUE"""),6)</f>
        <v>6</v>
      </c>
      <c r="K854" s="1" t="str">
        <f ca="1">IFERROR(__xludf.DUMMYFUNCTION("""COMPUTED_VALUE"""),"Hybrid Working Environment with more than 15 days a month at office")</f>
        <v>Hybrid Working Environment with more than 15 days a month at office</v>
      </c>
      <c r="L854" s="1" t="str">
        <f ca="1">IFERROR(__xludf.DUMMYFUNCTION("""COMPUTED_VALUE"""),"Employer who pushes your limits by enabling an learning environment, and rewards you at the end")</f>
        <v>Employer who pushes your limits by enabling an learning environment, and rewards you at the end</v>
      </c>
      <c r="M85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854" s="1"/>
      <c r="O854" s="1" t="str">
        <f ca="1">IFERROR(__xludf.DUMMYFUNCTION("""COMPUTED_VALUE"""),"Manager who explains what is expected, sets a goal and helps achieve it")</f>
        <v>Manager who explains what is expected, sets a goal and helps achieve it</v>
      </c>
      <c r="P854" s="1" t="str">
        <f ca="1">IFERROR(__xludf.DUMMYFUNCTION("""COMPUTED_VALUE"""),"Work &lt;=6 People in the Team")</f>
        <v>Work &lt;=6 People in the Team</v>
      </c>
      <c r="Q854" s="1" t="s">
        <v>43</v>
      </c>
      <c r="R854" s="1"/>
    </row>
    <row r="855" spans="1:18" x14ac:dyDescent="0.25">
      <c r="A855" s="2">
        <f ca="1">IFERROR(__xludf.DUMMYFUNCTION("""COMPUTED_VALUE"""),45023.8315256828)</f>
        <v>45023.831525682799</v>
      </c>
      <c r="B855" s="1" t="str">
        <f ca="1">IFERROR(__xludf.DUMMYFUNCTION("""COMPUTED_VALUE"""),"India")</f>
        <v>India</v>
      </c>
      <c r="C855" s="1">
        <f ca="1">IFERROR(__xludf.DUMMYFUNCTION("""COMPUTED_VALUE"""),227405)</f>
        <v>227405</v>
      </c>
      <c r="D855" s="1" t="str">
        <f ca="1">IFERROR(__xludf.DUMMYFUNCTION("""COMPUTED_VALUE"""),"Male")</f>
        <v>Male</v>
      </c>
      <c r="E855" s="1" t="str">
        <f ca="1">IFERROR(__xludf.DUMMYFUNCTION("""COMPUTED_VALUE"""),"Influencers who had successful careers")</f>
        <v>Influencers who had successful careers</v>
      </c>
      <c r="F855" s="1" t="str">
        <f ca="1">IFERROR(__xludf.DUMMYFUNCTION("""COMPUTED_VALUE"""),"Yes, I will earn and do that")</f>
        <v>Yes, I will earn and do that</v>
      </c>
      <c r="G855" s="1" t="str">
        <f ca="1">IFERROR(__xludf.DUMMYFUNCTION("""COMPUTED_VALUE"""),"Will work for 3 years or more")</f>
        <v>Will work for 3 years or more</v>
      </c>
      <c r="H855" s="1" t="str">
        <f ca="1">IFERROR(__xludf.DUMMYFUNCTION("""COMPUTED_VALUE"""),"No")</f>
        <v>No</v>
      </c>
      <c r="I855" s="1" t="str">
        <f ca="1">IFERROR(__xludf.DUMMYFUNCTION("""COMPUTED_VALUE"""),"Will work for them")</f>
        <v>Will work for them</v>
      </c>
      <c r="J855" s="1">
        <f ca="1">IFERROR(__xludf.DUMMYFUNCTION("""COMPUTED_VALUE"""),7)</f>
        <v>7</v>
      </c>
      <c r="K855" s="1" t="str">
        <f ca="1">IFERROR(__xludf.DUMMYFUNCTION("""COMPUTED_VALUE"""),"Hybrid Working Environment with more than 15 days a month at office")</f>
        <v>Hybrid Working Environment with more than 15 days a month at office</v>
      </c>
      <c r="L855" s="1" t="str">
        <f ca="1">IFERROR(__xludf.DUMMYFUNCTION("""COMPUTED_VALUE"""),"Employer who pushes your limits by enabling an learning environment, and rewards you at the end")</f>
        <v>Employer who pushes your limits by enabling an learning environment, and rewards you at the end</v>
      </c>
      <c r="M8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855" s="1"/>
      <c r="O855" s="1" t="str">
        <f ca="1">IFERROR(__xludf.DUMMYFUNCTION("""COMPUTED_VALUE"""),"Manager who explains what is expected, sets a goal and helps achieve it")</f>
        <v>Manager who explains what is expected, sets a goal and helps achieve it</v>
      </c>
      <c r="P855" s="1" t="str">
        <f ca="1">IFERROR(__xludf.DUMMYFUNCTION("""COMPUTED_VALUE"""),"Work Alone, &lt;67 people in team")</f>
        <v>Work Alone, &lt;67 people in team</v>
      </c>
      <c r="Q855" s="1" t="s">
        <v>40</v>
      </c>
      <c r="R855" s="1"/>
    </row>
    <row r="856" spans="1:18" x14ac:dyDescent="0.25">
      <c r="A856" s="2">
        <f ca="1">IFERROR(__xludf.DUMMYFUNCTION("""COMPUTED_VALUE"""),45023.8337852777)</f>
        <v>45023.833785277697</v>
      </c>
      <c r="B856" s="1" t="str">
        <f ca="1">IFERROR(__xludf.DUMMYFUNCTION("""COMPUTED_VALUE"""),"India")</f>
        <v>India</v>
      </c>
      <c r="C856" s="1">
        <f ca="1">IFERROR(__xludf.DUMMYFUNCTION("""COMPUTED_VALUE"""),110084)</f>
        <v>110084</v>
      </c>
      <c r="D856" s="1" t="str">
        <f ca="1">IFERROR(__xludf.DUMMYFUNCTION("""COMPUTED_VALUE"""),"Female")</f>
        <v>Female</v>
      </c>
      <c r="E856" s="1" t="str">
        <f ca="1">IFERROR(__xludf.DUMMYFUNCTION("""COMPUTED_VALUE"""),"My Parents")</f>
        <v>My Parents</v>
      </c>
      <c r="F856" s="1" t="str">
        <f ca="1">IFERROR(__xludf.DUMMYFUNCTION("""COMPUTED_VALUE"""),"No I would not be pursuing Higher Education outside of India")</f>
        <v>No I would not be pursuing Higher Education outside of India</v>
      </c>
      <c r="G856" s="1" t="str">
        <f ca="1">IFERROR(__xludf.DUMMYFUNCTION("""COMPUTED_VALUE"""),"This will be hard to do, but if it is the right company I would try")</f>
        <v>This will be hard to do, but if it is the right company I would try</v>
      </c>
      <c r="H856" s="1" t="str">
        <f ca="1">IFERROR(__xludf.DUMMYFUNCTION("""COMPUTED_VALUE"""),"No")</f>
        <v>No</v>
      </c>
      <c r="I856" s="1" t="str">
        <f ca="1">IFERROR(__xludf.DUMMYFUNCTION("""COMPUTED_VALUE"""),"Will NOT work for them")</f>
        <v>Will NOT work for them</v>
      </c>
      <c r="J856" s="1">
        <f ca="1">IFERROR(__xludf.DUMMYFUNCTION("""COMPUTED_VALUE"""),6)</f>
        <v>6</v>
      </c>
      <c r="K856" s="1" t="str">
        <f ca="1">IFERROR(__xludf.DUMMYFUNCTION("""COMPUTED_VALUE"""),"Hybrid Working Environment with more than 15 days a month at office")</f>
        <v>Hybrid Working Environment with more than 15 days a month at office</v>
      </c>
      <c r="L856" s="1" t="str">
        <f ca="1">IFERROR(__xludf.DUMMYFUNCTION("""COMPUTED_VALUE"""),"Employer who pushes your limits by enabling an learning environment, and rewards you at the end")</f>
        <v>Employer who pushes your limits by enabling an learning environment, and rewards you at the end</v>
      </c>
      <c r="M856"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856" s="1"/>
      <c r="O856" s="1" t="str">
        <f ca="1">IFERROR(__xludf.DUMMYFUNCTION("""COMPUTED_VALUE"""),"Manager who explains what is expected, sets a goal and helps achieve it")</f>
        <v>Manager who explains what is expected, sets a goal and helps achieve it</v>
      </c>
      <c r="P856" s="1" t="str">
        <f ca="1">IFERROR(__xludf.DUMMYFUNCTION("""COMPUTED_VALUE"""),"Work &lt;=6 People in the Team")</f>
        <v>Work &lt;=6 People in the Team</v>
      </c>
      <c r="Q856" s="1" t="s">
        <v>40</v>
      </c>
      <c r="R856" s="1"/>
    </row>
    <row r="857" spans="1:18" x14ac:dyDescent="0.25">
      <c r="A857" s="2">
        <f ca="1">IFERROR(__xludf.DUMMYFUNCTION("""COMPUTED_VALUE"""),45023.8368476851)</f>
        <v>45023.836847685103</v>
      </c>
      <c r="B857" s="1" t="str">
        <f ca="1">IFERROR(__xludf.DUMMYFUNCTION("""COMPUTED_VALUE"""),"India")</f>
        <v>India</v>
      </c>
      <c r="C857" s="1" t="str">
        <f ca="1">IFERROR(__xludf.DUMMYFUNCTION("""COMPUTED_VALUE"""),"0129")</f>
        <v>0129</v>
      </c>
      <c r="D857" s="1" t="str">
        <f ca="1">IFERROR(__xludf.DUMMYFUNCTION("""COMPUTED_VALUE"""),"Male")</f>
        <v>Male</v>
      </c>
      <c r="E857" s="1" t="str">
        <f ca="1">IFERROR(__xludf.DUMMYFUNCTION("""COMPUTED_VALUE"""),"People from my circle, but not family members")</f>
        <v>People from my circle, but not family members</v>
      </c>
      <c r="F857" s="1" t="str">
        <f ca="1">IFERROR(__xludf.DUMMYFUNCTION("""COMPUTED_VALUE"""),"Yes, I will earn and do that")</f>
        <v>Yes, I will earn and do that</v>
      </c>
      <c r="G857" s="1" t="str">
        <f ca="1">IFERROR(__xludf.DUMMYFUNCTION("""COMPUTED_VALUE"""),"This will be hard to do, but if it is the right company I would try")</f>
        <v>This will be hard to do, but if it is the right company I would try</v>
      </c>
      <c r="H857" s="1" t="str">
        <f ca="1">IFERROR(__xludf.DUMMYFUNCTION("""COMPUTED_VALUE"""),"Yes")</f>
        <v>Yes</v>
      </c>
      <c r="I857" s="1" t="str">
        <f ca="1">IFERROR(__xludf.DUMMYFUNCTION("""COMPUTED_VALUE"""),"Will NOT work for them")</f>
        <v>Will NOT work for them</v>
      </c>
      <c r="J857" s="1">
        <f ca="1">IFERROR(__xludf.DUMMYFUNCTION("""COMPUTED_VALUE"""),10)</f>
        <v>10</v>
      </c>
      <c r="K857" s="1" t="str">
        <f ca="1">IFERROR(__xludf.DUMMYFUNCTION("""COMPUTED_VALUE"""),"Hybrid Working Environment with more than 15 days a month at office")</f>
        <v>Hybrid Working Environment with more than 15 days a month at office</v>
      </c>
      <c r="L857" s="1" t="str">
        <f ca="1">IFERROR(__xludf.DUMMYFUNCTION("""COMPUTED_VALUE"""),"Employer who pushes your limits by enabling an learning environment, and rewards you at the end")</f>
        <v>Employer who pushes your limits by enabling an learning environment, and rewards you at the end</v>
      </c>
      <c r="M857" s="1" t="str">
        <f ca="1">IFERROR(__xludf.DUMMYFUNCTION("""COMPUTED_VALUE"""),"Design and Creative strategy in any company, Teaching in any of the institutes/colleges/online or offline, Manage and drive End-to-End Projects or Products, Manufacturing / Oil and Gas/ Construction / Hard Physical Work related")</f>
        <v>Design and Creative strategy in any company, Teaching in any of the institutes/colleges/online or offline, Manage and drive End-to-End Projects or Products, Manufacturing / Oil and Gas/ Construction / Hard Physical Work related</v>
      </c>
      <c r="N857" s="1"/>
      <c r="O857" s="1" t="str">
        <f ca="1">IFERROR(__xludf.DUMMYFUNCTION("""COMPUTED_VALUE"""),"Manager who sets goal and helps me achieve it")</f>
        <v>Manager who sets goal and helps me achieve it</v>
      </c>
      <c r="P857" s="1" t="str">
        <f ca="1">IFERROR(__xludf.DUMMYFUNCTION("""COMPUTED_VALUE"""),"Work Alone, &lt;67 people in team")</f>
        <v>Work Alone, &lt;67 people in team</v>
      </c>
      <c r="Q857" s="1" t="s">
        <v>40</v>
      </c>
      <c r="R857" s="1"/>
    </row>
    <row r="858" spans="1:18" x14ac:dyDescent="0.25">
      <c r="A858" s="2">
        <f ca="1">IFERROR(__xludf.DUMMYFUNCTION("""COMPUTED_VALUE"""),45023.8377436458)</f>
        <v>45023.837743645803</v>
      </c>
      <c r="B858" s="1" t="str">
        <f ca="1">IFERROR(__xludf.DUMMYFUNCTION("""COMPUTED_VALUE"""),"India")</f>
        <v>India</v>
      </c>
      <c r="C858" s="1">
        <f ca="1">IFERROR(__xludf.DUMMYFUNCTION("""COMPUTED_VALUE"""),517501)</f>
        <v>517501</v>
      </c>
      <c r="D858" s="1" t="str">
        <f ca="1">IFERROR(__xludf.DUMMYFUNCTION("""COMPUTED_VALUE"""),"Female")</f>
        <v>Female</v>
      </c>
      <c r="E858" s="1" t="str">
        <f ca="1">IFERROR(__xludf.DUMMYFUNCTION("""COMPUTED_VALUE"""),"My Parents")</f>
        <v>My Parents</v>
      </c>
      <c r="F858" s="1" t="str">
        <f ca="1">IFERROR(__xludf.DUMMYFUNCTION("""COMPUTED_VALUE"""),"No, But if someone could bare the cost I will")</f>
        <v>No, But if someone could bare the cost I will</v>
      </c>
      <c r="G858" s="1" t="str">
        <f ca="1">IFERROR(__xludf.DUMMYFUNCTION("""COMPUTED_VALUE"""),"This will be hard to do, but if it is the right company I would try")</f>
        <v>This will be hard to do, but if it is the right company I would try</v>
      </c>
      <c r="H858" s="1" t="str">
        <f ca="1">IFERROR(__xludf.DUMMYFUNCTION("""COMPUTED_VALUE"""),"No")</f>
        <v>No</v>
      </c>
      <c r="I858" s="1" t="str">
        <f ca="1">IFERROR(__xludf.DUMMYFUNCTION("""COMPUTED_VALUE"""),"Will NOT work for them")</f>
        <v>Will NOT work for them</v>
      </c>
      <c r="J858" s="1">
        <f ca="1">IFERROR(__xludf.DUMMYFUNCTION("""COMPUTED_VALUE"""),7)</f>
        <v>7</v>
      </c>
      <c r="K858" s="1" t="str">
        <f ca="1">IFERROR(__xludf.DUMMYFUNCTION("""COMPUTED_VALUE"""),"Every Day Office Environment")</f>
        <v>Every Day Office Environment</v>
      </c>
      <c r="L858" s="1" t="str">
        <f ca="1">IFERROR(__xludf.DUMMYFUNCTION("""COMPUTED_VALUE"""),"Employer who pushes your limits by enabling an learning environment, and rewards you at the end")</f>
        <v>Employer who pushes your limits by enabling an learning environment, and rewards you at the end</v>
      </c>
      <c r="M858"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N858" s="1"/>
      <c r="O858" s="1" t="str">
        <f ca="1">IFERROR(__xludf.DUMMYFUNCTION("""COMPUTED_VALUE"""),"Manager who sets goal and helps me achieve it")</f>
        <v>Manager who sets goal and helps me achieve it</v>
      </c>
      <c r="P858" s="1" t="str">
        <f ca="1">IFERROR(__xludf.DUMMYFUNCTION("""COMPUTED_VALUE"""),"Work &lt;=6 People in the Team")</f>
        <v>Work &lt;=6 People in the Team</v>
      </c>
      <c r="Q858" s="1" t="s">
        <v>43</v>
      </c>
      <c r="R858" s="1"/>
    </row>
    <row r="859" spans="1:18" x14ac:dyDescent="0.25">
      <c r="A859" s="2">
        <f ca="1">IFERROR(__xludf.DUMMYFUNCTION("""COMPUTED_VALUE"""),45023.8448366782)</f>
        <v>45023.844836678203</v>
      </c>
      <c r="B859" s="1" t="str">
        <f ca="1">IFERROR(__xludf.DUMMYFUNCTION("""COMPUTED_VALUE"""),"India")</f>
        <v>India</v>
      </c>
      <c r="C859" s="1">
        <f ca="1">IFERROR(__xludf.DUMMYFUNCTION("""COMPUTED_VALUE"""),517503)</f>
        <v>517503</v>
      </c>
      <c r="D859" s="1" t="str">
        <f ca="1">IFERROR(__xludf.DUMMYFUNCTION("""COMPUTED_VALUE"""),"Female")</f>
        <v>Female</v>
      </c>
      <c r="E859" s="1" t="str">
        <f ca="1">IFERROR(__xludf.DUMMYFUNCTION("""COMPUTED_VALUE"""),"Influencers who had successful careers")</f>
        <v>Influencers who had successful careers</v>
      </c>
      <c r="F859" s="1" t="str">
        <f ca="1">IFERROR(__xludf.DUMMYFUNCTION("""COMPUTED_VALUE"""),"Yes, I will earn and do that")</f>
        <v>Yes, I will earn and do that</v>
      </c>
      <c r="G859" s="1" t="str">
        <f ca="1">IFERROR(__xludf.DUMMYFUNCTION("""COMPUTED_VALUE"""),"This will be hard to do, but if it is the right company I would try")</f>
        <v>This will be hard to do, but if it is the right company I would try</v>
      </c>
      <c r="H859" s="1" t="str">
        <f ca="1">IFERROR(__xludf.DUMMYFUNCTION("""COMPUTED_VALUE"""),"No")</f>
        <v>No</v>
      </c>
      <c r="I859" s="1" t="str">
        <f ca="1">IFERROR(__xludf.DUMMYFUNCTION("""COMPUTED_VALUE"""),"Will NOT work for them")</f>
        <v>Will NOT work for them</v>
      </c>
      <c r="J859" s="1">
        <f ca="1">IFERROR(__xludf.DUMMYFUNCTION("""COMPUTED_VALUE"""),4)</f>
        <v>4</v>
      </c>
      <c r="K859" s="1" t="str">
        <f ca="1">IFERROR(__xludf.DUMMYFUNCTION("""COMPUTED_VALUE"""),"Every Day Office Environment")</f>
        <v>Every Day Office Environment</v>
      </c>
      <c r="L859" s="1" t="str">
        <f ca="1">IFERROR(__xludf.DUMMYFUNCTION("""COMPUTED_VALUE"""),"Employer who appreciates learning and enables that environment")</f>
        <v>Employer who appreciates learning and enables that environment</v>
      </c>
      <c r="M85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N859" s="1"/>
      <c r="O859" s="1" t="str">
        <f ca="1">IFERROR(__xludf.DUMMYFUNCTION("""COMPUTED_VALUE"""),"Manager who explains what is expected, sets a goal and helps achieve it")</f>
        <v>Manager who explains what is expected, sets a goal and helps achieve it</v>
      </c>
      <c r="P859" s="1" t="str">
        <f ca="1">IFERROR(__xludf.DUMMYFUNCTION("""COMPUTED_VALUE"""),"Work &lt;=6 People in the Team")</f>
        <v>Work &lt;=6 People in the Team</v>
      </c>
      <c r="Q859" s="1" t="s">
        <v>43</v>
      </c>
      <c r="R859" s="1"/>
    </row>
    <row r="860" spans="1:18" x14ac:dyDescent="0.25">
      <c r="A860" s="2">
        <f ca="1">IFERROR(__xludf.DUMMYFUNCTION("""COMPUTED_VALUE"""),45023.8545601504)</f>
        <v>45023.854560150401</v>
      </c>
      <c r="B860" s="1" t="str">
        <f ca="1">IFERROR(__xludf.DUMMYFUNCTION("""COMPUTED_VALUE"""),"India")</f>
        <v>India</v>
      </c>
      <c r="C860" s="1">
        <f ca="1">IFERROR(__xludf.DUMMYFUNCTION("""COMPUTED_VALUE"""),560087)</f>
        <v>560087</v>
      </c>
      <c r="D860" s="1" t="str">
        <f ca="1">IFERROR(__xludf.DUMMYFUNCTION("""COMPUTED_VALUE"""),"Male")</f>
        <v>Male</v>
      </c>
      <c r="E860" s="1" t="str">
        <f ca="1">IFERROR(__xludf.DUMMYFUNCTION("""COMPUTED_VALUE"""),"People from my circle, but not family members")</f>
        <v>People from my circle, but not family members</v>
      </c>
      <c r="F860" s="1" t="str">
        <f ca="1">IFERROR(__xludf.DUMMYFUNCTION("""COMPUTED_VALUE"""),"Yes, I will earn and do that")</f>
        <v>Yes, I will earn and do that</v>
      </c>
      <c r="G860" s="1" t="str">
        <f ca="1">IFERROR(__xludf.DUMMYFUNCTION("""COMPUTED_VALUE"""),"Will work for 3 years or more")</f>
        <v>Will work for 3 years or more</v>
      </c>
      <c r="H860" s="1" t="str">
        <f ca="1">IFERROR(__xludf.DUMMYFUNCTION("""COMPUTED_VALUE"""),"Yes")</f>
        <v>Yes</v>
      </c>
      <c r="I860" s="1" t="str">
        <f ca="1">IFERROR(__xludf.DUMMYFUNCTION("""COMPUTED_VALUE"""),"Will NOT work for them")</f>
        <v>Will NOT work for them</v>
      </c>
      <c r="J860" s="1">
        <f ca="1">IFERROR(__xludf.DUMMYFUNCTION("""COMPUTED_VALUE"""),6)</f>
        <v>6</v>
      </c>
      <c r="K860" s="1" t="str">
        <f ca="1">IFERROR(__xludf.DUMMYFUNCTION("""COMPUTED_VALUE"""),"Hybrid Working Environment with more than 15 days a month at office")</f>
        <v>Hybrid Working Environment with more than 15 days a month at office</v>
      </c>
      <c r="L860" s="1" t="str">
        <f ca="1">IFERROR(__xludf.DUMMYFUNCTION("""COMPUTED_VALUE"""),"Employer who pushes your limits by enabling an learning environment, and rewards you at the end")</f>
        <v>Employer who pushes your limits by enabling an learning environment, and rewards you at the end</v>
      </c>
      <c r="M860"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860" s="1"/>
      <c r="O860" s="1" t="str">
        <f ca="1">IFERROR(__xludf.DUMMYFUNCTION("""COMPUTED_VALUE"""),"Manager who explains what is expected, sets a goal and helps achieve it")</f>
        <v>Manager who explains what is expected, sets a goal and helps achieve it</v>
      </c>
      <c r="P860" s="1" t="str">
        <f ca="1">IFERROR(__xludf.DUMMYFUNCTION("""COMPUTED_VALUE"""),"Work &gt;10 people in Team")</f>
        <v>Work &gt;10 people in Team</v>
      </c>
      <c r="Q860" s="1" t="s">
        <v>43</v>
      </c>
      <c r="R860" s="1"/>
    </row>
    <row r="861" spans="1:18" x14ac:dyDescent="0.25">
      <c r="A861" s="2">
        <f ca="1">IFERROR(__xludf.DUMMYFUNCTION("""COMPUTED_VALUE"""),45023.8568832175)</f>
        <v>45023.856883217501</v>
      </c>
      <c r="B861" s="1" t="str">
        <f ca="1">IFERROR(__xludf.DUMMYFUNCTION("""COMPUTED_VALUE"""),"India")</f>
        <v>India</v>
      </c>
      <c r="C861" s="1">
        <f ca="1">IFERROR(__xludf.DUMMYFUNCTION("""COMPUTED_VALUE"""),517510)</f>
        <v>517510</v>
      </c>
      <c r="D861" s="1" t="str">
        <f ca="1">IFERROR(__xludf.DUMMYFUNCTION("""COMPUTED_VALUE"""),"Female")</f>
        <v>Female</v>
      </c>
      <c r="E861" s="1" t="str">
        <f ca="1">IFERROR(__xludf.DUMMYFUNCTION("""COMPUTED_VALUE"""),"Social Media like LinkedIn")</f>
        <v>Social Media like LinkedIn</v>
      </c>
      <c r="F861" s="1" t="str">
        <f ca="1">IFERROR(__xludf.DUMMYFUNCTION("""COMPUTED_VALUE"""),"Yes, I will earn and do that")</f>
        <v>Yes, I will earn and do that</v>
      </c>
      <c r="G861" s="1" t="str">
        <f ca="1">IFERROR(__xludf.DUMMYFUNCTION("""COMPUTED_VALUE"""),"Will work for 3 years or more")</f>
        <v>Will work for 3 years or more</v>
      </c>
      <c r="H861" s="1" t="str">
        <f ca="1">IFERROR(__xludf.DUMMYFUNCTION("""COMPUTED_VALUE"""),"No")</f>
        <v>No</v>
      </c>
      <c r="I861" s="1" t="str">
        <f ca="1">IFERROR(__xludf.DUMMYFUNCTION("""COMPUTED_VALUE"""),"Will NOT work for them")</f>
        <v>Will NOT work for them</v>
      </c>
      <c r="J861" s="1">
        <f ca="1">IFERROR(__xludf.DUMMYFUNCTION("""COMPUTED_VALUE"""),10)</f>
        <v>10</v>
      </c>
      <c r="K861" s="1" t="str">
        <f ca="1">IFERROR(__xludf.DUMMYFUNCTION("""COMPUTED_VALUE"""),"Fully Remote with No option to visit offices")</f>
        <v>Fully Remote with No option to visit offices</v>
      </c>
      <c r="L861" s="1" t="str">
        <f ca="1">IFERROR(__xludf.DUMMYFUNCTION("""COMPUTED_VALUE"""),"Employers who appreciates learning but doesn't enables an learning environment")</f>
        <v>Employers who appreciates learning but doesn't enables an learning environment</v>
      </c>
      <c r="M86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N861" s="1"/>
      <c r="O861" s="1" t="str">
        <f ca="1">IFERROR(__xludf.DUMMYFUNCTION("""COMPUTED_VALUE"""),"Manager who sets unrealistic targets")</f>
        <v>Manager who sets unrealistic targets</v>
      </c>
      <c r="P861" s="1" t="str">
        <f ca="1">IFERROR(__xludf.DUMMYFUNCTION("""COMPUTED_VALUE"""),"Work &gt;10 people in Team")</f>
        <v>Work &gt;10 people in Team</v>
      </c>
      <c r="Q861" s="1" t="s">
        <v>44</v>
      </c>
      <c r="R861" s="1"/>
    </row>
    <row r="862" spans="1:18" x14ac:dyDescent="0.25">
      <c r="A862" s="2">
        <f ca="1">IFERROR(__xludf.DUMMYFUNCTION("""COMPUTED_VALUE"""),45023.8649776157)</f>
        <v>45023.864977615704</v>
      </c>
      <c r="B862" s="1" t="str">
        <f ca="1">IFERROR(__xludf.DUMMYFUNCTION("""COMPUTED_VALUE"""),"India")</f>
        <v>India</v>
      </c>
      <c r="C862" s="1">
        <f ca="1">IFERROR(__xludf.DUMMYFUNCTION("""COMPUTED_VALUE"""),560087)</f>
        <v>560087</v>
      </c>
      <c r="D862" s="1" t="str">
        <f ca="1">IFERROR(__xludf.DUMMYFUNCTION("""COMPUTED_VALUE"""),"Female")</f>
        <v>Female</v>
      </c>
      <c r="E862" s="1" t="str">
        <f ca="1">IFERROR(__xludf.DUMMYFUNCTION("""COMPUTED_VALUE"""),"People who have changed the world for better")</f>
        <v>People who have changed the world for better</v>
      </c>
      <c r="F862" s="1" t="str">
        <f ca="1">IFERROR(__xludf.DUMMYFUNCTION("""COMPUTED_VALUE"""),"No, But if someone could bare the cost I will")</f>
        <v>No, But if someone could bare the cost I will</v>
      </c>
      <c r="G862" s="1" t="str">
        <f ca="1">IFERROR(__xludf.DUMMYFUNCTION("""COMPUTED_VALUE"""),"Will work for 3 years or more")</f>
        <v>Will work for 3 years or more</v>
      </c>
      <c r="H862" s="1" t="str">
        <f ca="1">IFERROR(__xludf.DUMMYFUNCTION("""COMPUTED_VALUE"""),"Yes")</f>
        <v>Yes</v>
      </c>
      <c r="I862" s="1" t="str">
        <f ca="1">IFERROR(__xludf.DUMMYFUNCTION("""COMPUTED_VALUE"""),"Will NOT work for them")</f>
        <v>Will NOT work for them</v>
      </c>
      <c r="J862" s="1">
        <f ca="1">IFERROR(__xludf.DUMMYFUNCTION("""COMPUTED_VALUE"""),7)</f>
        <v>7</v>
      </c>
      <c r="K862" s="1" t="str">
        <f ca="1">IFERROR(__xludf.DUMMYFUNCTION("""COMPUTED_VALUE"""),"Hybrid Working Environment with less than 3 days a month at office")</f>
        <v>Hybrid Working Environment with less than 3 days a month at office</v>
      </c>
      <c r="L862" s="1" t="str">
        <f ca="1">IFERROR(__xludf.DUMMYFUNCTION("""COMPUTED_VALUE"""),"Employer who appreciates learning and enables that environment")</f>
        <v>Employer who appreciates learning and enables that environment</v>
      </c>
      <c r="M862"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N862" s="1"/>
      <c r="O862" s="1" t="str">
        <f ca="1">IFERROR(__xludf.DUMMYFUNCTION("""COMPUTED_VALUE"""),"Manager who explains what is expected, sets a goal and helps achieve it")</f>
        <v>Manager who explains what is expected, sets a goal and helps achieve it</v>
      </c>
      <c r="P862" s="1" t="str">
        <f ca="1">IFERROR(__xludf.DUMMYFUNCTION("""COMPUTED_VALUE"""),"Work &gt;10 people in Team")</f>
        <v>Work &gt;10 people in Team</v>
      </c>
      <c r="Q862" s="1" t="s">
        <v>43</v>
      </c>
      <c r="R862" s="1"/>
    </row>
    <row r="863" spans="1:18" x14ac:dyDescent="0.25">
      <c r="A863" s="2">
        <f ca="1">IFERROR(__xludf.DUMMYFUNCTION("""COMPUTED_VALUE"""),45023.8753691435)</f>
        <v>45023.875369143498</v>
      </c>
      <c r="B863" s="1" t="str">
        <f ca="1">IFERROR(__xludf.DUMMYFUNCTION("""COMPUTED_VALUE"""),"United States of America")</f>
        <v>United States of America</v>
      </c>
      <c r="C863" s="1">
        <f ca="1">IFERROR(__xludf.DUMMYFUNCTION("""COMPUTED_VALUE"""),99010)</f>
        <v>99010</v>
      </c>
      <c r="D863" s="1" t="str">
        <f ca="1">IFERROR(__xludf.DUMMYFUNCTION("""COMPUTED_VALUE"""),"Male")</f>
        <v>Male</v>
      </c>
      <c r="E863" s="1" t="str">
        <f ca="1">IFERROR(__xludf.DUMMYFUNCTION("""COMPUTED_VALUE"""),"My Parents")</f>
        <v>My Parents</v>
      </c>
      <c r="F863" s="1" t="str">
        <f ca="1">IFERROR(__xludf.DUMMYFUNCTION("""COMPUTED_VALUE"""),"No I would not be pursuing Higher Education outside of India")</f>
        <v>No I would not be pursuing Higher Education outside of India</v>
      </c>
      <c r="G863" s="1" t="str">
        <f ca="1">IFERROR(__xludf.DUMMYFUNCTION("""COMPUTED_VALUE"""),"This will be hard to do, but if it is the right company I would try")</f>
        <v>This will be hard to do, but if it is the right company I would try</v>
      </c>
      <c r="H863" s="1" t="str">
        <f ca="1">IFERROR(__xludf.DUMMYFUNCTION("""COMPUTED_VALUE"""),"No")</f>
        <v>No</v>
      </c>
      <c r="I863" s="1" t="str">
        <f ca="1">IFERROR(__xludf.DUMMYFUNCTION("""COMPUTED_VALUE"""),"Will NOT work for them")</f>
        <v>Will NOT work for them</v>
      </c>
      <c r="J863" s="1">
        <f ca="1">IFERROR(__xludf.DUMMYFUNCTION("""COMPUTED_VALUE"""),5)</f>
        <v>5</v>
      </c>
      <c r="K863" s="1" t="str">
        <f ca="1">IFERROR(__xludf.DUMMYFUNCTION("""COMPUTED_VALUE"""),"Fully Remote with Options to travel as and when needed")</f>
        <v>Fully Remote with Options to travel as and when needed</v>
      </c>
      <c r="L863" s="1" t="str">
        <f ca="1">IFERROR(__xludf.DUMMYFUNCTION("""COMPUTED_VALUE"""),"Employer who rewards learning and enables that environment")</f>
        <v>Employer who rewards learning and enables that environment</v>
      </c>
      <c r="M863"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N863" s="1"/>
      <c r="O863" s="1" t="str">
        <f ca="1">IFERROR(__xludf.DUMMYFUNCTION("""COMPUTED_VALUE"""),"Manager who clearly describes what she/he needs")</f>
        <v>Manager who clearly describes what she/he needs</v>
      </c>
      <c r="P863" s="1" t="str">
        <f ca="1">IFERROR(__xludf.DUMMYFUNCTION("""COMPUTED_VALUE"""),"Work &lt;=6 People in the Team")</f>
        <v>Work &lt;=6 People in the Team</v>
      </c>
      <c r="Q863" s="1" t="s">
        <v>43</v>
      </c>
      <c r="R863" s="1"/>
    </row>
    <row r="864" spans="1:18" x14ac:dyDescent="0.25">
      <c r="A864" s="2">
        <f ca="1">IFERROR(__xludf.DUMMYFUNCTION("""COMPUTED_VALUE"""),45023.8797899421)</f>
        <v>45023.879789942097</v>
      </c>
      <c r="B864" s="1" t="str">
        <f ca="1">IFERROR(__xludf.DUMMYFUNCTION("""COMPUTED_VALUE"""),"India")</f>
        <v>India</v>
      </c>
      <c r="C864" s="1">
        <f ca="1">IFERROR(__xludf.DUMMYFUNCTION("""COMPUTED_VALUE"""),110053)</f>
        <v>110053</v>
      </c>
      <c r="D864" s="1" t="str">
        <f ca="1">IFERROR(__xludf.DUMMYFUNCTION("""COMPUTED_VALUE"""),"Male")</f>
        <v>Male</v>
      </c>
      <c r="E864" s="1" t="str">
        <f ca="1">IFERROR(__xludf.DUMMYFUNCTION("""COMPUTED_VALUE"""),"My Parents")</f>
        <v>My Parents</v>
      </c>
      <c r="F864" s="1" t="str">
        <f ca="1">IFERROR(__xludf.DUMMYFUNCTION("""COMPUTED_VALUE"""),"No I would not be pursuing Higher Education outside of India")</f>
        <v>No I would not be pursuing Higher Education outside of India</v>
      </c>
      <c r="G864" s="1" t="str">
        <f ca="1">IFERROR(__xludf.DUMMYFUNCTION("""COMPUTED_VALUE"""),"This will be hard to do, but if it is the right company I would try")</f>
        <v>This will be hard to do, but if it is the right company I would try</v>
      </c>
      <c r="H864" s="1" t="str">
        <f ca="1">IFERROR(__xludf.DUMMYFUNCTION("""COMPUTED_VALUE"""),"No")</f>
        <v>No</v>
      </c>
      <c r="I864" s="1" t="str">
        <f ca="1">IFERROR(__xludf.DUMMYFUNCTION("""COMPUTED_VALUE"""),"Will NOT work for them")</f>
        <v>Will NOT work for them</v>
      </c>
      <c r="J864" s="1">
        <f ca="1">IFERROR(__xludf.DUMMYFUNCTION("""COMPUTED_VALUE"""),3)</f>
        <v>3</v>
      </c>
      <c r="K864" s="1" t="str">
        <f ca="1">IFERROR(__xludf.DUMMYFUNCTION("""COMPUTED_VALUE"""),"Hybrid Working Environment with more than 15 days a month at office")</f>
        <v>Hybrid Working Environment with more than 15 days a month at office</v>
      </c>
      <c r="L864" s="1" t="str">
        <f ca="1">IFERROR(__xludf.DUMMYFUNCTION("""COMPUTED_VALUE"""),"Employer who pushes your limits by enabling an learning environment, and rewards you at the end")</f>
        <v>Employer who pushes your limits by enabling an learning environment, and rewards you at the end</v>
      </c>
      <c r="M86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N864" s="1"/>
      <c r="O864" s="1" t="str">
        <f ca="1">IFERROR(__xludf.DUMMYFUNCTION("""COMPUTED_VALUE"""),"Manager who clearly describes what she/he needs")</f>
        <v>Manager who clearly describes what she/he needs</v>
      </c>
      <c r="P864" s="1" t="str">
        <f ca="1">IFERROR(__xludf.DUMMYFUNCTION("""COMPUTED_VALUE"""),"Work &lt;=6 People in the Team")</f>
        <v>Work &lt;=6 People in the Team</v>
      </c>
      <c r="Q864" s="1" t="s">
        <v>40</v>
      </c>
      <c r="R864" s="1"/>
    </row>
    <row r="865" spans="1:18" x14ac:dyDescent="0.25">
      <c r="A865" s="2">
        <f ca="1">IFERROR(__xludf.DUMMYFUNCTION("""COMPUTED_VALUE"""),45023.8871960995)</f>
        <v>45023.887196099502</v>
      </c>
      <c r="B865" s="1" t="str">
        <f ca="1">IFERROR(__xludf.DUMMYFUNCTION("""COMPUTED_VALUE"""),"India")</f>
        <v>India</v>
      </c>
      <c r="C865" s="1">
        <f ca="1">IFERROR(__xludf.DUMMYFUNCTION("""COMPUTED_VALUE"""),283204)</f>
        <v>283204</v>
      </c>
      <c r="D865" s="1" t="str">
        <f ca="1">IFERROR(__xludf.DUMMYFUNCTION("""COMPUTED_VALUE"""),"Female")</f>
        <v>Female</v>
      </c>
      <c r="E865" s="1" t="str">
        <f ca="1">IFERROR(__xludf.DUMMYFUNCTION("""COMPUTED_VALUE"""),"Influencers who had successful careers")</f>
        <v>Influencers who had successful careers</v>
      </c>
      <c r="F865" s="1" t="str">
        <f ca="1">IFERROR(__xludf.DUMMYFUNCTION("""COMPUTED_VALUE"""),"No I would not be pursuing Higher Education outside of India")</f>
        <v>No I would not be pursuing Higher Education outside of India</v>
      </c>
      <c r="G865" s="1" t="str">
        <f ca="1">IFERROR(__xludf.DUMMYFUNCTION("""COMPUTED_VALUE"""),"Will work for 3 years or more")</f>
        <v>Will work for 3 years or more</v>
      </c>
      <c r="H865" s="1" t="str">
        <f ca="1">IFERROR(__xludf.DUMMYFUNCTION("""COMPUTED_VALUE"""),"No")</f>
        <v>No</v>
      </c>
      <c r="I865" s="1" t="str">
        <f ca="1">IFERROR(__xludf.DUMMYFUNCTION("""COMPUTED_VALUE"""),"Will NOT work for them")</f>
        <v>Will NOT work for them</v>
      </c>
      <c r="J865" s="1">
        <f ca="1">IFERROR(__xludf.DUMMYFUNCTION("""COMPUTED_VALUE"""),5)</f>
        <v>5</v>
      </c>
      <c r="K865" s="1" t="str">
        <f ca="1">IFERROR(__xludf.DUMMYFUNCTION("""COMPUTED_VALUE"""),"Hybrid Working Environment with more than 15 days a month at office")</f>
        <v>Hybrid Working Environment with more than 15 days a month at office</v>
      </c>
      <c r="L865" s="1" t="str">
        <f ca="1">IFERROR(__xludf.DUMMYFUNCTION("""COMPUTED_VALUE"""),"Employer who appreciates learning and enables that environment")</f>
        <v>Employer who appreciates learning and enables that environment</v>
      </c>
      <c r="M865"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N865" s="1"/>
      <c r="O865" s="1" t="str">
        <f ca="1">IFERROR(__xludf.DUMMYFUNCTION("""COMPUTED_VALUE"""),"Manager who sets goal and helps me achieve it")</f>
        <v>Manager who sets goal and helps me achieve it</v>
      </c>
      <c r="P865" s="1" t="str">
        <f ca="1">IFERROR(__xludf.DUMMYFUNCTION("""COMPUTED_VALUE"""),"Work &lt;=6 People in the Team")</f>
        <v>Work &lt;=6 People in the Team</v>
      </c>
      <c r="Q865" s="1" t="s">
        <v>40</v>
      </c>
      <c r="R865" s="1"/>
    </row>
    <row r="866" spans="1:18" x14ac:dyDescent="0.25">
      <c r="A866" s="2">
        <f ca="1">IFERROR(__xludf.DUMMYFUNCTION("""COMPUTED_VALUE"""),45023.8951908564)</f>
        <v>45023.895190856398</v>
      </c>
      <c r="B866" s="1" t="str">
        <f ca="1">IFERROR(__xludf.DUMMYFUNCTION("""COMPUTED_VALUE"""),"India")</f>
        <v>India</v>
      </c>
      <c r="C866" s="1">
        <f ca="1">IFERROR(__xludf.DUMMYFUNCTION("""COMPUTED_VALUE"""),560094)</f>
        <v>560094</v>
      </c>
      <c r="D866" s="1" t="str">
        <f ca="1">IFERROR(__xludf.DUMMYFUNCTION("""COMPUTED_VALUE"""),"Female")</f>
        <v>Female</v>
      </c>
      <c r="E866" s="1" t="str">
        <f ca="1">IFERROR(__xludf.DUMMYFUNCTION("""COMPUTED_VALUE"""),"Influencers who had successful careers")</f>
        <v>Influencers who had successful careers</v>
      </c>
      <c r="F866" s="1" t="str">
        <f ca="1">IFERROR(__xludf.DUMMYFUNCTION("""COMPUTED_VALUE"""),"No, But if someone could bare the cost I will")</f>
        <v>No, But if someone could bare the cost I will</v>
      </c>
      <c r="G866" s="1" t="str">
        <f ca="1">IFERROR(__xludf.DUMMYFUNCTION("""COMPUTED_VALUE"""),"This will be hard to do, but if it is the right company I would try")</f>
        <v>This will be hard to do, but if it is the right company I would try</v>
      </c>
      <c r="H866" s="1" t="str">
        <f ca="1">IFERROR(__xludf.DUMMYFUNCTION("""COMPUTED_VALUE"""),"No")</f>
        <v>No</v>
      </c>
      <c r="I866" s="1" t="str">
        <f ca="1">IFERROR(__xludf.DUMMYFUNCTION("""COMPUTED_VALUE"""),"Will NOT work for them")</f>
        <v>Will NOT work for them</v>
      </c>
      <c r="J866" s="1">
        <f ca="1">IFERROR(__xludf.DUMMYFUNCTION("""COMPUTED_VALUE"""),4)</f>
        <v>4</v>
      </c>
      <c r="K866" s="1" t="str">
        <f ca="1">IFERROR(__xludf.DUMMYFUNCTION("""COMPUTED_VALUE"""),"Hybrid Working Environment with more than 15 days a month at office")</f>
        <v>Hybrid Working Environment with more than 15 days a month at office</v>
      </c>
      <c r="L866" s="1" t="str">
        <f ca="1">IFERROR(__xludf.DUMMYFUNCTION("""COMPUTED_VALUE"""),"Employer who pushes your limits by enabling an learning environment, and rewards you at the end")</f>
        <v>Employer who pushes your limits by enabling an learning environment, and rewards you at the end</v>
      </c>
      <c r="M866"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866" s="1"/>
      <c r="O866" s="1" t="str">
        <f ca="1">IFERROR(__xludf.DUMMYFUNCTION("""COMPUTED_VALUE"""),"Manager who explains what is expected, sets a goal and helps achieve it")</f>
        <v>Manager who explains what is expected, sets a goal and helps achieve it</v>
      </c>
      <c r="P866" s="1" t="str">
        <f ca="1">IFERROR(__xludf.DUMMYFUNCTION("""COMPUTED_VALUE"""),"Work &lt;=6 People in the Team")</f>
        <v>Work &lt;=6 People in the Team</v>
      </c>
      <c r="Q866" s="1" t="s">
        <v>43</v>
      </c>
      <c r="R866" s="1"/>
    </row>
    <row r="867" spans="1:18" x14ac:dyDescent="0.25">
      <c r="A867" s="2">
        <f ca="1">IFERROR(__xludf.DUMMYFUNCTION("""COMPUTED_VALUE"""),45023.9045330902)</f>
        <v>45023.904533090201</v>
      </c>
      <c r="B867" s="1" t="str">
        <f ca="1">IFERROR(__xludf.DUMMYFUNCTION("""COMPUTED_VALUE"""),"India")</f>
        <v>India</v>
      </c>
      <c r="C867" s="1">
        <f ca="1">IFERROR(__xludf.DUMMYFUNCTION("""COMPUTED_VALUE"""),110022)</f>
        <v>110022</v>
      </c>
      <c r="D867" s="1" t="str">
        <f ca="1">IFERROR(__xludf.DUMMYFUNCTION("""COMPUTED_VALUE"""),"Male")</f>
        <v>Male</v>
      </c>
      <c r="E867" s="1" t="str">
        <f ca="1">IFERROR(__xludf.DUMMYFUNCTION("""COMPUTED_VALUE"""),"My Parents")</f>
        <v>My Parents</v>
      </c>
      <c r="F867" s="1" t="str">
        <f ca="1">IFERROR(__xludf.DUMMYFUNCTION("""COMPUTED_VALUE"""),"No I would not be pursuing Higher Education outside of India")</f>
        <v>No I would not be pursuing Higher Education outside of India</v>
      </c>
      <c r="G867" s="1" t="str">
        <f ca="1">IFERROR(__xludf.DUMMYFUNCTION("""COMPUTED_VALUE"""),"This will be hard to do, but if it is the right company I would try")</f>
        <v>This will be hard to do, but if it is the right company I would try</v>
      </c>
      <c r="H867" s="1" t="str">
        <f ca="1">IFERROR(__xludf.DUMMYFUNCTION("""COMPUTED_VALUE"""),"No")</f>
        <v>No</v>
      </c>
      <c r="I867" s="1" t="str">
        <f ca="1">IFERROR(__xludf.DUMMYFUNCTION("""COMPUTED_VALUE"""),"Will work for them")</f>
        <v>Will work for them</v>
      </c>
      <c r="J867" s="1">
        <f ca="1">IFERROR(__xludf.DUMMYFUNCTION("""COMPUTED_VALUE"""),5)</f>
        <v>5</v>
      </c>
      <c r="K867" s="1" t="str">
        <f ca="1">IFERROR(__xludf.DUMMYFUNCTION("""COMPUTED_VALUE"""),"Every Day Office Environment")</f>
        <v>Every Day Office Environment</v>
      </c>
      <c r="L867" s="1" t="str">
        <f ca="1">IFERROR(__xludf.DUMMYFUNCTION("""COMPUTED_VALUE"""),"Employer who appreciates learning and enables that environment")</f>
        <v>Employer who appreciates learning and enables that environment</v>
      </c>
      <c r="M867" s="1" t="str">
        <f ca="1">IFERROR(__xludf.DUMMYFUNCTION("""COMPUTED_VALUE"""),"Manage and drive End-to-End Projects or Products, Design and Develop amazing software, Become a content Creator in some platform, Manufacturing / Oil and Gas/ Construction / Hard Physical Work related")</f>
        <v>Manage and drive End-to-End Projects or Products, Design and Develop amazing software, Become a content Creator in some platform, Manufacturing / Oil and Gas/ Construction / Hard Physical Work related</v>
      </c>
      <c r="N867" s="1"/>
      <c r="O867" s="1" t="str">
        <f ca="1">IFERROR(__xludf.DUMMYFUNCTION("""COMPUTED_VALUE"""),"Manager who explains what is expected, sets a goal and helps achieve it")</f>
        <v>Manager who explains what is expected, sets a goal and helps achieve it</v>
      </c>
      <c r="P867" s="1" t="str">
        <f ca="1">IFERROR(__xludf.DUMMYFUNCTION("""COMPUTED_VALUE"""),"Work &lt;=6 People in the Team")</f>
        <v>Work &lt;=6 People in the Team</v>
      </c>
      <c r="Q867" s="1" t="s">
        <v>40</v>
      </c>
      <c r="R867" s="1"/>
    </row>
    <row r="868" spans="1:18" x14ac:dyDescent="0.25">
      <c r="A868" s="2">
        <f ca="1">IFERROR(__xludf.DUMMYFUNCTION("""COMPUTED_VALUE"""),45023.9072580324)</f>
        <v>45023.907258032399</v>
      </c>
      <c r="B868" s="1" t="str">
        <f ca="1">IFERROR(__xludf.DUMMYFUNCTION("""COMPUTED_VALUE"""),"India")</f>
        <v>India</v>
      </c>
      <c r="C868" s="1">
        <f ca="1">IFERROR(__xludf.DUMMYFUNCTION("""COMPUTED_VALUE"""),560093)</f>
        <v>560093</v>
      </c>
      <c r="D868" s="1" t="str">
        <f ca="1">IFERROR(__xludf.DUMMYFUNCTION("""COMPUTED_VALUE"""),"Female")</f>
        <v>Female</v>
      </c>
      <c r="E868" s="1" t="str">
        <f ca="1">IFERROR(__xludf.DUMMYFUNCTION("""COMPUTED_VALUE"""),"People who have changed the world for better")</f>
        <v>People who have changed the world for better</v>
      </c>
      <c r="F868" s="1" t="str">
        <f ca="1">IFERROR(__xludf.DUMMYFUNCTION("""COMPUTED_VALUE"""),"Yes, I will earn and do that")</f>
        <v>Yes, I will earn and do that</v>
      </c>
      <c r="G868" s="1" t="str">
        <f ca="1">IFERROR(__xludf.DUMMYFUNCTION("""COMPUTED_VALUE"""),"Will work for 3 years or more")</f>
        <v>Will work for 3 years or more</v>
      </c>
      <c r="H868" s="1" t="str">
        <f ca="1">IFERROR(__xludf.DUMMYFUNCTION("""COMPUTED_VALUE"""),"Yes")</f>
        <v>Yes</v>
      </c>
      <c r="I868" s="1" t="str">
        <f ca="1">IFERROR(__xludf.DUMMYFUNCTION("""COMPUTED_VALUE"""),"Will NOT work for them")</f>
        <v>Will NOT work for them</v>
      </c>
      <c r="J868" s="1">
        <f ca="1">IFERROR(__xludf.DUMMYFUNCTION("""COMPUTED_VALUE"""),5)</f>
        <v>5</v>
      </c>
      <c r="K868" s="1" t="str">
        <f ca="1">IFERROR(__xludf.DUMMYFUNCTION("""COMPUTED_VALUE"""),"Hybrid Working Environment with less than 3 days a month at office")</f>
        <v>Hybrid Working Environment with less than 3 days a month at office</v>
      </c>
      <c r="L868" s="1" t="str">
        <f ca="1">IFERROR(__xludf.DUMMYFUNCTION("""COMPUTED_VALUE"""),"Employer who appreciates learning and enables that environment")</f>
        <v>Employer who appreciates learning and enables that environment</v>
      </c>
      <c r="M868" s="1" t="str">
        <f ca="1">IFERROR(__xludf.DUMMYFUNCTION("""COMPUTED_VALUE"""),"Teaching in any of the institutes/colleges/online or offline, Business Operations in any organization, I Want to sell things/Sales, An Artificial Intelligence Specialist / Talking to Robots")</f>
        <v>Teaching in any of the institutes/colleges/online or offline, Business Operations in any organization, I Want to sell things/Sales, An Artificial Intelligence Specialist / Talking to Robots</v>
      </c>
      <c r="N868" s="1"/>
      <c r="O868" s="1" t="str">
        <f ca="1">IFERROR(__xludf.DUMMYFUNCTION("""COMPUTED_VALUE"""),"Manager who sets goal and helps me achieve it")</f>
        <v>Manager who sets goal and helps me achieve it</v>
      </c>
      <c r="P868" s="1" t="str">
        <f ca="1">IFERROR(__xludf.DUMMYFUNCTION("""COMPUTED_VALUE"""),"Work &lt;=6 People in the Team")</f>
        <v>Work &lt;=6 People in the Team</v>
      </c>
      <c r="Q868" s="1" t="s">
        <v>43</v>
      </c>
      <c r="R868" s="1"/>
    </row>
    <row r="869" spans="1:18" x14ac:dyDescent="0.25">
      <c r="A869" s="2">
        <f ca="1">IFERROR(__xludf.DUMMYFUNCTION("""COMPUTED_VALUE"""),45023.916051574)</f>
        <v>45023.916051574</v>
      </c>
      <c r="B869" s="1" t="str">
        <f ca="1">IFERROR(__xludf.DUMMYFUNCTION("""COMPUTED_VALUE"""),"India")</f>
        <v>India</v>
      </c>
      <c r="C869" s="1">
        <f ca="1">IFERROR(__xludf.DUMMYFUNCTION("""COMPUTED_VALUE"""),245304)</f>
        <v>245304</v>
      </c>
      <c r="D869" s="1" t="str">
        <f ca="1">IFERROR(__xludf.DUMMYFUNCTION("""COMPUTED_VALUE"""),"Female")</f>
        <v>Female</v>
      </c>
      <c r="E869" s="1" t="str">
        <f ca="1">IFERROR(__xludf.DUMMYFUNCTION("""COMPUTED_VALUE"""),"People who have changed the world for better")</f>
        <v>People who have changed the world for better</v>
      </c>
      <c r="F869" s="1" t="str">
        <f ca="1">IFERROR(__xludf.DUMMYFUNCTION("""COMPUTED_VALUE"""),"Yes, I will earn and do that")</f>
        <v>Yes, I will earn and do that</v>
      </c>
      <c r="G869" s="1" t="str">
        <f ca="1">IFERROR(__xludf.DUMMYFUNCTION("""COMPUTED_VALUE"""),"This will be hard to do, but if it is the right company I would try")</f>
        <v>This will be hard to do, but if it is the right company I would try</v>
      </c>
      <c r="H869" s="1" t="str">
        <f ca="1">IFERROR(__xludf.DUMMYFUNCTION("""COMPUTED_VALUE"""),"Yes")</f>
        <v>Yes</v>
      </c>
      <c r="I869" s="1" t="str">
        <f ca="1">IFERROR(__xludf.DUMMYFUNCTION("""COMPUTED_VALUE"""),"Will work for them")</f>
        <v>Will work for them</v>
      </c>
      <c r="J869" s="1">
        <f ca="1">IFERROR(__xludf.DUMMYFUNCTION("""COMPUTED_VALUE"""),1)</f>
        <v>1</v>
      </c>
      <c r="K869" s="1" t="str">
        <f ca="1">IFERROR(__xludf.DUMMYFUNCTION("""COMPUTED_VALUE"""),"Fully Remote with Options to travel as and when needed")</f>
        <v>Fully Remote with Options to travel as and when needed</v>
      </c>
      <c r="L869" s="1" t="str">
        <f ca="1">IFERROR(__xludf.DUMMYFUNCTION("""COMPUTED_VALUE"""),"Employer who pushes your limits by enabling an learning environment, and rewards you at the end")</f>
        <v>Employer who pushes your limits by enabling an learning environment, and rewards you at the end</v>
      </c>
      <c r="M869"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N869" s="1"/>
      <c r="O869" s="1" t="str">
        <f ca="1">IFERROR(__xludf.DUMMYFUNCTION("""COMPUTED_VALUE"""),"Manager who sets targets and expects me to achieve it")</f>
        <v>Manager who sets targets and expects me to achieve it</v>
      </c>
      <c r="P869" s="1" t="str">
        <f ca="1">IFERROR(__xludf.DUMMYFUNCTION("""COMPUTED_VALUE"""),"Work &lt;=6 People in the Team")</f>
        <v>Work &lt;=6 People in the Team</v>
      </c>
      <c r="Q869" s="1" t="s">
        <v>40</v>
      </c>
      <c r="R869" s="1"/>
    </row>
    <row r="870" spans="1:18" x14ac:dyDescent="0.25">
      <c r="A870" s="2">
        <f ca="1">IFERROR(__xludf.DUMMYFUNCTION("""COMPUTED_VALUE"""),45023.9239154166)</f>
        <v>45023.923915416599</v>
      </c>
      <c r="B870" s="1" t="str">
        <f ca="1">IFERROR(__xludf.DUMMYFUNCTION("""COMPUTED_VALUE"""),"India")</f>
        <v>India</v>
      </c>
      <c r="C870" s="1">
        <f ca="1">IFERROR(__xludf.DUMMYFUNCTION("""COMPUTED_VALUE"""),226010)</f>
        <v>226010</v>
      </c>
      <c r="D870" s="1" t="str">
        <f ca="1">IFERROR(__xludf.DUMMYFUNCTION("""COMPUTED_VALUE"""),"Female")</f>
        <v>Female</v>
      </c>
      <c r="E870" s="1" t="str">
        <f ca="1">IFERROR(__xludf.DUMMYFUNCTION("""COMPUTED_VALUE"""),"People who have changed the world for better")</f>
        <v>People who have changed the world for better</v>
      </c>
      <c r="F870" s="1" t="str">
        <f ca="1">IFERROR(__xludf.DUMMYFUNCTION("""COMPUTED_VALUE"""),"Yes, I will earn and do that")</f>
        <v>Yes, I will earn and do that</v>
      </c>
      <c r="G870" s="1" t="str">
        <f ca="1">IFERROR(__xludf.DUMMYFUNCTION("""COMPUTED_VALUE"""),"This will be hard to do, but if it is the right company I would try")</f>
        <v>This will be hard to do, but if it is the right company I would try</v>
      </c>
      <c r="H870" s="1" t="str">
        <f ca="1">IFERROR(__xludf.DUMMYFUNCTION("""COMPUTED_VALUE"""),"No")</f>
        <v>No</v>
      </c>
      <c r="I870" s="1" t="str">
        <f ca="1">IFERROR(__xludf.DUMMYFUNCTION("""COMPUTED_VALUE"""),"Will NOT work for them")</f>
        <v>Will NOT work for them</v>
      </c>
      <c r="J870" s="1">
        <f ca="1">IFERROR(__xludf.DUMMYFUNCTION("""COMPUTED_VALUE"""),10)</f>
        <v>10</v>
      </c>
      <c r="K870" s="1" t="str">
        <f ca="1">IFERROR(__xludf.DUMMYFUNCTION("""COMPUTED_VALUE"""),"Hybrid Working Environment with more than 15 days a month at office")</f>
        <v>Hybrid Working Environment with more than 15 days a month at office</v>
      </c>
      <c r="L870" s="1" t="str">
        <f ca="1">IFERROR(__xludf.DUMMYFUNCTION("""COMPUTED_VALUE"""),"Employer who appreciates learning and enables that environment")</f>
        <v>Employer who appreciates learning and enables that environment</v>
      </c>
      <c r="M87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N870" s="1"/>
      <c r="O870" s="1" t="str">
        <f ca="1">IFERROR(__xludf.DUMMYFUNCTION("""COMPUTED_VALUE"""),"Manager who sets goal and helps me achieve it")</f>
        <v>Manager who sets goal and helps me achieve it</v>
      </c>
      <c r="P870" s="1" t="str">
        <f ca="1">IFERROR(__xludf.DUMMYFUNCTION("""COMPUTED_VALUE"""),"Work &lt;=6 People in the Team")</f>
        <v>Work &lt;=6 People in the Team</v>
      </c>
      <c r="Q870" s="1" t="s">
        <v>40</v>
      </c>
      <c r="R870" s="1"/>
    </row>
    <row r="871" spans="1:18" x14ac:dyDescent="0.25">
      <c r="A871" s="2">
        <f ca="1">IFERROR(__xludf.DUMMYFUNCTION("""COMPUTED_VALUE"""),45023.9286025231)</f>
        <v>45023.928602523098</v>
      </c>
      <c r="B871" s="1" t="str">
        <f ca="1">IFERROR(__xludf.DUMMYFUNCTION("""COMPUTED_VALUE"""),"India")</f>
        <v>India</v>
      </c>
      <c r="C871" s="1">
        <f ca="1">IFERROR(__xludf.DUMMYFUNCTION("""COMPUTED_VALUE"""),201310)</f>
        <v>201310</v>
      </c>
      <c r="D871" s="1" t="str">
        <f ca="1">IFERROR(__xludf.DUMMYFUNCTION("""COMPUTED_VALUE"""),"Male")</f>
        <v>Male</v>
      </c>
      <c r="E871" s="1" t="str">
        <f ca="1">IFERROR(__xludf.DUMMYFUNCTION("""COMPUTED_VALUE"""),"Influencers who had successful careers")</f>
        <v>Influencers who had successful careers</v>
      </c>
      <c r="F871" s="1" t="str">
        <f ca="1">IFERROR(__xludf.DUMMYFUNCTION("""COMPUTED_VALUE"""),"No, But if someone could bare the cost I will")</f>
        <v>No, But if someone could bare the cost I will</v>
      </c>
      <c r="G871" s="1" t="str">
        <f ca="1">IFERROR(__xludf.DUMMYFUNCTION("""COMPUTED_VALUE"""),"This will be hard to do, but if it is the right company I would try")</f>
        <v>This will be hard to do, but if it is the right company I would try</v>
      </c>
      <c r="H871" s="1" t="str">
        <f ca="1">IFERROR(__xludf.DUMMYFUNCTION("""COMPUTED_VALUE"""),"Yes")</f>
        <v>Yes</v>
      </c>
      <c r="I871" s="1" t="str">
        <f ca="1">IFERROR(__xludf.DUMMYFUNCTION("""COMPUTED_VALUE"""),"Will work for them")</f>
        <v>Will work for them</v>
      </c>
      <c r="J871" s="1">
        <f ca="1">IFERROR(__xludf.DUMMYFUNCTION("""COMPUTED_VALUE"""),9)</f>
        <v>9</v>
      </c>
      <c r="K871" s="1" t="str">
        <f ca="1">IFERROR(__xludf.DUMMYFUNCTION("""COMPUTED_VALUE"""),"Fully Remote with Options to travel as and when needed")</f>
        <v>Fully Remote with Options to travel as and when needed</v>
      </c>
      <c r="L871" s="1" t="str">
        <f ca="1">IFERROR(__xludf.DUMMYFUNCTION("""COMPUTED_VALUE"""),"Employer who pushes your limits by enabling an learning environment, and rewards you at the end")</f>
        <v>Employer who pushes your limits by enabling an learning environment, and rewards you at the end</v>
      </c>
      <c r="M871"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871" s="1"/>
      <c r="O871" s="1" t="str">
        <f ca="1">IFERROR(__xludf.DUMMYFUNCTION("""COMPUTED_VALUE"""),"Manager who sets unrealistic targets")</f>
        <v>Manager who sets unrealistic targets</v>
      </c>
      <c r="P871" s="1" t="str">
        <f ca="1">IFERROR(__xludf.DUMMYFUNCTION("""COMPUTED_VALUE"""),"Work Alone, &lt;67 people in team")</f>
        <v>Work Alone, &lt;67 people in team</v>
      </c>
      <c r="Q871" s="1" t="s">
        <v>40</v>
      </c>
      <c r="R871" s="1"/>
    </row>
    <row r="872" spans="1:18" x14ac:dyDescent="0.25">
      <c r="A872" s="2">
        <f ca="1">IFERROR(__xludf.DUMMYFUNCTION("""COMPUTED_VALUE"""),45023.94684375)</f>
        <v>45023.946843750004</v>
      </c>
      <c r="B872" s="1" t="str">
        <f ca="1">IFERROR(__xludf.DUMMYFUNCTION("""COMPUTED_VALUE"""),"India")</f>
        <v>India</v>
      </c>
      <c r="C872" s="1">
        <f ca="1">IFERROR(__xludf.DUMMYFUNCTION("""COMPUTED_VALUE"""),600130)</f>
        <v>600130</v>
      </c>
      <c r="D872" s="1" t="str">
        <f ca="1">IFERROR(__xludf.DUMMYFUNCTION("""COMPUTED_VALUE"""),"Female")</f>
        <v>Female</v>
      </c>
      <c r="E872" s="1" t="str">
        <f ca="1">IFERROR(__xludf.DUMMYFUNCTION("""COMPUTED_VALUE"""),"My Parents")</f>
        <v>My Parents</v>
      </c>
      <c r="F872" s="1" t="str">
        <f ca="1">IFERROR(__xludf.DUMMYFUNCTION("""COMPUTED_VALUE"""),"No I would not be pursuing Higher Education outside of India")</f>
        <v>No I would not be pursuing Higher Education outside of India</v>
      </c>
      <c r="G872" s="1" t="str">
        <f ca="1">IFERROR(__xludf.DUMMYFUNCTION("""COMPUTED_VALUE"""),"Will work for 3 years or more")</f>
        <v>Will work for 3 years or more</v>
      </c>
      <c r="H872" s="1" t="str">
        <f ca="1">IFERROR(__xludf.DUMMYFUNCTION("""COMPUTED_VALUE"""),"No")</f>
        <v>No</v>
      </c>
      <c r="I872" s="1" t="str">
        <f ca="1">IFERROR(__xludf.DUMMYFUNCTION("""COMPUTED_VALUE"""),"Will NOT work for them")</f>
        <v>Will NOT work for them</v>
      </c>
      <c r="J872" s="1">
        <f ca="1">IFERROR(__xludf.DUMMYFUNCTION("""COMPUTED_VALUE"""),6)</f>
        <v>6</v>
      </c>
      <c r="K872" s="1" t="str">
        <f ca="1">IFERROR(__xludf.DUMMYFUNCTION("""COMPUTED_VALUE"""),"Fully Remote with Options to travel as and when needed")</f>
        <v>Fully Remote with Options to travel as and when needed</v>
      </c>
      <c r="L872" s="1" t="str">
        <f ca="1">IFERROR(__xludf.DUMMYFUNCTION("""COMPUTED_VALUE"""),"Employer who pushes your limits by enabling an learning environment, and rewards you at the end")</f>
        <v>Employer who pushes your limits by enabling an learning environment, and rewards you at the end</v>
      </c>
      <c r="M872"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N872" s="1"/>
      <c r="O872" s="1" t="str">
        <f ca="1">IFERROR(__xludf.DUMMYFUNCTION("""COMPUTED_VALUE"""),"Manager who explains what is expected, sets a goal and helps achieve it")</f>
        <v>Manager who explains what is expected, sets a goal and helps achieve it</v>
      </c>
      <c r="P872" s="1" t="str">
        <f ca="1">IFERROR(__xludf.DUMMYFUNCTION("""COMPUTED_VALUE"""),"Work &lt;=6 People in the Team")</f>
        <v>Work &lt;=6 People in the Team</v>
      </c>
      <c r="Q872" s="1" t="s">
        <v>43</v>
      </c>
      <c r="R872" s="1"/>
    </row>
    <row r="873" spans="1:18" x14ac:dyDescent="0.25">
      <c r="A873" s="2">
        <f ca="1">IFERROR(__xludf.DUMMYFUNCTION("""COMPUTED_VALUE"""),45023.965929618)</f>
        <v>45023.965929618003</v>
      </c>
      <c r="B873" s="1" t="str">
        <f ca="1">IFERROR(__xludf.DUMMYFUNCTION("""COMPUTED_VALUE"""),"India")</f>
        <v>India</v>
      </c>
      <c r="C873" s="1">
        <f ca="1">IFERROR(__xludf.DUMMYFUNCTION("""COMPUTED_VALUE"""),560055)</f>
        <v>560055</v>
      </c>
      <c r="D873" s="1" t="str">
        <f ca="1">IFERROR(__xludf.DUMMYFUNCTION("""COMPUTED_VALUE"""),"Female")</f>
        <v>Female</v>
      </c>
      <c r="E873" s="1" t="str">
        <f ca="1">IFERROR(__xludf.DUMMYFUNCTION("""COMPUTED_VALUE"""),"My Parents")</f>
        <v>My Parents</v>
      </c>
      <c r="F873" s="1" t="str">
        <f ca="1">IFERROR(__xludf.DUMMYFUNCTION("""COMPUTED_VALUE"""),"No I would not be pursuing Higher Education outside of India")</f>
        <v>No I would not be pursuing Higher Education outside of India</v>
      </c>
      <c r="G873" s="1" t="str">
        <f ca="1">IFERROR(__xludf.DUMMYFUNCTION("""COMPUTED_VALUE"""),"Will work for 3 years or more")</f>
        <v>Will work for 3 years or more</v>
      </c>
      <c r="H873" s="1" t="str">
        <f ca="1">IFERROR(__xludf.DUMMYFUNCTION("""COMPUTED_VALUE"""),"No")</f>
        <v>No</v>
      </c>
      <c r="I873" s="1" t="str">
        <f ca="1">IFERROR(__xludf.DUMMYFUNCTION("""COMPUTED_VALUE"""),"Will NOT work for them")</f>
        <v>Will NOT work for them</v>
      </c>
      <c r="J873" s="1">
        <f ca="1">IFERROR(__xludf.DUMMYFUNCTION("""COMPUTED_VALUE"""),1)</f>
        <v>1</v>
      </c>
      <c r="K873" s="1" t="str">
        <f ca="1">IFERROR(__xludf.DUMMYFUNCTION("""COMPUTED_VALUE"""),"Hybrid Working Environment with less than 3 days a month at office")</f>
        <v>Hybrid Working Environment with less than 3 days a month at office</v>
      </c>
      <c r="L873" s="1" t="str">
        <f ca="1">IFERROR(__xludf.DUMMYFUNCTION("""COMPUTED_VALUE"""),"Employer who appreciates learning and enables that environment")</f>
        <v>Employer who appreciates learning and enables that environment</v>
      </c>
      <c r="M873" s="1" t="str">
        <f ca="1">IFERROR(__xludf.DUMMYFUNCTION("""COMPUTED_VALUE"""),"Manage and drive End-to-End Projects or Products, Build and develop a Team, Work in a BPO setup for some well known client, Work as a freelancer and do my thing my way")</f>
        <v>Manage and drive End-to-End Projects or Products, Build and develop a Team, Work in a BPO setup for some well known client, Work as a freelancer and do my thing my way</v>
      </c>
      <c r="N873" s="1"/>
      <c r="O873" s="1" t="str">
        <f ca="1">IFERROR(__xludf.DUMMYFUNCTION("""COMPUTED_VALUE"""),"Manager who explains what is expected, sets a goal and helps achieve it")</f>
        <v>Manager who explains what is expected, sets a goal and helps achieve it</v>
      </c>
      <c r="P873" s="1" t="str">
        <f ca="1">IFERROR(__xludf.DUMMYFUNCTION("""COMPUTED_VALUE"""),"Work &lt;=6 People in the Team")</f>
        <v>Work &lt;=6 People in the Team</v>
      </c>
      <c r="Q873" s="1" t="s">
        <v>43</v>
      </c>
      <c r="R873" s="1"/>
    </row>
    <row r="874" spans="1:18" x14ac:dyDescent="0.25">
      <c r="A874" s="2">
        <f ca="1">IFERROR(__xludf.DUMMYFUNCTION("""COMPUTED_VALUE"""),45023.9689065972)</f>
        <v>45023.968906597198</v>
      </c>
      <c r="B874" s="1" t="str">
        <f ca="1">IFERROR(__xludf.DUMMYFUNCTION("""COMPUTED_VALUE"""),"India")</f>
        <v>India</v>
      </c>
      <c r="C874" s="1">
        <f ca="1">IFERROR(__xludf.DUMMYFUNCTION("""COMPUTED_VALUE"""),400084)</f>
        <v>400084</v>
      </c>
      <c r="D874" s="1" t="str">
        <f ca="1">IFERROR(__xludf.DUMMYFUNCTION("""COMPUTED_VALUE"""),"Male")</f>
        <v>Male</v>
      </c>
      <c r="E874" s="1" t="str">
        <f ca="1">IFERROR(__xludf.DUMMYFUNCTION("""COMPUTED_VALUE"""),"My Parents")</f>
        <v>My Parents</v>
      </c>
      <c r="F874" s="1" t="str">
        <f ca="1">IFERROR(__xludf.DUMMYFUNCTION("""COMPUTED_VALUE"""),"No, But if someone could bare the cost I will")</f>
        <v>No, But if someone could bare the cost I will</v>
      </c>
      <c r="G874" s="1" t="str">
        <f ca="1">IFERROR(__xludf.DUMMYFUNCTION("""COMPUTED_VALUE"""),"Will work for 3 years or more")</f>
        <v>Will work for 3 years or more</v>
      </c>
      <c r="H874" s="1" t="str">
        <f ca="1">IFERROR(__xludf.DUMMYFUNCTION("""COMPUTED_VALUE"""),"No")</f>
        <v>No</v>
      </c>
      <c r="I874" s="1" t="str">
        <f ca="1">IFERROR(__xludf.DUMMYFUNCTION("""COMPUTED_VALUE"""),"Will NOT work for them")</f>
        <v>Will NOT work for them</v>
      </c>
      <c r="J874" s="1">
        <f ca="1">IFERROR(__xludf.DUMMYFUNCTION("""COMPUTED_VALUE"""),8)</f>
        <v>8</v>
      </c>
      <c r="K874" s="1" t="str">
        <f ca="1">IFERROR(__xludf.DUMMYFUNCTION("""COMPUTED_VALUE"""),"Hybrid Working Environment with more than 15 days a month at office")</f>
        <v>Hybrid Working Environment with more than 15 days a month at office</v>
      </c>
      <c r="L874" s="1" t="str">
        <f ca="1">IFERROR(__xludf.DUMMYFUNCTION("""COMPUTED_VALUE"""),"Employer who pushes your limits by enabling an learning environment, and rewards you at the end")</f>
        <v>Employer who pushes your limits by enabling an learning environment, and rewards you at the end</v>
      </c>
      <c r="M8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874" s="1"/>
      <c r="O874" s="1" t="str">
        <f ca="1">IFERROR(__xludf.DUMMYFUNCTION("""COMPUTED_VALUE"""),"Manager who explains what is expected, sets a goal and helps achieve it")</f>
        <v>Manager who explains what is expected, sets a goal and helps achieve it</v>
      </c>
      <c r="P874" s="1" t="str">
        <f ca="1">IFERROR(__xludf.DUMMYFUNCTION("""COMPUTED_VALUE"""),"Work &lt;=6 People in the Team")</f>
        <v>Work &lt;=6 People in the Team</v>
      </c>
      <c r="Q874" s="1" t="s">
        <v>43</v>
      </c>
      <c r="R874" s="1"/>
    </row>
    <row r="875" spans="1:18" x14ac:dyDescent="0.25">
      <c r="A875" s="2">
        <f ca="1">IFERROR(__xludf.DUMMYFUNCTION("""COMPUTED_VALUE"""),45023.9705521527)</f>
        <v>45023.970552152699</v>
      </c>
      <c r="B875" s="1" t="str">
        <f ca="1">IFERROR(__xludf.DUMMYFUNCTION("""COMPUTED_VALUE"""),"India")</f>
        <v>India</v>
      </c>
      <c r="C875" s="1">
        <f ca="1">IFERROR(__xludf.DUMMYFUNCTION("""COMPUTED_VALUE"""),452016)</f>
        <v>452016</v>
      </c>
      <c r="D875" s="1" t="str">
        <f ca="1">IFERROR(__xludf.DUMMYFUNCTION("""COMPUTED_VALUE"""),"Female")</f>
        <v>Female</v>
      </c>
      <c r="E875" s="1" t="str">
        <f ca="1">IFERROR(__xludf.DUMMYFUNCTION("""COMPUTED_VALUE"""),"Influencers who had successful careers")</f>
        <v>Influencers who had successful careers</v>
      </c>
      <c r="F875" s="1" t="str">
        <f ca="1">IFERROR(__xludf.DUMMYFUNCTION("""COMPUTED_VALUE"""),"Yes, I will earn and do that")</f>
        <v>Yes, I will earn and do that</v>
      </c>
      <c r="G875" s="1" t="str">
        <f ca="1">IFERROR(__xludf.DUMMYFUNCTION("""COMPUTED_VALUE"""),"This will be hard to do, but if it is the right company I would try")</f>
        <v>This will be hard to do, but if it is the right company I would try</v>
      </c>
      <c r="H875" s="1" t="str">
        <f ca="1">IFERROR(__xludf.DUMMYFUNCTION("""COMPUTED_VALUE"""),"Yes")</f>
        <v>Yes</v>
      </c>
      <c r="I875" s="1" t="str">
        <f ca="1">IFERROR(__xludf.DUMMYFUNCTION("""COMPUTED_VALUE"""),"Will work for them")</f>
        <v>Will work for them</v>
      </c>
      <c r="J875" s="1">
        <f ca="1">IFERROR(__xludf.DUMMYFUNCTION("""COMPUTED_VALUE"""),4)</f>
        <v>4</v>
      </c>
      <c r="K875" s="1" t="str">
        <f ca="1">IFERROR(__xludf.DUMMYFUNCTION("""COMPUTED_VALUE"""),"Fully Remote with Options to travel as and when needed")</f>
        <v>Fully Remote with Options to travel as and when needed</v>
      </c>
      <c r="L875" s="1" t="str">
        <f ca="1">IFERROR(__xludf.DUMMYFUNCTION("""COMPUTED_VALUE"""),"Employer who pushes your limits by enabling an learning environment, and rewards you at the end")</f>
        <v>Employer who pushes your limits by enabling an learning environment, and rewards you at the end</v>
      </c>
      <c r="M87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875" s="1"/>
      <c r="O875" s="1" t="str">
        <f ca="1">IFERROR(__xludf.DUMMYFUNCTION("""COMPUTED_VALUE"""),"Manager who clearly describes what she/he needs")</f>
        <v>Manager who clearly describes what she/he needs</v>
      </c>
      <c r="P875" s="1" t="str">
        <f ca="1">IFERROR(__xludf.DUMMYFUNCTION("""COMPUTED_VALUE"""),"Work &lt;=6 People in the Team")</f>
        <v>Work &lt;=6 People in the Team</v>
      </c>
      <c r="Q875" s="1" t="s">
        <v>43</v>
      </c>
      <c r="R875" s="1"/>
    </row>
    <row r="876" spans="1:18" x14ac:dyDescent="0.25">
      <c r="A876" s="2">
        <f ca="1">IFERROR(__xludf.DUMMYFUNCTION("""COMPUTED_VALUE"""),45023.9743827776)</f>
        <v>45023.974382777596</v>
      </c>
      <c r="B876" s="1" t="str">
        <f ca="1">IFERROR(__xludf.DUMMYFUNCTION("""COMPUTED_VALUE"""),"India")</f>
        <v>India</v>
      </c>
      <c r="C876" s="1">
        <f ca="1">IFERROR(__xludf.DUMMYFUNCTION("""COMPUTED_VALUE"""),211001)</f>
        <v>211001</v>
      </c>
      <c r="D876" s="1" t="str">
        <f ca="1">IFERROR(__xludf.DUMMYFUNCTION("""COMPUTED_VALUE"""),"Male")</f>
        <v>Male</v>
      </c>
      <c r="E876" s="1" t="str">
        <f ca="1">IFERROR(__xludf.DUMMYFUNCTION("""COMPUTED_VALUE"""),"My Parents")</f>
        <v>My Parents</v>
      </c>
      <c r="F876" s="1" t="str">
        <f ca="1">IFERROR(__xludf.DUMMYFUNCTION("""COMPUTED_VALUE"""),"No I would not be pursuing Higher Education outside of India")</f>
        <v>No I would not be pursuing Higher Education outside of India</v>
      </c>
      <c r="G876" s="1" t="str">
        <f ca="1">IFERROR(__xludf.DUMMYFUNCTION("""COMPUTED_VALUE"""),"No way")</f>
        <v>No way</v>
      </c>
      <c r="H876" s="1" t="str">
        <f ca="1">IFERROR(__xludf.DUMMYFUNCTION("""COMPUTED_VALUE"""),"No")</f>
        <v>No</v>
      </c>
      <c r="I876" s="1" t="str">
        <f ca="1">IFERROR(__xludf.DUMMYFUNCTION("""COMPUTED_VALUE"""),"Will NOT work for them")</f>
        <v>Will NOT work for them</v>
      </c>
      <c r="J876" s="1">
        <f ca="1">IFERROR(__xludf.DUMMYFUNCTION("""COMPUTED_VALUE"""),8)</f>
        <v>8</v>
      </c>
      <c r="K876" s="1" t="str">
        <f ca="1">IFERROR(__xludf.DUMMYFUNCTION("""COMPUTED_VALUE"""),"Every Day Office Environment")</f>
        <v>Every Day Office Environment</v>
      </c>
      <c r="L876" s="1" t="str">
        <f ca="1">IFERROR(__xludf.DUMMYFUNCTION("""COMPUTED_VALUE"""),"Employer who appreciates learning and enables that environment")</f>
        <v>Employer who appreciates learning and enables that environment</v>
      </c>
      <c r="M876"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N876" s="1"/>
      <c r="O876" s="1" t="str">
        <f ca="1">IFERROR(__xludf.DUMMYFUNCTION("""COMPUTED_VALUE"""),"Manager who clearly describes what she/he needs")</f>
        <v>Manager who clearly describes what she/he needs</v>
      </c>
      <c r="P876" s="1" t="str">
        <f ca="1">IFERROR(__xludf.DUMMYFUNCTION("""COMPUTED_VALUE"""),"Work &gt;10 people in Team")</f>
        <v>Work &gt;10 people in Team</v>
      </c>
      <c r="Q876" s="1" t="s">
        <v>43</v>
      </c>
      <c r="R876" s="1"/>
    </row>
    <row r="877" spans="1:18" x14ac:dyDescent="0.25">
      <c r="A877" s="2">
        <f ca="1">IFERROR(__xludf.DUMMYFUNCTION("""COMPUTED_VALUE"""),45023.9758841088)</f>
        <v>45023.975884108797</v>
      </c>
      <c r="B877" s="1" t="str">
        <f ca="1">IFERROR(__xludf.DUMMYFUNCTION("""COMPUTED_VALUE"""),"India")</f>
        <v>India</v>
      </c>
      <c r="C877" s="1">
        <f ca="1">IFERROR(__xludf.DUMMYFUNCTION("""COMPUTED_VALUE"""),400067)</f>
        <v>400067</v>
      </c>
      <c r="D877" s="1" t="str">
        <f ca="1">IFERROR(__xludf.DUMMYFUNCTION("""COMPUTED_VALUE"""),"Male")</f>
        <v>Male</v>
      </c>
      <c r="E877" s="1" t="str">
        <f ca="1">IFERROR(__xludf.DUMMYFUNCTION("""COMPUTED_VALUE"""),"My Parents")</f>
        <v>My Parents</v>
      </c>
      <c r="F877" s="1" t="str">
        <f ca="1">IFERROR(__xludf.DUMMYFUNCTION("""COMPUTED_VALUE"""),"Yes, I will earn and do that")</f>
        <v>Yes, I will earn and do that</v>
      </c>
      <c r="G877" s="1" t="str">
        <f ca="1">IFERROR(__xludf.DUMMYFUNCTION("""COMPUTED_VALUE"""),"No way")</f>
        <v>No way</v>
      </c>
      <c r="H877" s="1" t="str">
        <f ca="1">IFERROR(__xludf.DUMMYFUNCTION("""COMPUTED_VALUE"""),"Yes")</f>
        <v>Yes</v>
      </c>
      <c r="I877" s="1" t="str">
        <f ca="1">IFERROR(__xludf.DUMMYFUNCTION("""COMPUTED_VALUE"""),"Will NOT work for them")</f>
        <v>Will NOT work for them</v>
      </c>
      <c r="J877" s="1">
        <f ca="1">IFERROR(__xludf.DUMMYFUNCTION("""COMPUTED_VALUE"""),10)</f>
        <v>10</v>
      </c>
      <c r="K877" s="1" t="str">
        <f ca="1">IFERROR(__xludf.DUMMYFUNCTION("""COMPUTED_VALUE"""),"Fully Remote with No option to visit offices")</f>
        <v>Fully Remote with No option to visit offices</v>
      </c>
      <c r="L877" s="1" t="str">
        <f ca="1">IFERROR(__xludf.DUMMYFUNCTION("""COMPUTED_VALUE"""),"Employer who rewards learning and enables that environment")</f>
        <v>Employer who rewards learning and enables that environment</v>
      </c>
      <c r="M877"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N877" s="1"/>
      <c r="O877" s="1" t="str">
        <f ca="1">IFERROR(__xludf.DUMMYFUNCTION("""COMPUTED_VALUE"""),"Manager who explains what is expected, sets a goal and helps achieve it")</f>
        <v>Manager who explains what is expected, sets a goal and helps achieve it</v>
      </c>
      <c r="P877" s="1" t="str">
        <f ca="1">IFERROR(__xludf.DUMMYFUNCTION("""COMPUTED_VALUE"""),"Work &lt;=6 People in the Team")</f>
        <v>Work &lt;=6 People in the Team</v>
      </c>
      <c r="Q877" s="1" t="s">
        <v>43</v>
      </c>
      <c r="R877" s="1"/>
    </row>
    <row r="878" spans="1:18" x14ac:dyDescent="0.25">
      <c r="A878" s="2">
        <f ca="1">IFERROR(__xludf.DUMMYFUNCTION("""COMPUTED_VALUE"""),45023.9974641666)</f>
        <v>45023.997464166598</v>
      </c>
      <c r="B878" s="1" t="str">
        <f ca="1">IFERROR(__xludf.DUMMYFUNCTION("""COMPUTED_VALUE"""),"India")</f>
        <v>India</v>
      </c>
      <c r="C878" s="1">
        <f ca="1">IFERROR(__xludf.DUMMYFUNCTION("""COMPUTED_VALUE"""),500041)</f>
        <v>500041</v>
      </c>
      <c r="D878" s="1" t="str">
        <f ca="1">IFERROR(__xludf.DUMMYFUNCTION("""COMPUTED_VALUE"""),"Female")</f>
        <v>Female</v>
      </c>
      <c r="E878" s="1" t="str">
        <f ca="1">IFERROR(__xludf.DUMMYFUNCTION("""COMPUTED_VALUE"""),"People who have changed the world for better")</f>
        <v>People who have changed the world for better</v>
      </c>
      <c r="F878" s="1" t="str">
        <f ca="1">IFERROR(__xludf.DUMMYFUNCTION("""COMPUTED_VALUE"""),"Yes, I will earn and do that")</f>
        <v>Yes, I will earn and do that</v>
      </c>
      <c r="G878" s="1" t="str">
        <f ca="1">IFERROR(__xludf.DUMMYFUNCTION("""COMPUTED_VALUE"""),"This will be hard to do, but if it is the right company I would try")</f>
        <v>This will be hard to do, but if it is the right company I would try</v>
      </c>
      <c r="H878" s="1" t="str">
        <f ca="1">IFERROR(__xludf.DUMMYFUNCTION("""COMPUTED_VALUE"""),"No")</f>
        <v>No</v>
      </c>
      <c r="I878" s="1" t="str">
        <f ca="1">IFERROR(__xludf.DUMMYFUNCTION("""COMPUTED_VALUE"""),"Will work for them")</f>
        <v>Will work for them</v>
      </c>
      <c r="J878" s="1">
        <f ca="1">IFERROR(__xludf.DUMMYFUNCTION("""COMPUTED_VALUE"""),7)</f>
        <v>7</v>
      </c>
      <c r="K878" s="1" t="str">
        <f ca="1">IFERROR(__xludf.DUMMYFUNCTION("""COMPUTED_VALUE"""),"Fully Remote with Options to travel as and when needed")</f>
        <v>Fully Remote with Options to travel as and when needed</v>
      </c>
      <c r="L878" s="1" t="str">
        <f ca="1">IFERROR(__xludf.DUMMYFUNCTION("""COMPUTED_VALUE"""),"Employer who appreciates learning and enables that environment")</f>
        <v>Employer who appreciates learning and enables that environment</v>
      </c>
      <c r="M87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N878" s="1"/>
      <c r="O878" s="1" t="str">
        <f ca="1">IFERROR(__xludf.DUMMYFUNCTION("""COMPUTED_VALUE"""),"Manager who clearly describes what she/he needs")</f>
        <v>Manager who clearly describes what she/he needs</v>
      </c>
      <c r="P878" s="1" t="str">
        <f ca="1">IFERROR(__xludf.DUMMYFUNCTION("""COMPUTED_VALUE"""),"Work Alone, &lt;67 people in team")</f>
        <v>Work Alone, &lt;67 people in team</v>
      </c>
      <c r="Q878" s="1" t="s">
        <v>43</v>
      </c>
      <c r="R878" s="1"/>
    </row>
    <row r="879" spans="1:18" x14ac:dyDescent="0.25">
      <c r="A879" s="2">
        <f ca="1">IFERROR(__xludf.DUMMYFUNCTION("""COMPUTED_VALUE"""),45024.0100396412)</f>
        <v>45024.010039641202</v>
      </c>
      <c r="B879" s="1" t="str">
        <f ca="1">IFERROR(__xludf.DUMMYFUNCTION("""COMPUTED_VALUE"""),"India")</f>
        <v>India</v>
      </c>
      <c r="C879" s="1">
        <f ca="1">IFERROR(__xludf.DUMMYFUNCTION("""COMPUTED_VALUE"""),400086)</f>
        <v>400086</v>
      </c>
      <c r="D879" s="1" t="str">
        <f ca="1">IFERROR(__xludf.DUMMYFUNCTION("""COMPUTED_VALUE"""),"Male")</f>
        <v>Male</v>
      </c>
      <c r="E879" s="1" t="str">
        <f ca="1">IFERROR(__xludf.DUMMYFUNCTION("""COMPUTED_VALUE"""),"My Parents")</f>
        <v>My Parents</v>
      </c>
      <c r="F879" s="1" t="str">
        <f ca="1">IFERROR(__xludf.DUMMYFUNCTION("""COMPUTED_VALUE"""),"No I would not be pursuing Higher Education outside of India")</f>
        <v>No I would not be pursuing Higher Education outside of India</v>
      </c>
      <c r="G879" s="1" t="str">
        <f ca="1">IFERROR(__xludf.DUMMYFUNCTION("""COMPUTED_VALUE"""),"No way")</f>
        <v>No way</v>
      </c>
      <c r="H879" s="1" t="str">
        <f ca="1">IFERROR(__xludf.DUMMYFUNCTION("""COMPUTED_VALUE"""),"No")</f>
        <v>No</v>
      </c>
      <c r="I879" s="1" t="str">
        <f ca="1">IFERROR(__xludf.DUMMYFUNCTION("""COMPUTED_VALUE"""),"Will NOT work for them")</f>
        <v>Will NOT work for them</v>
      </c>
      <c r="J879" s="1">
        <f ca="1">IFERROR(__xludf.DUMMYFUNCTION("""COMPUTED_VALUE"""),1)</f>
        <v>1</v>
      </c>
      <c r="K879" s="1" t="str">
        <f ca="1">IFERROR(__xludf.DUMMYFUNCTION("""COMPUTED_VALUE"""),"Fully Remote with No option to visit offices")</f>
        <v>Fully Remote with No option to visit offices</v>
      </c>
      <c r="L879" s="1" t="str">
        <f ca="1">IFERROR(__xludf.DUMMYFUNCTION("""COMPUTED_VALUE"""),"Employer who pushes your limits and doesn't enables learning environment and never rewards you")</f>
        <v>Employer who pushes your limits and doesn't enables learning environment and never rewards you</v>
      </c>
      <c r="M879"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N879" s="1"/>
      <c r="O879" s="1" t="str">
        <f ca="1">IFERROR(__xludf.DUMMYFUNCTION("""COMPUTED_VALUE"""),"Manager who explains what is expected, sets a goal and helps achieve it")</f>
        <v>Manager who explains what is expected, sets a goal and helps achieve it</v>
      </c>
      <c r="P879" s="1" t="str">
        <f ca="1">IFERROR(__xludf.DUMMYFUNCTION("""COMPUTED_VALUE"""),"Work &lt;=6 People in the Team")</f>
        <v>Work &lt;=6 People in the Team</v>
      </c>
      <c r="Q879" s="1" t="s">
        <v>42</v>
      </c>
      <c r="R879" s="1"/>
    </row>
    <row r="880" spans="1:18" x14ac:dyDescent="0.25">
      <c r="A880" s="2">
        <f ca="1">IFERROR(__xludf.DUMMYFUNCTION("""COMPUTED_VALUE"""),45024.0225346296)</f>
        <v>45024.022534629599</v>
      </c>
      <c r="B880" s="1" t="str">
        <f ca="1">IFERROR(__xludf.DUMMYFUNCTION("""COMPUTED_VALUE"""),"India")</f>
        <v>India</v>
      </c>
      <c r="C880" s="1">
        <f ca="1">IFERROR(__xludf.DUMMYFUNCTION("""COMPUTED_VALUE"""),411033)</f>
        <v>411033</v>
      </c>
      <c r="D880" s="1" t="str">
        <f ca="1">IFERROR(__xludf.DUMMYFUNCTION("""COMPUTED_VALUE"""),"Male")</f>
        <v>Male</v>
      </c>
      <c r="E880" s="1" t="str">
        <f ca="1">IFERROR(__xludf.DUMMYFUNCTION("""COMPUTED_VALUE"""),"Influencers who had successful careers")</f>
        <v>Influencers who had successful careers</v>
      </c>
      <c r="F880" s="1" t="str">
        <f ca="1">IFERROR(__xludf.DUMMYFUNCTION("""COMPUTED_VALUE"""),"No I would not be pursuing Higher Education outside of India")</f>
        <v>No I would not be pursuing Higher Education outside of India</v>
      </c>
      <c r="G880" s="1" t="str">
        <f ca="1">IFERROR(__xludf.DUMMYFUNCTION("""COMPUTED_VALUE"""),"This will be hard to do, but if it is the right company I would try")</f>
        <v>This will be hard to do, but if it is the right company I would try</v>
      </c>
      <c r="H880" s="1" t="str">
        <f ca="1">IFERROR(__xludf.DUMMYFUNCTION("""COMPUTED_VALUE"""),"Yes")</f>
        <v>Yes</v>
      </c>
      <c r="I880" s="1" t="str">
        <f ca="1">IFERROR(__xludf.DUMMYFUNCTION("""COMPUTED_VALUE"""),"Will NOT work for them")</f>
        <v>Will NOT work for them</v>
      </c>
      <c r="J880" s="1">
        <f ca="1">IFERROR(__xludf.DUMMYFUNCTION("""COMPUTED_VALUE"""),9)</f>
        <v>9</v>
      </c>
      <c r="K880" s="1" t="str">
        <f ca="1">IFERROR(__xludf.DUMMYFUNCTION("""COMPUTED_VALUE"""),"Fully Remote with Options to travel as and when needed")</f>
        <v>Fully Remote with Options to travel as and when needed</v>
      </c>
      <c r="L880" s="1" t="str">
        <f ca="1">IFERROR(__xludf.DUMMYFUNCTION("""COMPUTED_VALUE"""),"Employer who pushes your limits by enabling an learning environment, and rewards you at the end")</f>
        <v>Employer who pushes your limits by enabling an learning environment, and rewards you at the end</v>
      </c>
      <c r="M880" s="1" t="str">
        <f ca="1">IFERROR(__xludf.DUMMYFUNCTION("""COMPUTED_VALUE"""),"Teaching in any of the institutes/colleges/online or offline, Business Operations in any organization, Entrepreneur or Start Up, I Want to sell things/Sales")</f>
        <v>Teaching in any of the institutes/colleges/online or offline, Business Operations in any organization, Entrepreneur or Start Up, I Want to sell things/Sales</v>
      </c>
      <c r="N880" s="1"/>
      <c r="O880" s="1" t="str">
        <f ca="1">IFERROR(__xludf.DUMMYFUNCTION("""COMPUTED_VALUE"""),"Manager who sets unrealistic targets")</f>
        <v>Manager who sets unrealistic targets</v>
      </c>
      <c r="P880" s="1" t="str">
        <f ca="1">IFERROR(__xludf.DUMMYFUNCTION("""COMPUTED_VALUE"""),"Work &lt;=6 People in the Team")</f>
        <v>Work &lt;=6 People in the Team</v>
      </c>
      <c r="Q880" s="1" t="s">
        <v>40</v>
      </c>
      <c r="R880" s="1"/>
    </row>
    <row r="881" spans="1:18" x14ac:dyDescent="0.25">
      <c r="A881" s="2">
        <f ca="1">IFERROR(__xludf.DUMMYFUNCTION("""COMPUTED_VALUE"""),45024.0384768981)</f>
        <v>45024.038476898102</v>
      </c>
      <c r="B881" s="1" t="str">
        <f ca="1">IFERROR(__xludf.DUMMYFUNCTION("""COMPUTED_VALUE"""),"India")</f>
        <v>India</v>
      </c>
      <c r="C881" s="1">
        <f ca="1">IFERROR(__xludf.DUMMYFUNCTION("""COMPUTED_VALUE"""),600031)</f>
        <v>600031</v>
      </c>
      <c r="D881" s="1" t="str">
        <f ca="1">IFERROR(__xludf.DUMMYFUNCTION("""COMPUTED_VALUE"""),"Male")</f>
        <v>Male</v>
      </c>
      <c r="E881" s="1" t="str">
        <f ca="1">IFERROR(__xludf.DUMMYFUNCTION("""COMPUTED_VALUE"""),"People who have changed the world for better")</f>
        <v>People who have changed the world for better</v>
      </c>
      <c r="F881" s="1" t="str">
        <f ca="1">IFERROR(__xludf.DUMMYFUNCTION("""COMPUTED_VALUE"""),"No I would not be pursuing Higher Education outside of India")</f>
        <v>No I would not be pursuing Higher Education outside of India</v>
      </c>
      <c r="G881" s="1" t="str">
        <f ca="1">IFERROR(__xludf.DUMMYFUNCTION("""COMPUTED_VALUE"""),"Will work for 3 years or more")</f>
        <v>Will work for 3 years or more</v>
      </c>
      <c r="H881" s="1" t="str">
        <f ca="1">IFERROR(__xludf.DUMMYFUNCTION("""COMPUTED_VALUE"""),"No")</f>
        <v>No</v>
      </c>
      <c r="I881" s="1" t="str">
        <f ca="1">IFERROR(__xludf.DUMMYFUNCTION("""COMPUTED_VALUE"""),"Will NOT work for them")</f>
        <v>Will NOT work for them</v>
      </c>
      <c r="J881" s="1">
        <f ca="1">IFERROR(__xludf.DUMMYFUNCTION("""COMPUTED_VALUE"""),5)</f>
        <v>5</v>
      </c>
      <c r="K881" s="1" t="str">
        <f ca="1">IFERROR(__xludf.DUMMYFUNCTION("""COMPUTED_VALUE"""),"Hybrid Working Environment with more than 15 days a month at office")</f>
        <v>Hybrid Working Environment with more than 15 days a month at office</v>
      </c>
      <c r="L881" s="1" t="str">
        <f ca="1">IFERROR(__xludf.DUMMYFUNCTION("""COMPUTED_VALUE"""),"Employer who pushes your limits by enabling an learning environment, and rewards you at the end")</f>
        <v>Employer who pushes your limits by enabling an learning environment, and rewards you at the end</v>
      </c>
      <c r="M881"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N881" s="1"/>
      <c r="O881" s="1" t="str">
        <f ca="1">IFERROR(__xludf.DUMMYFUNCTION("""COMPUTED_VALUE"""),"Manager who explains what is expected, sets a goal and helps achieve it")</f>
        <v>Manager who explains what is expected, sets a goal and helps achieve it</v>
      </c>
      <c r="P881" s="1" t="str">
        <f ca="1">IFERROR(__xludf.DUMMYFUNCTION("""COMPUTED_VALUE"""),"Work &lt;=6 People in the Team")</f>
        <v>Work &lt;=6 People in the Team</v>
      </c>
      <c r="Q881" s="1" t="s">
        <v>43</v>
      </c>
      <c r="R881" s="1"/>
    </row>
    <row r="882" spans="1:18" x14ac:dyDescent="0.25">
      <c r="A882" s="2">
        <f ca="1">IFERROR(__xludf.DUMMYFUNCTION("""COMPUTED_VALUE"""),45024.0388207523)</f>
        <v>45024.038820752299</v>
      </c>
      <c r="B882" s="1" t="str">
        <f ca="1">IFERROR(__xludf.DUMMYFUNCTION("""COMPUTED_VALUE"""),"India")</f>
        <v>India</v>
      </c>
      <c r="C882" s="1">
        <f ca="1">IFERROR(__xludf.DUMMYFUNCTION("""COMPUTED_VALUE"""),440009)</f>
        <v>440009</v>
      </c>
      <c r="D882" s="1" t="str">
        <f ca="1">IFERROR(__xludf.DUMMYFUNCTION("""COMPUTED_VALUE"""),"Male")</f>
        <v>Male</v>
      </c>
      <c r="E882" s="1" t="str">
        <f ca="1">IFERROR(__xludf.DUMMYFUNCTION("""COMPUTED_VALUE"""),"Social Media like LinkedIn")</f>
        <v>Social Media like LinkedIn</v>
      </c>
      <c r="F882" s="1" t="str">
        <f ca="1">IFERROR(__xludf.DUMMYFUNCTION("""COMPUTED_VALUE"""),"Yes, I will earn and do that")</f>
        <v>Yes, I will earn and do that</v>
      </c>
      <c r="G882" s="1" t="str">
        <f ca="1">IFERROR(__xludf.DUMMYFUNCTION("""COMPUTED_VALUE"""),"Will work for 3 years or more")</f>
        <v>Will work for 3 years or more</v>
      </c>
      <c r="H882" s="1" t="str">
        <f ca="1">IFERROR(__xludf.DUMMYFUNCTION("""COMPUTED_VALUE"""),"No")</f>
        <v>No</v>
      </c>
      <c r="I882" s="1" t="str">
        <f ca="1">IFERROR(__xludf.DUMMYFUNCTION("""COMPUTED_VALUE"""),"Will NOT work for them")</f>
        <v>Will NOT work for them</v>
      </c>
      <c r="J882" s="1">
        <f ca="1">IFERROR(__xludf.DUMMYFUNCTION("""COMPUTED_VALUE"""),5)</f>
        <v>5</v>
      </c>
      <c r="K882" s="1" t="str">
        <f ca="1">IFERROR(__xludf.DUMMYFUNCTION("""COMPUTED_VALUE"""),"Hybrid Working Environment with more than 15 days a month at office")</f>
        <v>Hybrid Working Environment with more than 15 days a month at office</v>
      </c>
      <c r="L882" s="1" t="str">
        <f ca="1">IFERROR(__xludf.DUMMYFUNCTION("""COMPUTED_VALUE"""),"Employer who pushes your limits by enabling an learning environment, and rewards you at the end")</f>
        <v>Employer who pushes your limits by enabling an learning environment, and rewards you at the end</v>
      </c>
      <c r="M882"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N882" s="1"/>
      <c r="O882" s="1" t="str">
        <f ca="1">IFERROR(__xludf.DUMMYFUNCTION("""COMPUTED_VALUE"""),"Manager who explains what is expected, sets a goal and helps achieve it")</f>
        <v>Manager who explains what is expected, sets a goal and helps achieve it</v>
      </c>
      <c r="P882" s="1" t="str">
        <f ca="1">IFERROR(__xludf.DUMMYFUNCTION("""COMPUTED_VALUE"""),"Work &lt;=6 People in the Team")</f>
        <v>Work &lt;=6 People in the Team</v>
      </c>
      <c r="Q882" s="1" t="s">
        <v>40</v>
      </c>
      <c r="R882" s="1"/>
    </row>
    <row r="883" spans="1:18" x14ac:dyDescent="0.25">
      <c r="A883" s="2">
        <f ca="1">IFERROR(__xludf.DUMMYFUNCTION("""COMPUTED_VALUE"""),45024.0413211574)</f>
        <v>45024.041321157398</v>
      </c>
      <c r="B883" s="1" t="str">
        <f ca="1">IFERROR(__xludf.DUMMYFUNCTION("""COMPUTED_VALUE"""),"India")</f>
        <v>India</v>
      </c>
      <c r="C883" s="1">
        <f ca="1">IFERROR(__xludf.DUMMYFUNCTION("""COMPUTED_VALUE"""),60020)</f>
        <v>60020</v>
      </c>
      <c r="D883" s="1" t="str">
        <f ca="1">IFERROR(__xludf.DUMMYFUNCTION("""COMPUTED_VALUE"""),"Female")</f>
        <v>Female</v>
      </c>
      <c r="E883" s="1" t="str">
        <f ca="1">IFERROR(__xludf.DUMMYFUNCTION("""COMPUTED_VALUE"""),"Social Media like LinkedIn")</f>
        <v>Social Media like LinkedIn</v>
      </c>
      <c r="F883" s="1" t="str">
        <f ca="1">IFERROR(__xludf.DUMMYFUNCTION("""COMPUTED_VALUE"""),"Yes, I will earn and do that")</f>
        <v>Yes, I will earn and do that</v>
      </c>
      <c r="G883" s="1" t="str">
        <f ca="1">IFERROR(__xludf.DUMMYFUNCTION("""COMPUTED_VALUE"""),"This will be hard to do, but if it is the right company I would try")</f>
        <v>This will be hard to do, but if it is the right company I would try</v>
      </c>
      <c r="H883" s="1" t="str">
        <f ca="1">IFERROR(__xludf.DUMMYFUNCTION("""COMPUTED_VALUE"""),"Yes")</f>
        <v>Yes</v>
      </c>
      <c r="I883" s="1" t="str">
        <f ca="1">IFERROR(__xludf.DUMMYFUNCTION("""COMPUTED_VALUE"""),"Will work for them")</f>
        <v>Will work for them</v>
      </c>
      <c r="J883" s="1">
        <f ca="1">IFERROR(__xludf.DUMMYFUNCTION("""COMPUTED_VALUE"""),10)</f>
        <v>10</v>
      </c>
      <c r="K883" s="1" t="str">
        <f ca="1">IFERROR(__xludf.DUMMYFUNCTION("""COMPUTED_VALUE"""),"Hybrid Working Environment with more than 15 days a month at office")</f>
        <v>Hybrid Working Environment with more than 15 days a month at office</v>
      </c>
      <c r="L883" s="1" t="str">
        <f ca="1">IFERROR(__xludf.DUMMYFUNCTION("""COMPUTED_VALUE"""),"Employer who rewards learning and enables that environment")</f>
        <v>Employer who rewards learning and enables that environment</v>
      </c>
      <c r="M88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883" s="1"/>
      <c r="O883" s="1" t="str">
        <f ca="1">IFERROR(__xludf.DUMMYFUNCTION("""COMPUTED_VALUE"""),"Manager who clearly describes what she/he needs")</f>
        <v>Manager who clearly describes what she/he needs</v>
      </c>
      <c r="P883" s="1" t="str">
        <f ca="1">IFERROR(__xludf.DUMMYFUNCTION("""COMPUTED_VALUE"""),"Work &lt;=6 People in the Team")</f>
        <v>Work &lt;=6 People in the Team</v>
      </c>
      <c r="Q883" s="1" t="s">
        <v>43</v>
      </c>
      <c r="R883" s="1"/>
    </row>
    <row r="884" spans="1:18" x14ac:dyDescent="0.25">
      <c r="A884" s="2">
        <f ca="1">IFERROR(__xludf.DUMMYFUNCTION("""COMPUTED_VALUE"""),45024.0459674074)</f>
        <v>45024.045967407401</v>
      </c>
      <c r="B884" s="1" t="str">
        <f ca="1">IFERROR(__xludf.DUMMYFUNCTION("""COMPUTED_VALUE"""),"India")</f>
        <v>India</v>
      </c>
      <c r="C884" s="1">
        <f ca="1">IFERROR(__xludf.DUMMYFUNCTION("""COMPUTED_VALUE"""),400701)</f>
        <v>400701</v>
      </c>
      <c r="D884" s="1" t="str">
        <f ca="1">IFERROR(__xludf.DUMMYFUNCTION("""COMPUTED_VALUE"""),"Female")</f>
        <v>Female</v>
      </c>
      <c r="E884" s="1" t="str">
        <f ca="1">IFERROR(__xludf.DUMMYFUNCTION("""COMPUTED_VALUE"""),"People who have changed the world for better")</f>
        <v>People who have changed the world for better</v>
      </c>
      <c r="F884" s="1" t="str">
        <f ca="1">IFERROR(__xludf.DUMMYFUNCTION("""COMPUTED_VALUE"""),"No, But if someone could bare the cost I will")</f>
        <v>No, But if someone could bare the cost I will</v>
      </c>
      <c r="G884" s="1" t="str">
        <f ca="1">IFERROR(__xludf.DUMMYFUNCTION("""COMPUTED_VALUE"""),"This will be hard to do, but if it is the right company I would try")</f>
        <v>This will be hard to do, but if it is the right company I would try</v>
      </c>
      <c r="H884" s="1" t="str">
        <f ca="1">IFERROR(__xludf.DUMMYFUNCTION("""COMPUTED_VALUE"""),"No")</f>
        <v>No</v>
      </c>
      <c r="I884" s="1" t="str">
        <f ca="1">IFERROR(__xludf.DUMMYFUNCTION("""COMPUTED_VALUE"""),"Will work for them")</f>
        <v>Will work for them</v>
      </c>
      <c r="J884" s="1">
        <f ca="1">IFERROR(__xludf.DUMMYFUNCTION("""COMPUTED_VALUE"""),7)</f>
        <v>7</v>
      </c>
      <c r="K884" s="1" t="str">
        <f ca="1">IFERROR(__xludf.DUMMYFUNCTION("""COMPUTED_VALUE"""),"Fully Remote with No option to visit offices")</f>
        <v>Fully Remote with No option to visit offices</v>
      </c>
      <c r="L884" s="1" t="str">
        <f ca="1">IFERROR(__xludf.DUMMYFUNCTION("""COMPUTED_VALUE"""),"Employer who pushes your limits and doesn't enables learning environment and never rewards you")</f>
        <v>Employer who pushes your limits and doesn't enables learning environment and never rewards you</v>
      </c>
      <c r="M884" s="1" t="str">
        <f ca="1">IFERROR(__xludf.DUMMYFUNCTION("""COMPUTED_VALUE"""),"Manage and drive End-to-End Projects or Products, Look deeply into Data and generate insights, Become a content Creator in some platform, An Artificial Intelligence Specialist / Talking to Robots")</f>
        <v>Manage and drive End-to-End Projects or Products, Look deeply into Data and generate insights, Become a content Creator in some platform, An Artificial Intelligence Specialist / Talking to Robots</v>
      </c>
      <c r="N884" s="1"/>
      <c r="O884" s="1" t="str">
        <f ca="1">IFERROR(__xludf.DUMMYFUNCTION("""COMPUTED_VALUE"""),"Manager who sets goal and helps me achieve it")</f>
        <v>Manager who sets goal and helps me achieve it</v>
      </c>
      <c r="P884" s="1" t="str">
        <f ca="1">IFERROR(__xludf.DUMMYFUNCTION("""COMPUTED_VALUE"""),"Work Alone, &lt;67 people in team")</f>
        <v>Work Alone, &lt;67 people in team</v>
      </c>
      <c r="Q884" s="1" t="s">
        <v>40</v>
      </c>
      <c r="R884" s="1"/>
    </row>
    <row r="885" spans="1:18" x14ac:dyDescent="0.25">
      <c r="A885" s="2">
        <f ca="1">IFERROR(__xludf.DUMMYFUNCTION("""COMPUTED_VALUE"""),45024.0465005324)</f>
        <v>45024.0465005324</v>
      </c>
      <c r="B885" s="1" t="str">
        <f ca="1">IFERROR(__xludf.DUMMYFUNCTION("""COMPUTED_VALUE"""),"India")</f>
        <v>India</v>
      </c>
      <c r="C885" s="1">
        <f ca="1">IFERROR(__xludf.DUMMYFUNCTION("""COMPUTED_VALUE"""),400024)</f>
        <v>400024</v>
      </c>
      <c r="D885" s="1" t="str">
        <f ca="1">IFERROR(__xludf.DUMMYFUNCTION("""COMPUTED_VALUE"""),"Male")</f>
        <v>Male</v>
      </c>
      <c r="E885" s="1" t="str">
        <f ca="1">IFERROR(__xludf.DUMMYFUNCTION("""COMPUTED_VALUE"""),"People from my circle, but not family members")</f>
        <v>People from my circle, but not family members</v>
      </c>
      <c r="F885" s="1" t="str">
        <f ca="1">IFERROR(__xludf.DUMMYFUNCTION("""COMPUTED_VALUE"""),"No, But if someone could bare the cost I will")</f>
        <v>No, But if someone could bare the cost I will</v>
      </c>
      <c r="G885" s="1" t="str">
        <f ca="1">IFERROR(__xludf.DUMMYFUNCTION("""COMPUTED_VALUE"""),"Will work for 3 years or more")</f>
        <v>Will work for 3 years or more</v>
      </c>
      <c r="H885" s="1" t="str">
        <f ca="1">IFERROR(__xludf.DUMMYFUNCTION("""COMPUTED_VALUE"""),"Yes")</f>
        <v>Yes</v>
      </c>
      <c r="I885" s="1" t="str">
        <f ca="1">IFERROR(__xludf.DUMMYFUNCTION("""COMPUTED_VALUE"""),"Will work for them")</f>
        <v>Will work for them</v>
      </c>
      <c r="J885" s="1">
        <f ca="1">IFERROR(__xludf.DUMMYFUNCTION("""COMPUTED_VALUE"""),3)</f>
        <v>3</v>
      </c>
      <c r="K885" s="1" t="str">
        <f ca="1">IFERROR(__xludf.DUMMYFUNCTION("""COMPUTED_VALUE"""),"Hybrid Working Environment with less than 3 days a month at office")</f>
        <v>Hybrid Working Environment with less than 3 days a month at office</v>
      </c>
      <c r="L885" s="1" t="str">
        <f ca="1">IFERROR(__xludf.DUMMYFUNCTION("""COMPUTED_VALUE"""),"Employer who pushes your limits by enabling an learning environment, and rewards you at the end")</f>
        <v>Employer who pushes your limits by enabling an learning environment, and rewards you at the end</v>
      </c>
      <c r="M885"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N885" s="1"/>
      <c r="O885" s="1" t="str">
        <f ca="1">IFERROR(__xludf.DUMMYFUNCTION("""COMPUTED_VALUE"""),"Manager who explains what is expected, sets a goal and helps achieve it")</f>
        <v>Manager who explains what is expected, sets a goal and helps achieve it</v>
      </c>
      <c r="P885" s="1" t="str">
        <f ca="1">IFERROR(__xludf.DUMMYFUNCTION("""COMPUTED_VALUE"""),"Work Alone, &lt;=6 in team")</f>
        <v>Work Alone, &lt;=6 in team</v>
      </c>
      <c r="Q885" s="1" t="s">
        <v>43</v>
      </c>
      <c r="R885" s="1"/>
    </row>
    <row r="886" spans="1:18" x14ac:dyDescent="0.25">
      <c r="A886" s="2">
        <f ca="1">IFERROR(__xludf.DUMMYFUNCTION("""COMPUTED_VALUE"""),45024.0496217708)</f>
        <v>45024.049621770799</v>
      </c>
      <c r="B886" s="1" t="str">
        <f ca="1">IFERROR(__xludf.DUMMYFUNCTION("""COMPUTED_VALUE"""),"India")</f>
        <v>India</v>
      </c>
      <c r="C886" s="1">
        <f ca="1">IFERROR(__xludf.DUMMYFUNCTION("""COMPUTED_VALUE"""),201009)</f>
        <v>201009</v>
      </c>
      <c r="D886" s="1" t="str">
        <f ca="1">IFERROR(__xludf.DUMMYFUNCTION("""COMPUTED_VALUE"""),"Male")</f>
        <v>Male</v>
      </c>
      <c r="E886" s="1" t="str">
        <f ca="1">IFERROR(__xludf.DUMMYFUNCTION("""COMPUTED_VALUE"""),"People from my circle, but not family members")</f>
        <v>People from my circle, but not family members</v>
      </c>
      <c r="F886" s="1" t="str">
        <f ca="1">IFERROR(__xludf.DUMMYFUNCTION("""COMPUTED_VALUE"""),"Yes, I will earn and do that")</f>
        <v>Yes, I will earn and do that</v>
      </c>
      <c r="G886" s="1" t="str">
        <f ca="1">IFERROR(__xludf.DUMMYFUNCTION("""COMPUTED_VALUE"""),"This will be hard to do, but if it is the right company I would try")</f>
        <v>This will be hard to do, but if it is the right company I would try</v>
      </c>
      <c r="H886" s="1" t="str">
        <f ca="1">IFERROR(__xludf.DUMMYFUNCTION("""COMPUTED_VALUE"""),"No")</f>
        <v>No</v>
      </c>
      <c r="I886" s="1" t="str">
        <f ca="1">IFERROR(__xludf.DUMMYFUNCTION("""COMPUTED_VALUE"""),"Will NOT work for them")</f>
        <v>Will NOT work for them</v>
      </c>
      <c r="J886" s="1">
        <f ca="1">IFERROR(__xludf.DUMMYFUNCTION("""COMPUTED_VALUE"""),4)</f>
        <v>4</v>
      </c>
      <c r="K886" s="1" t="str">
        <f ca="1">IFERROR(__xludf.DUMMYFUNCTION("""COMPUTED_VALUE"""),"Hybrid Working Environment with more than 15 days a month at office")</f>
        <v>Hybrid Working Environment with more than 15 days a month at office</v>
      </c>
      <c r="L886" s="1" t="str">
        <f ca="1">IFERROR(__xludf.DUMMYFUNCTION("""COMPUTED_VALUE"""),"Employer who pushes your limits by enabling an learning environment, and rewards you at the end")</f>
        <v>Employer who pushes your limits by enabling an learning environment, and rewards you at the end</v>
      </c>
      <c r="M886"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N886" s="1"/>
      <c r="O886" s="1" t="str">
        <f ca="1">IFERROR(__xludf.DUMMYFUNCTION("""COMPUTED_VALUE"""),"Manager who explains what is expected, sets a goal and helps achieve it")</f>
        <v>Manager who explains what is expected, sets a goal and helps achieve it</v>
      </c>
      <c r="P886" s="1" t="str">
        <f ca="1">IFERROR(__xludf.DUMMYFUNCTION("""COMPUTED_VALUE"""),"Work &lt;=6 People in the Team")</f>
        <v>Work &lt;=6 People in the Team</v>
      </c>
      <c r="Q886" s="1" t="s">
        <v>43</v>
      </c>
      <c r="R886" s="1"/>
    </row>
    <row r="887" spans="1:18" x14ac:dyDescent="0.25">
      <c r="A887" s="2">
        <f ca="1">IFERROR(__xludf.DUMMYFUNCTION("""COMPUTED_VALUE"""),45024.0516185416)</f>
        <v>45024.051618541598</v>
      </c>
      <c r="B887" s="1" t="str">
        <f ca="1">IFERROR(__xludf.DUMMYFUNCTION("""COMPUTED_VALUE"""),"India")</f>
        <v>India</v>
      </c>
      <c r="C887" s="1">
        <f ca="1">IFERROR(__xludf.DUMMYFUNCTION("""COMPUTED_VALUE"""),201002)</f>
        <v>201002</v>
      </c>
      <c r="D887" s="1" t="str">
        <f ca="1">IFERROR(__xludf.DUMMYFUNCTION("""COMPUTED_VALUE"""),"Male")</f>
        <v>Male</v>
      </c>
      <c r="E887" s="1" t="str">
        <f ca="1">IFERROR(__xludf.DUMMYFUNCTION("""COMPUTED_VALUE"""),"Social Media like LinkedIn")</f>
        <v>Social Media like LinkedIn</v>
      </c>
      <c r="F887" s="1" t="str">
        <f ca="1">IFERROR(__xludf.DUMMYFUNCTION("""COMPUTED_VALUE"""),"Yes, I will earn and do that")</f>
        <v>Yes, I will earn and do that</v>
      </c>
      <c r="G887" s="1" t="str">
        <f ca="1">IFERROR(__xludf.DUMMYFUNCTION("""COMPUTED_VALUE"""),"This will be hard to do, but if it is the right company I would try")</f>
        <v>This will be hard to do, but if it is the right company I would try</v>
      </c>
      <c r="H887" s="1" t="str">
        <f ca="1">IFERROR(__xludf.DUMMYFUNCTION("""COMPUTED_VALUE"""),"No")</f>
        <v>No</v>
      </c>
      <c r="I887" s="1" t="str">
        <f ca="1">IFERROR(__xludf.DUMMYFUNCTION("""COMPUTED_VALUE"""),"Will work for them")</f>
        <v>Will work for them</v>
      </c>
      <c r="J887" s="1">
        <f ca="1">IFERROR(__xludf.DUMMYFUNCTION("""COMPUTED_VALUE"""),5)</f>
        <v>5</v>
      </c>
      <c r="K887" s="1" t="str">
        <f ca="1">IFERROR(__xludf.DUMMYFUNCTION("""COMPUTED_VALUE"""),"Fully Remote with Options to travel as and when needed")</f>
        <v>Fully Remote with Options to travel as and when needed</v>
      </c>
      <c r="L887" s="1" t="str">
        <f ca="1">IFERROR(__xludf.DUMMYFUNCTION("""COMPUTED_VALUE"""),"Employer who pushes your limits by enabling an learning environment, and rewards you at the end")</f>
        <v>Employer who pushes your limits by enabling an learning environment, and rewards you at the end</v>
      </c>
      <c r="M88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887" s="1"/>
      <c r="O887" s="1" t="str">
        <f ca="1">IFERROR(__xludf.DUMMYFUNCTION("""COMPUTED_VALUE"""),"Manager who explains what is expected, sets a goal and helps achieve it")</f>
        <v>Manager who explains what is expected, sets a goal and helps achieve it</v>
      </c>
      <c r="P887" s="1" t="str">
        <f ca="1">IFERROR(__xludf.DUMMYFUNCTION("""COMPUTED_VALUE"""),"Work &gt;10 people in Team")</f>
        <v>Work &gt;10 people in Team</v>
      </c>
      <c r="Q887" s="1" t="s">
        <v>43</v>
      </c>
      <c r="R887" s="1"/>
    </row>
    <row r="888" spans="1:18" x14ac:dyDescent="0.25">
      <c r="A888" s="2">
        <f ca="1">IFERROR(__xludf.DUMMYFUNCTION("""COMPUTED_VALUE"""),45024.0536983796)</f>
        <v>45024.053698379597</v>
      </c>
      <c r="B888" s="1" t="str">
        <f ca="1">IFERROR(__xludf.DUMMYFUNCTION("""COMPUTED_VALUE"""),"India")</f>
        <v>India</v>
      </c>
      <c r="C888" s="1">
        <f ca="1">IFERROR(__xludf.DUMMYFUNCTION("""COMPUTED_VALUE"""),201309)</f>
        <v>201309</v>
      </c>
      <c r="D888" s="1" t="str">
        <f ca="1">IFERROR(__xludf.DUMMYFUNCTION("""COMPUTED_VALUE"""),"Male")</f>
        <v>Male</v>
      </c>
      <c r="E888" s="1" t="str">
        <f ca="1">IFERROR(__xludf.DUMMYFUNCTION("""COMPUTED_VALUE"""),"Social Media like LinkedIn")</f>
        <v>Social Media like LinkedIn</v>
      </c>
      <c r="F888" s="1" t="str">
        <f ca="1">IFERROR(__xludf.DUMMYFUNCTION("""COMPUTED_VALUE"""),"No I would not be pursuing Higher Education outside of India")</f>
        <v>No I would not be pursuing Higher Education outside of India</v>
      </c>
      <c r="G888" s="1" t="str">
        <f ca="1">IFERROR(__xludf.DUMMYFUNCTION("""COMPUTED_VALUE"""),"Will work for 3 years or more")</f>
        <v>Will work for 3 years or more</v>
      </c>
      <c r="H888" s="1" t="str">
        <f ca="1">IFERROR(__xludf.DUMMYFUNCTION("""COMPUTED_VALUE"""),"No")</f>
        <v>No</v>
      </c>
      <c r="I888" s="1" t="str">
        <f ca="1">IFERROR(__xludf.DUMMYFUNCTION("""COMPUTED_VALUE"""),"Will NOT work for them")</f>
        <v>Will NOT work for them</v>
      </c>
      <c r="J888" s="1">
        <f ca="1">IFERROR(__xludf.DUMMYFUNCTION("""COMPUTED_VALUE"""),4)</f>
        <v>4</v>
      </c>
      <c r="K888" s="1" t="str">
        <f ca="1">IFERROR(__xludf.DUMMYFUNCTION("""COMPUTED_VALUE"""),"Fully Remote with Options to travel as and when needed")</f>
        <v>Fully Remote with Options to travel as and when needed</v>
      </c>
      <c r="L888" s="1" t="str">
        <f ca="1">IFERROR(__xludf.DUMMYFUNCTION("""COMPUTED_VALUE"""),"Employer who appreciates learning and enables that environment")</f>
        <v>Employer who appreciates learning and enables that environment</v>
      </c>
      <c r="M88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888" s="1"/>
      <c r="O888" s="1" t="str">
        <f ca="1">IFERROR(__xludf.DUMMYFUNCTION("""COMPUTED_VALUE"""),"Manager who clearly describes what she/he needs")</f>
        <v>Manager who clearly describes what she/he needs</v>
      </c>
      <c r="P888" s="1" t="str">
        <f ca="1">IFERROR(__xludf.DUMMYFUNCTION("""COMPUTED_VALUE"""),"Work &lt;=6 People in the Team")</f>
        <v>Work &lt;=6 People in the Team</v>
      </c>
      <c r="Q888" s="1" t="s">
        <v>43</v>
      </c>
      <c r="R888" s="1"/>
    </row>
    <row r="889" spans="1:18" x14ac:dyDescent="0.25">
      <c r="A889" s="2">
        <f ca="1">IFERROR(__xludf.DUMMYFUNCTION("""COMPUTED_VALUE"""),45024.061912118)</f>
        <v>45024.061912117999</v>
      </c>
      <c r="B889" s="1" t="str">
        <f ca="1">IFERROR(__xludf.DUMMYFUNCTION("""COMPUTED_VALUE"""),"India")</f>
        <v>India</v>
      </c>
      <c r="C889" s="1">
        <f ca="1">IFERROR(__xludf.DUMMYFUNCTION("""COMPUTED_VALUE"""),482020)</f>
        <v>482020</v>
      </c>
      <c r="D889" s="1" t="str">
        <f ca="1">IFERROR(__xludf.DUMMYFUNCTION("""COMPUTED_VALUE"""),"Male")</f>
        <v>Male</v>
      </c>
      <c r="E889" s="1" t="str">
        <f ca="1">IFERROR(__xludf.DUMMYFUNCTION("""COMPUTED_VALUE"""),"People who have changed the world for better")</f>
        <v>People who have changed the world for better</v>
      </c>
      <c r="F889" s="1" t="str">
        <f ca="1">IFERROR(__xludf.DUMMYFUNCTION("""COMPUTED_VALUE"""),"Yes, I will earn and do that")</f>
        <v>Yes, I will earn and do that</v>
      </c>
      <c r="G889" s="1" t="str">
        <f ca="1">IFERROR(__xludf.DUMMYFUNCTION("""COMPUTED_VALUE"""),"This will be hard to do, but if it is the right company I would try")</f>
        <v>This will be hard to do, but if it is the right company I would try</v>
      </c>
      <c r="H889" s="1" t="str">
        <f ca="1">IFERROR(__xludf.DUMMYFUNCTION("""COMPUTED_VALUE"""),"No")</f>
        <v>No</v>
      </c>
      <c r="I889" s="1" t="str">
        <f ca="1">IFERROR(__xludf.DUMMYFUNCTION("""COMPUTED_VALUE"""),"Will NOT work for them")</f>
        <v>Will NOT work for them</v>
      </c>
      <c r="J889" s="1">
        <f ca="1">IFERROR(__xludf.DUMMYFUNCTION("""COMPUTED_VALUE"""),7)</f>
        <v>7</v>
      </c>
      <c r="K889" s="1" t="str">
        <f ca="1">IFERROR(__xludf.DUMMYFUNCTION("""COMPUTED_VALUE"""),"Every Day Office Environment")</f>
        <v>Every Day Office Environment</v>
      </c>
      <c r="L889" s="1" t="str">
        <f ca="1">IFERROR(__xludf.DUMMYFUNCTION("""COMPUTED_VALUE"""),"Employer who pushes your limits by enabling an learning environment, and rewards you at the end")</f>
        <v>Employer who pushes your limits by enabling an learning environment, and rewards you at the end</v>
      </c>
      <c r="M88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889" s="1"/>
      <c r="O889" s="1" t="str">
        <f ca="1">IFERROR(__xludf.DUMMYFUNCTION("""COMPUTED_VALUE"""),"Manager who explains what is expected, sets a goal and helps achieve it")</f>
        <v>Manager who explains what is expected, sets a goal and helps achieve it</v>
      </c>
      <c r="P889" s="1" t="str">
        <f ca="1">IFERROR(__xludf.DUMMYFUNCTION("""COMPUTED_VALUE"""),"Work &gt;10 people in Team")</f>
        <v>Work &gt;10 people in Team</v>
      </c>
      <c r="Q889" s="1" t="s">
        <v>43</v>
      </c>
      <c r="R889" s="1"/>
    </row>
    <row r="890" spans="1:18" x14ac:dyDescent="0.25">
      <c r="A890" s="2">
        <f ca="1">IFERROR(__xludf.DUMMYFUNCTION("""COMPUTED_VALUE"""),45024.0718619791)</f>
        <v>45024.071861979101</v>
      </c>
      <c r="B890" s="1" t="str">
        <f ca="1">IFERROR(__xludf.DUMMYFUNCTION("""COMPUTED_VALUE"""),"India")</f>
        <v>India</v>
      </c>
      <c r="C890" s="1">
        <f ca="1">IFERROR(__xludf.DUMMYFUNCTION("""COMPUTED_VALUE"""),500056)</f>
        <v>500056</v>
      </c>
      <c r="D890" s="1" t="str">
        <f ca="1">IFERROR(__xludf.DUMMYFUNCTION("""COMPUTED_VALUE"""),"Female")</f>
        <v>Female</v>
      </c>
      <c r="E890" s="1" t="str">
        <f ca="1">IFERROR(__xludf.DUMMYFUNCTION("""COMPUTED_VALUE"""),"Influencers who had successful careers")</f>
        <v>Influencers who had successful careers</v>
      </c>
      <c r="F890" s="1" t="str">
        <f ca="1">IFERROR(__xludf.DUMMYFUNCTION("""COMPUTED_VALUE"""),"No I would not be pursuing Higher Education outside of India")</f>
        <v>No I would not be pursuing Higher Education outside of India</v>
      </c>
      <c r="G890" s="1" t="str">
        <f ca="1">IFERROR(__xludf.DUMMYFUNCTION("""COMPUTED_VALUE"""),"Will work for 3 years or more")</f>
        <v>Will work for 3 years or more</v>
      </c>
      <c r="H890" s="1" t="str">
        <f ca="1">IFERROR(__xludf.DUMMYFUNCTION("""COMPUTED_VALUE"""),"Yes")</f>
        <v>Yes</v>
      </c>
      <c r="I890" s="1" t="str">
        <f ca="1">IFERROR(__xludf.DUMMYFUNCTION("""COMPUTED_VALUE"""),"Will work for them")</f>
        <v>Will work for them</v>
      </c>
      <c r="J890" s="1">
        <f ca="1">IFERROR(__xludf.DUMMYFUNCTION("""COMPUTED_VALUE"""),5)</f>
        <v>5</v>
      </c>
      <c r="K890" s="1" t="str">
        <f ca="1">IFERROR(__xludf.DUMMYFUNCTION("""COMPUTED_VALUE"""),"Fully Remote with Options to travel as and when needed")</f>
        <v>Fully Remote with Options to travel as and when needed</v>
      </c>
      <c r="L890" s="1" t="str">
        <f ca="1">IFERROR(__xludf.DUMMYFUNCTION("""COMPUTED_VALUE"""),"Employer who rewards learning and enables that environment")</f>
        <v>Employer who rewards learning and enables that environment</v>
      </c>
      <c r="M89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N890" s="1"/>
      <c r="O890" s="1" t="str">
        <f ca="1">IFERROR(__xludf.DUMMYFUNCTION("""COMPUTED_VALUE"""),"Manager who clearly describes what she/he needs")</f>
        <v>Manager who clearly describes what she/he needs</v>
      </c>
      <c r="P890" s="1" t="str">
        <f ca="1">IFERROR(__xludf.DUMMYFUNCTION("""COMPUTED_VALUE"""),"Work &lt;=6 People in the Team")</f>
        <v>Work &lt;=6 People in the Team</v>
      </c>
      <c r="Q890" s="1" t="s">
        <v>43</v>
      </c>
      <c r="R890" s="1"/>
    </row>
    <row r="891" spans="1:18" x14ac:dyDescent="0.25">
      <c r="A891" s="2">
        <f ca="1">IFERROR(__xludf.DUMMYFUNCTION("""COMPUTED_VALUE"""),45024.0856366435)</f>
        <v>45024.085636643496</v>
      </c>
      <c r="B891" s="1" t="str">
        <f ca="1">IFERROR(__xludf.DUMMYFUNCTION("""COMPUTED_VALUE"""),"United Arab Emirates")</f>
        <v>United Arab Emirates</v>
      </c>
      <c r="C891" s="1" t="str">
        <f ca="1">IFERROR(__xludf.DUMMYFUNCTION("""COMPUTED_VALUE"""),"00000")</f>
        <v>00000</v>
      </c>
      <c r="D891" s="1" t="str">
        <f ca="1">IFERROR(__xludf.DUMMYFUNCTION("""COMPUTED_VALUE"""),"Male")</f>
        <v>Male</v>
      </c>
      <c r="E891" s="1" t="str">
        <f ca="1">IFERROR(__xludf.DUMMYFUNCTION("""COMPUTED_VALUE"""),"My Parents")</f>
        <v>My Parents</v>
      </c>
      <c r="F891" s="1" t="str">
        <f ca="1">IFERROR(__xludf.DUMMYFUNCTION("""COMPUTED_VALUE"""),"No I would not be pursuing Higher Education outside of India")</f>
        <v>No I would not be pursuing Higher Education outside of India</v>
      </c>
      <c r="G891" s="1" t="str">
        <f ca="1">IFERROR(__xludf.DUMMYFUNCTION("""COMPUTED_VALUE"""),"This will be hard to do, but if it is the right company I would try")</f>
        <v>This will be hard to do, but if it is the right company I would try</v>
      </c>
      <c r="H891" s="1" t="str">
        <f ca="1">IFERROR(__xludf.DUMMYFUNCTION("""COMPUTED_VALUE"""),"No")</f>
        <v>No</v>
      </c>
      <c r="I891" s="1" t="str">
        <f ca="1">IFERROR(__xludf.DUMMYFUNCTION("""COMPUTED_VALUE"""),"Will NOT work for them")</f>
        <v>Will NOT work for them</v>
      </c>
      <c r="J891" s="1">
        <f ca="1">IFERROR(__xludf.DUMMYFUNCTION("""COMPUTED_VALUE"""),3)</f>
        <v>3</v>
      </c>
      <c r="K891" s="1" t="str">
        <f ca="1">IFERROR(__xludf.DUMMYFUNCTION("""COMPUTED_VALUE"""),"Fully Remote with Options to travel as and when needed")</f>
        <v>Fully Remote with Options to travel as and when needed</v>
      </c>
      <c r="L891" s="1" t="str">
        <f ca="1">IFERROR(__xludf.DUMMYFUNCTION("""COMPUTED_VALUE"""),"Employer who pushes your limits by enabling an learning environment, and rewards you at the end")</f>
        <v>Employer who pushes your limits by enabling an learning environment, and rewards you at the end</v>
      </c>
      <c r="M89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891" s="1"/>
      <c r="O891" s="1" t="str">
        <f ca="1">IFERROR(__xludf.DUMMYFUNCTION("""COMPUTED_VALUE"""),"Manager who clearly describes what she/he needs")</f>
        <v>Manager who clearly describes what she/he needs</v>
      </c>
      <c r="P891" s="1" t="str">
        <f ca="1">IFERROR(__xludf.DUMMYFUNCTION("""COMPUTED_VALUE"""),"Work &lt;=6 People in the Team")</f>
        <v>Work &lt;=6 People in the Team</v>
      </c>
      <c r="Q891" s="1" t="s">
        <v>43</v>
      </c>
      <c r="R891" s="1"/>
    </row>
    <row r="892" spans="1:18" x14ac:dyDescent="0.25">
      <c r="A892" s="2">
        <f ca="1">IFERROR(__xludf.DUMMYFUNCTION("""COMPUTED_VALUE"""),45024.1452823148)</f>
        <v>45024.145282314799</v>
      </c>
      <c r="B892" s="1" t="str">
        <f ca="1">IFERROR(__xludf.DUMMYFUNCTION("""COMPUTED_VALUE"""),"India")</f>
        <v>India</v>
      </c>
      <c r="C892" s="1">
        <f ca="1">IFERROR(__xludf.DUMMYFUNCTION("""COMPUTED_VALUE"""),560029)</f>
        <v>560029</v>
      </c>
      <c r="D892" s="1" t="str">
        <f ca="1">IFERROR(__xludf.DUMMYFUNCTION("""COMPUTED_VALUE"""),"Male")</f>
        <v>Male</v>
      </c>
      <c r="E892" s="1" t="str">
        <f ca="1">IFERROR(__xludf.DUMMYFUNCTION("""COMPUTED_VALUE"""),"People from my circle, but not family members")</f>
        <v>People from my circle, but not family members</v>
      </c>
      <c r="F892" s="1" t="str">
        <f ca="1">IFERROR(__xludf.DUMMYFUNCTION("""COMPUTED_VALUE"""),"No I would not be pursuing Higher Education outside of India")</f>
        <v>No I would not be pursuing Higher Education outside of India</v>
      </c>
      <c r="G892" s="1" t="str">
        <f ca="1">IFERROR(__xludf.DUMMYFUNCTION("""COMPUTED_VALUE"""),"Will work for 3 years or more")</f>
        <v>Will work for 3 years or more</v>
      </c>
      <c r="H892" s="1" t="str">
        <f ca="1">IFERROR(__xludf.DUMMYFUNCTION("""COMPUTED_VALUE"""),"Yes")</f>
        <v>Yes</v>
      </c>
      <c r="I892" s="1" t="str">
        <f ca="1">IFERROR(__xludf.DUMMYFUNCTION("""COMPUTED_VALUE"""),"Will NOT work for them")</f>
        <v>Will NOT work for them</v>
      </c>
      <c r="J892" s="1">
        <f ca="1">IFERROR(__xludf.DUMMYFUNCTION("""COMPUTED_VALUE"""),5)</f>
        <v>5</v>
      </c>
      <c r="K892" s="1" t="str">
        <f ca="1">IFERROR(__xludf.DUMMYFUNCTION("""COMPUTED_VALUE"""),"Fully Remote with Options to travel as and when needed")</f>
        <v>Fully Remote with Options to travel as and when needed</v>
      </c>
      <c r="L892" s="1" t="str">
        <f ca="1">IFERROR(__xludf.DUMMYFUNCTION("""COMPUTED_VALUE"""),"Employer who rewards learning and enables that environment")</f>
        <v>Employer who rewards learning and enables that environment</v>
      </c>
      <c r="M89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892" s="1"/>
      <c r="O892" s="1" t="str">
        <f ca="1">IFERROR(__xludf.DUMMYFUNCTION("""COMPUTED_VALUE"""),"Manager who explains what is expected, sets a goal and helps achieve it")</f>
        <v>Manager who explains what is expected, sets a goal and helps achieve it</v>
      </c>
      <c r="P892" s="1" t="str">
        <f ca="1">IFERROR(__xludf.DUMMYFUNCTION("""COMPUTED_VALUE"""),"Work &lt;=6 People in the Team")</f>
        <v>Work &lt;=6 People in the Team</v>
      </c>
      <c r="Q892" s="1" t="s">
        <v>43</v>
      </c>
      <c r="R892" s="1"/>
    </row>
    <row r="893" spans="1:18" x14ac:dyDescent="0.25">
      <c r="A893" s="2">
        <f ca="1">IFERROR(__xludf.DUMMYFUNCTION("""COMPUTED_VALUE"""),45024.1788948495)</f>
        <v>45024.178894849501</v>
      </c>
      <c r="B893" s="1" t="str">
        <f ca="1">IFERROR(__xludf.DUMMYFUNCTION("""COMPUTED_VALUE"""),"India")</f>
        <v>India</v>
      </c>
      <c r="C893" s="1">
        <f ca="1">IFERROR(__xludf.DUMMYFUNCTION("""COMPUTED_VALUE"""),400601)</f>
        <v>400601</v>
      </c>
      <c r="D893" s="1" t="str">
        <f ca="1">IFERROR(__xludf.DUMMYFUNCTION("""COMPUTED_VALUE"""),"Male")</f>
        <v>Male</v>
      </c>
      <c r="E893" s="1" t="str">
        <f ca="1">IFERROR(__xludf.DUMMYFUNCTION("""COMPUTED_VALUE"""),"People who have changed the world for better")</f>
        <v>People who have changed the world for better</v>
      </c>
      <c r="F893" s="1" t="str">
        <f ca="1">IFERROR(__xludf.DUMMYFUNCTION("""COMPUTED_VALUE"""),"No, But if someone could bare the cost I will")</f>
        <v>No, But if someone could bare the cost I will</v>
      </c>
      <c r="G893" s="1" t="str">
        <f ca="1">IFERROR(__xludf.DUMMYFUNCTION("""COMPUTED_VALUE"""),"This will be hard to do, but if it is the right company I would try")</f>
        <v>This will be hard to do, but if it is the right company I would try</v>
      </c>
      <c r="H893" s="1" t="str">
        <f ca="1">IFERROR(__xludf.DUMMYFUNCTION("""COMPUTED_VALUE"""),"No")</f>
        <v>No</v>
      </c>
      <c r="I893" s="1" t="str">
        <f ca="1">IFERROR(__xludf.DUMMYFUNCTION("""COMPUTED_VALUE"""),"Will NOT work for them")</f>
        <v>Will NOT work for them</v>
      </c>
      <c r="J893" s="1">
        <f ca="1">IFERROR(__xludf.DUMMYFUNCTION("""COMPUTED_VALUE"""),8)</f>
        <v>8</v>
      </c>
      <c r="K893" s="1" t="str">
        <f ca="1">IFERROR(__xludf.DUMMYFUNCTION("""COMPUTED_VALUE"""),"Hybrid Working Environment with more than 15 days a month at office")</f>
        <v>Hybrid Working Environment with more than 15 days a month at office</v>
      </c>
      <c r="L893" s="1" t="str">
        <f ca="1">IFERROR(__xludf.DUMMYFUNCTION("""COMPUTED_VALUE"""),"Employer who pushes your limits by enabling an learning environment, and rewards you at the end")</f>
        <v>Employer who pushes your limits by enabling an learning environment, and rewards you at the end</v>
      </c>
      <c r="M89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893" s="1"/>
      <c r="O893" s="1" t="str">
        <f ca="1">IFERROR(__xludf.DUMMYFUNCTION("""COMPUTED_VALUE"""),"Manager who sets goal and helps me achieve it")</f>
        <v>Manager who sets goal and helps me achieve it</v>
      </c>
      <c r="P893" s="1" t="str">
        <f ca="1">IFERROR(__xludf.DUMMYFUNCTION("""COMPUTED_VALUE"""),"Work &lt;=6 People in the Team")</f>
        <v>Work &lt;=6 People in the Team</v>
      </c>
      <c r="Q893" s="1" t="s">
        <v>40</v>
      </c>
      <c r="R893" s="1"/>
    </row>
    <row r="894" spans="1:18" x14ac:dyDescent="0.25">
      <c r="A894" s="2">
        <f ca="1">IFERROR(__xludf.DUMMYFUNCTION("""COMPUTED_VALUE"""),45024.2727198379)</f>
        <v>45024.2727198379</v>
      </c>
      <c r="B894" s="1" t="str">
        <f ca="1">IFERROR(__xludf.DUMMYFUNCTION("""COMPUTED_VALUE"""),"India")</f>
        <v>India</v>
      </c>
      <c r="C894" s="1">
        <f ca="1">IFERROR(__xludf.DUMMYFUNCTION("""COMPUTED_VALUE"""),560004)</f>
        <v>560004</v>
      </c>
      <c r="D894" s="1" t="str">
        <f ca="1">IFERROR(__xludf.DUMMYFUNCTION("""COMPUTED_VALUE"""),"Female")</f>
        <v>Female</v>
      </c>
      <c r="E894" s="1" t="str">
        <f ca="1">IFERROR(__xludf.DUMMYFUNCTION("""COMPUTED_VALUE"""),"My Parents")</f>
        <v>My Parents</v>
      </c>
      <c r="F894" s="1" t="str">
        <f ca="1">IFERROR(__xludf.DUMMYFUNCTION("""COMPUTED_VALUE"""),"Yes, I will earn and do that")</f>
        <v>Yes, I will earn and do that</v>
      </c>
      <c r="G894" s="1" t="str">
        <f ca="1">IFERROR(__xludf.DUMMYFUNCTION("""COMPUTED_VALUE"""),"No way")</f>
        <v>No way</v>
      </c>
      <c r="H894" s="1" t="str">
        <f ca="1">IFERROR(__xludf.DUMMYFUNCTION("""COMPUTED_VALUE"""),"Yes")</f>
        <v>Yes</v>
      </c>
      <c r="I894" s="1" t="str">
        <f ca="1">IFERROR(__xludf.DUMMYFUNCTION("""COMPUTED_VALUE"""),"Will NOT work for them")</f>
        <v>Will NOT work for them</v>
      </c>
      <c r="J894" s="1">
        <f ca="1">IFERROR(__xludf.DUMMYFUNCTION("""COMPUTED_VALUE"""),3)</f>
        <v>3</v>
      </c>
      <c r="K894" s="1" t="str">
        <f ca="1">IFERROR(__xludf.DUMMYFUNCTION("""COMPUTED_VALUE"""),"Hybrid Working Environment with more than 15 days a month at office")</f>
        <v>Hybrid Working Environment with more than 15 days a month at office</v>
      </c>
      <c r="L894" s="1" t="str">
        <f ca="1">IFERROR(__xludf.DUMMYFUNCTION("""COMPUTED_VALUE"""),"Employer who pushes your limits by enabling an learning environment, and rewards you at the end")</f>
        <v>Employer who pushes your limits by enabling an learning environment, and rewards you at the end</v>
      </c>
      <c r="M894"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N894" s="1"/>
      <c r="O894" s="1" t="str">
        <f ca="1">IFERROR(__xludf.DUMMYFUNCTION("""COMPUTED_VALUE"""),"Manager who sets goal and helps me achieve it")</f>
        <v>Manager who sets goal and helps me achieve it</v>
      </c>
      <c r="P894" s="1" t="str">
        <f ca="1">IFERROR(__xludf.DUMMYFUNCTION("""COMPUTED_VALUE"""),"Work &lt;=6 People in the Team")</f>
        <v>Work &lt;=6 People in the Team</v>
      </c>
      <c r="Q894" s="1" t="s">
        <v>40</v>
      </c>
      <c r="R894" s="1"/>
    </row>
    <row r="895" spans="1:18" x14ac:dyDescent="0.25">
      <c r="A895" s="2">
        <f ca="1">IFERROR(__xludf.DUMMYFUNCTION("""COMPUTED_VALUE"""),45024.2764730324)</f>
        <v>45024.276473032398</v>
      </c>
      <c r="B895" s="1" t="str">
        <f ca="1">IFERROR(__xludf.DUMMYFUNCTION("""COMPUTED_VALUE"""),"India")</f>
        <v>India</v>
      </c>
      <c r="C895" s="1">
        <f ca="1">IFERROR(__xludf.DUMMYFUNCTION("""COMPUTED_VALUE"""),781013)</f>
        <v>781013</v>
      </c>
      <c r="D895" s="1" t="str">
        <f ca="1">IFERROR(__xludf.DUMMYFUNCTION("""COMPUTED_VALUE"""),"Male")</f>
        <v>Male</v>
      </c>
      <c r="E895" s="1" t="str">
        <f ca="1">IFERROR(__xludf.DUMMYFUNCTION("""COMPUTED_VALUE"""),"Social Media like LinkedIn")</f>
        <v>Social Media like LinkedIn</v>
      </c>
      <c r="F895" s="1" t="str">
        <f ca="1">IFERROR(__xludf.DUMMYFUNCTION("""COMPUTED_VALUE"""),"Yes, I will earn and do that")</f>
        <v>Yes, I will earn and do that</v>
      </c>
      <c r="G895" s="1" t="str">
        <f ca="1">IFERROR(__xludf.DUMMYFUNCTION("""COMPUTED_VALUE"""),"Will work for 3 years or more")</f>
        <v>Will work for 3 years or more</v>
      </c>
      <c r="H895" s="1" t="str">
        <f ca="1">IFERROR(__xludf.DUMMYFUNCTION("""COMPUTED_VALUE"""),"Yes")</f>
        <v>Yes</v>
      </c>
      <c r="I895" s="1" t="str">
        <f ca="1">IFERROR(__xludf.DUMMYFUNCTION("""COMPUTED_VALUE"""),"Will work for them")</f>
        <v>Will work for them</v>
      </c>
      <c r="J895" s="1">
        <f ca="1">IFERROR(__xludf.DUMMYFUNCTION("""COMPUTED_VALUE"""),3)</f>
        <v>3</v>
      </c>
      <c r="K895" s="1" t="str">
        <f ca="1">IFERROR(__xludf.DUMMYFUNCTION("""COMPUTED_VALUE"""),"Hybrid Working Environment with less than 3 days a month at office")</f>
        <v>Hybrid Working Environment with less than 3 days a month at office</v>
      </c>
      <c r="L895" s="1" t="str">
        <f ca="1">IFERROR(__xludf.DUMMYFUNCTION("""COMPUTED_VALUE"""),"Employer who appreciates learning and enables that environment")</f>
        <v>Employer who appreciates learning and enables that environment</v>
      </c>
      <c r="M8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895" s="1"/>
      <c r="O895" s="1" t="str">
        <f ca="1">IFERROR(__xludf.DUMMYFUNCTION("""COMPUTED_VALUE"""),"Manager who sets targets and expects me to achieve it")</f>
        <v>Manager who sets targets and expects me to achieve it</v>
      </c>
      <c r="P895" s="1" t="str">
        <f ca="1">IFERROR(__xludf.DUMMYFUNCTION("""COMPUTED_VALUE"""),"Work &lt;=6 People in the Team")</f>
        <v>Work &lt;=6 People in the Team</v>
      </c>
      <c r="Q895" s="1" t="s">
        <v>43</v>
      </c>
      <c r="R895" s="1"/>
    </row>
    <row r="896" spans="1:18" x14ac:dyDescent="0.25">
      <c r="A896" s="2">
        <f ca="1">IFERROR(__xludf.DUMMYFUNCTION("""COMPUTED_VALUE"""),45024.2828740162)</f>
        <v>45024.2828740162</v>
      </c>
      <c r="B896" s="1" t="str">
        <f ca="1">IFERROR(__xludf.DUMMYFUNCTION("""COMPUTED_VALUE"""),"India")</f>
        <v>India</v>
      </c>
      <c r="C896" s="1">
        <f ca="1">IFERROR(__xludf.DUMMYFUNCTION("""COMPUTED_VALUE"""),400029)</f>
        <v>400029</v>
      </c>
      <c r="D896" s="1" t="str">
        <f ca="1">IFERROR(__xludf.DUMMYFUNCTION("""COMPUTED_VALUE"""),"Female")</f>
        <v>Female</v>
      </c>
      <c r="E896" s="1" t="str">
        <f ca="1">IFERROR(__xludf.DUMMYFUNCTION("""COMPUTED_VALUE"""),"People who have changed the world for better")</f>
        <v>People who have changed the world for better</v>
      </c>
      <c r="F896" s="1" t="str">
        <f ca="1">IFERROR(__xludf.DUMMYFUNCTION("""COMPUTED_VALUE"""),"Yes, I will earn and do that")</f>
        <v>Yes, I will earn and do that</v>
      </c>
      <c r="G896" s="1" t="str">
        <f ca="1">IFERROR(__xludf.DUMMYFUNCTION("""COMPUTED_VALUE"""),"Will work for 3 years or more")</f>
        <v>Will work for 3 years or more</v>
      </c>
      <c r="H896" s="1" t="str">
        <f ca="1">IFERROR(__xludf.DUMMYFUNCTION("""COMPUTED_VALUE"""),"No")</f>
        <v>No</v>
      </c>
      <c r="I896" s="1" t="str">
        <f ca="1">IFERROR(__xludf.DUMMYFUNCTION("""COMPUTED_VALUE"""),"Will NOT work for them")</f>
        <v>Will NOT work for them</v>
      </c>
      <c r="J896" s="1">
        <f ca="1">IFERROR(__xludf.DUMMYFUNCTION("""COMPUTED_VALUE"""),5)</f>
        <v>5</v>
      </c>
      <c r="K896" s="1" t="str">
        <f ca="1">IFERROR(__xludf.DUMMYFUNCTION("""COMPUTED_VALUE"""),"Fully Remote with Options to travel as and when needed")</f>
        <v>Fully Remote with Options to travel as and when needed</v>
      </c>
      <c r="L896" s="1" t="str">
        <f ca="1">IFERROR(__xludf.DUMMYFUNCTION("""COMPUTED_VALUE"""),"Employer who rewards learning and enables that environment")</f>
        <v>Employer who rewards learning and enables that environment</v>
      </c>
      <c r="M8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896" s="1"/>
      <c r="O896" s="1" t="str">
        <f ca="1">IFERROR(__xludf.DUMMYFUNCTION("""COMPUTED_VALUE"""),"Manager who explains what is expected, sets a goal and helps achieve it")</f>
        <v>Manager who explains what is expected, sets a goal and helps achieve it</v>
      </c>
      <c r="P896" s="1" t="str">
        <f ca="1">IFERROR(__xludf.DUMMYFUNCTION("""COMPUTED_VALUE"""),"Work &lt;=6 People in the Team")</f>
        <v>Work &lt;=6 People in the Team</v>
      </c>
      <c r="Q896" s="1" t="s">
        <v>43</v>
      </c>
      <c r="R896" s="1"/>
    </row>
    <row r="897" spans="1:18" x14ac:dyDescent="0.25">
      <c r="A897" s="2">
        <f ca="1">IFERROR(__xludf.DUMMYFUNCTION("""COMPUTED_VALUE"""),45024.299249456)</f>
        <v>45024.299249456002</v>
      </c>
      <c r="B897" s="1" t="str">
        <f ca="1">IFERROR(__xludf.DUMMYFUNCTION("""COMPUTED_VALUE"""),"India")</f>
        <v>India</v>
      </c>
      <c r="C897" s="1">
        <f ca="1">IFERROR(__xludf.DUMMYFUNCTION("""COMPUTED_VALUE"""),500073)</f>
        <v>500073</v>
      </c>
      <c r="D897" s="1" t="str">
        <f ca="1">IFERROR(__xludf.DUMMYFUNCTION("""COMPUTED_VALUE"""),"Male")</f>
        <v>Male</v>
      </c>
      <c r="E897" s="1" t="str">
        <f ca="1">IFERROR(__xludf.DUMMYFUNCTION("""COMPUTED_VALUE"""),"People who have changed the world for better")</f>
        <v>People who have changed the world for better</v>
      </c>
      <c r="F897" s="1" t="str">
        <f ca="1">IFERROR(__xludf.DUMMYFUNCTION("""COMPUTED_VALUE"""),"Yes, I will earn and do that")</f>
        <v>Yes, I will earn and do that</v>
      </c>
      <c r="G897" s="1" t="str">
        <f ca="1">IFERROR(__xludf.DUMMYFUNCTION("""COMPUTED_VALUE"""),"This will be hard to do, but if it is the right company I would try")</f>
        <v>This will be hard to do, but if it is the right company I would try</v>
      </c>
      <c r="H897" s="1" t="str">
        <f ca="1">IFERROR(__xludf.DUMMYFUNCTION("""COMPUTED_VALUE"""),"No")</f>
        <v>No</v>
      </c>
      <c r="I897" s="1" t="str">
        <f ca="1">IFERROR(__xludf.DUMMYFUNCTION("""COMPUTED_VALUE"""),"Will NOT work for them")</f>
        <v>Will NOT work for them</v>
      </c>
      <c r="J897" s="1">
        <f ca="1">IFERROR(__xludf.DUMMYFUNCTION("""COMPUTED_VALUE"""),1)</f>
        <v>1</v>
      </c>
      <c r="K897" s="1" t="str">
        <f ca="1">IFERROR(__xludf.DUMMYFUNCTION("""COMPUTED_VALUE"""),"Fully Remote with Options to travel as and when needed")</f>
        <v>Fully Remote with Options to travel as and when needed</v>
      </c>
      <c r="L897" s="1" t="str">
        <f ca="1">IFERROR(__xludf.DUMMYFUNCTION("""COMPUTED_VALUE"""),"Employer who pushes your limits by enabling an learning environment, and rewards you at the end")</f>
        <v>Employer who pushes your limits by enabling an learning environment, and rewards you at the end</v>
      </c>
      <c r="M897"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N897" s="1"/>
      <c r="O897" s="1" t="str">
        <f ca="1">IFERROR(__xludf.DUMMYFUNCTION("""COMPUTED_VALUE"""),"Manager who clearly describes what she/he needs")</f>
        <v>Manager who clearly describes what she/he needs</v>
      </c>
      <c r="P897" s="1" t="str">
        <f ca="1">IFERROR(__xludf.DUMMYFUNCTION("""COMPUTED_VALUE"""),"Work &gt;10 people in Team")</f>
        <v>Work &gt;10 people in Team</v>
      </c>
      <c r="Q897" s="1" t="s">
        <v>43</v>
      </c>
      <c r="R897" s="1"/>
    </row>
    <row r="898" spans="1:18" x14ac:dyDescent="0.25">
      <c r="A898" s="2">
        <f ca="1">IFERROR(__xludf.DUMMYFUNCTION("""COMPUTED_VALUE"""),45024.3123015972)</f>
        <v>45024.312301597201</v>
      </c>
      <c r="B898" s="1" t="str">
        <f ca="1">IFERROR(__xludf.DUMMYFUNCTION("""COMPUTED_VALUE"""),"India")</f>
        <v>India</v>
      </c>
      <c r="C898" s="1">
        <f ca="1">IFERROR(__xludf.DUMMYFUNCTION("""COMPUTED_VALUE"""),441601)</f>
        <v>441601</v>
      </c>
      <c r="D898" s="1" t="str">
        <f ca="1">IFERROR(__xludf.DUMMYFUNCTION("""COMPUTED_VALUE"""),"Male")</f>
        <v>Male</v>
      </c>
      <c r="E898" s="1" t="str">
        <f ca="1">IFERROR(__xludf.DUMMYFUNCTION("""COMPUTED_VALUE"""),"My Parents")</f>
        <v>My Parents</v>
      </c>
      <c r="F898" s="1" t="str">
        <f ca="1">IFERROR(__xludf.DUMMYFUNCTION("""COMPUTED_VALUE"""),"Yes, I will earn and do that")</f>
        <v>Yes, I will earn and do that</v>
      </c>
      <c r="G898" s="1" t="str">
        <f ca="1">IFERROR(__xludf.DUMMYFUNCTION("""COMPUTED_VALUE"""),"Will work for 3 years or more")</f>
        <v>Will work for 3 years or more</v>
      </c>
      <c r="H898" s="1" t="str">
        <f ca="1">IFERROR(__xludf.DUMMYFUNCTION("""COMPUTED_VALUE"""),"Yes")</f>
        <v>Yes</v>
      </c>
      <c r="I898" s="1" t="str">
        <f ca="1">IFERROR(__xludf.DUMMYFUNCTION("""COMPUTED_VALUE"""),"Will NOT work for them")</f>
        <v>Will NOT work for them</v>
      </c>
      <c r="J898" s="1">
        <f ca="1">IFERROR(__xludf.DUMMYFUNCTION("""COMPUTED_VALUE"""),9)</f>
        <v>9</v>
      </c>
      <c r="K898" s="1" t="str">
        <f ca="1">IFERROR(__xludf.DUMMYFUNCTION("""COMPUTED_VALUE"""),"Hybrid Working Environment with more than 15 days a month at office")</f>
        <v>Hybrid Working Environment with more than 15 days a month at office</v>
      </c>
      <c r="L898" s="1" t="str">
        <f ca="1">IFERROR(__xludf.DUMMYFUNCTION("""COMPUTED_VALUE"""),"Employer who appreciates learning and enables that environment")</f>
        <v>Employer who appreciates learning and enables that environment</v>
      </c>
      <c r="M8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898" s="1"/>
      <c r="O898" s="1" t="str">
        <f ca="1">IFERROR(__xludf.DUMMYFUNCTION("""COMPUTED_VALUE"""),"Manager who explains what is expected, sets a goal and helps achieve it")</f>
        <v>Manager who explains what is expected, sets a goal and helps achieve it</v>
      </c>
      <c r="P898" s="1" t="str">
        <f ca="1">IFERROR(__xludf.DUMMYFUNCTION("""COMPUTED_VALUE"""),"Work &lt;=6 People in the Team")</f>
        <v>Work &lt;=6 People in the Team</v>
      </c>
      <c r="Q898" s="1" t="s">
        <v>40</v>
      </c>
      <c r="R898" s="1"/>
    </row>
    <row r="899" spans="1:18" x14ac:dyDescent="0.25">
      <c r="A899" s="2">
        <f ca="1">IFERROR(__xludf.DUMMYFUNCTION("""COMPUTED_VALUE"""),45024.3164196643)</f>
        <v>45024.316419664297</v>
      </c>
      <c r="B899" s="1" t="str">
        <f ca="1">IFERROR(__xludf.DUMMYFUNCTION("""COMPUTED_VALUE"""),"India")</f>
        <v>India</v>
      </c>
      <c r="C899" s="1">
        <f ca="1">IFERROR(__xludf.DUMMYFUNCTION("""COMPUTED_VALUE"""),400066)</f>
        <v>400066</v>
      </c>
      <c r="D899" s="1" t="str">
        <f ca="1">IFERROR(__xludf.DUMMYFUNCTION("""COMPUTED_VALUE"""),"Female")</f>
        <v>Female</v>
      </c>
      <c r="E899" s="1" t="str">
        <f ca="1">IFERROR(__xludf.DUMMYFUNCTION("""COMPUTED_VALUE"""),"My Parents")</f>
        <v>My Parents</v>
      </c>
      <c r="F899" s="1" t="str">
        <f ca="1">IFERROR(__xludf.DUMMYFUNCTION("""COMPUTED_VALUE"""),"Yes, I will earn and do that")</f>
        <v>Yes, I will earn and do that</v>
      </c>
      <c r="G899" s="1" t="str">
        <f ca="1">IFERROR(__xludf.DUMMYFUNCTION("""COMPUTED_VALUE"""),"Will work for 3 years or more")</f>
        <v>Will work for 3 years or more</v>
      </c>
      <c r="H899" s="1" t="str">
        <f ca="1">IFERROR(__xludf.DUMMYFUNCTION("""COMPUTED_VALUE"""),"No")</f>
        <v>No</v>
      </c>
      <c r="I899" s="1" t="str">
        <f ca="1">IFERROR(__xludf.DUMMYFUNCTION("""COMPUTED_VALUE"""),"Will NOT work for them")</f>
        <v>Will NOT work for them</v>
      </c>
      <c r="J899" s="1">
        <f ca="1">IFERROR(__xludf.DUMMYFUNCTION("""COMPUTED_VALUE"""),10)</f>
        <v>10</v>
      </c>
      <c r="K899" s="1" t="str">
        <f ca="1">IFERROR(__xludf.DUMMYFUNCTION("""COMPUTED_VALUE"""),"Fully Remote with Options to travel as and when needed")</f>
        <v>Fully Remote with Options to travel as and when needed</v>
      </c>
      <c r="L899" s="1" t="str">
        <f ca="1">IFERROR(__xludf.DUMMYFUNCTION("""COMPUTED_VALUE"""),"Employer who appreciates learning and enables that environment")</f>
        <v>Employer who appreciates learning and enables that environment</v>
      </c>
      <c r="M89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899" s="1"/>
      <c r="O899" s="1" t="str">
        <f ca="1">IFERROR(__xludf.DUMMYFUNCTION("""COMPUTED_VALUE"""),"Manager who clearly describes what she/he needs")</f>
        <v>Manager who clearly describes what she/he needs</v>
      </c>
      <c r="P899" s="1" t="str">
        <f ca="1">IFERROR(__xludf.DUMMYFUNCTION("""COMPUTED_VALUE"""),"Work &lt;=6 People in the Team")</f>
        <v>Work &lt;=6 People in the Team</v>
      </c>
      <c r="Q899" s="1" t="s">
        <v>43</v>
      </c>
      <c r="R899" s="1"/>
    </row>
    <row r="900" spans="1:18" x14ac:dyDescent="0.25">
      <c r="A900" s="2">
        <f ca="1">IFERROR(__xludf.DUMMYFUNCTION("""COMPUTED_VALUE"""),45024.331659074)</f>
        <v>45024.331659074</v>
      </c>
      <c r="B900" s="1" t="str">
        <f ca="1">IFERROR(__xludf.DUMMYFUNCTION("""COMPUTED_VALUE"""),"India")</f>
        <v>India</v>
      </c>
      <c r="C900" s="1">
        <f ca="1">IFERROR(__xludf.DUMMYFUNCTION("""COMPUTED_VALUE"""),700102)</f>
        <v>700102</v>
      </c>
      <c r="D900" s="1" t="str">
        <f ca="1">IFERROR(__xludf.DUMMYFUNCTION("""COMPUTED_VALUE"""),"Male")</f>
        <v>Male</v>
      </c>
      <c r="E900" s="1" t="str">
        <f ca="1">IFERROR(__xludf.DUMMYFUNCTION("""COMPUTED_VALUE"""),"People from my circle, but not family members")</f>
        <v>People from my circle, but not family members</v>
      </c>
      <c r="F900" s="1" t="str">
        <f ca="1">IFERROR(__xludf.DUMMYFUNCTION("""COMPUTED_VALUE"""),"Yes, I will earn and do that")</f>
        <v>Yes, I will earn and do that</v>
      </c>
      <c r="G900" s="1" t="str">
        <f ca="1">IFERROR(__xludf.DUMMYFUNCTION("""COMPUTED_VALUE"""),"This will be hard to do, but if it is the right company I would try")</f>
        <v>This will be hard to do, but if it is the right company I would try</v>
      </c>
      <c r="H900" s="1" t="str">
        <f ca="1">IFERROR(__xludf.DUMMYFUNCTION("""COMPUTED_VALUE"""),"No")</f>
        <v>No</v>
      </c>
      <c r="I900" s="1" t="str">
        <f ca="1">IFERROR(__xludf.DUMMYFUNCTION("""COMPUTED_VALUE"""),"Will NOT work for them")</f>
        <v>Will NOT work for them</v>
      </c>
      <c r="J900" s="1">
        <f ca="1">IFERROR(__xludf.DUMMYFUNCTION("""COMPUTED_VALUE"""),7)</f>
        <v>7</v>
      </c>
      <c r="K900" s="1" t="str">
        <f ca="1">IFERROR(__xludf.DUMMYFUNCTION("""COMPUTED_VALUE"""),"Hybrid Working Environment with more than 15 days a month at office")</f>
        <v>Hybrid Working Environment with more than 15 days a month at office</v>
      </c>
      <c r="L900" s="1" t="str">
        <f ca="1">IFERROR(__xludf.DUMMYFUNCTION("""COMPUTED_VALUE"""),"Employer who appreciates learning and enables that environment")</f>
        <v>Employer who appreciates learning and enables that environment</v>
      </c>
      <c r="M9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900" s="1"/>
      <c r="O900" s="1" t="str">
        <f ca="1">IFERROR(__xludf.DUMMYFUNCTION("""COMPUTED_VALUE"""),"Manager who clearly describes what she/he needs")</f>
        <v>Manager who clearly describes what she/he needs</v>
      </c>
      <c r="P900" s="1" t="str">
        <f ca="1">IFERROR(__xludf.DUMMYFUNCTION("""COMPUTED_VALUE"""),"Work Alone, &lt;=6 in team")</f>
        <v>Work Alone, &lt;=6 in team</v>
      </c>
      <c r="Q900" s="1" t="s">
        <v>43</v>
      </c>
      <c r="R900" s="1"/>
    </row>
    <row r="901" spans="1:18" x14ac:dyDescent="0.25">
      <c r="A901" s="2">
        <f ca="1">IFERROR(__xludf.DUMMYFUNCTION("""COMPUTED_VALUE"""),45024.3353862037)</f>
        <v>45024.335386203697</v>
      </c>
      <c r="B901" s="1" t="str">
        <f ca="1">IFERROR(__xludf.DUMMYFUNCTION("""COMPUTED_VALUE"""),"India")</f>
        <v>India</v>
      </c>
      <c r="C901" s="1">
        <f ca="1">IFERROR(__xludf.DUMMYFUNCTION("""COMPUTED_VALUE"""),412308)</f>
        <v>412308</v>
      </c>
      <c r="D901" s="1" t="str">
        <f ca="1">IFERROR(__xludf.DUMMYFUNCTION("""COMPUTED_VALUE"""),"Male")</f>
        <v>Male</v>
      </c>
      <c r="E901" s="1" t="str">
        <f ca="1">IFERROR(__xludf.DUMMYFUNCTION("""COMPUTED_VALUE"""),"My Parents")</f>
        <v>My Parents</v>
      </c>
      <c r="F901" s="1" t="str">
        <f ca="1">IFERROR(__xludf.DUMMYFUNCTION("""COMPUTED_VALUE"""),"No, But if someone could bare the cost I will")</f>
        <v>No, But if someone could bare the cost I will</v>
      </c>
      <c r="G901" s="1" t="str">
        <f ca="1">IFERROR(__xludf.DUMMYFUNCTION("""COMPUTED_VALUE"""),"Will work for 3 years or more")</f>
        <v>Will work for 3 years or more</v>
      </c>
      <c r="H901" s="1" t="str">
        <f ca="1">IFERROR(__xludf.DUMMYFUNCTION("""COMPUTED_VALUE"""),"No")</f>
        <v>No</v>
      </c>
      <c r="I901" s="1" t="str">
        <f ca="1">IFERROR(__xludf.DUMMYFUNCTION("""COMPUTED_VALUE"""),"Will NOT work for them")</f>
        <v>Will NOT work for them</v>
      </c>
      <c r="J901" s="1">
        <f ca="1">IFERROR(__xludf.DUMMYFUNCTION("""COMPUTED_VALUE"""),7)</f>
        <v>7</v>
      </c>
      <c r="K901" s="1" t="str">
        <f ca="1">IFERROR(__xludf.DUMMYFUNCTION("""COMPUTED_VALUE"""),"Fully Remote with Options to travel as and when needed")</f>
        <v>Fully Remote with Options to travel as and when needed</v>
      </c>
      <c r="L901" s="1" t="str">
        <f ca="1">IFERROR(__xludf.DUMMYFUNCTION("""COMPUTED_VALUE"""),"Employer who pushes your limits by enabling an learning environment, and rewards you at the end")</f>
        <v>Employer who pushes your limits by enabling an learning environment, and rewards you at the end</v>
      </c>
      <c r="M9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901" s="1"/>
      <c r="O901" s="1" t="str">
        <f ca="1">IFERROR(__xludf.DUMMYFUNCTION("""COMPUTED_VALUE"""),"Manager who explains what is expected, sets a goal and helps achieve it")</f>
        <v>Manager who explains what is expected, sets a goal and helps achieve it</v>
      </c>
      <c r="P901" s="1" t="str">
        <f ca="1">IFERROR(__xludf.DUMMYFUNCTION("""COMPUTED_VALUE"""),"Work &gt;=7 People in the Team")</f>
        <v>Work &gt;=7 People in the Team</v>
      </c>
      <c r="Q901" s="1" t="s">
        <v>43</v>
      </c>
      <c r="R901" s="1"/>
    </row>
    <row r="902" spans="1:18" x14ac:dyDescent="0.25">
      <c r="A902" s="2">
        <f ca="1">IFERROR(__xludf.DUMMYFUNCTION("""COMPUTED_VALUE"""),45024.3375552546)</f>
        <v>45024.337555254599</v>
      </c>
      <c r="B902" s="1" t="str">
        <f ca="1">IFERROR(__xludf.DUMMYFUNCTION("""COMPUTED_VALUE"""),"India")</f>
        <v>India</v>
      </c>
      <c r="C902" s="1">
        <f ca="1">IFERROR(__xludf.DUMMYFUNCTION("""COMPUTED_VALUE"""),313001)</f>
        <v>313001</v>
      </c>
      <c r="D902" s="1" t="str">
        <f ca="1">IFERROR(__xludf.DUMMYFUNCTION("""COMPUTED_VALUE"""),"Male")</f>
        <v>Male</v>
      </c>
      <c r="E902" s="1" t="str">
        <f ca="1">IFERROR(__xludf.DUMMYFUNCTION("""COMPUTED_VALUE"""),"My Parents")</f>
        <v>My Parents</v>
      </c>
      <c r="F902" s="1" t="str">
        <f ca="1">IFERROR(__xludf.DUMMYFUNCTION("""COMPUTED_VALUE"""),"Yes, I will earn and do that")</f>
        <v>Yes, I will earn and do that</v>
      </c>
      <c r="G902" s="1" t="str">
        <f ca="1">IFERROR(__xludf.DUMMYFUNCTION("""COMPUTED_VALUE"""),"This will be hard to do, but if it is the right company I would try")</f>
        <v>This will be hard to do, but if it is the right company I would try</v>
      </c>
      <c r="H902" s="1" t="str">
        <f ca="1">IFERROR(__xludf.DUMMYFUNCTION("""COMPUTED_VALUE"""),"No")</f>
        <v>No</v>
      </c>
      <c r="I902" s="1" t="str">
        <f ca="1">IFERROR(__xludf.DUMMYFUNCTION("""COMPUTED_VALUE"""),"Will NOT work for them")</f>
        <v>Will NOT work for them</v>
      </c>
      <c r="J902" s="1">
        <f ca="1">IFERROR(__xludf.DUMMYFUNCTION("""COMPUTED_VALUE"""),1)</f>
        <v>1</v>
      </c>
      <c r="K902" s="1" t="str">
        <f ca="1">IFERROR(__xludf.DUMMYFUNCTION("""COMPUTED_VALUE"""),"Every Day Office Environment")</f>
        <v>Every Day Office Environment</v>
      </c>
      <c r="L902" s="1" t="str">
        <f ca="1">IFERROR(__xludf.DUMMYFUNCTION("""COMPUTED_VALUE"""),"Employer who appreciates learning and enables that environment")</f>
        <v>Employer who appreciates learning and enables that environment</v>
      </c>
      <c r="M902" s="1" t="str">
        <f ca="1">IFERROR(__xludf.DUMMYFUNCTION("""COMPUTED_VALUE"""),"Design and Develop amazing software, Work as a freelancer and do my thing my way, Entrepreneur or Start Up, Manufacturing / Oil and Gas/ Construction / Hard Physical Work related")</f>
        <v>Design and Develop amazing software, Work as a freelancer and do my thing my way, Entrepreneur or Start Up, Manufacturing / Oil and Gas/ Construction / Hard Physical Work related</v>
      </c>
      <c r="N902" s="1"/>
      <c r="O902" s="1" t="str">
        <f ca="1">IFERROR(__xludf.DUMMYFUNCTION("""COMPUTED_VALUE"""),"Manager who sets goal and helps me achieve it")</f>
        <v>Manager who sets goal and helps me achieve it</v>
      </c>
      <c r="P902" s="1" t="str">
        <f ca="1">IFERROR(__xludf.DUMMYFUNCTION("""COMPUTED_VALUE"""),"Work &lt;=6 People in the Team")</f>
        <v>Work &lt;=6 People in the Team</v>
      </c>
      <c r="Q902" s="1" t="s">
        <v>40</v>
      </c>
      <c r="R902" s="1"/>
    </row>
    <row r="903" spans="1:18" x14ac:dyDescent="0.25">
      <c r="A903" s="2">
        <f ca="1">IFERROR(__xludf.DUMMYFUNCTION("""COMPUTED_VALUE"""),45024.367023368)</f>
        <v>45024.367023368002</v>
      </c>
      <c r="B903" s="1" t="str">
        <f ca="1">IFERROR(__xludf.DUMMYFUNCTION("""COMPUTED_VALUE"""),"India")</f>
        <v>India</v>
      </c>
      <c r="C903" s="1">
        <f ca="1">IFERROR(__xludf.DUMMYFUNCTION("""COMPUTED_VALUE"""),500039)</f>
        <v>500039</v>
      </c>
      <c r="D903" s="1" t="str">
        <f ca="1">IFERROR(__xludf.DUMMYFUNCTION("""COMPUTED_VALUE"""),"Female")</f>
        <v>Female</v>
      </c>
      <c r="E903" s="1" t="str">
        <f ca="1">IFERROR(__xludf.DUMMYFUNCTION("""COMPUTED_VALUE"""),"Influencers who had successful careers")</f>
        <v>Influencers who had successful careers</v>
      </c>
      <c r="F903" s="1" t="str">
        <f ca="1">IFERROR(__xludf.DUMMYFUNCTION("""COMPUTED_VALUE"""),"Yes, I will earn and do that")</f>
        <v>Yes, I will earn and do that</v>
      </c>
      <c r="G903" s="1" t="str">
        <f ca="1">IFERROR(__xludf.DUMMYFUNCTION("""COMPUTED_VALUE"""),"Will work for 3 years or more")</f>
        <v>Will work for 3 years or more</v>
      </c>
      <c r="H903" s="1" t="str">
        <f ca="1">IFERROR(__xludf.DUMMYFUNCTION("""COMPUTED_VALUE"""),"Yes")</f>
        <v>Yes</v>
      </c>
      <c r="I903" s="1" t="str">
        <f ca="1">IFERROR(__xludf.DUMMYFUNCTION("""COMPUTED_VALUE"""),"Will work for them")</f>
        <v>Will work for them</v>
      </c>
      <c r="J903" s="1">
        <f ca="1">IFERROR(__xludf.DUMMYFUNCTION("""COMPUTED_VALUE"""),8)</f>
        <v>8</v>
      </c>
      <c r="K903" s="1" t="str">
        <f ca="1">IFERROR(__xludf.DUMMYFUNCTION("""COMPUTED_VALUE"""),"Fully Remote with Options to travel as and when needed")</f>
        <v>Fully Remote with Options to travel as and when needed</v>
      </c>
      <c r="L903" s="1" t="str">
        <f ca="1">IFERROR(__xludf.DUMMYFUNCTION("""COMPUTED_VALUE"""),"Employer who appreciates learning and enables that environment")</f>
        <v>Employer who appreciates learning and enables that environment</v>
      </c>
      <c r="M90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903" s="1"/>
      <c r="O903" s="1" t="str">
        <f ca="1">IFERROR(__xludf.DUMMYFUNCTION("""COMPUTED_VALUE"""),"Manager who explains what is expected, sets a goal and helps achieve it")</f>
        <v>Manager who explains what is expected, sets a goal and helps achieve it</v>
      </c>
      <c r="P903" s="1" t="str">
        <f ca="1">IFERROR(__xludf.DUMMYFUNCTION("""COMPUTED_VALUE"""),"Work &lt;67 People in the Team")</f>
        <v>Work &lt;67 People in the Team</v>
      </c>
      <c r="Q903" s="1" t="s">
        <v>40</v>
      </c>
      <c r="R903" s="1"/>
    </row>
    <row r="904" spans="1:18" x14ac:dyDescent="0.25">
      <c r="A904" s="2">
        <f ca="1">IFERROR(__xludf.DUMMYFUNCTION("""COMPUTED_VALUE"""),45024.3765208333)</f>
        <v>45024.376520833299</v>
      </c>
      <c r="B904" s="1" t="str">
        <f ca="1">IFERROR(__xludf.DUMMYFUNCTION("""COMPUTED_VALUE"""),"India")</f>
        <v>India</v>
      </c>
      <c r="C904" s="1">
        <f ca="1">IFERROR(__xludf.DUMMYFUNCTION("""COMPUTED_VALUE"""),580023)</f>
        <v>580023</v>
      </c>
      <c r="D904" s="1" t="str">
        <f ca="1">IFERROR(__xludf.DUMMYFUNCTION("""COMPUTED_VALUE"""),"Male")</f>
        <v>Male</v>
      </c>
      <c r="E904" s="1" t="str">
        <f ca="1">IFERROR(__xludf.DUMMYFUNCTION("""COMPUTED_VALUE"""),"People who have changed the world for better")</f>
        <v>People who have changed the world for better</v>
      </c>
      <c r="F904" s="1" t="str">
        <f ca="1">IFERROR(__xludf.DUMMYFUNCTION("""COMPUTED_VALUE"""),"Yes, I will earn and do that")</f>
        <v>Yes, I will earn and do that</v>
      </c>
      <c r="G904" s="1" t="str">
        <f ca="1">IFERROR(__xludf.DUMMYFUNCTION("""COMPUTED_VALUE"""),"This will be hard to do, but if it is the right company I would try")</f>
        <v>This will be hard to do, but if it is the right company I would try</v>
      </c>
      <c r="H904" s="1" t="str">
        <f ca="1">IFERROR(__xludf.DUMMYFUNCTION("""COMPUTED_VALUE"""),"No")</f>
        <v>No</v>
      </c>
      <c r="I904" s="1" t="str">
        <f ca="1">IFERROR(__xludf.DUMMYFUNCTION("""COMPUTED_VALUE"""),"Will NOT work for them")</f>
        <v>Will NOT work for them</v>
      </c>
      <c r="J904" s="1">
        <f ca="1">IFERROR(__xludf.DUMMYFUNCTION("""COMPUTED_VALUE"""),1)</f>
        <v>1</v>
      </c>
      <c r="K904" s="1" t="str">
        <f ca="1">IFERROR(__xludf.DUMMYFUNCTION("""COMPUTED_VALUE"""),"Fully Remote with Options to travel as and when needed")</f>
        <v>Fully Remote with Options to travel as and when needed</v>
      </c>
      <c r="L904" s="1" t="str">
        <f ca="1">IFERROR(__xludf.DUMMYFUNCTION("""COMPUTED_VALUE"""),"Employer who pushes your limits by enabling an learning environment, and rewards you at the end")</f>
        <v>Employer who pushes your limits by enabling an learning environment, and rewards you at the end</v>
      </c>
      <c r="M904"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904" s="1"/>
      <c r="O904" s="1" t="str">
        <f ca="1">IFERROR(__xludf.DUMMYFUNCTION("""COMPUTED_VALUE"""),"Manager who explains what is expected, sets a goal and helps achieve it")</f>
        <v>Manager who explains what is expected, sets a goal and helps achieve it</v>
      </c>
      <c r="P904" s="1" t="str">
        <f ca="1">IFERROR(__xludf.DUMMYFUNCTION("""COMPUTED_VALUE"""),"Work &lt;=6 People in the Team")</f>
        <v>Work &lt;=6 People in the Team</v>
      </c>
      <c r="Q904" s="1" t="s">
        <v>43</v>
      </c>
      <c r="R904" s="1"/>
    </row>
    <row r="905" spans="1:18" x14ac:dyDescent="0.25">
      <c r="A905" s="2">
        <f ca="1">IFERROR(__xludf.DUMMYFUNCTION("""COMPUTED_VALUE"""),45024.3800109259)</f>
        <v>45024.380010925903</v>
      </c>
      <c r="B905" s="1" t="str">
        <f ca="1">IFERROR(__xludf.DUMMYFUNCTION("""COMPUTED_VALUE"""),"India")</f>
        <v>India</v>
      </c>
      <c r="C905" s="1">
        <f ca="1">IFERROR(__xludf.DUMMYFUNCTION("""COMPUTED_VALUE"""),515211)</f>
        <v>515211</v>
      </c>
      <c r="D905" s="1" t="str">
        <f ca="1">IFERROR(__xludf.DUMMYFUNCTION("""COMPUTED_VALUE"""),"Male")</f>
        <v>Male</v>
      </c>
      <c r="E905" s="1" t="str">
        <f ca="1">IFERROR(__xludf.DUMMYFUNCTION("""COMPUTED_VALUE"""),"People from my circle, but not family members")</f>
        <v>People from my circle, but not family members</v>
      </c>
      <c r="F905" s="1" t="str">
        <f ca="1">IFERROR(__xludf.DUMMYFUNCTION("""COMPUTED_VALUE"""),"No I would not be pursuing Higher Education outside of India")</f>
        <v>No I would not be pursuing Higher Education outside of India</v>
      </c>
      <c r="G905" s="1" t="str">
        <f ca="1">IFERROR(__xludf.DUMMYFUNCTION("""COMPUTED_VALUE"""),"Will work for 3 years or more")</f>
        <v>Will work for 3 years or more</v>
      </c>
      <c r="H905" s="1" t="str">
        <f ca="1">IFERROR(__xludf.DUMMYFUNCTION("""COMPUTED_VALUE"""),"No")</f>
        <v>No</v>
      </c>
      <c r="I905" s="1" t="str">
        <f ca="1">IFERROR(__xludf.DUMMYFUNCTION("""COMPUTED_VALUE"""),"Will work for them")</f>
        <v>Will work for them</v>
      </c>
      <c r="J905" s="1">
        <f ca="1">IFERROR(__xludf.DUMMYFUNCTION("""COMPUTED_VALUE"""),7)</f>
        <v>7</v>
      </c>
      <c r="K905" s="1" t="str">
        <f ca="1">IFERROR(__xludf.DUMMYFUNCTION("""COMPUTED_VALUE"""),"Every Day Office Environment")</f>
        <v>Every Day Office Environment</v>
      </c>
      <c r="L905" s="1" t="str">
        <f ca="1">IFERROR(__xludf.DUMMYFUNCTION("""COMPUTED_VALUE"""),"Employer who appreciates learning and enables that environment")</f>
        <v>Employer who appreciates learning and enables that environment</v>
      </c>
      <c r="M905"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N905" s="1"/>
      <c r="O905" s="1" t="str">
        <f ca="1">IFERROR(__xludf.DUMMYFUNCTION("""COMPUTED_VALUE"""),"Manager who sets targets and expects me to achieve it")</f>
        <v>Manager who sets targets and expects me to achieve it</v>
      </c>
      <c r="P905" s="1" t="str">
        <f ca="1">IFERROR(__xludf.DUMMYFUNCTION("""COMPUTED_VALUE"""),"Work &lt;=6 People in the Team")</f>
        <v>Work &lt;=6 People in the Team</v>
      </c>
      <c r="Q905" s="1" t="s">
        <v>43</v>
      </c>
      <c r="R905" s="1"/>
    </row>
    <row r="906" spans="1:18" x14ac:dyDescent="0.25">
      <c r="A906" s="2">
        <f ca="1">IFERROR(__xludf.DUMMYFUNCTION("""COMPUTED_VALUE"""),45024.4060704745)</f>
        <v>45024.406070474499</v>
      </c>
      <c r="B906" s="1" t="str">
        <f ca="1">IFERROR(__xludf.DUMMYFUNCTION("""COMPUTED_VALUE"""),"Others")</f>
        <v>Others</v>
      </c>
      <c r="C906" s="1">
        <f ca="1">IFERROR(__xludf.DUMMYFUNCTION("""COMPUTED_VALUE"""),75400)</f>
        <v>75400</v>
      </c>
      <c r="D906" s="1" t="str">
        <f ca="1">IFERROR(__xludf.DUMMYFUNCTION("""COMPUTED_VALUE"""),"Female")</f>
        <v>Female</v>
      </c>
      <c r="E906" s="1" t="str">
        <f ca="1">IFERROR(__xludf.DUMMYFUNCTION("""COMPUTED_VALUE"""),"Influencers who had successful careers")</f>
        <v>Influencers who had successful careers</v>
      </c>
      <c r="F906" s="1" t="str">
        <f ca="1">IFERROR(__xludf.DUMMYFUNCTION("""COMPUTED_VALUE"""),"Yes, I will earn and do that")</f>
        <v>Yes, I will earn and do that</v>
      </c>
      <c r="G906" s="1" t="str">
        <f ca="1">IFERROR(__xludf.DUMMYFUNCTION("""COMPUTED_VALUE"""),"Will work for 3 years or more")</f>
        <v>Will work for 3 years or more</v>
      </c>
      <c r="H906" s="1" t="str">
        <f ca="1">IFERROR(__xludf.DUMMYFUNCTION("""COMPUTED_VALUE"""),"Yes")</f>
        <v>Yes</v>
      </c>
      <c r="I906" s="1" t="str">
        <f ca="1">IFERROR(__xludf.DUMMYFUNCTION("""COMPUTED_VALUE"""),"Will work for them")</f>
        <v>Will work for them</v>
      </c>
      <c r="J906" s="1">
        <f ca="1">IFERROR(__xludf.DUMMYFUNCTION("""COMPUTED_VALUE"""),6)</f>
        <v>6</v>
      </c>
      <c r="K906" s="1" t="str">
        <f ca="1">IFERROR(__xludf.DUMMYFUNCTION("""COMPUTED_VALUE"""),"Hybrid Working Environment with less than 3 days a month at office")</f>
        <v>Hybrid Working Environment with less than 3 days a month at office</v>
      </c>
      <c r="L906" s="1" t="str">
        <f ca="1">IFERROR(__xludf.DUMMYFUNCTION("""COMPUTED_VALUE"""),"Employer who appreciates learning and enables that environment")</f>
        <v>Employer who appreciates learning and enables that environment</v>
      </c>
      <c r="M90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N906" s="1"/>
      <c r="O906" s="1" t="str">
        <f ca="1">IFERROR(__xludf.DUMMYFUNCTION("""COMPUTED_VALUE"""),"Manager who explains what is expected, sets a goal and helps achieve it")</f>
        <v>Manager who explains what is expected, sets a goal and helps achieve it</v>
      </c>
      <c r="P906" s="1" t="str">
        <f ca="1">IFERROR(__xludf.DUMMYFUNCTION("""COMPUTED_VALUE"""),"Work &lt;=6 People in the Team")</f>
        <v>Work &lt;=6 People in the Team</v>
      </c>
      <c r="Q906" s="1" t="s">
        <v>43</v>
      </c>
      <c r="R906" s="1"/>
    </row>
    <row r="907" spans="1:18" x14ac:dyDescent="0.25">
      <c r="A907" s="2">
        <f ca="1">IFERROR(__xludf.DUMMYFUNCTION("""COMPUTED_VALUE"""),45024.4166787268)</f>
        <v>45024.416678726797</v>
      </c>
      <c r="B907" s="1" t="str">
        <f ca="1">IFERROR(__xludf.DUMMYFUNCTION("""COMPUTED_VALUE"""),"India")</f>
        <v>India</v>
      </c>
      <c r="C907" s="1">
        <f ca="1">IFERROR(__xludf.DUMMYFUNCTION("""COMPUTED_VALUE"""),134109)</f>
        <v>134109</v>
      </c>
      <c r="D907" s="1" t="str">
        <f ca="1">IFERROR(__xludf.DUMMYFUNCTION("""COMPUTED_VALUE"""),"Male")</f>
        <v>Male</v>
      </c>
      <c r="E907" s="1" t="str">
        <f ca="1">IFERROR(__xludf.DUMMYFUNCTION("""COMPUTED_VALUE"""),"People from my circle, but not family members")</f>
        <v>People from my circle, but not family members</v>
      </c>
      <c r="F907" s="1" t="str">
        <f ca="1">IFERROR(__xludf.DUMMYFUNCTION("""COMPUTED_VALUE"""),"No, But if someone could bare the cost I will")</f>
        <v>No, But if someone could bare the cost I will</v>
      </c>
      <c r="G907" s="1" t="str">
        <f ca="1">IFERROR(__xludf.DUMMYFUNCTION("""COMPUTED_VALUE"""),"This will be hard to do, but if it is the right company I would try")</f>
        <v>This will be hard to do, but if it is the right company I would try</v>
      </c>
      <c r="H907" s="1" t="str">
        <f ca="1">IFERROR(__xludf.DUMMYFUNCTION("""COMPUTED_VALUE"""),"No")</f>
        <v>No</v>
      </c>
      <c r="I907" s="1" t="str">
        <f ca="1">IFERROR(__xludf.DUMMYFUNCTION("""COMPUTED_VALUE"""),"Will NOT work for them")</f>
        <v>Will NOT work for them</v>
      </c>
      <c r="J907" s="1">
        <f ca="1">IFERROR(__xludf.DUMMYFUNCTION("""COMPUTED_VALUE"""),7)</f>
        <v>7</v>
      </c>
      <c r="K907" s="1" t="str">
        <f ca="1">IFERROR(__xludf.DUMMYFUNCTION("""COMPUTED_VALUE"""),"Hybrid Working Environment with more than 15 days a month at office")</f>
        <v>Hybrid Working Environment with more than 15 days a month at office</v>
      </c>
      <c r="L907" s="1" t="str">
        <f ca="1">IFERROR(__xludf.DUMMYFUNCTION("""COMPUTED_VALUE"""),"Employer who pushes your limits by enabling an learning environment, and rewards you at the end")</f>
        <v>Employer who pushes your limits by enabling an learning environment, and rewards you at the end</v>
      </c>
      <c r="M907"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907" s="1"/>
      <c r="O907" s="1" t="str">
        <f ca="1">IFERROR(__xludf.DUMMYFUNCTION("""COMPUTED_VALUE"""),"Manager who explains what is expected, sets a goal and helps achieve it")</f>
        <v>Manager who explains what is expected, sets a goal and helps achieve it</v>
      </c>
      <c r="P907" s="1" t="str">
        <f ca="1">IFERROR(__xludf.DUMMYFUNCTION("""COMPUTED_VALUE"""),"Work &lt;=6 People in the Team")</f>
        <v>Work &lt;=6 People in the Team</v>
      </c>
      <c r="Q907" s="1" t="s">
        <v>40</v>
      </c>
      <c r="R907" s="1"/>
    </row>
    <row r="908" spans="1:18" x14ac:dyDescent="0.25">
      <c r="A908" s="2">
        <f ca="1">IFERROR(__xludf.DUMMYFUNCTION("""COMPUTED_VALUE"""),45024.4167248379)</f>
        <v>45024.416724837902</v>
      </c>
      <c r="B908" s="1" t="str">
        <f ca="1">IFERROR(__xludf.DUMMYFUNCTION("""COMPUTED_VALUE"""),"India")</f>
        <v>India</v>
      </c>
      <c r="C908" s="1">
        <f ca="1">IFERROR(__xludf.DUMMYFUNCTION("""COMPUTED_VALUE"""),517501)</f>
        <v>517501</v>
      </c>
      <c r="D908" s="1" t="str">
        <f ca="1">IFERROR(__xludf.DUMMYFUNCTION("""COMPUTED_VALUE"""),"Female")</f>
        <v>Female</v>
      </c>
      <c r="E908" s="1" t="str">
        <f ca="1">IFERROR(__xludf.DUMMYFUNCTION("""COMPUTED_VALUE"""),"Influencers who had successful careers")</f>
        <v>Influencers who had successful careers</v>
      </c>
      <c r="F908" s="1" t="str">
        <f ca="1">IFERROR(__xludf.DUMMYFUNCTION("""COMPUTED_VALUE"""),"Yes, I will earn and do that")</f>
        <v>Yes, I will earn and do that</v>
      </c>
      <c r="G908" s="1" t="str">
        <f ca="1">IFERROR(__xludf.DUMMYFUNCTION("""COMPUTED_VALUE"""),"This will be hard to do, but if it is the right company I would try")</f>
        <v>This will be hard to do, but if it is the right company I would try</v>
      </c>
      <c r="H908" s="1" t="str">
        <f ca="1">IFERROR(__xludf.DUMMYFUNCTION("""COMPUTED_VALUE"""),"Yes")</f>
        <v>Yes</v>
      </c>
      <c r="I908" s="1" t="str">
        <f ca="1">IFERROR(__xludf.DUMMYFUNCTION("""COMPUTED_VALUE"""),"Will NOT work for them")</f>
        <v>Will NOT work for them</v>
      </c>
      <c r="J908" s="1">
        <f ca="1">IFERROR(__xludf.DUMMYFUNCTION("""COMPUTED_VALUE"""),3)</f>
        <v>3</v>
      </c>
      <c r="K908" s="1" t="str">
        <f ca="1">IFERROR(__xludf.DUMMYFUNCTION("""COMPUTED_VALUE"""),"Hybrid Working Environment with more than 15 days a month at office")</f>
        <v>Hybrid Working Environment with more than 15 days a month at office</v>
      </c>
      <c r="L908" s="1" t="str">
        <f ca="1">IFERROR(__xludf.DUMMYFUNCTION("""COMPUTED_VALUE"""),"Employer who pushes your limits by enabling an learning environment, and rewards you at the end")</f>
        <v>Employer who pushes your limits by enabling an learning environment, and rewards you at the end</v>
      </c>
      <c r="M908"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N908" s="1"/>
      <c r="O908" s="1" t="str">
        <f ca="1">IFERROR(__xludf.DUMMYFUNCTION("""COMPUTED_VALUE"""),"Manager who explains what is expected, sets a goal and helps achieve it")</f>
        <v>Manager who explains what is expected, sets a goal and helps achieve it</v>
      </c>
      <c r="P908" s="1" t="str">
        <f ca="1">IFERROR(__xludf.DUMMYFUNCTION("""COMPUTED_VALUE"""),"Work Alone, &lt;=6 in team")</f>
        <v>Work Alone, &lt;=6 in team</v>
      </c>
      <c r="Q908" s="1" t="s">
        <v>40</v>
      </c>
      <c r="R908" s="1"/>
    </row>
    <row r="909" spans="1:18" x14ac:dyDescent="0.25">
      <c r="A909" s="2">
        <f ca="1">IFERROR(__xludf.DUMMYFUNCTION("""COMPUTED_VALUE"""),45024.4197551273)</f>
        <v>45024.419755127303</v>
      </c>
      <c r="B909" s="1" t="str">
        <f ca="1">IFERROR(__xludf.DUMMYFUNCTION("""COMPUTED_VALUE"""),"India")</f>
        <v>India</v>
      </c>
      <c r="C909" s="1">
        <f ca="1">IFERROR(__xludf.DUMMYFUNCTION("""COMPUTED_VALUE"""),600036)</f>
        <v>600036</v>
      </c>
      <c r="D909" s="1" t="str">
        <f ca="1">IFERROR(__xludf.DUMMYFUNCTION("""COMPUTED_VALUE"""),"Male")</f>
        <v>Male</v>
      </c>
      <c r="E909" s="1" t="str">
        <f ca="1">IFERROR(__xludf.DUMMYFUNCTION("""COMPUTED_VALUE"""),"People from my circle, but not family members")</f>
        <v>People from my circle, but not family members</v>
      </c>
      <c r="F909" s="1" t="str">
        <f ca="1">IFERROR(__xludf.DUMMYFUNCTION("""COMPUTED_VALUE"""),"No, But if someone could bare the cost I will")</f>
        <v>No, But if someone could bare the cost I will</v>
      </c>
      <c r="G909" s="1" t="str">
        <f ca="1">IFERROR(__xludf.DUMMYFUNCTION("""COMPUTED_VALUE"""),"Will work for 3 years or more")</f>
        <v>Will work for 3 years or more</v>
      </c>
      <c r="H909" s="1" t="str">
        <f ca="1">IFERROR(__xludf.DUMMYFUNCTION("""COMPUTED_VALUE"""),"No")</f>
        <v>No</v>
      </c>
      <c r="I909" s="1" t="str">
        <f ca="1">IFERROR(__xludf.DUMMYFUNCTION("""COMPUTED_VALUE"""),"Will NOT work for them")</f>
        <v>Will NOT work for them</v>
      </c>
      <c r="J909" s="1">
        <f ca="1">IFERROR(__xludf.DUMMYFUNCTION("""COMPUTED_VALUE"""),8)</f>
        <v>8</v>
      </c>
      <c r="K909" s="1" t="str">
        <f ca="1">IFERROR(__xludf.DUMMYFUNCTION("""COMPUTED_VALUE"""),"Hybrid Working Environment with less than 3 days a month at office")</f>
        <v>Hybrid Working Environment with less than 3 days a month at office</v>
      </c>
      <c r="L909" s="1" t="str">
        <f ca="1">IFERROR(__xludf.DUMMYFUNCTION("""COMPUTED_VALUE"""),"Employer who pushes your limits by enabling an learning environment, and rewards you at the end")</f>
        <v>Employer who pushes your limits by enabling an learning environment, and rewards you at the end</v>
      </c>
      <c r="M909"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N909" s="1"/>
      <c r="O909" s="1" t="str">
        <f ca="1">IFERROR(__xludf.DUMMYFUNCTION("""COMPUTED_VALUE"""),"Manager who explains what is expected, sets a goal and helps achieve it")</f>
        <v>Manager who explains what is expected, sets a goal and helps achieve it</v>
      </c>
      <c r="P909" s="1" t="str">
        <f ca="1">IFERROR(__xludf.DUMMYFUNCTION("""COMPUTED_VALUE"""),"Work &lt;=6 People in the Team")</f>
        <v>Work &lt;=6 People in the Team</v>
      </c>
      <c r="Q909" s="1" t="s">
        <v>40</v>
      </c>
      <c r="R909" s="1"/>
    </row>
    <row r="910" spans="1:18" x14ac:dyDescent="0.25">
      <c r="A910" s="2">
        <f ca="1">IFERROR(__xludf.DUMMYFUNCTION("""COMPUTED_VALUE"""),45024.4299818402)</f>
        <v>45024.4299818402</v>
      </c>
      <c r="B910" s="1" t="str">
        <f ca="1">IFERROR(__xludf.DUMMYFUNCTION("""COMPUTED_VALUE"""),"India")</f>
        <v>India</v>
      </c>
      <c r="C910" s="1">
        <f ca="1">IFERROR(__xludf.DUMMYFUNCTION("""COMPUTED_VALUE"""),751007)</f>
        <v>751007</v>
      </c>
      <c r="D910" s="1" t="str">
        <f ca="1">IFERROR(__xludf.DUMMYFUNCTION("""COMPUTED_VALUE"""),"Male")</f>
        <v>Male</v>
      </c>
      <c r="E910" s="1" t="str">
        <f ca="1">IFERROR(__xludf.DUMMYFUNCTION("""COMPUTED_VALUE"""),"My Parents")</f>
        <v>My Parents</v>
      </c>
      <c r="F910" s="1" t="str">
        <f ca="1">IFERROR(__xludf.DUMMYFUNCTION("""COMPUTED_VALUE"""),"Yes, I will earn and do that")</f>
        <v>Yes, I will earn and do that</v>
      </c>
      <c r="G910" s="1" t="str">
        <f ca="1">IFERROR(__xludf.DUMMYFUNCTION("""COMPUTED_VALUE"""),"This will be hard to do, but if it is the right company I would try")</f>
        <v>This will be hard to do, but if it is the right company I would try</v>
      </c>
      <c r="H910" s="1" t="str">
        <f ca="1">IFERROR(__xludf.DUMMYFUNCTION("""COMPUTED_VALUE"""),"No")</f>
        <v>No</v>
      </c>
      <c r="I910" s="1" t="str">
        <f ca="1">IFERROR(__xludf.DUMMYFUNCTION("""COMPUTED_VALUE"""),"Will NOT work for them")</f>
        <v>Will NOT work for them</v>
      </c>
      <c r="J910" s="1">
        <f ca="1">IFERROR(__xludf.DUMMYFUNCTION("""COMPUTED_VALUE"""),7)</f>
        <v>7</v>
      </c>
      <c r="K910" s="1" t="str">
        <f ca="1">IFERROR(__xludf.DUMMYFUNCTION("""COMPUTED_VALUE"""),"Fully Remote with Options to travel as and when needed")</f>
        <v>Fully Remote with Options to travel as and when needed</v>
      </c>
      <c r="L910" s="1" t="str">
        <f ca="1">IFERROR(__xludf.DUMMYFUNCTION("""COMPUTED_VALUE"""),"Employer who pushes your limits by enabling an learning environment, and rewards you at the end")</f>
        <v>Employer who pushes your limits by enabling an learning environment, and rewards you at the end</v>
      </c>
      <c r="M91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910" s="1"/>
      <c r="O910" s="1" t="str">
        <f ca="1">IFERROR(__xludf.DUMMYFUNCTION("""COMPUTED_VALUE"""),"Manager who clearly describes what she/he needs")</f>
        <v>Manager who clearly describes what she/he needs</v>
      </c>
      <c r="P910" s="1" t="str">
        <f ca="1">IFERROR(__xludf.DUMMYFUNCTION("""COMPUTED_VALUE"""),"Work &gt;=7 People in the Team")</f>
        <v>Work &gt;=7 People in the Team</v>
      </c>
      <c r="Q910" s="1" t="s">
        <v>43</v>
      </c>
      <c r="R910" s="1"/>
    </row>
    <row r="911" spans="1:18" x14ac:dyDescent="0.25">
      <c r="A911" s="2">
        <f ca="1">IFERROR(__xludf.DUMMYFUNCTION("""COMPUTED_VALUE"""),45024.4395169328)</f>
        <v>45024.439516932798</v>
      </c>
      <c r="B911" s="1" t="str">
        <f ca="1">IFERROR(__xludf.DUMMYFUNCTION("""COMPUTED_VALUE"""),"India")</f>
        <v>India</v>
      </c>
      <c r="C911" s="1">
        <f ca="1">IFERROR(__xludf.DUMMYFUNCTION("""COMPUTED_VALUE"""),700091)</f>
        <v>700091</v>
      </c>
      <c r="D911" s="1" t="str">
        <f ca="1">IFERROR(__xludf.DUMMYFUNCTION("""COMPUTED_VALUE"""),"Female")</f>
        <v>Female</v>
      </c>
      <c r="E911" s="1" t="str">
        <f ca="1">IFERROR(__xludf.DUMMYFUNCTION("""COMPUTED_VALUE"""),"People from my circle, but not family members")</f>
        <v>People from my circle, but not family members</v>
      </c>
      <c r="F911" s="1" t="str">
        <f ca="1">IFERROR(__xludf.DUMMYFUNCTION("""COMPUTED_VALUE"""),"No I would not be pursuing Higher Education outside of India")</f>
        <v>No I would not be pursuing Higher Education outside of India</v>
      </c>
      <c r="G911" s="1" t="str">
        <f ca="1">IFERROR(__xludf.DUMMYFUNCTION("""COMPUTED_VALUE"""),"Will work for 3 years or more")</f>
        <v>Will work for 3 years or more</v>
      </c>
      <c r="H911" s="1" t="str">
        <f ca="1">IFERROR(__xludf.DUMMYFUNCTION("""COMPUTED_VALUE"""),"No")</f>
        <v>No</v>
      </c>
      <c r="I911" s="1" t="str">
        <f ca="1">IFERROR(__xludf.DUMMYFUNCTION("""COMPUTED_VALUE"""),"Will NOT work for them")</f>
        <v>Will NOT work for them</v>
      </c>
      <c r="J911" s="1">
        <f ca="1">IFERROR(__xludf.DUMMYFUNCTION("""COMPUTED_VALUE"""),7)</f>
        <v>7</v>
      </c>
      <c r="K911" s="1" t="str">
        <f ca="1">IFERROR(__xludf.DUMMYFUNCTION("""COMPUTED_VALUE"""),"Hybrid Working Environment with more than 15 days a month at office")</f>
        <v>Hybrid Working Environment with more than 15 days a month at office</v>
      </c>
      <c r="L911" s="1" t="str">
        <f ca="1">IFERROR(__xludf.DUMMYFUNCTION("""COMPUTED_VALUE"""),"Employer who pushes your limits by enabling an learning environment, and rewards you at the end")</f>
        <v>Employer who pushes your limits by enabling an learning environment, and rewards you at the end</v>
      </c>
      <c r="M911"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N911" s="1"/>
      <c r="O911" s="1" t="str">
        <f ca="1">IFERROR(__xludf.DUMMYFUNCTION("""COMPUTED_VALUE"""),"Manager who explains what is expected, sets a goal and helps achieve it")</f>
        <v>Manager who explains what is expected, sets a goal and helps achieve it</v>
      </c>
      <c r="P911" s="1" t="str">
        <f ca="1">IFERROR(__xludf.DUMMYFUNCTION("""COMPUTED_VALUE"""),"Work &lt;=6 People in the Team")</f>
        <v>Work &lt;=6 People in the Team</v>
      </c>
      <c r="Q911" s="1" t="s">
        <v>43</v>
      </c>
      <c r="R911" s="1"/>
    </row>
    <row r="912" spans="1:18" x14ac:dyDescent="0.25">
      <c r="A912" s="2">
        <f ca="1">IFERROR(__xludf.DUMMYFUNCTION("""COMPUTED_VALUE"""),45024.4396742245)</f>
        <v>45024.439674224501</v>
      </c>
      <c r="B912" s="1" t="str">
        <f ca="1">IFERROR(__xludf.DUMMYFUNCTION("""COMPUTED_VALUE"""),"India")</f>
        <v>India</v>
      </c>
      <c r="C912" s="1">
        <f ca="1">IFERROR(__xludf.DUMMYFUNCTION("""COMPUTED_VALUE"""),600015)</f>
        <v>600015</v>
      </c>
      <c r="D912" s="1" t="str">
        <f ca="1">IFERROR(__xludf.DUMMYFUNCTION("""COMPUTED_VALUE"""),"Male")</f>
        <v>Male</v>
      </c>
      <c r="E912" s="1" t="str">
        <f ca="1">IFERROR(__xludf.DUMMYFUNCTION("""COMPUTED_VALUE"""),"People from my circle, but not family members")</f>
        <v>People from my circle, but not family members</v>
      </c>
      <c r="F912" s="1" t="str">
        <f ca="1">IFERROR(__xludf.DUMMYFUNCTION("""COMPUTED_VALUE"""),"Yes, I will earn and do that")</f>
        <v>Yes, I will earn and do that</v>
      </c>
      <c r="G912" s="1" t="str">
        <f ca="1">IFERROR(__xludf.DUMMYFUNCTION("""COMPUTED_VALUE"""),"This will be hard to do, but if it is the right company I would try")</f>
        <v>This will be hard to do, but if it is the right company I would try</v>
      </c>
      <c r="H912" s="1" t="str">
        <f ca="1">IFERROR(__xludf.DUMMYFUNCTION("""COMPUTED_VALUE"""),"Yes")</f>
        <v>Yes</v>
      </c>
      <c r="I912" s="1" t="str">
        <f ca="1">IFERROR(__xludf.DUMMYFUNCTION("""COMPUTED_VALUE"""),"Will work for them")</f>
        <v>Will work for them</v>
      </c>
      <c r="J912" s="1">
        <f ca="1">IFERROR(__xludf.DUMMYFUNCTION("""COMPUTED_VALUE"""),7)</f>
        <v>7</v>
      </c>
      <c r="K912" s="1" t="str">
        <f ca="1">IFERROR(__xludf.DUMMYFUNCTION("""COMPUTED_VALUE"""),"Hybrid Working Environment with more than 15 days a month at office")</f>
        <v>Hybrid Working Environment with more than 15 days a month at office</v>
      </c>
      <c r="L912" s="1" t="str">
        <f ca="1">IFERROR(__xludf.DUMMYFUNCTION("""COMPUTED_VALUE"""),"Employer who appreciates learning and enables that environment")</f>
        <v>Employer who appreciates learning and enables that environment</v>
      </c>
      <c r="M912" s="1" t="str">
        <f ca="1">IFERROR(__xludf.DUMMYFUNCTION("""COMPUTED_VALUE"""),"Business Operations in any organization, Look deeply into Data and generate insights, Work in a BPO setup for some well known client, Entrepreneur or Start Up")</f>
        <v>Business Operations in any organization, Look deeply into Data and generate insights, Work in a BPO setup for some well known client, Entrepreneur or Start Up</v>
      </c>
      <c r="N912" s="1"/>
      <c r="O912" s="1" t="str">
        <f ca="1">IFERROR(__xludf.DUMMYFUNCTION("""COMPUTED_VALUE"""),"Manager who explains what is expected, sets a goal and helps achieve it")</f>
        <v>Manager who explains what is expected, sets a goal and helps achieve it</v>
      </c>
      <c r="P912" s="1" t="str">
        <f ca="1">IFERROR(__xludf.DUMMYFUNCTION("""COMPUTED_VALUE"""),"Work &lt;67 People in the Team")</f>
        <v>Work &lt;67 People in the Team</v>
      </c>
      <c r="Q912" s="1" t="s">
        <v>43</v>
      </c>
      <c r="R912" s="1"/>
    </row>
    <row r="913" spans="1:18" x14ac:dyDescent="0.25">
      <c r="A913" s="2">
        <f ca="1">IFERROR(__xludf.DUMMYFUNCTION("""COMPUTED_VALUE"""),45024.4542251736)</f>
        <v>45024.454225173598</v>
      </c>
      <c r="B913" s="1" t="str">
        <f ca="1">IFERROR(__xludf.DUMMYFUNCTION("""COMPUTED_VALUE"""),"India")</f>
        <v>India</v>
      </c>
      <c r="C913" s="1">
        <f ca="1">IFERROR(__xludf.DUMMYFUNCTION("""COMPUTED_VALUE"""),530051)</f>
        <v>530051</v>
      </c>
      <c r="D913" s="1" t="str">
        <f ca="1">IFERROR(__xludf.DUMMYFUNCTION("""COMPUTED_VALUE"""),"Female")</f>
        <v>Female</v>
      </c>
      <c r="E913" s="1" t="str">
        <f ca="1">IFERROR(__xludf.DUMMYFUNCTION("""COMPUTED_VALUE"""),"People who have changed the world for better")</f>
        <v>People who have changed the world for better</v>
      </c>
      <c r="F913" s="1" t="str">
        <f ca="1">IFERROR(__xludf.DUMMYFUNCTION("""COMPUTED_VALUE"""),"No I would not be pursuing Higher Education outside of India")</f>
        <v>No I would not be pursuing Higher Education outside of India</v>
      </c>
      <c r="G913" s="1" t="str">
        <f ca="1">IFERROR(__xludf.DUMMYFUNCTION("""COMPUTED_VALUE"""),"This will be hard to do, but if it is the right company I would try")</f>
        <v>This will be hard to do, but if it is the right company I would try</v>
      </c>
      <c r="H913" s="1" t="str">
        <f ca="1">IFERROR(__xludf.DUMMYFUNCTION("""COMPUTED_VALUE"""),"No")</f>
        <v>No</v>
      </c>
      <c r="I913" s="1" t="str">
        <f ca="1">IFERROR(__xludf.DUMMYFUNCTION("""COMPUTED_VALUE"""),"Will NOT work for them")</f>
        <v>Will NOT work for them</v>
      </c>
      <c r="J913" s="1">
        <f ca="1">IFERROR(__xludf.DUMMYFUNCTION("""COMPUTED_VALUE"""),9)</f>
        <v>9</v>
      </c>
      <c r="K913" s="1" t="str">
        <f ca="1">IFERROR(__xludf.DUMMYFUNCTION("""COMPUTED_VALUE"""),"Fully Remote with Options to travel as and when needed")</f>
        <v>Fully Remote with Options to travel as and when needed</v>
      </c>
      <c r="L913" s="1" t="str">
        <f ca="1">IFERROR(__xludf.DUMMYFUNCTION("""COMPUTED_VALUE"""),"Employer who pushes your limits by enabling an learning environment, and rewards you at the end")</f>
        <v>Employer who pushes your limits by enabling an learning environment, and rewards you at the end</v>
      </c>
      <c r="M913" s="1" t="str">
        <f ca="1">IFERROR(__xludf.DUMMYFUNCTION("""COMPUTED_VALUE"""),"Design and Creative strategy in any company, Teaching in any of the institutes/colleges/online or offline, Look deeply into Data and generate insights, Become a content Creator in some platform")</f>
        <v>Design and Creative strategy in any company, Teaching in any of the institutes/colleges/online or offline, Look deeply into Data and generate insights, Become a content Creator in some platform</v>
      </c>
      <c r="N913" s="1"/>
      <c r="O913" s="1" t="str">
        <f ca="1">IFERROR(__xludf.DUMMYFUNCTION("""COMPUTED_VALUE"""),"Manager who clearly describes what she/he needs")</f>
        <v>Manager who clearly describes what she/he needs</v>
      </c>
      <c r="P913" s="1" t="str">
        <f ca="1">IFERROR(__xludf.DUMMYFUNCTION("""COMPUTED_VALUE"""),"Work &gt;10 people in Team")</f>
        <v>Work &gt;10 people in Team</v>
      </c>
      <c r="Q913" s="1" t="s">
        <v>43</v>
      </c>
      <c r="R913" s="1"/>
    </row>
    <row r="914" spans="1:18" x14ac:dyDescent="0.25">
      <c r="A914" s="2">
        <f ca="1">IFERROR(__xludf.DUMMYFUNCTION("""COMPUTED_VALUE"""),45024.467157824)</f>
        <v>45024.467157824001</v>
      </c>
      <c r="B914" s="1" t="str">
        <f ca="1">IFERROR(__xludf.DUMMYFUNCTION("""COMPUTED_VALUE"""),"India")</f>
        <v>India</v>
      </c>
      <c r="C914" s="1">
        <f ca="1">IFERROR(__xludf.DUMMYFUNCTION("""COMPUTED_VALUE"""),600095)</f>
        <v>600095</v>
      </c>
      <c r="D914" s="1" t="str">
        <f ca="1">IFERROR(__xludf.DUMMYFUNCTION("""COMPUTED_VALUE"""),"Male")</f>
        <v>Male</v>
      </c>
      <c r="E914" s="1" t="str">
        <f ca="1">IFERROR(__xludf.DUMMYFUNCTION("""COMPUTED_VALUE"""),"People who have changed the world for better")</f>
        <v>People who have changed the world for better</v>
      </c>
      <c r="F914" s="1" t="str">
        <f ca="1">IFERROR(__xludf.DUMMYFUNCTION("""COMPUTED_VALUE"""),"No I would not be pursuing Higher Education outside of India")</f>
        <v>No I would not be pursuing Higher Education outside of India</v>
      </c>
      <c r="G914" s="1" t="str">
        <f ca="1">IFERROR(__xludf.DUMMYFUNCTION("""COMPUTED_VALUE"""),"Will work for 3 years or more")</f>
        <v>Will work for 3 years or more</v>
      </c>
      <c r="H914" s="1" t="str">
        <f ca="1">IFERROR(__xludf.DUMMYFUNCTION("""COMPUTED_VALUE"""),"No")</f>
        <v>No</v>
      </c>
      <c r="I914" s="1" t="str">
        <f ca="1">IFERROR(__xludf.DUMMYFUNCTION("""COMPUTED_VALUE"""),"Will NOT work for them")</f>
        <v>Will NOT work for them</v>
      </c>
      <c r="J914" s="1">
        <f ca="1">IFERROR(__xludf.DUMMYFUNCTION("""COMPUTED_VALUE"""),7)</f>
        <v>7</v>
      </c>
      <c r="K914" s="1" t="str">
        <f ca="1">IFERROR(__xludf.DUMMYFUNCTION("""COMPUTED_VALUE"""),"Every Day Office Environment")</f>
        <v>Every Day Office Environment</v>
      </c>
      <c r="L914" s="1" t="str">
        <f ca="1">IFERROR(__xludf.DUMMYFUNCTION("""COMPUTED_VALUE"""),"Employer who appreciates learning and enables that environment")</f>
        <v>Employer who appreciates learning and enables that environment</v>
      </c>
      <c r="M914"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N914" s="1"/>
      <c r="O914" s="1" t="str">
        <f ca="1">IFERROR(__xludf.DUMMYFUNCTION("""COMPUTED_VALUE"""),"Manager who clearly describes what she/he needs")</f>
        <v>Manager who clearly describes what she/he needs</v>
      </c>
      <c r="P914" s="1" t="str">
        <f ca="1">IFERROR(__xludf.DUMMYFUNCTION("""COMPUTED_VALUE"""),"Work  &lt;67 people in team")</f>
        <v>Work  &lt;67 people in team</v>
      </c>
      <c r="Q914" s="1" t="s">
        <v>43</v>
      </c>
      <c r="R914" s="1"/>
    </row>
    <row r="915" spans="1:18" x14ac:dyDescent="0.25">
      <c r="A915" s="2">
        <f ca="1">IFERROR(__xludf.DUMMYFUNCTION("""COMPUTED_VALUE"""),45024.4690353935)</f>
        <v>45024.4690353935</v>
      </c>
      <c r="B915" s="1" t="str">
        <f ca="1">IFERROR(__xludf.DUMMYFUNCTION("""COMPUTED_VALUE"""),"India")</f>
        <v>India</v>
      </c>
      <c r="C915" s="1">
        <f ca="1">IFERROR(__xludf.DUMMYFUNCTION("""COMPUTED_VALUE"""),442902)</f>
        <v>442902</v>
      </c>
      <c r="D915" s="1" t="str">
        <f ca="1">IFERROR(__xludf.DUMMYFUNCTION("""COMPUTED_VALUE"""),"Female")</f>
        <v>Female</v>
      </c>
      <c r="E915" s="1" t="str">
        <f ca="1">IFERROR(__xludf.DUMMYFUNCTION("""COMPUTED_VALUE"""),"People who have changed the world for better")</f>
        <v>People who have changed the world for better</v>
      </c>
      <c r="F915" s="1" t="str">
        <f ca="1">IFERROR(__xludf.DUMMYFUNCTION("""COMPUTED_VALUE"""),"No, But if someone could bare the cost I will")</f>
        <v>No, But if someone could bare the cost I will</v>
      </c>
      <c r="G915" s="1" t="str">
        <f ca="1">IFERROR(__xludf.DUMMYFUNCTION("""COMPUTED_VALUE"""),"This will be hard to do, but if it is the right company I would try")</f>
        <v>This will be hard to do, but if it is the right company I would try</v>
      </c>
      <c r="H915" s="1" t="str">
        <f ca="1">IFERROR(__xludf.DUMMYFUNCTION("""COMPUTED_VALUE"""),"Yes")</f>
        <v>Yes</v>
      </c>
      <c r="I915" s="1" t="str">
        <f ca="1">IFERROR(__xludf.DUMMYFUNCTION("""COMPUTED_VALUE"""),"Will NOT work for them")</f>
        <v>Will NOT work for them</v>
      </c>
      <c r="J915" s="1">
        <f ca="1">IFERROR(__xludf.DUMMYFUNCTION("""COMPUTED_VALUE"""),10)</f>
        <v>10</v>
      </c>
      <c r="K915" s="1" t="str">
        <f ca="1">IFERROR(__xludf.DUMMYFUNCTION("""COMPUTED_VALUE"""),"Every Day Office Environment")</f>
        <v>Every Day Office Environment</v>
      </c>
      <c r="L915" s="1" t="str">
        <f ca="1">IFERROR(__xludf.DUMMYFUNCTION("""COMPUTED_VALUE"""),"Employer who appreciates learning and enables that environment")</f>
        <v>Employer who appreciates learning and enables that environment</v>
      </c>
      <c r="M915" s="1" t="str">
        <f ca="1">IFERROR(__xludf.DUMMYFUNCTION("""COMPUTED_VALUE"""),"Design and Creative strategy in any company, Business Operations in any organization, I Want to sell things/Sales, An Artificial Intelligence Specialist / Talking to Robots")</f>
        <v>Design and Creative strategy in any company, Business Operations in any organization, I Want to sell things/Sales, An Artificial Intelligence Specialist / Talking to Robots</v>
      </c>
      <c r="N915" s="1"/>
      <c r="O915" s="1" t="str">
        <f ca="1">IFERROR(__xludf.DUMMYFUNCTION("""COMPUTED_VALUE"""),"Manager who sets goal and helps me achieve it")</f>
        <v>Manager who sets goal and helps me achieve it</v>
      </c>
      <c r="P915" s="1" t="str">
        <f ca="1">IFERROR(__xludf.DUMMYFUNCTION("""COMPUTED_VALUE"""),"Work &lt;=6 People in the Team")</f>
        <v>Work &lt;=6 People in the Team</v>
      </c>
      <c r="Q915" s="1" t="s">
        <v>43</v>
      </c>
      <c r="R915" s="1"/>
    </row>
    <row r="916" spans="1:18" x14ac:dyDescent="0.25">
      <c r="A916" s="2">
        <f ca="1">IFERROR(__xludf.DUMMYFUNCTION("""COMPUTED_VALUE"""),45024.4843937963)</f>
        <v>45024.484393796301</v>
      </c>
      <c r="B916" s="1" t="str">
        <f ca="1">IFERROR(__xludf.DUMMYFUNCTION("""COMPUTED_VALUE"""),"India")</f>
        <v>India</v>
      </c>
      <c r="C916" s="1">
        <f ca="1">IFERROR(__xludf.DUMMYFUNCTION("""COMPUTED_VALUE"""),500060)</f>
        <v>500060</v>
      </c>
      <c r="D916" s="1" t="str">
        <f ca="1">IFERROR(__xludf.DUMMYFUNCTION("""COMPUTED_VALUE"""),"Male")</f>
        <v>Male</v>
      </c>
      <c r="E916" s="1" t="str">
        <f ca="1">IFERROR(__xludf.DUMMYFUNCTION("""COMPUTED_VALUE"""),"People who have changed the world for better")</f>
        <v>People who have changed the world for better</v>
      </c>
      <c r="F916" s="1" t="str">
        <f ca="1">IFERROR(__xludf.DUMMYFUNCTION("""COMPUTED_VALUE"""),"No, But if someone could bare the cost I will")</f>
        <v>No, But if someone could bare the cost I will</v>
      </c>
      <c r="G916" s="1" t="str">
        <f ca="1">IFERROR(__xludf.DUMMYFUNCTION("""COMPUTED_VALUE"""),"This will be hard to do, but if it is the right company I would try")</f>
        <v>This will be hard to do, but if it is the right company I would try</v>
      </c>
      <c r="H916" s="1" t="str">
        <f ca="1">IFERROR(__xludf.DUMMYFUNCTION("""COMPUTED_VALUE"""),"No")</f>
        <v>No</v>
      </c>
      <c r="I916" s="1" t="str">
        <f ca="1">IFERROR(__xludf.DUMMYFUNCTION("""COMPUTED_VALUE"""),"Will NOT work for them")</f>
        <v>Will NOT work for them</v>
      </c>
      <c r="J916" s="1">
        <f ca="1">IFERROR(__xludf.DUMMYFUNCTION("""COMPUTED_VALUE"""),4)</f>
        <v>4</v>
      </c>
      <c r="K916" s="1" t="str">
        <f ca="1">IFERROR(__xludf.DUMMYFUNCTION("""COMPUTED_VALUE"""),"Hybrid Working Environment with more than 15 days a month at office")</f>
        <v>Hybrid Working Environment with more than 15 days a month at office</v>
      </c>
      <c r="L916" s="1" t="str">
        <f ca="1">IFERROR(__xludf.DUMMYFUNCTION("""COMPUTED_VALUE"""),"Employer who pushes your limits by enabling an learning environment, and rewards you at the end")</f>
        <v>Employer who pushes your limits by enabling an learning environment, and rewards you at the end</v>
      </c>
      <c r="M916"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916" s="1"/>
      <c r="O916" s="1" t="str">
        <f ca="1">IFERROR(__xludf.DUMMYFUNCTION("""COMPUTED_VALUE"""),"Manager who explains what is expected, sets a goal and helps achieve it")</f>
        <v>Manager who explains what is expected, sets a goal and helps achieve it</v>
      </c>
      <c r="P916" s="1" t="str">
        <f ca="1">IFERROR(__xludf.DUMMYFUNCTION("""COMPUTED_VALUE"""),"Work &lt;=6 People in the Team")</f>
        <v>Work &lt;=6 People in the Team</v>
      </c>
      <c r="Q916" s="1" t="s">
        <v>42</v>
      </c>
      <c r="R916" s="1"/>
    </row>
    <row r="917" spans="1:18" x14ac:dyDescent="0.25">
      <c r="A917" s="2">
        <f ca="1">IFERROR(__xludf.DUMMYFUNCTION("""COMPUTED_VALUE"""),45024.4872833564)</f>
        <v>45024.4872833564</v>
      </c>
      <c r="B917" s="1" t="str">
        <f ca="1">IFERROR(__xludf.DUMMYFUNCTION("""COMPUTED_VALUE"""),"India")</f>
        <v>India</v>
      </c>
      <c r="C917" s="1">
        <f ca="1">IFERROR(__xludf.DUMMYFUNCTION("""COMPUTED_VALUE"""),522202)</f>
        <v>522202</v>
      </c>
      <c r="D917" s="1" t="str">
        <f ca="1">IFERROR(__xludf.DUMMYFUNCTION("""COMPUTED_VALUE"""),"Male")</f>
        <v>Male</v>
      </c>
      <c r="E917" s="1" t="str">
        <f ca="1">IFERROR(__xludf.DUMMYFUNCTION("""COMPUTED_VALUE"""),"My Parents")</f>
        <v>My Parents</v>
      </c>
      <c r="F917" s="1" t="str">
        <f ca="1">IFERROR(__xludf.DUMMYFUNCTION("""COMPUTED_VALUE"""),"Yes, I will earn and do that")</f>
        <v>Yes, I will earn and do that</v>
      </c>
      <c r="G917" s="1" t="str">
        <f ca="1">IFERROR(__xludf.DUMMYFUNCTION("""COMPUTED_VALUE"""),"This will be hard to do, but if it is the right company I would try")</f>
        <v>This will be hard to do, but if it is the right company I would try</v>
      </c>
      <c r="H917" s="1" t="str">
        <f ca="1">IFERROR(__xludf.DUMMYFUNCTION("""COMPUTED_VALUE"""),"No")</f>
        <v>No</v>
      </c>
      <c r="I917" s="1" t="str">
        <f ca="1">IFERROR(__xludf.DUMMYFUNCTION("""COMPUTED_VALUE"""),"Will NOT work for them")</f>
        <v>Will NOT work for them</v>
      </c>
      <c r="J917" s="1">
        <f ca="1">IFERROR(__xludf.DUMMYFUNCTION("""COMPUTED_VALUE"""),5)</f>
        <v>5</v>
      </c>
      <c r="K917" s="1" t="str">
        <f ca="1">IFERROR(__xludf.DUMMYFUNCTION("""COMPUTED_VALUE"""),"Hybrid Working Environment with more than 15 days a month at office")</f>
        <v>Hybrid Working Environment with more than 15 days a month at office</v>
      </c>
      <c r="L917" s="1" t="str">
        <f ca="1">IFERROR(__xludf.DUMMYFUNCTION("""COMPUTED_VALUE"""),"Employer who pushes your limits by enabling an learning environment, and rewards you at the end")</f>
        <v>Employer who pushes your limits by enabling an learning environment, and rewards you at the end</v>
      </c>
      <c r="M91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917" s="1"/>
      <c r="O917" s="1" t="str">
        <f ca="1">IFERROR(__xludf.DUMMYFUNCTION("""COMPUTED_VALUE"""),"Manager who sets goal and helps me achieve it")</f>
        <v>Manager who sets goal and helps me achieve it</v>
      </c>
      <c r="P917" s="1" t="str">
        <f ca="1">IFERROR(__xludf.DUMMYFUNCTION("""COMPUTED_VALUE"""),"Work &lt;=6 People in the Team")</f>
        <v>Work &lt;=6 People in the Team</v>
      </c>
      <c r="Q917" s="1" t="s">
        <v>43</v>
      </c>
      <c r="R917" s="1"/>
    </row>
    <row r="918" spans="1:18" x14ac:dyDescent="0.25">
      <c r="A918" s="2">
        <f ca="1">IFERROR(__xludf.DUMMYFUNCTION("""COMPUTED_VALUE"""),45024.4931761458)</f>
        <v>45024.493176145799</v>
      </c>
      <c r="B918" s="1" t="str">
        <f ca="1">IFERROR(__xludf.DUMMYFUNCTION("""COMPUTED_VALUE"""),"India")</f>
        <v>India</v>
      </c>
      <c r="C918" s="1">
        <f ca="1">IFERROR(__xludf.DUMMYFUNCTION("""COMPUTED_VALUE"""),110058)</f>
        <v>110058</v>
      </c>
      <c r="D918" s="1" t="str">
        <f ca="1">IFERROR(__xludf.DUMMYFUNCTION("""COMPUTED_VALUE"""),"Male")</f>
        <v>Male</v>
      </c>
      <c r="E918" s="1" t="str">
        <f ca="1">IFERROR(__xludf.DUMMYFUNCTION("""COMPUTED_VALUE"""),"My Parents")</f>
        <v>My Parents</v>
      </c>
      <c r="F918" s="1" t="str">
        <f ca="1">IFERROR(__xludf.DUMMYFUNCTION("""COMPUTED_VALUE"""),"Yes, I will earn and do that")</f>
        <v>Yes, I will earn and do that</v>
      </c>
      <c r="G918" s="1" t="str">
        <f ca="1">IFERROR(__xludf.DUMMYFUNCTION("""COMPUTED_VALUE"""),"Will work for 3 years or more")</f>
        <v>Will work for 3 years or more</v>
      </c>
      <c r="H918" s="1" t="str">
        <f ca="1">IFERROR(__xludf.DUMMYFUNCTION("""COMPUTED_VALUE"""),"No")</f>
        <v>No</v>
      </c>
      <c r="I918" s="1" t="str">
        <f ca="1">IFERROR(__xludf.DUMMYFUNCTION("""COMPUTED_VALUE"""),"Will NOT work for them")</f>
        <v>Will NOT work for them</v>
      </c>
      <c r="J918" s="1">
        <f ca="1">IFERROR(__xludf.DUMMYFUNCTION("""COMPUTED_VALUE"""),5)</f>
        <v>5</v>
      </c>
      <c r="K918" s="1" t="str">
        <f ca="1">IFERROR(__xludf.DUMMYFUNCTION("""COMPUTED_VALUE"""),"Hybrid Working Environment with less than 3 days a month at office")</f>
        <v>Hybrid Working Environment with less than 3 days a month at office</v>
      </c>
      <c r="L918" s="1" t="str">
        <f ca="1">IFERROR(__xludf.DUMMYFUNCTION("""COMPUTED_VALUE"""),"Employer who pushes your limits by enabling an learning environment, and rewards you at the end")</f>
        <v>Employer who pushes your limits by enabling an learning environment, and rewards you at the end</v>
      </c>
      <c r="M918"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N918" s="1"/>
      <c r="O918" s="1" t="str">
        <f ca="1">IFERROR(__xludf.DUMMYFUNCTION("""COMPUTED_VALUE"""),"Manager who explains what is expected, sets a goal and helps achieve it")</f>
        <v>Manager who explains what is expected, sets a goal and helps achieve it</v>
      </c>
      <c r="P918" s="1" t="str">
        <f ca="1">IFERROR(__xludf.DUMMYFUNCTION("""COMPUTED_VALUE"""),"Work &lt;=6 People in the Team")</f>
        <v>Work &lt;=6 People in the Team</v>
      </c>
      <c r="Q918" s="1" t="s">
        <v>43</v>
      </c>
      <c r="R918" s="1"/>
    </row>
    <row r="919" spans="1:18" x14ac:dyDescent="0.25">
      <c r="A919" s="2">
        <f ca="1">IFERROR(__xludf.DUMMYFUNCTION("""COMPUTED_VALUE"""),45024.5010953472)</f>
        <v>45024.501095347201</v>
      </c>
      <c r="B919" s="1" t="str">
        <f ca="1">IFERROR(__xludf.DUMMYFUNCTION("""COMPUTED_VALUE"""),"India")</f>
        <v>India</v>
      </c>
      <c r="C919" s="1">
        <f ca="1">IFERROR(__xludf.DUMMYFUNCTION("""COMPUTED_VALUE"""),110089)</f>
        <v>110089</v>
      </c>
      <c r="D919" s="1" t="str">
        <f ca="1">IFERROR(__xludf.DUMMYFUNCTION("""COMPUTED_VALUE"""),"Female")</f>
        <v>Female</v>
      </c>
      <c r="E919" s="1" t="str">
        <f ca="1">IFERROR(__xludf.DUMMYFUNCTION("""COMPUTED_VALUE"""),"My Parents")</f>
        <v>My Parents</v>
      </c>
      <c r="F919" s="1" t="str">
        <f ca="1">IFERROR(__xludf.DUMMYFUNCTION("""COMPUTED_VALUE"""),"No I would not be pursuing Higher Education outside of India")</f>
        <v>No I would not be pursuing Higher Education outside of India</v>
      </c>
      <c r="G919" s="1" t="str">
        <f ca="1">IFERROR(__xludf.DUMMYFUNCTION("""COMPUTED_VALUE"""),"Will work for 3 years or more")</f>
        <v>Will work for 3 years or more</v>
      </c>
      <c r="H919" s="1" t="str">
        <f ca="1">IFERROR(__xludf.DUMMYFUNCTION("""COMPUTED_VALUE"""),"No")</f>
        <v>No</v>
      </c>
      <c r="I919" s="1" t="str">
        <f ca="1">IFERROR(__xludf.DUMMYFUNCTION("""COMPUTED_VALUE"""),"Will NOT work for them")</f>
        <v>Will NOT work for them</v>
      </c>
      <c r="J919" s="1">
        <f ca="1">IFERROR(__xludf.DUMMYFUNCTION("""COMPUTED_VALUE"""),9)</f>
        <v>9</v>
      </c>
      <c r="K919" s="1" t="str">
        <f ca="1">IFERROR(__xludf.DUMMYFUNCTION("""COMPUTED_VALUE"""),"Every Day Office Environment")</f>
        <v>Every Day Office Environment</v>
      </c>
      <c r="L919" s="1" t="str">
        <f ca="1">IFERROR(__xludf.DUMMYFUNCTION("""COMPUTED_VALUE"""),"Employer who pushes your limits by enabling an learning environment, and rewards you at the end")</f>
        <v>Employer who pushes your limits by enabling an learning environment, and rewards you at the end</v>
      </c>
      <c r="M91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919" s="1"/>
      <c r="O919" s="1" t="str">
        <f ca="1">IFERROR(__xludf.DUMMYFUNCTION("""COMPUTED_VALUE"""),"Manager who explains what is expected, sets a goal and helps achieve it")</f>
        <v>Manager who explains what is expected, sets a goal and helps achieve it</v>
      </c>
      <c r="P919" s="1" t="str">
        <f ca="1">IFERROR(__xludf.DUMMYFUNCTION("""COMPUTED_VALUE"""),"Work Alone, &lt;=6 in team")</f>
        <v>Work Alone, &lt;=6 in team</v>
      </c>
      <c r="Q919" s="1" t="s">
        <v>40</v>
      </c>
      <c r="R919" s="1"/>
    </row>
    <row r="920" spans="1:18" x14ac:dyDescent="0.25">
      <c r="A920" s="2">
        <f ca="1">IFERROR(__xludf.DUMMYFUNCTION("""COMPUTED_VALUE"""),45024.5076423958)</f>
        <v>45024.507642395802</v>
      </c>
      <c r="B920" s="1" t="str">
        <f ca="1">IFERROR(__xludf.DUMMYFUNCTION("""COMPUTED_VALUE"""),"India")</f>
        <v>India</v>
      </c>
      <c r="C920" s="1">
        <f ca="1">IFERROR(__xludf.DUMMYFUNCTION("""COMPUTED_VALUE"""),600117)</f>
        <v>600117</v>
      </c>
      <c r="D920" s="1" t="str">
        <f ca="1">IFERROR(__xludf.DUMMYFUNCTION("""COMPUTED_VALUE"""),"Male")</f>
        <v>Male</v>
      </c>
      <c r="E920" s="1" t="str">
        <f ca="1">IFERROR(__xludf.DUMMYFUNCTION("""COMPUTED_VALUE"""),"Influencers who had successful careers")</f>
        <v>Influencers who had successful careers</v>
      </c>
      <c r="F920" s="1" t="str">
        <f ca="1">IFERROR(__xludf.DUMMYFUNCTION("""COMPUTED_VALUE"""),"Yes, I will earn and do that")</f>
        <v>Yes, I will earn and do that</v>
      </c>
      <c r="G920" s="1" t="str">
        <f ca="1">IFERROR(__xludf.DUMMYFUNCTION("""COMPUTED_VALUE"""),"This will be hard to do, but if it is the right company I would try")</f>
        <v>This will be hard to do, but if it is the right company I would try</v>
      </c>
      <c r="H920" s="1" t="str">
        <f ca="1">IFERROR(__xludf.DUMMYFUNCTION("""COMPUTED_VALUE"""),"No")</f>
        <v>No</v>
      </c>
      <c r="I920" s="1" t="str">
        <f ca="1">IFERROR(__xludf.DUMMYFUNCTION("""COMPUTED_VALUE"""),"Will NOT work for them")</f>
        <v>Will NOT work for them</v>
      </c>
      <c r="J920" s="1">
        <f ca="1">IFERROR(__xludf.DUMMYFUNCTION("""COMPUTED_VALUE"""),3)</f>
        <v>3</v>
      </c>
      <c r="K920" s="1" t="str">
        <f ca="1">IFERROR(__xludf.DUMMYFUNCTION("""COMPUTED_VALUE"""),"Hybrid Working Environment with less than 3 days a month at office")</f>
        <v>Hybrid Working Environment with less than 3 days a month at office</v>
      </c>
      <c r="L920" s="1" t="str">
        <f ca="1">IFERROR(__xludf.DUMMYFUNCTION("""COMPUTED_VALUE"""),"Employer who rewards learning and enables that environment")</f>
        <v>Employer who rewards learning and enables that environment</v>
      </c>
      <c r="M92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920" s="1"/>
      <c r="O920" s="1" t="str">
        <f ca="1">IFERROR(__xludf.DUMMYFUNCTION("""COMPUTED_VALUE"""),"Manager who sets goal and helps me achieve it")</f>
        <v>Manager who sets goal and helps me achieve it</v>
      </c>
      <c r="P920" s="1" t="str">
        <f ca="1">IFERROR(__xludf.DUMMYFUNCTION("""COMPUTED_VALUE"""),"Work &lt;=6 People in the Team")</f>
        <v>Work &lt;=6 People in the Team</v>
      </c>
      <c r="Q920" s="1" t="s">
        <v>43</v>
      </c>
      <c r="R920" s="1"/>
    </row>
    <row r="921" spans="1:18" x14ac:dyDescent="0.25">
      <c r="A921" s="2">
        <f ca="1">IFERROR(__xludf.DUMMYFUNCTION("""COMPUTED_VALUE"""),45024.5107562037)</f>
        <v>45024.510756203701</v>
      </c>
      <c r="B921" s="1" t="str">
        <f ca="1">IFERROR(__xludf.DUMMYFUNCTION("""COMPUTED_VALUE"""),"India")</f>
        <v>India</v>
      </c>
      <c r="C921" s="1">
        <f ca="1">IFERROR(__xludf.DUMMYFUNCTION("""COMPUTED_VALUE"""),600042)</f>
        <v>600042</v>
      </c>
      <c r="D921" s="1" t="str">
        <f ca="1">IFERROR(__xludf.DUMMYFUNCTION("""COMPUTED_VALUE"""),"Male")</f>
        <v>Male</v>
      </c>
      <c r="E921" s="1" t="str">
        <f ca="1">IFERROR(__xludf.DUMMYFUNCTION("""COMPUTED_VALUE"""),"My Parents")</f>
        <v>My Parents</v>
      </c>
      <c r="F921" s="1" t="str">
        <f ca="1">IFERROR(__xludf.DUMMYFUNCTION("""COMPUTED_VALUE"""),"Yes, I will earn and do that")</f>
        <v>Yes, I will earn and do that</v>
      </c>
      <c r="G921" s="1" t="str">
        <f ca="1">IFERROR(__xludf.DUMMYFUNCTION("""COMPUTED_VALUE"""),"This will be hard to do, but if it is the right company I would try")</f>
        <v>This will be hard to do, but if it is the right company I would try</v>
      </c>
      <c r="H921" s="1" t="str">
        <f ca="1">IFERROR(__xludf.DUMMYFUNCTION("""COMPUTED_VALUE"""),"No")</f>
        <v>No</v>
      </c>
      <c r="I921" s="1" t="str">
        <f ca="1">IFERROR(__xludf.DUMMYFUNCTION("""COMPUTED_VALUE"""),"Will NOT work for them")</f>
        <v>Will NOT work for them</v>
      </c>
      <c r="J921" s="1">
        <f ca="1">IFERROR(__xludf.DUMMYFUNCTION("""COMPUTED_VALUE"""),6)</f>
        <v>6</v>
      </c>
      <c r="K921" s="1" t="str">
        <f ca="1">IFERROR(__xludf.DUMMYFUNCTION("""COMPUTED_VALUE"""),"Every Day Office Environment")</f>
        <v>Every Day Office Environment</v>
      </c>
      <c r="L921" s="1" t="str">
        <f ca="1">IFERROR(__xludf.DUMMYFUNCTION("""COMPUTED_VALUE"""),"Employer who pushes your limits by enabling an learning environment, and rewards you at the end")</f>
        <v>Employer who pushes your limits by enabling an learning environment, and rewards you at the end</v>
      </c>
      <c r="M92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921" s="1"/>
      <c r="O921" s="1" t="str">
        <f ca="1">IFERROR(__xludf.DUMMYFUNCTION("""COMPUTED_VALUE"""),"Manager who sets goal and helps me achieve it")</f>
        <v>Manager who sets goal and helps me achieve it</v>
      </c>
      <c r="P921" s="1" t="str">
        <f ca="1">IFERROR(__xludf.DUMMYFUNCTION("""COMPUTED_VALUE"""),"Work &lt;=6 People in the Team")</f>
        <v>Work &lt;=6 People in the Team</v>
      </c>
      <c r="Q921" s="1" t="s">
        <v>40</v>
      </c>
      <c r="R921" s="1"/>
    </row>
    <row r="922" spans="1:18" x14ac:dyDescent="0.25">
      <c r="A922" s="2">
        <f ca="1">IFERROR(__xludf.DUMMYFUNCTION("""COMPUTED_VALUE"""),45024.5170838425)</f>
        <v>45024.517083842497</v>
      </c>
      <c r="B922" s="1" t="str">
        <f ca="1">IFERROR(__xludf.DUMMYFUNCTION("""COMPUTED_VALUE"""),"India")</f>
        <v>India</v>
      </c>
      <c r="C922" s="1">
        <f ca="1">IFERROR(__xludf.DUMMYFUNCTION("""COMPUTED_VALUE"""),753010)</f>
        <v>753010</v>
      </c>
      <c r="D922" s="1" t="str">
        <f ca="1">IFERROR(__xludf.DUMMYFUNCTION("""COMPUTED_VALUE"""),"Male")</f>
        <v>Male</v>
      </c>
      <c r="E922" s="1" t="str">
        <f ca="1">IFERROR(__xludf.DUMMYFUNCTION("""COMPUTED_VALUE"""),"Influencers who had successful careers")</f>
        <v>Influencers who had successful careers</v>
      </c>
      <c r="F922" s="1" t="str">
        <f ca="1">IFERROR(__xludf.DUMMYFUNCTION("""COMPUTED_VALUE"""),"No I would not be pursuing Higher Education outside of India")</f>
        <v>No I would not be pursuing Higher Education outside of India</v>
      </c>
      <c r="G922" s="1" t="str">
        <f ca="1">IFERROR(__xludf.DUMMYFUNCTION("""COMPUTED_VALUE"""),"This will be hard to do, but if it is the right company I would try")</f>
        <v>This will be hard to do, but if it is the right company I would try</v>
      </c>
      <c r="H922" s="1" t="str">
        <f ca="1">IFERROR(__xludf.DUMMYFUNCTION("""COMPUTED_VALUE"""),"No")</f>
        <v>No</v>
      </c>
      <c r="I922" s="1" t="str">
        <f ca="1">IFERROR(__xludf.DUMMYFUNCTION("""COMPUTED_VALUE"""),"Will NOT work for them")</f>
        <v>Will NOT work for them</v>
      </c>
      <c r="J922" s="1">
        <f ca="1">IFERROR(__xludf.DUMMYFUNCTION("""COMPUTED_VALUE"""),2)</f>
        <v>2</v>
      </c>
      <c r="K922" s="1" t="str">
        <f ca="1">IFERROR(__xludf.DUMMYFUNCTION("""COMPUTED_VALUE"""),"Hybrid Working Environment with more than 15 days a month at office")</f>
        <v>Hybrid Working Environment with more than 15 days a month at office</v>
      </c>
      <c r="L922" s="1" t="str">
        <f ca="1">IFERROR(__xludf.DUMMYFUNCTION("""COMPUTED_VALUE"""),"Employer who pushes your limits by enabling an learning environment, and rewards you at the end")</f>
        <v>Employer who pushes your limits by enabling an learning environment, and rewards you at the end</v>
      </c>
      <c r="M922"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922" s="1"/>
      <c r="O922" s="1" t="str">
        <f ca="1">IFERROR(__xludf.DUMMYFUNCTION("""COMPUTED_VALUE"""),"Manager who sets targets and expects me to achieve it")</f>
        <v>Manager who sets targets and expects me to achieve it</v>
      </c>
      <c r="P922" s="1" t="str">
        <f ca="1">IFERROR(__xludf.DUMMYFUNCTION("""COMPUTED_VALUE"""),"Work &lt;=6 People in the Team")</f>
        <v>Work &lt;=6 People in the Team</v>
      </c>
      <c r="Q922" s="1" t="s">
        <v>43</v>
      </c>
      <c r="R922" s="1"/>
    </row>
    <row r="923" spans="1:18" x14ac:dyDescent="0.25">
      <c r="A923" s="2">
        <f ca="1">IFERROR(__xludf.DUMMYFUNCTION("""COMPUTED_VALUE"""),45024.5243302777)</f>
        <v>45024.524330277702</v>
      </c>
      <c r="B923" s="1" t="str">
        <f ca="1">IFERROR(__xludf.DUMMYFUNCTION("""COMPUTED_VALUE"""),"India")</f>
        <v>India</v>
      </c>
      <c r="C923" s="1">
        <f ca="1">IFERROR(__xludf.DUMMYFUNCTION("""COMPUTED_VALUE"""),600100)</f>
        <v>600100</v>
      </c>
      <c r="D923" s="1" t="str">
        <f ca="1">IFERROR(__xludf.DUMMYFUNCTION("""COMPUTED_VALUE"""),"Male")</f>
        <v>Male</v>
      </c>
      <c r="E923" s="1" t="str">
        <f ca="1">IFERROR(__xludf.DUMMYFUNCTION("""COMPUTED_VALUE"""),"Influencers who had successful careers")</f>
        <v>Influencers who had successful careers</v>
      </c>
      <c r="F923" s="1" t="str">
        <f ca="1">IFERROR(__xludf.DUMMYFUNCTION("""COMPUTED_VALUE"""),"No, But if someone could bare the cost I will")</f>
        <v>No, But if someone could bare the cost I will</v>
      </c>
      <c r="G923" s="1" t="str">
        <f ca="1">IFERROR(__xludf.DUMMYFUNCTION("""COMPUTED_VALUE"""),"This will be hard to do, but if it is the right company I would try")</f>
        <v>This will be hard to do, but if it is the right company I would try</v>
      </c>
      <c r="H923" s="1" t="str">
        <f ca="1">IFERROR(__xludf.DUMMYFUNCTION("""COMPUTED_VALUE"""),"No")</f>
        <v>No</v>
      </c>
      <c r="I923" s="1" t="str">
        <f ca="1">IFERROR(__xludf.DUMMYFUNCTION("""COMPUTED_VALUE"""),"Will work for them")</f>
        <v>Will work for them</v>
      </c>
      <c r="J923" s="1">
        <f ca="1">IFERROR(__xludf.DUMMYFUNCTION("""COMPUTED_VALUE"""),4)</f>
        <v>4</v>
      </c>
      <c r="K923" s="1" t="str">
        <f ca="1">IFERROR(__xludf.DUMMYFUNCTION("""COMPUTED_VALUE"""),"Fully Remote with Options to travel as and when needed")</f>
        <v>Fully Remote with Options to travel as and when needed</v>
      </c>
      <c r="L923" s="1" t="str">
        <f ca="1">IFERROR(__xludf.DUMMYFUNCTION("""COMPUTED_VALUE"""),"Employer who appreciates learning and enables that environment")</f>
        <v>Employer who appreciates learning and enables that environment</v>
      </c>
      <c r="M923" s="1" t="str">
        <f ca="1">IFERROR(__xludf.DUMMYFUNCTION("""COMPUTED_VALUE"""),"Design and Creative strategy in any company, Build and develop a Team, Work as a freelancer and do my thing my way, Manufacturing / Oil and Gas/ Construction / Hard Physical Work related")</f>
        <v>Design and Creative strategy in any company, Build and develop a Team, Work as a freelancer and do my thing my way, Manufacturing / Oil and Gas/ Construction / Hard Physical Work related</v>
      </c>
      <c r="N923" s="1"/>
      <c r="O923" s="1" t="str">
        <f ca="1">IFERROR(__xludf.DUMMYFUNCTION("""COMPUTED_VALUE"""),"Manager who explains what is expected, sets a goal and helps achieve it")</f>
        <v>Manager who explains what is expected, sets a goal and helps achieve it</v>
      </c>
      <c r="P923" s="1" t="str">
        <f ca="1">IFERROR(__xludf.DUMMYFUNCTION("""COMPUTED_VALUE"""),"Work &lt;=6 People in the Team")</f>
        <v>Work &lt;=6 People in the Team</v>
      </c>
      <c r="Q923" s="1" t="s">
        <v>43</v>
      </c>
      <c r="R923" s="1"/>
    </row>
    <row r="924" spans="1:18" x14ac:dyDescent="0.25">
      <c r="A924" s="2">
        <f ca="1">IFERROR(__xludf.DUMMYFUNCTION("""COMPUTED_VALUE"""),45024.5300592476)</f>
        <v>45024.530059247598</v>
      </c>
      <c r="B924" s="1" t="str">
        <f ca="1">IFERROR(__xludf.DUMMYFUNCTION("""COMPUTED_VALUE"""),"India")</f>
        <v>India</v>
      </c>
      <c r="C924" s="1">
        <f ca="1">IFERROR(__xludf.DUMMYFUNCTION("""COMPUTED_VALUE"""),560034)</f>
        <v>560034</v>
      </c>
      <c r="D924" s="1" t="str">
        <f ca="1">IFERROR(__xludf.DUMMYFUNCTION("""COMPUTED_VALUE"""),"Male")</f>
        <v>Male</v>
      </c>
      <c r="E924" s="1" t="str">
        <f ca="1">IFERROR(__xludf.DUMMYFUNCTION("""COMPUTED_VALUE"""),"People who have changed the world for better")</f>
        <v>People who have changed the world for better</v>
      </c>
      <c r="F924" s="1" t="str">
        <f ca="1">IFERROR(__xludf.DUMMYFUNCTION("""COMPUTED_VALUE"""),"No, But if someone could bare the cost I will")</f>
        <v>No, But if someone could bare the cost I will</v>
      </c>
      <c r="G924" s="1" t="str">
        <f ca="1">IFERROR(__xludf.DUMMYFUNCTION("""COMPUTED_VALUE"""),"This will be hard to do, but if it is the right company I would try")</f>
        <v>This will be hard to do, but if it is the right company I would try</v>
      </c>
      <c r="H924" s="1" t="str">
        <f ca="1">IFERROR(__xludf.DUMMYFUNCTION("""COMPUTED_VALUE"""),"No")</f>
        <v>No</v>
      </c>
      <c r="I924" s="1" t="str">
        <f ca="1">IFERROR(__xludf.DUMMYFUNCTION("""COMPUTED_VALUE"""),"Will NOT work for them")</f>
        <v>Will NOT work for them</v>
      </c>
      <c r="J924" s="1">
        <f ca="1">IFERROR(__xludf.DUMMYFUNCTION("""COMPUTED_VALUE"""),7)</f>
        <v>7</v>
      </c>
      <c r="K924" s="1" t="str">
        <f ca="1">IFERROR(__xludf.DUMMYFUNCTION("""COMPUTED_VALUE"""),"Hybrid Working Environment with more than 15 days a month at office")</f>
        <v>Hybrid Working Environment with more than 15 days a month at office</v>
      </c>
      <c r="L924" s="1" t="str">
        <f ca="1">IFERROR(__xludf.DUMMYFUNCTION("""COMPUTED_VALUE"""),"Employer who pushes your limits by enabling an learning environment, and rewards you at the end")</f>
        <v>Employer who pushes your limits by enabling an learning environment, and rewards you at the end</v>
      </c>
      <c r="M92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N924" s="1"/>
      <c r="O924" s="1" t="str">
        <f ca="1">IFERROR(__xludf.DUMMYFUNCTION("""COMPUTED_VALUE"""),"Manager who explains what is expected, sets a goal and helps achieve it")</f>
        <v>Manager who explains what is expected, sets a goal and helps achieve it</v>
      </c>
      <c r="P924" s="1" t="str">
        <f ca="1">IFERROR(__xludf.DUMMYFUNCTION("""COMPUTED_VALUE"""),"Work &lt;=6 People in the Team")</f>
        <v>Work &lt;=6 People in the Team</v>
      </c>
      <c r="Q924" s="1" t="s">
        <v>43</v>
      </c>
      <c r="R924" s="1"/>
    </row>
    <row r="925" spans="1:18" x14ac:dyDescent="0.25">
      <c r="A925" s="2">
        <f ca="1">IFERROR(__xludf.DUMMYFUNCTION("""COMPUTED_VALUE"""),45024.5444329398)</f>
        <v>45024.544432939801</v>
      </c>
      <c r="B925" s="1" t="str">
        <f ca="1">IFERROR(__xludf.DUMMYFUNCTION("""COMPUTED_VALUE"""),"India")</f>
        <v>India</v>
      </c>
      <c r="C925" s="1">
        <f ca="1">IFERROR(__xludf.DUMMYFUNCTION("""COMPUTED_VALUE"""),410203)</f>
        <v>410203</v>
      </c>
      <c r="D925" s="1" t="str">
        <f ca="1">IFERROR(__xludf.DUMMYFUNCTION("""COMPUTED_VALUE"""),"Male")</f>
        <v>Male</v>
      </c>
      <c r="E925" s="1" t="str">
        <f ca="1">IFERROR(__xludf.DUMMYFUNCTION("""COMPUTED_VALUE"""),"Social Media like LinkedIn")</f>
        <v>Social Media like LinkedIn</v>
      </c>
      <c r="F925" s="1" t="str">
        <f ca="1">IFERROR(__xludf.DUMMYFUNCTION("""COMPUTED_VALUE"""),"Yes, I will earn and do that")</f>
        <v>Yes, I will earn and do that</v>
      </c>
      <c r="G925" s="1" t="str">
        <f ca="1">IFERROR(__xludf.DUMMYFUNCTION("""COMPUTED_VALUE"""),"Will work for 3 years or more")</f>
        <v>Will work for 3 years or more</v>
      </c>
      <c r="H925" s="1" t="str">
        <f ca="1">IFERROR(__xludf.DUMMYFUNCTION("""COMPUTED_VALUE"""),"No")</f>
        <v>No</v>
      </c>
      <c r="I925" s="1" t="str">
        <f ca="1">IFERROR(__xludf.DUMMYFUNCTION("""COMPUTED_VALUE"""),"Will NOT work for them")</f>
        <v>Will NOT work for them</v>
      </c>
      <c r="J925" s="1">
        <f ca="1">IFERROR(__xludf.DUMMYFUNCTION("""COMPUTED_VALUE"""),5)</f>
        <v>5</v>
      </c>
      <c r="K925" s="1" t="str">
        <f ca="1">IFERROR(__xludf.DUMMYFUNCTION("""COMPUTED_VALUE"""),"Fully Remote with Options to travel as and when needed")</f>
        <v>Fully Remote with Options to travel as and when needed</v>
      </c>
      <c r="L925" s="1" t="str">
        <f ca="1">IFERROR(__xludf.DUMMYFUNCTION("""COMPUTED_VALUE"""),"Employer who pushes your limits by enabling an learning environment, and rewards you at the end")</f>
        <v>Employer who pushes your limits by enabling an learning environment, and rewards you at the end</v>
      </c>
      <c r="M92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925" s="1"/>
      <c r="O925" s="1" t="str">
        <f ca="1">IFERROR(__xludf.DUMMYFUNCTION("""COMPUTED_VALUE"""),"Manager who explains what is expected, sets a goal and helps achieve it")</f>
        <v>Manager who explains what is expected, sets a goal and helps achieve it</v>
      </c>
      <c r="P925" s="1" t="str">
        <f ca="1">IFERROR(__xludf.DUMMYFUNCTION("""COMPUTED_VALUE"""),"Work &lt;=6 People in the Team")</f>
        <v>Work &lt;=6 People in the Team</v>
      </c>
      <c r="Q925" s="1" t="s">
        <v>43</v>
      </c>
      <c r="R925" s="1"/>
    </row>
    <row r="926" spans="1:18" x14ac:dyDescent="0.25">
      <c r="A926" s="2">
        <f ca="1">IFERROR(__xludf.DUMMYFUNCTION("""COMPUTED_VALUE"""),45024.5541282291)</f>
        <v>45024.554128229101</v>
      </c>
      <c r="B926" s="1" t="str">
        <f ca="1">IFERROR(__xludf.DUMMYFUNCTION("""COMPUTED_VALUE"""),"India")</f>
        <v>India</v>
      </c>
      <c r="C926" s="1">
        <f ca="1">IFERROR(__xludf.DUMMYFUNCTION("""COMPUTED_VALUE"""),152025)</f>
        <v>152025</v>
      </c>
      <c r="D926" s="1" t="str">
        <f ca="1">IFERROR(__xludf.DUMMYFUNCTION("""COMPUTED_VALUE"""),"Female")</f>
        <v>Female</v>
      </c>
      <c r="E926" s="1" t="str">
        <f ca="1">IFERROR(__xludf.DUMMYFUNCTION("""COMPUTED_VALUE"""),"People from my circle, but not family members")</f>
        <v>People from my circle, but not family members</v>
      </c>
      <c r="F926" s="1" t="str">
        <f ca="1">IFERROR(__xludf.DUMMYFUNCTION("""COMPUTED_VALUE"""),"Yes, I will earn and do that")</f>
        <v>Yes, I will earn and do that</v>
      </c>
      <c r="G926" s="1" t="str">
        <f ca="1">IFERROR(__xludf.DUMMYFUNCTION("""COMPUTED_VALUE"""),"This will be hard to do, but if it is the right company I would try")</f>
        <v>This will be hard to do, but if it is the right company I would try</v>
      </c>
      <c r="H926" s="1" t="str">
        <f ca="1">IFERROR(__xludf.DUMMYFUNCTION("""COMPUTED_VALUE"""),"No")</f>
        <v>No</v>
      </c>
      <c r="I926" s="1" t="str">
        <f ca="1">IFERROR(__xludf.DUMMYFUNCTION("""COMPUTED_VALUE"""),"Will NOT work for them")</f>
        <v>Will NOT work for them</v>
      </c>
      <c r="J926" s="1">
        <f ca="1">IFERROR(__xludf.DUMMYFUNCTION("""COMPUTED_VALUE"""),3)</f>
        <v>3</v>
      </c>
      <c r="K926" s="1" t="str">
        <f ca="1">IFERROR(__xludf.DUMMYFUNCTION("""COMPUTED_VALUE"""),"Fully Remote with Options to travel as and when needed")</f>
        <v>Fully Remote with Options to travel as and when needed</v>
      </c>
      <c r="L926" s="1" t="str">
        <f ca="1">IFERROR(__xludf.DUMMYFUNCTION("""COMPUTED_VALUE"""),"Employer who pushes your limits by enabling an learning environment, and rewards you at the end")</f>
        <v>Employer who pushes your limits by enabling an learning environment, and rewards you at the end</v>
      </c>
      <c r="M92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926" s="1"/>
      <c r="O926" s="1" t="str">
        <f ca="1">IFERROR(__xludf.DUMMYFUNCTION("""COMPUTED_VALUE"""),"Manager who explains what is expected, sets a goal and helps achieve it")</f>
        <v>Manager who explains what is expected, sets a goal and helps achieve it</v>
      </c>
      <c r="P926" s="1" t="str">
        <f ca="1">IFERROR(__xludf.DUMMYFUNCTION("""COMPUTED_VALUE"""),"Work &gt;=7 People in the Team")</f>
        <v>Work &gt;=7 People in the Team</v>
      </c>
      <c r="Q926" s="1" t="s">
        <v>43</v>
      </c>
      <c r="R926" s="1"/>
    </row>
    <row r="927" spans="1:18" x14ac:dyDescent="0.25">
      <c r="A927" s="2">
        <f ca="1">IFERROR(__xludf.DUMMYFUNCTION("""COMPUTED_VALUE"""),45024.5552264814)</f>
        <v>45024.555226481403</v>
      </c>
      <c r="B927" s="1" t="str">
        <f ca="1">IFERROR(__xludf.DUMMYFUNCTION("""COMPUTED_VALUE"""),"India")</f>
        <v>India</v>
      </c>
      <c r="C927" s="1">
        <f ca="1">IFERROR(__xludf.DUMMYFUNCTION("""COMPUTED_VALUE"""),400018)</f>
        <v>400018</v>
      </c>
      <c r="D927" s="1" t="str">
        <f ca="1">IFERROR(__xludf.DUMMYFUNCTION("""COMPUTED_VALUE"""),"Male")</f>
        <v>Male</v>
      </c>
      <c r="E927" s="1" t="str">
        <f ca="1">IFERROR(__xludf.DUMMYFUNCTION("""COMPUTED_VALUE"""),"People from my circle, but not family members")</f>
        <v>People from my circle, but not family members</v>
      </c>
      <c r="F927" s="1" t="str">
        <f ca="1">IFERROR(__xludf.DUMMYFUNCTION("""COMPUTED_VALUE"""),"No I would not be pursuing Higher Education outside of India")</f>
        <v>No I would not be pursuing Higher Education outside of India</v>
      </c>
      <c r="G927" s="1" t="str">
        <f ca="1">IFERROR(__xludf.DUMMYFUNCTION("""COMPUTED_VALUE"""),"Will work for 3 years or more")</f>
        <v>Will work for 3 years or more</v>
      </c>
      <c r="H927" s="1" t="str">
        <f ca="1">IFERROR(__xludf.DUMMYFUNCTION("""COMPUTED_VALUE"""),"Yes")</f>
        <v>Yes</v>
      </c>
      <c r="I927" s="1" t="str">
        <f ca="1">IFERROR(__xludf.DUMMYFUNCTION("""COMPUTED_VALUE"""),"Will NOT work for them")</f>
        <v>Will NOT work for them</v>
      </c>
      <c r="J927" s="1">
        <f ca="1">IFERROR(__xludf.DUMMYFUNCTION("""COMPUTED_VALUE"""),6)</f>
        <v>6</v>
      </c>
      <c r="K927" s="1" t="str">
        <f ca="1">IFERROR(__xludf.DUMMYFUNCTION("""COMPUTED_VALUE"""),"Fully Remote with Options to travel as and when needed")</f>
        <v>Fully Remote with Options to travel as and when needed</v>
      </c>
      <c r="L927" s="1" t="str">
        <f ca="1">IFERROR(__xludf.DUMMYFUNCTION("""COMPUTED_VALUE"""),"Employer who pushes your limits by enabling an learning environment, and rewards you at the end")</f>
        <v>Employer who pushes your limits by enabling an learning environment, and rewards you at the end</v>
      </c>
      <c r="M927" s="1" t="str">
        <f ca="1">IFERROR(__xludf.DUMMYFUNCTION("""COMPUTED_VALUE"""),"Design and Creative strategy in any company, Manage and drive End-to-End Projects or Products, Look deeply into Data and generate insights, Manufacturing / Oil and Gas/ Construction / Hard Physical Work related")</f>
        <v>Design and Creative strategy in any company, Manage and drive End-to-End Projects or Products, Look deeply into Data and generate insights, Manufacturing / Oil and Gas/ Construction / Hard Physical Work related</v>
      </c>
      <c r="N927" s="1"/>
      <c r="O927" s="1" t="str">
        <f ca="1">IFERROR(__xludf.DUMMYFUNCTION("""COMPUTED_VALUE"""),"Manager who explains what is expected, sets a goal and helps achieve it")</f>
        <v>Manager who explains what is expected, sets a goal and helps achieve it</v>
      </c>
      <c r="P927" s="1" t="str">
        <f ca="1">IFERROR(__xludf.DUMMYFUNCTION("""COMPUTED_VALUE"""),"Work Alone, &lt;67 people in team")</f>
        <v>Work Alone, &lt;67 people in team</v>
      </c>
      <c r="Q927" s="1" t="s">
        <v>43</v>
      </c>
      <c r="R927" s="1"/>
    </row>
    <row r="928" spans="1:18" x14ac:dyDescent="0.25">
      <c r="A928" s="2">
        <f ca="1">IFERROR(__xludf.DUMMYFUNCTION("""COMPUTED_VALUE"""),45024.5768576157)</f>
        <v>45024.576857615699</v>
      </c>
      <c r="B928" s="1" t="str">
        <f ca="1">IFERROR(__xludf.DUMMYFUNCTION("""COMPUTED_VALUE"""),"India")</f>
        <v>India</v>
      </c>
      <c r="C928" s="1">
        <f ca="1">IFERROR(__xludf.DUMMYFUNCTION("""COMPUTED_VALUE"""),560050)</f>
        <v>560050</v>
      </c>
      <c r="D928" s="1" t="str">
        <f ca="1">IFERROR(__xludf.DUMMYFUNCTION("""COMPUTED_VALUE"""),"Male")</f>
        <v>Male</v>
      </c>
      <c r="E928" s="1" t="str">
        <f ca="1">IFERROR(__xludf.DUMMYFUNCTION("""COMPUTED_VALUE"""),"People from my circle, but not family members")</f>
        <v>People from my circle, but not family members</v>
      </c>
      <c r="F928" s="1" t="str">
        <f ca="1">IFERROR(__xludf.DUMMYFUNCTION("""COMPUTED_VALUE"""),"Yes, I will earn and do that")</f>
        <v>Yes, I will earn and do that</v>
      </c>
      <c r="G928" s="1" t="str">
        <f ca="1">IFERROR(__xludf.DUMMYFUNCTION("""COMPUTED_VALUE"""),"This will be hard to do, but if it is the right company I would try")</f>
        <v>This will be hard to do, but if it is the right company I would try</v>
      </c>
      <c r="H928" s="1" t="str">
        <f ca="1">IFERROR(__xludf.DUMMYFUNCTION("""COMPUTED_VALUE"""),"No")</f>
        <v>No</v>
      </c>
      <c r="I928" s="1" t="str">
        <f ca="1">IFERROR(__xludf.DUMMYFUNCTION("""COMPUTED_VALUE"""),"Will NOT work for them")</f>
        <v>Will NOT work for them</v>
      </c>
      <c r="J928" s="1">
        <f ca="1">IFERROR(__xludf.DUMMYFUNCTION("""COMPUTED_VALUE"""),4)</f>
        <v>4</v>
      </c>
      <c r="K928" s="1" t="str">
        <f ca="1">IFERROR(__xludf.DUMMYFUNCTION("""COMPUTED_VALUE"""),"Every Day Office Environment")</f>
        <v>Every Day Office Environment</v>
      </c>
      <c r="L928" s="1" t="str">
        <f ca="1">IFERROR(__xludf.DUMMYFUNCTION("""COMPUTED_VALUE"""),"Employer who pushes your limits by enabling an learning environment, and rewards you at the end")</f>
        <v>Employer who pushes your limits by enabling an learning environment, and rewards you at the end</v>
      </c>
      <c r="M928"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N928" s="1"/>
      <c r="O928" s="1" t="str">
        <f ca="1">IFERROR(__xludf.DUMMYFUNCTION("""COMPUTED_VALUE"""),"Manager who sets targets and expects me to achieve it")</f>
        <v>Manager who sets targets and expects me to achieve it</v>
      </c>
      <c r="P928" s="1" t="str">
        <f ca="1">IFERROR(__xludf.DUMMYFUNCTION("""COMPUTED_VALUE"""),"Work &lt;=6 People in the Team")</f>
        <v>Work &lt;=6 People in the Team</v>
      </c>
      <c r="Q928" s="1" t="s">
        <v>43</v>
      </c>
      <c r="R928" s="1"/>
    </row>
    <row r="929" spans="1:18" x14ac:dyDescent="0.25">
      <c r="A929" s="2">
        <f ca="1">IFERROR(__xludf.DUMMYFUNCTION("""COMPUTED_VALUE"""),45024.6023193865)</f>
        <v>45024.602319386497</v>
      </c>
      <c r="B929" s="1" t="str">
        <f ca="1">IFERROR(__xludf.DUMMYFUNCTION("""COMPUTED_VALUE"""),"India")</f>
        <v>India</v>
      </c>
      <c r="C929" s="1">
        <f ca="1">IFERROR(__xludf.DUMMYFUNCTION("""COMPUTED_VALUE"""),583104)</f>
        <v>583104</v>
      </c>
      <c r="D929" s="1" t="str">
        <f ca="1">IFERROR(__xludf.DUMMYFUNCTION("""COMPUTED_VALUE"""),"Male")</f>
        <v>Male</v>
      </c>
      <c r="E929" s="1" t="str">
        <f ca="1">IFERROR(__xludf.DUMMYFUNCTION("""COMPUTED_VALUE"""),"My Parents")</f>
        <v>My Parents</v>
      </c>
      <c r="F929" s="1" t="str">
        <f ca="1">IFERROR(__xludf.DUMMYFUNCTION("""COMPUTED_VALUE"""),"No, But if someone could bare the cost I will")</f>
        <v>No, But if someone could bare the cost I will</v>
      </c>
      <c r="G929" s="1" t="str">
        <f ca="1">IFERROR(__xludf.DUMMYFUNCTION("""COMPUTED_VALUE"""),"Will work for 3 years or more")</f>
        <v>Will work for 3 years or more</v>
      </c>
      <c r="H929" s="1" t="str">
        <f ca="1">IFERROR(__xludf.DUMMYFUNCTION("""COMPUTED_VALUE"""),"No")</f>
        <v>No</v>
      </c>
      <c r="I929" s="1" t="str">
        <f ca="1">IFERROR(__xludf.DUMMYFUNCTION("""COMPUTED_VALUE"""),"Will NOT work for them")</f>
        <v>Will NOT work for them</v>
      </c>
      <c r="J929" s="1">
        <f ca="1">IFERROR(__xludf.DUMMYFUNCTION("""COMPUTED_VALUE"""),8)</f>
        <v>8</v>
      </c>
      <c r="K929" s="1" t="str">
        <f ca="1">IFERROR(__xludf.DUMMYFUNCTION("""COMPUTED_VALUE"""),"Fully Remote with Options to travel as and when needed")</f>
        <v>Fully Remote with Options to travel as and when needed</v>
      </c>
      <c r="L929" s="1" t="str">
        <f ca="1">IFERROR(__xludf.DUMMYFUNCTION("""COMPUTED_VALUE"""),"Employer who pushes your limits by enabling an learning environment, and rewards you at the end")</f>
        <v>Employer who pushes your limits by enabling an learning environment, and rewards you at the end</v>
      </c>
      <c r="M92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N929" s="1"/>
      <c r="O929" s="1" t="str">
        <f ca="1">IFERROR(__xludf.DUMMYFUNCTION("""COMPUTED_VALUE"""),"Manager who explains what is expected, sets a goal and helps achieve it")</f>
        <v>Manager who explains what is expected, sets a goal and helps achieve it</v>
      </c>
      <c r="P929" s="1" t="str">
        <f ca="1">IFERROR(__xludf.DUMMYFUNCTION("""COMPUTED_VALUE"""),"Work &lt;=6 People in the Team")</f>
        <v>Work &lt;=6 People in the Team</v>
      </c>
      <c r="Q929" s="1" t="s">
        <v>43</v>
      </c>
      <c r="R929" s="1"/>
    </row>
    <row r="930" spans="1:18" x14ac:dyDescent="0.25">
      <c r="A930" s="2">
        <f ca="1">IFERROR(__xludf.DUMMYFUNCTION("""COMPUTED_VALUE"""),45024.6183990625)</f>
        <v>45024.6183990625</v>
      </c>
      <c r="B930" s="1" t="str">
        <f ca="1">IFERROR(__xludf.DUMMYFUNCTION("""COMPUTED_VALUE"""),"Others")</f>
        <v>Others</v>
      </c>
      <c r="C930" s="1">
        <f ca="1">IFERROR(__xludf.DUMMYFUNCTION("""COMPUTED_VALUE"""),92)</f>
        <v>92</v>
      </c>
      <c r="D930" s="1" t="str">
        <f ca="1">IFERROR(__xludf.DUMMYFUNCTION("""COMPUTED_VALUE"""),"Male")</f>
        <v>Male</v>
      </c>
      <c r="E930" s="1" t="str">
        <f ca="1">IFERROR(__xludf.DUMMYFUNCTION("""COMPUTED_VALUE"""),"People who have changed the world for better")</f>
        <v>People who have changed the world for better</v>
      </c>
      <c r="F930" s="1" t="str">
        <f ca="1">IFERROR(__xludf.DUMMYFUNCTION("""COMPUTED_VALUE"""),"Yes, I will earn and do that")</f>
        <v>Yes, I will earn and do that</v>
      </c>
      <c r="G930" s="1" t="str">
        <f ca="1">IFERROR(__xludf.DUMMYFUNCTION("""COMPUTED_VALUE"""),"No way")</f>
        <v>No way</v>
      </c>
      <c r="H930" s="1" t="str">
        <f ca="1">IFERROR(__xludf.DUMMYFUNCTION("""COMPUTED_VALUE"""),"No")</f>
        <v>No</v>
      </c>
      <c r="I930" s="1" t="str">
        <f ca="1">IFERROR(__xludf.DUMMYFUNCTION("""COMPUTED_VALUE"""),"Will NOT work for them")</f>
        <v>Will NOT work for them</v>
      </c>
      <c r="J930" s="1">
        <f ca="1">IFERROR(__xludf.DUMMYFUNCTION("""COMPUTED_VALUE"""),2)</f>
        <v>2</v>
      </c>
      <c r="K930" s="1" t="str">
        <f ca="1">IFERROR(__xludf.DUMMYFUNCTION("""COMPUTED_VALUE"""),"Fully Remote with Options to travel as and when needed")</f>
        <v>Fully Remote with Options to travel as and when needed</v>
      </c>
      <c r="L930" s="1" t="str">
        <f ca="1">IFERROR(__xludf.DUMMYFUNCTION("""COMPUTED_VALUE"""),"Employer who rewards learning and enables that environment")</f>
        <v>Employer who rewards learning and enables that environment</v>
      </c>
      <c r="M930"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N930" s="1"/>
      <c r="O930" s="1" t="str">
        <f ca="1">IFERROR(__xludf.DUMMYFUNCTION("""COMPUTED_VALUE"""),"Manager who sets targets and expects me to achieve it")</f>
        <v>Manager who sets targets and expects me to achieve it</v>
      </c>
      <c r="P930" s="1" t="str">
        <f ca="1">IFERROR(__xludf.DUMMYFUNCTION("""COMPUTED_VALUE"""),"Work &lt;=6 People in the Team")</f>
        <v>Work &lt;=6 People in the Team</v>
      </c>
      <c r="Q930" s="1" t="s">
        <v>43</v>
      </c>
      <c r="R930" s="1"/>
    </row>
    <row r="931" spans="1:18" x14ac:dyDescent="0.25">
      <c r="A931" s="2">
        <f ca="1">IFERROR(__xludf.DUMMYFUNCTION("""COMPUTED_VALUE"""),45024.6195251041)</f>
        <v>45024.619525104099</v>
      </c>
      <c r="B931" s="1" t="str">
        <f ca="1">IFERROR(__xludf.DUMMYFUNCTION("""COMPUTED_VALUE"""),"India")</f>
        <v>India</v>
      </c>
      <c r="C931" s="1">
        <f ca="1">IFERROR(__xludf.DUMMYFUNCTION("""COMPUTED_VALUE"""),571201)</f>
        <v>571201</v>
      </c>
      <c r="D931" s="1" t="str">
        <f ca="1">IFERROR(__xludf.DUMMYFUNCTION("""COMPUTED_VALUE"""),"Male")</f>
        <v>Male</v>
      </c>
      <c r="E931" s="1" t="str">
        <f ca="1">IFERROR(__xludf.DUMMYFUNCTION("""COMPUTED_VALUE"""),"People who have changed the world for better")</f>
        <v>People who have changed the world for better</v>
      </c>
      <c r="F931" s="1" t="str">
        <f ca="1">IFERROR(__xludf.DUMMYFUNCTION("""COMPUTED_VALUE"""),"Yes, I will earn and do that")</f>
        <v>Yes, I will earn and do that</v>
      </c>
      <c r="G931" s="1" t="str">
        <f ca="1">IFERROR(__xludf.DUMMYFUNCTION("""COMPUTED_VALUE"""),"Will work for 3 years or more")</f>
        <v>Will work for 3 years or more</v>
      </c>
      <c r="H931" s="1" t="str">
        <f ca="1">IFERROR(__xludf.DUMMYFUNCTION("""COMPUTED_VALUE"""),"No")</f>
        <v>No</v>
      </c>
      <c r="I931" s="1" t="str">
        <f ca="1">IFERROR(__xludf.DUMMYFUNCTION("""COMPUTED_VALUE"""),"Will work for them")</f>
        <v>Will work for them</v>
      </c>
      <c r="J931" s="1">
        <f ca="1">IFERROR(__xludf.DUMMYFUNCTION("""COMPUTED_VALUE"""),1)</f>
        <v>1</v>
      </c>
      <c r="K931" s="1" t="str">
        <f ca="1">IFERROR(__xludf.DUMMYFUNCTION("""COMPUTED_VALUE"""),"Every Day Office Environment")</f>
        <v>Every Day Office Environment</v>
      </c>
      <c r="L931" s="1" t="str">
        <f ca="1">IFERROR(__xludf.DUMMYFUNCTION("""COMPUTED_VALUE"""),"Employer who pushes your limits by enabling an learning environment, and rewards you at the end")</f>
        <v>Employer who pushes your limits by enabling an learning environment, and rewards you at the end</v>
      </c>
      <c r="M931" s="1" t="str">
        <f ca="1">IFERROR(__xludf.DUMMYFUNCTION("""COMPUTED_VALUE"""),"Build and develop a Team, Entrepreneur or Start Up, An Artificial Intelligence Specialist / Talking to Robots, Manufacturing / Oil and Gas/ Construction / Hard Physical Work related")</f>
        <v>Build and develop a Team, Entrepreneur or Start Up, An Artificial Intelligence Specialist / Talking to Robots, Manufacturing / Oil and Gas/ Construction / Hard Physical Work related</v>
      </c>
      <c r="N931" s="1"/>
      <c r="O931" s="1" t="str">
        <f ca="1">IFERROR(__xludf.DUMMYFUNCTION("""COMPUTED_VALUE"""),"Manager who explains what is expected, sets a goal and helps achieve it")</f>
        <v>Manager who explains what is expected, sets a goal and helps achieve it</v>
      </c>
      <c r="P931" s="1" t="str">
        <f ca="1">IFERROR(__xludf.DUMMYFUNCTION("""COMPUTED_VALUE"""),"Work &gt;10 people in Team")</f>
        <v>Work &gt;10 people in Team</v>
      </c>
      <c r="Q931" s="1" t="s">
        <v>43</v>
      </c>
      <c r="R931" s="1"/>
    </row>
    <row r="932" spans="1:18" x14ac:dyDescent="0.25">
      <c r="A932" s="2">
        <f ca="1">IFERROR(__xludf.DUMMYFUNCTION("""COMPUTED_VALUE"""),45024.6298096412)</f>
        <v>45024.629809641199</v>
      </c>
      <c r="B932" s="1" t="str">
        <f ca="1">IFERROR(__xludf.DUMMYFUNCTION("""COMPUTED_VALUE"""),"India")</f>
        <v>India</v>
      </c>
      <c r="C932" s="1">
        <f ca="1">IFERROR(__xludf.DUMMYFUNCTION("""COMPUTED_VALUE"""),641007)</f>
        <v>641007</v>
      </c>
      <c r="D932" s="1" t="str">
        <f ca="1">IFERROR(__xludf.DUMMYFUNCTION("""COMPUTED_VALUE"""),"Female")</f>
        <v>Female</v>
      </c>
      <c r="E932" s="1" t="str">
        <f ca="1">IFERROR(__xludf.DUMMYFUNCTION("""COMPUTED_VALUE"""),"Influencers who had successful careers")</f>
        <v>Influencers who had successful careers</v>
      </c>
      <c r="F932" s="1" t="str">
        <f ca="1">IFERROR(__xludf.DUMMYFUNCTION("""COMPUTED_VALUE"""),"No, But if someone could bare the cost I will")</f>
        <v>No, But if someone could bare the cost I will</v>
      </c>
      <c r="G932" s="1" t="str">
        <f ca="1">IFERROR(__xludf.DUMMYFUNCTION("""COMPUTED_VALUE"""),"This will be hard to do, but if it is the right company I would try")</f>
        <v>This will be hard to do, but if it is the right company I would try</v>
      </c>
      <c r="H932" s="1" t="str">
        <f ca="1">IFERROR(__xludf.DUMMYFUNCTION("""COMPUTED_VALUE"""),"Yes")</f>
        <v>Yes</v>
      </c>
      <c r="I932" s="1" t="str">
        <f ca="1">IFERROR(__xludf.DUMMYFUNCTION("""COMPUTED_VALUE"""),"Will work for them")</f>
        <v>Will work for them</v>
      </c>
      <c r="J932" s="1">
        <f ca="1">IFERROR(__xludf.DUMMYFUNCTION("""COMPUTED_VALUE"""),5)</f>
        <v>5</v>
      </c>
      <c r="K932" s="1" t="str">
        <f ca="1">IFERROR(__xludf.DUMMYFUNCTION("""COMPUTED_VALUE"""),"Hybrid Working Environment with more than 15 days a month at office")</f>
        <v>Hybrid Working Environment with more than 15 days a month at office</v>
      </c>
      <c r="L932" s="1" t="str">
        <f ca="1">IFERROR(__xludf.DUMMYFUNCTION("""COMPUTED_VALUE"""),"Employer who rewards learning and enables that environment")</f>
        <v>Employer who rewards learning and enables that environment</v>
      </c>
      <c r="M932"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N932" s="1"/>
      <c r="O932" s="1" t="str">
        <f ca="1">IFERROR(__xludf.DUMMYFUNCTION("""COMPUTED_VALUE"""),"Manager who explains what is expected, sets a goal and helps achieve it")</f>
        <v>Manager who explains what is expected, sets a goal and helps achieve it</v>
      </c>
      <c r="P932" s="1" t="str">
        <f ca="1">IFERROR(__xludf.DUMMYFUNCTION("""COMPUTED_VALUE"""),"Work &lt;=6 People in the Team")</f>
        <v>Work &lt;=6 People in the Team</v>
      </c>
      <c r="Q932" s="1" t="s">
        <v>43</v>
      </c>
      <c r="R932" s="1"/>
    </row>
    <row r="933" spans="1:18" x14ac:dyDescent="0.25">
      <c r="A933" s="2">
        <f ca="1">IFERROR(__xludf.DUMMYFUNCTION("""COMPUTED_VALUE"""),45024.66310978)</f>
        <v>45024.663109779998</v>
      </c>
      <c r="B933" s="1" t="str">
        <f ca="1">IFERROR(__xludf.DUMMYFUNCTION("""COMPUTED_VALUE"""),"India")</f>
        <v>India</v>
      </c>
      <c r="C933" s="1">
        <f ca="1">IFERROR(__xludf.DUMMYFUNCTION("""COMPUTED_VALUE"""),121002)</f>
        <v>121002</v>
      </c>
      <c r="D933" s="1" t="str">
        <f ca="1">IFERROR(__xludf.DUMMYFUNCTION("""COMPUTED_VALUE"""),"Male")</f>
        <v>Male</v>
      </c>
      <c r="E933" s="1" t="str">
        <f ca="1">IFERROR(__xludf.DUMMYFUNCTION("""COMPUTED_VALUE"""),"People who have changed the world for better")</f>
        <v>People who have changed the world for better</v>
      </c>
      <c r="F933" s="1" t="str">
        <f ca="1">IFERROR(__xludf.DUMMYFUNCTION("""COMPUTED_VALUE"""),"Yes, I will earn and do that")</f>
        <v>Yes, I will earn and do that</v>
      </c>
      <c r="G933" s="1" t="str">
        <f ca="1">IFERROR(__xludf.DUMMYFUNCTION("""COMPUTED_VALUE"""),"This will be hard to do, but if it is the right company I would try")</f>
        <v>This will be hard to do, but if it is the right company I would try</v>
      </c>
      <c r="H933" s="1" t="str">
        <f ca="1">IFERROR(__xludf.DUMMYFUNCTION("""COMPUTED_VALUE"""),"Yes")</f>
        <v>Yes</v>
      </c>
      <c r="I933" s="1" t="str">
        <f ca="1">IFERROR(__xludf.DUMMYFUNCTION("""COMPUTED_VALUE"""),"Will work for them")</f>
        <v>Will work for them</v>
      </c>
      <c r="J933" s="1">
        <f ca="1">IFERROR(__xludf.DUMMYFUNCTION("""COMPUTED_VALUE"""),8)</f>
        <v>8</v>
      </c>
      <c r="K933" s="1" t="str">
        <f ca="1">IFERROR(__xludf.DUMMYFUNCTION("""COMPUTED_VALUE"""),"Hybrid Working Environment with less than 3 days a month at office")</f>
        <v>Hybrid Working Environment with less than 3 days a month at office</v>
      </c>
      <c r="L933" s="1" t="str">
        <f ca="1">IFERROR(__xludf.DUMMYFUNCTION("""COMPUTED_VALUE"""),"Employer who pushes your limits by enabling an learning environment, and rewards you at the end")</f>
        <v>Employer who pushes your limits by enabling an learning environment, and rewards you at the end</v>
      </c>
      <c r="M9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933" s="1"/>
      <c r="O933" s="1" t="str">
        <f ca="1">IFERROR(__xludf.DUMMYFUNCTION("""COMPUTED_VALUE"""),"Manager who explains what is expected, sets a goal and helps achieve it")</f>
        <v>Manager who explains what is expected, sets a goal and helps achieve it</v>
      </c>
      <c r="P933" s="1" t="str">
        <f ca="1">IFERROR(__xludf.DUMMYFUNCTION("""COMPUTED_VALUE"""),"Work &lt;67 People in the Team")</f>
        <v>Work &lt;67 People in the Team</v>
      </c>
      <c r="Q933" s="1" t="s">
        <v>43</v>
      </c>
      <c r="R933" s="1"/>
    </row>
    <row r="934" spans="1:18" x14ac:dyDescent="0.25">
      <c r="A934" s="2">
        <f ca="1">IFERROR(__xludf.DUMMYFUNCTION("""COMPUTED_VALUE"""),45024.7097935763)</f>
        <v>45024.709793576301</v>
      </c>
      <c r="B934" s="1" t="str">
        <f ca="1">IFERROR(__xludf.DUMMYFUNCTION("""COMPUTED_VALUE"""),"India")</f>
        <v>India</v>
      </c>
      <c r="C934" s="1">
        <f ca="1">IFERROR(__xludf.DUMMYFUNCTION("""COMPUTED_VALUE"""),600100)</f>
        <v>600100</v>
      </c>
      <c r="D934" s="1" t="str">
        <f ca="1">IFERROR(__xludf.DUMMYFUNCTION("""COMPUTED_VALUE"""),"Male")</f>
        <v>Male</v>
      </c>
      <c r="E934" s="1" t="str">
        <f ca="1">IFERROR(__xludf.DUMMYFUNCTION("""COMPUTED_VALUE"""),"Influencers who had successful careers")</f>
        <v>Influencers who had successful careers</v>
      </c>
      <c r="F934" s="1" t="str">
        <f ca="1">IFERROR(__xludf.DUMMYFUNCTION("""COMPUTED_VALUE"""),"No, But if someone could bare the cost I will")</f>
        <v>No, But if someone could bare the cost I will</v>
      </c>
      <c r="G934" s="1" t="str">
        <f ca="1">IFERROR(__xludf.DUMMYFUNCTION("""COMPUTED_VALUE"""),"This will be hard to do, but if it is the right company I would try")</f>
        <v>This will be hard to do, but if it is the right company I would try</v>
      </c>
      <c r="H934" s="1" t="str">
        <f ca="1">IFERROR(__xludf.DUMMYFUNCTION("""COMPUTED_VALUE"""),"Yes")</f>
        <v>Yes</v>
      </c>
      <c r="I934" s="1" t="str">
        <f ca="1">IFERROR(__xludf.DUMMYFUNCTION("""COMPUTED_VALUE"""),"Will NOT work for them")</f>
        <v>Will NOT work for them</v>
      </c>
      <c r="J934" s="1">
        <f ca="1">IFERROR(__xludf.DUMMYFUNCTION("""COMPUTED_VALUE"""),4)</f>
        <v>4</v>
      </c>
      <c r="K934" s="1" t="str">
        <f ca="1">IFERROR(__xludf.DUMMYFUNCTION("""COMPUTED_VALUE"""),"Hybrid Working Environment with more than 15 days a month at office")</f>
        <v>Hybrid Working Environment with more than 15 days a month at office</v>
      </c>
      <c r="L934" s="1" t="str">
        <f ca="1">IFERROR(__xludf.DUMMYFUNCTION("""COMPUTED_VALUE"""),"Employer who rewards learning and enables that environment")</f>
        <v>Employer who rewards learning and enables that environment</v>
      </c>
      <c r="M934"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N934" s="1"/>
      <c r="O934" s="1" t="str">
        <f ca="1">IFERROR(__xludf.DUMMYFUNCTION("""COMPUTED_VALUE"""),"Manager who explains what is expected, sets a goal and helps achieve it")</f>
        <v>Manager who explains what is expected, sets a goal and helps achieve it</v>
      </c>
      <c r="P934" s="1" t="str">
        <f ca="1">IFERROR(__xludf.DUMMYFUNCTION("""COMPUTED_VALUE"""),"Work &lt;=6 People in the Team")</f>
        <v>Work &lt;=6 People in the Team</v>
      </c>
      <c r="Q934" s="1" t="s">
        <v>40</v>
      </c>
      <c r="R934" s="1"/>
    </row>
    <row r="935" spans="1:18" x14ac:dyDescent="0.25">
      <c r="A935" s="2">
        <f ca="1">IFERROR(__xludf.DUMMYFUNCTION("""COMPUTED_VALUE"""),45024.7281678125)</f>
        <v>45024.7281678125</v>
      </c>
      <c r="B935" s="1" t="str">
        <f ca="1">IFERROR(__xludf.DUMMYFUNCTION("""COMPUTED_VALUE"""),"India")</f>
        <v>India</v>
      </c>
      <c r="C935" s="1">
        <f ca="1">IFERROR(__xludf.DUMMYFUNCTION("""COMPUTED_VALUE"""),600100)</f>
        <v>600100</v>
      </c>
      <c r="D935" s="1" t="str">
        <f ca="1">IFERROR(__xludf.DUMMYFUNCTION("""COMPUTED_VALUE"""),"Female")</f>
        <v>Female</v>
      </c>
      <c r="E935" s="1" t="str">
        <f ca="1">IFERROR(__xludf.DUMMYFUNCTION("""COMPUTED_VALUE"""),"Social Media like LinkedIn")</f>
        <v>Social Media like LinkedIn</v>
      </c>
      <c r="F935" s="1" t="str">
        <f ca="1">IFERROR(__xludf.DUMMYFUNCTION("""COMPUTED_VALUE"""),"No I would not be pursuing Higher Education outside of India")</f>
        <v>No I would not be pursuing Higher Education outside of India</v>
      </c>
      <c r="G935" s="1" t="str">
        <f ca="1">IFERROR(__xludf.DUMMYFUNCTION("""COMPUTED_VALUE"""),"This will be hard to do, but if it is the right company I would try")</f>
        <v>This will be hard to do, but if it is the right company I would try</v>
      </c>
      <c r="H935" s="1" t="str">
        <f ca="1">IFERROR(__xludf.DUMMYFUNCTION("""COMPUTED_VALUE"""),"No")</f>
        <v>No</v>
      </c>
      <c r="I935" s="1" t="str">
        <f ca="1">IFERROR(__xludf.DUMMYFUNCTION("""COMPUTED_VALUE"""),"Will work for them")</f>
        <v>Will work for them</v>
      </c>
      <c r="J935" s="1">
        <f ca="1">IFERROR(__xludf.DUMMYFUNCTION("""COMPUTED_VALUE"""),2)</f>
        <v>2</v>
      </c>
      <c r="K935" s="1" t="str">
        <f ca="1">IFERROR(__xludf.DUMMYFUNCTION("""COMPUTED_VALUE"""),"Hybrid Working Environment with more than 15 days a month at office")</f>
        <v>Hybrid Working Environment with more than 15 days a month at office</v>
      </c>
      <c r="L935" s="1" t="str">
        <f ca="1">IFERROR(__xludf.DUMMYFUNCTION("""COMPUTED_VALUE"""),"Employer who appreciates learning and enables that environment")</f>
        <v>Employer who appreciates learning and enables that environment</v>
      </c>
      <c r="M93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935" s="1"/>
      <c r="O935" s="1" t="str">
        <f ca="1">IFERROR(__xludf.DUMMYFUNCTION("""COMPUTED_VALUE"""),"Manager who sets goal and helps me achieve it")</f>
        <v>Manager who sets goal and helps me achieve it</v>
      </c>
      <c r="P935" s="1" t="str">
        <f ca="1">IFERROR(__xludf.DUMMYFUNCTION("""COMPUTED_VALUE"""),"Work &lt;=6 People in the Team")</f>
        <v>Work &lt;=6 People in the Team</v>
      </c>
      <c r="Q935" s="1" t="s">
        <v>40</v>
      </c>
      <c r="R935" s="1"/>
    </row>
    <row r="936" spans="1:18" x14ac:dyDescent="0.25">
      <c r="A936" s="2">
        <f ca="1">IFERROR(__xludf.DUMMYFUNCTION("""COMPUTED_VALUE"""),45024.7285129166)</f>
        <v>45024.728512916598</v>
      </c>
      <c r="B936" s="1" t="str">
        <f ca="1">IFERROR(__xludf.DUMMYFUNCTION("""COMPUTED_VALUE"""),"United Arab Emirates")</f>
        <v>United Arab Emirates</v>
      </c>
      <c r="C936" s="1" t="str">
        <f ca="1">IFERROR(__xludf.DUMMYFUNCTION("""COMPUTED_VALUE"""),"00000")</f>
        <v>00000</v>
      </c>
      <c r="D936" s="1" t="str">
        <f ca="1">IFERROR(__xludf.DUMMYFUNCTION("""COMPUTED_VALUE"""),"Female")</f>
        <v>Female</v>
      </c>
      <c r="E936" s="1" t="str">
        <f ca="1">IFERROR(__xludf.DUMMYFUNCTION("""COMPUTED_VALUE"""),"People who have changed the world for better")</f>
        <v>People who have changed the world for better</v>
      </c>
      <c r="F936" s="1" t="str">
        <f ca="1">IFERROR(__xludf.DUMMYFUNCTION("""COMPUTED_VALUE"""),"Yes, I will earn and do that")</f>
        <v>Yes, I will earn and do that</v>
      </c>
      <c r="G936" s="1" t="str">
        <f ca="1">IFERROR(__xludf.DUMMYFUNCTION("""COMPUTED_VALUE"""),"This will be hard to do, but if it is the right company I would try")</f>
        <v>This will be hard to do, but if it is the right company I would try</v>
      </c>
      <c r="H936" s="1" t="str">
        <f ca="1">IFERROR(__xludf.DUMMYFUNCTION("""COMPUTED_VALUE"""),"No")</f>
        <v>No</v>
      </c>
      <c r="I936" s="1" t="str">
        <f ca="1">IFERROR(__xludf.DUMMYFUNCTION("""COMPUTED_VALUE"""),"Will NOT work for them")</f>
        <v>Will NOT work for them</v>
      </c>
      <c r="J936" s="1">
        <f ca="1">IFERROR(__xludf.DUMMYFUNCTION("""COMPUTED_VALUE"""),5)</f>
        <v>5</v>
      </c>
      <c r="K936" s="1" t="str">
        <f ca="1">IFERROR(__xludf.DUMMYFUNCTION("""COMPUTED_VALUE"""),"Every Day Office Environment")</f>
        <v>Every Day Office Environment</v>
      </c>
      <c r="L936" s="1" t="str">
        <f ca="1">IFERROR(__xludf.DUMMYFUNCTION("""COMPUTED_VALUE"""),"Employer who appreciates learning and enables that environment")</f>
        <v>Employer who appreciates learning and enables that environment</v>
      </c>
      <c r="M93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N936" s="1"/>
      <c r="O936" s="1" t="str">
        <f ca="1">IFERROR(__xludf.DUMMYFUNCTION("""COMPUTED_VALUE"""),"Manager who sets targets and expects me to achieve it")</f>
        <v>Manager who sets targets and expects me to achieve it</v>
      </c>
      <c r="P936" s="1" t="str">
        <f ca="1">IFERROR(__xludf.DUMMYFUNCTION("""COMPUTED_VALUE"""),"Work &gt;10 people in Team")</f>
        <v>Work &gt;10 people in Team</v>
      </c>
      <c r="Q936" s="1" t="s">
        <v>43</v>
      </c>
      <c r="R936" s="1"/>
    </row>
    <row r="937" spans="1:18" x14ac:dyDescent="0.25">
      <c r="A937" s="2">
        <f ca="1">IFERROR(__xludf.DUMMYFUNCTION("""COMPUTED_VALUE"""),45024.7464570023)</f>
        <v>45024.7464570023</v>
      </c>
      <c r="B937" s="1" t="str">
        <f ca="1">IFERROR(__xludf.DUMMYFUNCTION("""COMPUTED_VALUE"""),"India")</f>
        <v>India</v>
      </c>
      <c r="C937" s="1">
        <f ca="1">IFERROR(__xludf.DUMMYFUNCTION("""COMPUTED_VALUE"""),623525)</f>
        <v>623525</v>
      </c>
      <c r="D937" s="1" t="str">
        <f ca="1">IFERROR(__xludf.DUMMYFUNCTION("""COMPUTED_VALUE"""),"Female")</f>
        <v>Female</v>
      </c>
      <c r="E937" s="1" t="str">
        <f ca="1">IFERROR(__xludf.DUMMYFUNCTION("""COMPUTED_VALUE"""),"My Parents")</f>
        <v>My Parents</v>
      </c>
      <c r="F937" s="1" t="str">
        <f ca="1">IFERROR(__xludf.DUMMYFUNCTION("""COMPUTED_VALUE"""),"Yes, I will earn and do that")</f>
        <v>Yes, I will earn and do that</v>
      </c>
      <c r="G937" s="1" t="str">
        <f ca="1">IFERROR(__xludf.DUMMYFUNCTION("""COMPUTED_VALUE"""),"Will work for 3 years or more")</f>
        <v>Will work for 3 years or more</v>
      </c>
      <c r="H937" s="1" t="str">
        <f ca="1">IFERROR(__xludf.DUMMYFUNCTION("""COMPUTED_VALUE"""),"No")</f>
        <v>No</v>
      </c>
      <c r="I937" s="1" t="str">
        <f ca="1">IFERROR(__xludf.DUMMYFUNCTION("""COMPUTED_VALUE"""),"Will NOT work for them")</f>
        <v>Will NOT work for them</v>
      </c>
      <c r="J937" s="1">
        <f ca="1">IFERROR(__xludf.DUMMYFUNCTION("""COMPUTED_VALUE"""),3)</f>
        <v>3</v>
      </c>
      <c r="K937" s="1" t="str">
        <f ca="1">IFERROR(__xludf.DUMMYFUNCTION("""COMPUTED_VALUE"""),"Every Day Office Environment")</f>
        <v>Every Day Office Environment</v>
      </c>
      <c r="L937" s="1" t="str">
        <f ca="1">IFERROR(__xludf.DUMMYFUNCTION("""COMPUTED_VALUE"""),"Employer who appreciates learning and enables that environment")</f>
        <v>Employer who appreciates learning and enables that environment</v>
      </c>
      <c r="M937"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N937" s="1"/>
      <c r="O937" s="1" t="str">
        <f ca="1">IFERROR(__xludf.DUMMYFUNCTION("""COMPUTED_VALUE"""),"Manager who sets targets and expects me to achieve it")</f>
        <v>Manager who sets targets and expects me to achieve it</v>
      </c>
      <c r="P937" s="1" t="str">
        <f ca="1">IFERROR(__xludf.DUMMYFUNCTION("""COMPUTED_VALUE"""),"Work alone")</f>
        <v>Work alone</v>
      </c>
      <c r="Q937" s="1" t="s">
        <v>43</v>
      </c>
      <c r="R937" s="1"/>
    </row>
    <row r="938" spans="1:18" x14ac:dyDescent="0.25">
      <c r="A938" s="2">
        <f ca="1">IFERROR(__xludf.DUMMYFUNCTION("""COMPUTED_VALUE"""),45024.7473972569)</f>
        <v>45024.747397256899</v>
      </c>
      <c r="B938" s="1" t="str">
        <f ca="1">IFERROR(__xludf.DUMMYFUNCTION("""COMPUTED_VALUE"""),"India")</f>
        <v>India</v>
      </c>
      <c r="C938" s="1">
        <f ca="1">IFERROR(__xludf.DUMMYFUNCTION("""COMPUTED_VALUE"""),623525)</f>
        <v>623525</v>
      </c>
      <c r="D938" s="1" t="str">
        <f ca="1">IFERROR(__xludf.DUMMYFUNCTION("""COMPUTED_VALUE"""),"Female")</f>
        <v>Female</v>
      </c>
      <c r="E938" s="1" t="str">
        <f ca="1">IFERROR(__xludf.DUMMYFUNCTION("""COMPUTED_VALUE"""),"Influencers who had successful careers")</f>
        <v>Influencers who had successful careers</v>
      </c>
      <c r="F938" s="1" t="str">
        <f ca="1">IFERROR(__xludf.DUMMYFUNCTION("""COMPUTED_VALUE"""),"No, But if someone could bare the cost I will")</f>
        <v>No, But if someone could bare the cost I will</v>
      </c>
      <c r="G938" s="1" t="str">
        <f ca="1">IFERROR(__xludf.DUMMYFUNCTION("""COMPUTED_VALUE"""),"This will be hard to do, but if it is the right company I would try")</f>
        <v>This will be hard to do, but if it is the right company I would try</v>
      </c>
      <c r="H938" s="1" t="str">
        <f ca="1">IFERROR(__xludf.DUMMYFUNCTION("""COMPUTED_VALUE"""),"No")</f>
        <v>No</v>
      </c>
      <c r="I938" s="1" t="str">
        <f ca="1">IFERROR(__xludf.DUMMYFUNCTION("""COMPUTED_VALUE"""),"Will NOT work for them")</f>
        <v>Will NOT work for them</v>
      </c>
      <c r="J938" s="1">
        <f ca="1">IFERROR(__xludf.DUMMYFUNCTION("""COMPUTED_VALUE"""),6)</f>
        <v>6</v>
      </c>
      <c r="K938" s="1" t="str">
        <f ca="1">IFERROR(__xludf.DUMMYFUNCTION("""COMPUTED_VALUE"""),"Every Day Office Environment")</f>
        <v>Every Day Office Environment</v>
      </c>
      <c r="L938" s="1" t="str">
        <f ca="1">IFERROR(__xludf.DUMMYFUNCTION("""COMPUTED_VALUE"""),"Employer who rewards learning and enables that environment")</f>
        <v>Employer who rewards learning and enables that environment</v>
      </c>
      <c r="M93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938" s="1"/>
      <c r="O938" s="1" t="str">
        <f ca="1">IFERROR(__xludf.DUMMYFUNCTION("""COMPUTED_VALUE"""),"Manager who sets goal and helps me achieve it")</f>
        <v>Manager who sets goal and helps me achieve it</v>
      </c>
      <c r="P938" s="1" t="str">
        <f ca="1">IFERROR(__xludf.DUMMYFUNCTION("""COMPUTED_VALUE"""),"Work &lt;=6 People in the Team")</f>
        <v>Work &lt;=6 People in the Team</v>
      </c>
      <c r="Q938" s="1" t="s">
        <v>43</v>
      </c>
      <c r="R938" s="1"/>
    </row>
    <row r="939" spans="1:18" x14ac:dyDescent="0.25">
      <c r="A939" s="2">
        <f ca="1">IFERROR(__xludf.DUMMYFUNCTION("""COMPUTED_VALUE"""),45024.756598831)</f>
        <v>45024.756598831002</v>
      </c>
      <c r="B939" s="1" t="str">
        <f ca="1">IFERROR(__xludf.DUMMYFUNCTION("""COMPUTED_VALUE"""),"India")</f>
        <v>India</v>
      </c>
      <c r="C939" s="1">
        <f ca="1">IFERROR(__xludf.DUMMYFUNCTION("""COMPUTED_VALUE"""),231001)</f>
        <v>231001</v>
      </c>
      <c r="D939" s="1" t="str">
        <f ca="1">IFERROR(__xludf.DUMMYFUNCTION("""COMPUTED_VALUE"""),"Male")</f>
        <v>Male</v>
      </c>
      <c r="E939" s="1" t="str">
        <f ca="1">IFERROR(__xludf.DUMMYFUNCTION("""COMPUTED_VALUE"""),"Influencers who had successful careers")</f>
        <v>Influencers who had successful careers</v>
      </c>
      <c r="F939" s="1" t="str">
        <f ca="1">IFERROR(__xludf.DUMMYFUNCTION("""COMPUTED_VALUE"""),"No I would not be pursuing Higher Education outside of India")</f>
        <v>No I would not be pursuing Higher Education outside of India</v>
      </c>
      <c r="G939" s="1" t="str">
        <f ca="1">IFERROR(__xludf.DUMMYFUNCTION("""COMPUTED_VALUE"""),"This will be hard to do, but if it is the right company I would try")</f>
        <v>This will be hard to do, but if it is the right company I would try</v>
      </c>
      <c r="H939" s="1" t="str">
        <f ca="1">IFERROR(__xludf.DUMMYFUNCTION("""COMPUTED_VALUE"""),"No")</f>
        <v>No</v>
      </c>
      <c r="I939" s="1" t="str">
        <f ca="1">IFERROR(__xludf.DUMMYFUNCTION("""COMPUTED_VALUE"""),"Will NOT work for them")</f>
        <v>Will NOT work for them</v>
      </c>
      <c r="J939" s="1">
        <f ca="1">IFERROR(__xludf.DUMMYFUNCTION("""COMPUTED_VALUE"""),7)</f>
        <v>7</v>
      </c>
      <c r="K939" s="1" t="str">
        <f ca="1">IFERROR(__xludf.DUMMYFUNCTION("""COMPUTED_VALUE"""),"Fully Remote with No option to visit offices")</f>
        <v>Fully Remote with No option to visit offices</v>
      </c>
      <c r="L939" s="1" t="str">
        <f ca="1">IFERROR(__xludf.DUMMYFUNCTION("""COMPUTED_VALUE"""),"Employer who appreciates learning and enables that environment")</f>
        <v>Employer who appreciates learning and enables that environment</v>
      </c>
      <c r="M93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939" s="1"/>
      <c r="O939" s="1" t="str">
        <f ca="1">IFERROR(__xludf.DUMMYFUNCTION("""COMPUTED_VALUE"""),"Manager who sets goal and helps me achieve it")</f>
        <v>Manager who sets goal and helps me achieve it</v>
      </c>
      <c r="P939" s="1" t="str">
        <f ca="1">IFERROR(__xludf.DUMMYFUNCTION("""COMPUTED_VALUE"""),"Work &gt;=7 People in the Team")</f>
        <v>Work &gt;=7 People in the Team</v>
      </c>
      <c r="Q939" s="1" t="s">
        <v>40</v>
      </c>
      <c r="R939" s="1"/>
    </row>
    <row r="940" spans="1:18" x14ac:dyDescent="0.25">
      <c r="A940" s="2">
        <f ca="1">IFERROR(__xludf.DUMMYFUNCTION("""COMPUTED_VALUE"""),45024.7609117129)</f>
        <v>45024.760911712903</v>
      </c>
      <c r="B940" s="1" t="str">
        <f ca="1">IFERROR(__xludf.DUMMYFUNCTION("""COMPUTED_VALUE"""),"India")</f>
        <v>India</v>
      </c>
      <c r="C940" s="1">
        <f ca="1">IFERROR(__xludf.DUMMYFUNCTION("""COMPUTED_VALUE"""),313001)</f>
        <v>313001</v>
      </c>
      <c r="D940" s="1" t="str">
        <f ca="1">IFERROR(__xludf.DUMMYFUNCTION("""COMPUTED_VALUE"""),"Female")</f>
        <v>Female</v>
      </c>
      <c r="E940" s="1" t="str">
        <f ca="1">IFERROR(__xludf.DUMMYFUNCTION("""COMPUTED_VALUE"""),"People who have changed the world for better")</f>
        <v>People who have changed the world for better</v>
      </c>
      <c r="F940" s="1" t="str">
        <f ca="1">IFERROR(__xludf.DUMMYFUNCTION("""COMPUTED_VALUE"""),"No I would not be pursuing Higher Education outside of India")</f>
        <v>No I would not be pursuing Higher Education outside of India</v>
      </c>
      <c r="G940" s="1" t="str">
        <f ca="1">IFERROR(__xludf.DUMMYFUNCTION("""COMPUTED_VALUE"""),"Will work for 3 years or more")</f>
        <v>Will work for 3 years or more</v>
      </c>
      <c r="H940" s="1" t="str">
        <f ca="1">IFERROR(__xludf.DUMMYFUNCTION("""COMPUTED_VALUE"""),"No")</f>
        <v>No</v>
      </c>
      <c r="I940" s="1" t="str">
        <f ca="1">IFERROR(__xludf.DUMMYFUNCTION("""COMPUTED_VALUE"""),"Will NOT work for them")</f>
        <v>Will NOT work for them</v>
      </c>
      <c r="J940" s="1">
        <f ca="1">IFERROR(__xludf.DUMMYFUNCTION("""COMPUTED_VALUE"""),1)</f>
        <v>1</v>
      </c>
      <c r="K940" s="1" t="str">
        <f ca="1">IFERROR(__xludf.DUMMYFUNCTION("""COMPUTED_VALUE"""),"Every Day Office Environment")</f>
        <v>Every Day Office Environment</v>
      </c>
      <c r="L940" s="1" t="str">
        <f ca="1">IFERROR(__xludf.DUMMYFUNCTION("""COMPUTED_VALUE"""),"Employer who pushes your limits by enabling an learning environment, and rewards you at the end")</f>
        <v>Employer who pushes your limits by enabling an learning environment, and rewards you at the end</v>
      </c>
      <c r="M940" s="1" t="str">
        <f ca="1">IFERROR(__xludf.DUMMYFUNCTION("""COMPUTED_VALUE"""),"Teaching in any of the institutes/colleges/online or offline, Look deeply into Data and generate insights, Entrepreneur or Start Up, I Want to sell things/Sales")</f>
        <v>Teaching in any of the institutes/colleges/online or offline, Look deeply into Data and generate insights, Entrepreneur or Start Up, I Want to sell things/Sales</v>
      </c>
      <c r="N940" s="1"/>
      <c r="O940" s="1" t="str">
        <f ca="1">IFERROR(__xludf.DUMMYFUNCTION("""COMPUTED_VALUE"""),"Manager who explains what is expected, sets a goal and helps achieve it")</f>
        <v>Manager who explains what is expected, sets a goal and helps achieve it</v>
      </c>
      <c r="P940" s="1" t="str">
        <f ca="1">IFERROR(__xludf.DUMMYFUNCTION("""COMPUTED_VALUE"""),"Work &gt;10 people in Team")</f>
        <v>Work &gt;10 people in Team</v>
      </c>
      <c r="Q940" s="1" t="s">
        <v>42</v>
      </c>
      <c r="R940" s="1"/>
    </row>
    <row r="941" spans="1:18" x14ac:dyDescent="0.25">
      <c r="A941" s="2">
        <f ca="1">IFERROR(__xludf.DUMMYFUNCTION("""COMPUTED_VALUE"""),45024.7921819444)</f>
        <v>45024.792181944402</v>
      </c>
      <c r="B941" s="1" t="str">
        <f ca="1">IFERROR(__xludf.DUMMYFUNCTION("""COMPUTED_VALUE"""),"India")</f>
        <v>India</v>
      </c>
      <c r="C941" s="1">
        <f ca="1">IFERROR(__xludf.DUMMYFUNCTION("""COMPUTED_VALUE"""),628901)</f>
        <v>628901</v>
      </c>
      <c r="D941" s="1" t="str">
        <f ca="1">IFERROR(__xludf.DUMMYFUNCTION("""COMPUTED_VALUE"""),"Female")</f>
        <v>Female</v>
      </c>
      <c r="E941" s="1" t="str">
        <f ca="1">IFERROR(__xludf.DUMMYFUNCTION("""COMPUTED_VALUE"""),"My Parents")</f>
        <v>My Parents</v>
      </c>
      <c r="F941" s="1" t="str">
        <f ca="1">IFERROR(__xludf.DUMMYFUNCTION("""COMPUTED_VALUE"""),"Yes, I will earn and do that")</f>
        <v>Yes, I will earn and do that</v>
      </c>
      <c r="G941" s="1" t="str">
        <f ca="1">IFERROR(__xludf.DUMMYFUNCTION("""COMPUTED_VALUE"""),"This will be hard to do, but if it is the right company I would try")</f>
        <v>This will be hard to do, but if it is the right company I would try</v>
      </c>
      <c r="H941" s="1" t="str">
        <f ca="1">IFERROR(__xludf.DUMMYFUNCTION("""COMPUTED_VALUE"""),"Yes")</f>
        <v>Yes</v>
      </c>
      <c r="I941" s="1" t="str">
        <f ca="1">IFERROR(__xludf.DUMMYFUNCTION("""COMPUTED_VALUE"""),"Will work for them")</f>
        <v>Will work for them</v>
      </c>
      <c r="J941" s="1">
        <f ca="1">IFERROR(__xludf.DUMMYFUNCTION("""COMPUTED_VALUE"""),5)</f>
        <v>5</v>
      </c>
      <c r="K941" s="1" t="str">
        <f ca="1">IFERROR(__xludf.DUMMYFUNCTION("""COMPUTED_VALUE"""),"Hybrid Working Environment with less than 3 days a month at office")</f>
        <v>Hybrid Working Environment with less than 3 days a month at office</v>
      </c>
      <c r="L941" s="1" t="str">
        <f ca="1">IFERROR(__xludf.DUMMYFUNCTION("""COMPUTED_VALUE"""),"Employer who rewards learning and enables that environment")</f>
        <v>Employer who rewards learning and enables that environment</v>
      </c>
      <c r="M941" s="1" t="str">
        <f ca="1">IFERROR(__xludf.DUMMYFUNCTION("""COMPUTED_VALUE"""),"Business Operations in any organization, Work in a BPO setup for some well known client, Become a content Creator in some platform, Entrepreneur or Start Up")</f>
        <v>Business Operations in any organization, Work in a BPO setup for some well known client, Become a content Creator in some platform, Entrepreneur or Start Up</v>
      </c>
      <c r="N941" s="1"/>
      <c r="O941" s="1" t="str">
        <f ca="1">IFERROR(__xludf.DUMMYFUNCTION("""COMPUTED_VALUE"""),"Manager who clearly describes what she/he needs")</f>
        <v>Manager who clearly describes what she/he needs</v>
      </c>
      <c r="P941" s="1" t="str">
        <f ca="1">IFERROR(__xludf.DUMMYFUNCTION("""COMPUTED_VALUE"""),"Work &lt;=6 People in the Team")</f>
        <v>Work &lt;=6 People in the Team</v>
      </c>
      <c r="Q941" s="1" t="s">
        <v>40</v>
      </c>
      <c r="R941" s="1"/>
    </row>
    <row r="942" spans="1:18" x14ac:dyDescent="0.25">
      <c r="A942" s="2">
        <f ca="1">IFERROR(__xludf.DUMMYFUNCTION("""COMPUTED_VALUE"""),45024.8427196412)</f>
        <v>45024.842719641201</v>
      </c>
      <c r="B942" s="1" t="str">
        <f ca="1">IFERROR(__xludf.DUMMYFUNCTION("""COMPUTED_VALUE"""),"India")</f>
        <v>India</v>
      </c>
      <c r="C942" s="1">
        <f ca="1">IFERROR(__xludf.DUMMYFUNCTION("""COMPUTED_VALUE"""),600117)</f>
        <v>600117</v>
      </c>
      <c r="D942" s="1" t="str">
        <f ca="1">IFERROR(__xludf.DUMMYFUNCTION("""COMPUTED_VALUE"""),"Male")</f>
        <v>Male</v>
      </c>
      <c r="E942" s="1" t="str">
        <f ca="1">IFERROR(__xludf.DUMMYFUNCTION("""COMPUTED_VALUE"""),"People who have changed the world for better")</f>
        <v>People who have changed the world for better</v>
      </c>
      <c r="F942" s="1" t="str">
        <f ca="1">IFERROR(__xludf.DUMMYFUNCTION("""COMPUTED_VALUE"""),"Yes, I will earn and do that")</f>
        <v>Yes, I will earn and do that</v>
      </c>
      <c r="G942" s="1" t="str">
        <f ca="1">IFERROR(__xludf.DUMMYFUNCTION("""COMPUTED_VALUE"""),"Will work for 3 years or more")</f>
        <v>Will work for 3 years or more</v>
      </c>
      <c r="H942" s="1" t="str">
        <f ca="1">IFERROR(__xludf.DUMMYFUNCTION("""COMPUTED_VALUE"""),"No")</f>
        <v>No</v>
      </c>
      <c r="I942" s="1" t="str">
        <f ca="1">IFERROR(__xludf.DUMMYFUNCTION("""COMPUTED_VALUE"""),"Will NOT work for them")</f>
        <v>Will NOT work for them</v>
      </c>
      <c r="J942" s="1">
        <f ca="1">IFERROR(__xludf.DUMMYFUNCTION("""COMPUTED_VALUE"""),5)</f>
        <v>5</v>
      </c>
      <c r="K942" s="1" t="str">
        <f ca="1">IFERROR(__xludf.DUMMYFUNCTION("""COMPUTED_VALUE"""),"Hybrid Working Environment with less than 3 days a month at office")</f>
        <v>Hybrid Working Environment with less than 3 days a month at office</v>
      </c>
      <c r="L942" s="1" t="str">
        <f ca="1">IFERROR(__xludf.DUMMYFUNCTION("""COMPUTED_VALUE"""),"Employer who rewards learning and enables that environment")</f>
        <v>Employer who rewards learning and enables that environment</v>
      </c>
      <c r="M94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942" s="1"/>
      <c r="O942" s="1" t="str">
        <f ca="1">IFERROR(__xludf.DUMMYFUNCTION("""COMPUTED_VALUE"""),"Manager who explains what is expected, sets a goal and helps achieve it")</f>
        <v>Manager who explains what is expected, sets a goal and helps achieve it</v>
      </c>
      <c r="P942" s="1" t="str">
        <f ca="1">IFERROR(__xludf.DUMMYFUNCTION("""COMPUTED_VALUE"""),"Work &lt;=6 People in the Team")</f>
        <v>Work &lt;=6 People in the Team</v>
      </c>
      <c r="Q942" s="1" t="s">
        <v>43</v>
      </c>
      <c r="R942" s="1"/>
    </row>
    <row r="943" spans="1:18" x14ac:dyDescent="0.25">
      <c r="A943" s="2">
        <f ca="1">IFERROR(__xludf.DUMMYFUNCTION("""COMPUTED_VALUE"""),45024.8658265277)</f>
        <v>45024.865826527697</v>
      </c>
      <c r="B943" s="1" t="str">
        <f ca="1">IFERROR(__xludf.DUMMYFUNCTION("""COMPUTED_VALUE"""),"India")</f>
        <v>India</v>
      </c>
      <c r="C943" s="1">
        <f ca="1">IFERROR(__xludf.DUMMYFUNCTION("""COMPUTED_VALUE"""),623525)</f>
        <v>623525</v>
      </c>
      <c r="D943" s="1" t="str">
        <f ca="1">IFERROR(__xludf.DUMMYFUNCTION("""COMPUTED_VALUE"""),"Male")</f>
        <v>Male</v>
      </c>
      <c r="E943" s="1" t="str">
        <f ca="1">IFERROR(__xludf.DUMMYFUNCTION("""COMPUTED_VALUE"""),"Influencers who had successful careers")</f>
        <v>Influencers who had successful careers</v>
      </c>
      <c r="F943" s="1" t="str">
        <f ca="1">IFERROR(__xludf.DUMMYFUNCTION("""COMPUTED_VALUE"""),"No, But if someone could bare the cost I will")</f>
        <v>No, But if someone could bare the cost I will</v>
      </c>
      <c r="G943" s="1" t="str">
        <f ca="1">IFERROR(__xludf.DUMMYFUNCTION("""COMPUTED_VALUE"""),"No way")</f>
        <v>No way</v>
      </c>
      <c r="H943" s="1" t="str">
        <f ca="1">IFERROR(__xludf.DUMMYFUNCTION("""COMPUTED_VALUE"""),"Yes")</f>
        <v>Yes</v>
      </c>
      <c r="I943" s="1" t="str">
        <f ca="1">IFERROR(__xludf.DUMMYFUNCTION("""COMPUTED_VALUE"""),"Will work for them")</f>
        <v>Will work for them</v>
      </c>
      <c r="J943" s="1">
        <f ca="1">IFERROR(__xludf.DUMMYFUNCTION("""COMPUTED_VALUE"""),3)</f>
        <v>3</v>
      </c>
      <c r="K943" s="1" t="str">
        <f ca="1">IFERROR(__xludf.DUMMYFUNCTION("""COMPUTED_VALUE"""),"Every Day Office Environment")</f>
        <v>Every Day Office Environment</v>
      </c>
      <c r="L943" s="1" t="str">
        <f ca="1">IFERROR(__xludf.DUMMYFUNCTION("""COMPUTED_VALUE"""),"Employer who pushes your limits by enabling an learning environment, and rewards you at the end")</f>
        <v>Employer who pushes your limits by enabling an learning environment, and rewards you at the end</v>
      </c>
      <c r="M94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943" s="1"/>
      <c r="O943" s="1" t="str">
        <f ca="1">IFERROR(__xludf.DUMMYFUNCTION("""COMPUTED_VALUE"""),"Manager who sets targets and expects me to achieve it")</f>
        <v>Manager who sets targets and expects me to achieve it</v>
      </c>
      <c r="P943" s="1" t="str">
        <f ca="1">IFERROR(__xludf.DUMMYFUNCTION("""COMPUTED_VALUE"""),"Work alone")</f>
        <v>Work alone</v>
      </c>
      <c r="Q943" s="1" t="s">
        <v>43</v>
      </c>
      <c r="R943" s="1"/>
    </row>
    <row r="944" spans="1:18" x14ac:dyDescent="0.25">
      <c r="A944" s="2">
        <f ca="1">IFERROR(__xludf.DUMMYFUNCTION("""COMPUTED_VALUE"""),45024.8762669907)</f>
        <v>45024.876266990701</v>
      </c>
      <c r="B944" s="1" t="str">
        <f ca="1">IFERROR(__xludf.DUMMYFUNCTION("""COMPUTED_VALUE"""),"India")</f>
        <v>India</v>
      </c>
      <c r="C944" s="1">
        <f ca="1">IFERROR(__xludf.DUMMYFUNCTION("""COMPUTED_VALUE"""),382002)</f>
        <v>382002</v>
      </c>
      <c r="D944" s="1" t="str">
        <f ca="1">IFERROR(__xludf.DUMMYFUNCTION("""COMPUTED_VALUE"""),"Male")</f>
        <v>Male</v>
      </c>
      <c r="E944" s="1" t="str">
        <f ca="1">IFERROR(__xludf.DUMMYFUNCTION("""COMPUTED_VALUE"""),"People from my circle, but not family members")</f>
        <v>People from my circle, but not family members</v>
      </c>
      <c r="F944" s="1" t="str">
        <f ca="1">IFERROR(__xludf.DUMMYFUNCTION("""COMPUTED_VALUE"""),"No, But if someone could bare the cost I will")</f>
        <v>No, But if someone could bare the cost I will</v>
      </c>
      <c r="G944" s="1" t="str">
        <f ca="1">IFERROR(__xludf.DUMMYFUNCTION("""COMPUTED_VALUE"""),"Will work for 3 years or more")</f>
        <v>Will work for 3 years or more</v>
      </c>
      <c r="H944" s="1" t="str">
        <f ca="1">IFERROR(__xludf.DUMMYFUNCTION("""COMPUTED_VALUE"""),"Yes")</f>
        <v>Yes</v>
      </c>
      <c r="I944" s="1" t="str">
        <f ca="1">IFERROR(__xludf.DUMMYFUNCTION("""COMPUTED_VALUE"""),"Will NOT work for them")</f>
        <v>Will NOT work for them</v>
      </c>
      <c r="J944" s="1">
        <f ca="1">IFERROR(__xludf.DUMMYFUNCTION("""COMPUTED_VALUE"""),7)</f>
        <v>7</v>
      </c>
      <c r="K944" s="1" t="str">
        <f ca="1">IFERROR(__xludf.DUMMYFUNCTION("""COMPUTED_VALUE"""),"Hybrid Working Environment with more than 15 days a month at office")</f>
        <v>Hybrid Working Environment with more than 15 days a month at office</v>
      </c>
      <c r="L944" s="1" t="str">
        <f ca="1">IFERROR(__xludf.DUMMYFUNCTION("""COMPUTED_VALUE"""),"Employer who pushes your limits by enabling an learning environment, and rewards you at the end")</f>
        <v>Employer who pushes your limits by enabling an learning environment, and rewards you at the end</v>
      </c>
      <c r="M94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944" s="1"/>
      <c r="O944" s="1" t="str">
        <f ca="1">IFERROR(__xludf.DUMMYFUNCTION("""COMPUTED_VALUE"""),"Manager who sets goal and helps me achieve it")</f>
        <v>Manager who sets goal and helps me achieve it</v>
      </c>
      <c r="P944" s="1" t="str">
        <f ca="1">IFERROR(__xludf.DUMMYFUNCTION("""COMPUTED_VALUE"""),"Work alone")</f>
        <v>Work alone</v>
      </c>
      <c r="Q944" s="1" t="s">
        <v>43</v>
      </c>
      <c r="R944" s="1"/>
    </row>
    <row r="945" spans="1:18" x14ac:dyDescent="0.25">
      <c r="A945" s="2">
        <f ca="1">IFERROR(__xludf.DUMMYFUNCTION("""COMPUTED_VALUE"""),45024.8781753819)</f>
        <v>45024.878175381898</v>
      </c>
      <c r="B945" s="1" t="str">
        <f ca="1">IFERROR(__xludf.DUMMYFUNCTION("""COMPUTED_VALUE"""),"Canada")</f>
        <v>Canada</v>
      </c>
      <c r="C945" s="1" t="str">
        <f ca="1">IFERROR(__xludf.DUMMYFUNCTION("""COMPUTED_VALUE"""),"K0AK4P")</f>
        <v>K0AK4P</v>
      </c>
      <c r="D945" s="1" t="str">
        <f ca="1">IFERROR(__xludf.DUMMYFUNCTION("""COMPUTED_VALUE"""),"Female")</f>
        <v>Female</v>
      </c>
      <c r="E945" s="1" t="str">
        <f ca="1">IFERROR(__xludf.DUMMYFUNCTION("""COMPUTED_VALUE"""),"People who have changed the world for better")</f>
        <v>People who have changed the world for better</v>
      </c>
      <c r="F945" s="1" t="str">
        <f ca="1">IFERROR(__xludf.DUMMYFUNCTION("""COMPUTED_VALUE"""),"Yes, I will earn and do that")</f>
        <v>Yes, I will earn and do that</v>
      </c>
      <c r="G945" s="1" t="str">
        <f ca="1">IFERROR(__xludf.DUMMYFUNCTION("""COMPUTED_VALUE"""),"Will work for 3 years or more")</f>
        <v>Will work for 3 years or more</v>
      </c>
      <c r="H945" s="1" t="str">
        <f ca="1">IFERROR(__xludf.DUMMYFUNCTION("""COMPUTED_VALUE"""),"Yes")</f>
        <v>Yes</v>
      </c>
      <c r="I945" s="1" t="str">
        <f ca="1">IFERROR(__xludf.DUMMYFUNCTION("""COMPUTED_VALUE"""),"Will NOT work for them")</f>
        <v>Will NOT work for them</v>
      </c>
      <c r="J945" s="1">
        <f ca="1">IFERROR(__xludf.DUMMYFUNCTION("""COMPUTED_VALUE"""),9)</f>
        <v>9</v>
      </c>
      <c r="K945" s="1" t="str">
        <f ca="1">IFERROR(__xludf.DUMMYFUNCTION("""COMPUTED_VALUE"""),"Fully Remote with No option to visit offices")</f>
        <v>Fully Remote with No option to visit offices</v>
      </c>
      <c r="L945" s="1" t="str">
        <f ca="1">IFERROR(__xludf.DUMMYFUNCTION("""COMPUTED_VALUE"""),"Employer who pushes your limits by enabling an learning environment, and rewards you at the end")</f>
        <v>Employer who pushes your limits by enabling an learning environment, and rewards you at the end</v>
      </c>
      <c r="M945"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N945" s="1"/>
      <c r="O945" s="1" t="str">
        <f ca="1">IFERROR(__xludf.DUMMYFUNCTION("""COMPUTED_VALUE"""),"Manager who explains what is expected, sets a goal and helps achieve it")</f>
        <v>Manager who explains what is expected, sets a goal and helps achieve it</v>
      </c>
      <c r="P945" s="1" t="str">
        <f ca="1">IFERROR(__xludf.DUMMYFUNCTION("""COMPUTED_VALUE"""),"Work alone")</f>
        <v>Work alone</v>
      </c>
      <c r="Q945" s="1" t="s">
        <v>43</v>
      </c>
      <c r="R945" s="1"/>
    </row>
    <row r="946" spans="1:18" x14ac:dyDescent="0.25">
      <c r="A946" s="2">
        <f ca="1">IFERROR(__xludf.DUMMYFUNCTION("""COMPUTED_VALUE"""),45024.9619937037)</f>
        <v>45024.961993703699</v>
      </c>
      <c r="B946" s="1" t="str">
        <f ca="1">IFERROR(__xludf.DUMMYFUNCTION("""COMPUTED_VALUE"""),"India")</f>
        <v>India</v>
      </c>
      <c r="C946" s="1" t="str">
        <f ca="1">IFERROR(__xludf.DUMMYFUNCTION("""COMPUTED_VALUE"""),"-")</f>
        <v>-</v>
      </c>
      <c r="D946" s="1" t="str">
        <f ca="1">IFERROR(__xludf.DUMMYFUNCTION("""COMPUTED_VALUE"""),"Female")</f>
        <v>Female</v>
      </c>
      <c r="E946" s="1" t="str">
        <f ca="1">IFERROR(__xludf.DUMMYFUNCTION("""COMPUTED_VALUE"""),"Influencers who had successful careers")</f>
        <v>Influencers who had successful careers</v>
      </c>
      <c r="F946" s="1" t="str">
        <f ca="1">IFERROR(__xludf.DUMMYFUNCTION("""COMPUTED_VALUE"""),"No I would not be pursuing Higher Education outside of India")</f>
        <v>No I would not be pursuing Higher Education outside of India</v>
      </c>
      <c r="G946" s="1" t="str">
        <f ca="1">IFERROR(__xludf.DUMMYFUNCTION("""COMPUTED_VALUE"""),"This will be hard to do, but if it is the right company I would try")</f>
        <v>This will be hard to do, but if it is the right company I would try</v>
      </c>
      <c r="H946" s="1" t="str">
        <f ca="1">IFERROR(__xludf.DUMMYFUNCTION("""COMPUTED_VALUE"""),"No")</f>
        <v>No</v>
      </c>
      <c r="I946" s="1" t="str">
        <f ca="1">IFERROR(__xludf.DUMMYFUNCTION("""COMPUTED_VALUE"""),"Will NOT work for them")</f>
        <v>Will NOT work for them</v>
      </c>
      <c r="J946" s="1">
        <f ca="1">IFERROR(__xludf.DUMMYFUNCTION("""COMPUTED_VALUE"""),5)</f>
        <v>5</v>
      </c>
      <c r="K946" s="1" t="str">
        <f ca="1">IFERROR(__xludf.DUMMYFUNCTION("""COMPUTED_VALUE"""),"Hybrid Working Environment with more than 15 days a month at office")</f>
        <v>Hybrid Working Environment with more than 15 days a month at office</v>
      </c>
      <c r="L946" s="1" t="str">
        <f ca="1">IFERROR(__xludf.DUMMYFUNCTION("""COMPUTED_VALUE"""),"Employer who pushes your limits by enabling an learning environment, and rewards you at the end")</f>
        <v>Employer who pushes your limits by enabling an learning environment, and rewards you at the end</v>
      </c>
      <c r="M946"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946" s="1"/>
      <c r="O946" s="1" t="str">
        <f ca="1">IFERROR(__xludf.DUMMYFUNCTION("""COMPUTED_VALUE"""),"Manager who explains what is expected, sets a goal and helps achieve it")</f>
        <v>Manager who explains what is expected, sets a goal and helps achieve it</v>
      </c>
      <c r="P946" s="1" t="str">
        <f ca="1">IFERROR(__xludf.DUMMYFUNCTION("""COMPUTED_VALUE"""),"Work &lt;=6 People in the Team")</f>
        <v>Work &lt;=6 People in the Team</v>
      </c>
      <c r="Q946" s="1" t="s">
        <v>40</v>
      </c>
      <c r="R946" s="1"/>
    </row>
    <row r="947" spans="1:18" x14ac:dyDescent="0.25">
      <c r="A947" s="2">
        <f ca="1">IFERROR(__xludf.DUMMYFUNCTION("""COMPUTED_VALUE"""),45025.1121121759)</f>
        <v>45025.112112175899</v>
      </c>
      <c r="B947" s="1" t="str">
        <f ca="1">IFERROR(__xludf.DUMMYFUNCTION("""COMPUTED_VALUE"""),"India")</f>
        <v>India</v>
      </c>
      <c r="C947" s="1">
        <f ca="1">IFERROR(__xludf.DUMMYFUNCTION("""COMPUTED_VALUE"""),431001)</f>
        <v>431001</v>
      </c>
      <c r="D947" s="1" t="str">
        <f ca="1">IFERROR(__xludf.DUMMYFUNCTION("""COMPUTED_VALUE"""),"Male")</f>
        <v>Male</v>
      </c>
      <c r="E947" s="1" t="str">
        <f ca="1">IFERROR(__xludf.DUMMYFUNCTION("""COMPUTED_VALUE"""),"Influencers who had successful careers")</f>
        <v>Influencers who had successful careers</v>
      </c>
      <c r="F947" s="1" t="str">
        <f ca="1">IFERROR(__xludf.DUMMYFUNCTION("""COMPUTED_VALUE"""),"Yes, I will earn and do that")</f>
        <v>Yes, I will earn and do that</v>
      </c>
      <c r="G947" s="1" t="str">
        <f ca="1">IFERROR(__xludf.DUMMYFUNCTION("""COMPUTED_VALUE"""),"This will be hard to do, but if it is the right company I would try")</f>
        <v>This will be hard to do, but if it is the right company I would try</v>
      </c>
      <c r="H947" s="1" t="str">
        <f ca="1">IFERROR(__xludf.DUMMYFUNCTION("""COMPUTED_VALUE"""),"Yes")</f>
        <v>Yes</v>
      </c>
      <c r="I947" s="1" t="str">
        <f ca="1">IFERROR(__xludf.DUMMYFUNCTION("""COMPUTED_VALUE"""),"Will NOT work for them")</f>
        <v>Will NOT work for them</v>
      </c>
      <c r="J947" s="1">
        <f ca="1">IFERROR(__xludf.DUMMYFUNCTION("""COMPUTED_VALUE"""),5)</f>
        <v>5</v>
      </c>
      <c r="K947" s="1" t="str">
        <f ca="1">IFERROR(__xludf.DUMMYFUNCTION("""COMPUTED_VALUE"""),"Fully Remote with Options to travel as and when needed")</f>
        <v>Fully Remote with Options to travel as and when needed</v>
      </c>
      <c r="L947" s="1" t="str">
        <f ca="1">IFERROR(__xludf.DUMMYFUNCTION("""COMPUTED_VALUE"""),"Employer who pushes your limits by enabling an learning environment, and rewards you at the end")</f>
        <v>Employer who pushes your limits by enabling an learning environment, and rewards you at the end</v>
      </c>
      <c r="M94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947" s="1"/>
      <c r="O947" s="1" t="str">
        <f ca="1">IFERROR(__xludf.DUMMYFUNCTION("""COMPUTED_VALUE"""),"Manager who explains what is expected, sets a goal and helps achieve it")</f>
        <v>Manager who explains what is expected, sets a goal and helps achieve it</v>
      </c>
      <c r="P947" s="1" t="str">
        <f ca="1">IFERROR(__xludf.DUMMYFUNCTION("""COMPUTED_VALUE"""),"Work &lt;=6 People in the Team")</f>
        <v>Work &lt;=6 People in the Team</v>
      </c>
      <c r="Q947" s="1" t="s">
        <v>43</v>
      </c>
      <c r="R947" s="1"/>
    </row>
    <row r="948" spans="1:18" x14ac:dyDescent="0.25">
      <c r="A948" s="2">
        <f ca="1">IFERROR(__xludf.DUMMYFUNCTION("""COMPUTED_VALUE"""),45025.3156197569)</f>
        <v>45025.315619756897</v>
      </c>
      <c r="B948" s="1" t="str">
        <f ca="1">IFERROR(__xludf.DUMMYFUNCTION("""COMPUTED_VALUE"""),"India")</f>
        <v>India</v>
      </c>
      <c r="C948" s="1">
        <f ca="1">IFERROR(__xludf.DUMMYFUNCTION("""COMPUTED_VALUE"""),505327)</f>
        <v>505327</v>
      </c>
      <c r="D948" s="1" t="str">
        <f ca="1">IFERROR(__xludf.DUMMYFUNCTION("""COMPUTED_VALUE"""),"Male")</f>
        <v>Male</v>
      </c>
      <c r="E948" s="1" t="str">
        <f ca="1">IFERROR(__xludf.DUMMYFUNCTION("""COMPUTED_VALUE"""),"People who have changed the world for better")</f>
        <v>People who have changed the world for better</v>
      </c>
      <c r="F948" s="1" t="str">
        <f ca="1">IFERROR(__xludf.DUMMYFUNCTION("""COMPUTED_VALUE"""),"Yes, I will earn and do that")</f>
        <v>Yes, I will earn and do that</v>
      </c>
      <c r="G948" s="1" t="str">
        <f ca="1">IFERROR(__xludf.DUMMYFUNCTION("""COMPUTED_VALUE"""),"This will be hard to do, but if it is the right company I would try")</f>
        <v>This will be hard to do, but if it is the right company I would try</v>
      </c>
      <c r="H948" s="1" t="str">
        <f ca="1">IFERROR(__xludf.DUMMYFUNCTION("""COMPUTED_VALUE"""),"No")</f>
        <v>No</v>
      </c>
      <c r="I948" s="1" t="str">
        <f ca="1">IFERROR(__xludf.DUMMYFUNCTION("""COMPUTED_VALUE"""),"Will NOT work for them")</f>
        <v>Will NOT work for them</v>
      </c>
      <c r="J948" s="1">
        <f ca="1">IFERROR(__xludf.DUMMYFUNCTION("""COMPUTED_VALUE"""),8)</f>
        <v>8</v>
      </c>
      <c r="K948" s="1" t="str">
        <f ca="1">IFERROR(__xludf.DUMMYFUNCTION("""COMPUTED_VALUE"""),"Hybrid Working Environment with more than 15 days a month at office")</f>
        <v>Hybrid Working Environment with more than 15 days a month at office</v>
      </c>
      <c r="L948" s="1" t="str">
        <f ca="1">IFERROR(__xludf.DUMMYFUNCTION("""COMPUTED_VALUE"""),"Employer who pushes your limits by enabling an learning environment, and rewards you at the end")</f>
        <v>Employer who pushes your limits by enabling an learning environment, and rewards you at the end</v>
      </c>
      <c r="M94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948" s="1"/>
      <c r="O948" s="1" t="str">
        <f ca="1">IFERROR(__xludf.DUMMYFUNCTION("""COMPUTED_VALUE"""),"Manager who explains what is expected, sets a goal and helps achieve it")</f>
        <v>Manager who explains what is expected, sets a goal and helps achieve it</v>
      </c>
      <c r="P948" s="1" t="str">
        <f ca="1">IFERROR(__xludf.DUMMYFUNCTION("""COMPUTED_VALUE"""),"Work &lt;=6 People in the Team")</f>
        <v>Work &lt;=6 People in the Team</v>
      </c>
      <c r="Q948" s="1" t="s">
        <v>43</v>
      </c>
      <c r="R948" s="1"/>
    </row>
    <row r="949" spans="1:18" x14ac:dyDescent="0.25">
      <c r="A949" s="2">
        <f ca="1">IFERROR(__xludf.DUMMYFUNCTION("""COMPUTED_VALUE"""),45025.4050530671)</f>
        <v>45025.405053067101</v>
      </c>
      <c r="B949" s="1" t="str">
        <f ca="1">IFERROR(__xludf.DUMMYFUNCTION("""COMPUTED_VALUE"""),"India")</f>
        <v>India</v>
      </c>
      <c r="C949" s="1">
        <f ca="1">IFERROR(__xludf.DUMMYFUNCTION("""COMPUTED_VALUE"""),410505)</f>
        <v>410505</v>
      </c>
      <c r="D949" s="1" t="str">
        <f ca="1">IFERROR(__xludf.DUMMYFUNCTION("""COMPUTED_VALUE"""),"Male")</f>
        <v>Male</v>
      </c>
      <c r="E949" s="1" t="str">
        <f ca="1">IFERROR(__xludf.DUMMYFUNCTION("""COMPUTED_VALUE"""),"Influencers who had successful careers")</f>
        <v>Influencers who had successful careers</v>
      </c>
      <c r="F949" s="1" t="str">
        <f ca="1">IFERROR(__xludf.DUMMYFUNCTION("""COMPUTED_VALUE"""),"No I would not be pursuing Higher Education outside of India")</f>
        <v>No I would not be pursuing Higher Education outside of India</v>
      </c>
      <c r="G949" s="1" t="str">
        <f ca="1">IFERROR(__xludf.DUMMYFUNCTION("""COMPUTED_VALUE"""),"Will work for 3 years or more")</f>
        <v>Will work for 3 years or more</v>
      </c>
      <c r="H949" s="1" t="str">
        <f ca="1">IFERROR(__xludf.DUMMYFUNCTION("""COMPUTED_VALUE"""),"Yes")</f>
        <v>Yes</v>
      </c>
      <c r="I949" s="1" t="str">
        <f ca="1">IFERROR(__xludf.DUMMYFUNCTION("""COMPUTED_VALUE"""),"Will NOT work for them")</f>
        <v>Will NOT work for them</v>
      </c>
      <c r="J949" s="1">
        <f ca="1">IFERROR(__xludf.DUMMYFUNCTION("""COMPUTED_VALUE"""),6)</f>
        <v>6</v>
      </c>
      <c r="K949" s="1" t="str">
        <f ca="1">IFERROR(__xludf.DUMMYFUNCTION("""COMPUTED_VALUE"""),"Hybrid Working Environment with less than 3 days a month at office")</f>
        <v>Hybrid Working Environment with less than 3 days a month at office</v>
      </c>
      <c r="L949" s="1" t="str">
        <f ca="1">IFERROR(__xludf.DUMMYFUNCTION("""COMPUTED_VALUE"""),"Employer who pushes your limits by enabling an learning environment, and rewards you at the end")</f>
        <v>Employer who pushes your limits by enabling an learning environment, and rewards you at the end</v>
      </c>
      <c r="M949"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N949" s="1"/>
      <c r="O949" s="1" t="str">
        <f ca="1">IFERROR(__xludf.DUMMYFUNCTION("""COMPUTED_VALUE"""),"Manager who explains what is expected, sets a goal and helps achieve it")</f>
        <v>Manager who explains what is expected, sets a goal and helps achieve it</v>
      </c>
      <c r="P949" s="1" t="str">
        <f ca="1">IFERROR(__xludf.DUMMYFUNCTION("""COMPUTED_VALUE"""),"Work &lt;=6 People in the Team")</f>
        <v>Work &lt;=6 People in the Team</v>
      </c>
      <c r="Q949" s="1" t="s">
        <v>40</v>
      </c>
      <c r="R949" s="1"/>
    </row>
    <row r="950" spans="1:18" x14ac:dyDescent="0.25">
      <c r="A950" s="2">
        <f ca="1">IFERROR(__xludf.DUMMYFUNCTION("""COMPUTED_VALUE"""),45025.4718439351)</f>
        <v>45025.471843935098</v>
      </c>
      <c r="B950" s="1" t="str">
        <f ca="1">IFERROR(__xludf.DUMMYFUNCTION("""COMPUTED_VALUE"""),"India")</f>
        <v>India</v>
      </c>
      <c r="C950" s="1">
        <f ca="1">IFERROR(__xludf.DUMMYFUNCTION("""COMPUTED_VALUE"""),575013)</f>
        <v>575013</v>
      </c>
      <c r="D950" s="1" t="str">
        <f ca="1">IFERROR(__xludf.DUMMYFUNCTION("""COMPUTED_VALUE"""),"Female")</f>
        <v>Female</v>
      </c>
      <c r="E950" s="1" t="str">
        <f ca="1">IFERROR(__xludf.DUMMYFUNCTION("""COMPUTED_VALUE"""),"Social Media like LinkedIn")</f>
        <v>Social Media like LinkedIn</v>
      </c>
      <c r="F950" s="1" t="str">
        <f ca="1">IFERROR(__xludf.DUMMYFUNCTION("""COMPUTED_VALUE"""),"Yes, I will earn and do that")</f>
        <v>Yes, I will earn and do that</v>
      </c>
      <c r="G950" s="1" t="str">
        <f ca="1">IFERROR(__xludf.DUMMYFUNCTION("""COMPUTED_VALUE"""),"This will be hard to do, but if it is the right company I would try")</f>
        <v>This will be hard to do, but if it is the right company I would try</v>
      </c>
      <c r="H950" s="1" t="str">
        <f ca="1">IFERROR(__xludf.DUMMYFUNCTION("""COMPUTED_VALUE"""),"No")</f>
        <v>No</v>
      </c>
      <c r="I950" s="1" t="str">
        <f ca="1">IFERROR(__xludf.DUMMYFUNCTION("""COMPUTED_VALUE"""),"Will NOT work for them")</f>
        <v>Will NOT work for them</v>
      </c>
      <c r="J950" s="1">
        <f ca="1">IFERROR(__xludf.DUMMYFUNCTION("""COMPUTED_VALUE"""),2)</f>
        <v>2</v>
      </c>
      <c r="K950" s="1" t="str">
        <f ca="1">IFERROR(__xludf.DUMMYFUNCTION("""COMPUTED_VALUE"""),"Fully Remote with Options to travel as and when needed")</f>
        <v>Fully Remote with Options to travel as and when needed</v>
      </c>
      <c r="L950" s="1" t="str">
        <f ca="1">IFERROR(__xludf.DUMMYFUNCTION("""COMPUTED_VALUE"""),"Employer who pushes your limits by enabling an learning environment, and rewards you at the end")</f>
        <v>Employer who pushes your limits by enabling an learning environment, and rewards you at the end</v>
      </c>
      <c r="M95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950" s="1"/>
      <c r="O950" s="1" t="str">
        <f ca="1">IFERROR(__xludf.DUMMYFUNCTION("""COMPUTED_VALUE"""),"Manager who explains what is expected, sets a goal and helps achieve it")</f>
        <v>Manager who explains what is expected, sets a goal and helps achieve it</v>
      </c>
      <c r="P950" s="1" t="str">
        <f ca="1">IFERROR(__xludf.DUMMYFUNCTION("""COMPUTED_VALUE"""),"Work &lt;=6 People in the Team")</f>
        <v>Work &lt;=6 People in the Team</v>
      </c>
      <c r="Q950" s="1" t="s">
        <v>43</v>
      </c>
      <c r="R950" s="1"/>
    </row>
    <row r="951" spans="1:18" x14ac:dyDescent="0.25">
      <c r="A951" s="2">
        <f ca="1">IFERROR(__xludf.DUMMYFUNCTION("""COMPUTED_VALUE"""),45025.590613368)</f>
        <v>45025.590613367996</v>
      </c>
      <c r="B951" s="1" t="str">
        <f ca="1">IFERROR(__xludf.DUMMYFUNCTION("""COMPUTED_VALUE"""),"India")</f>
        <v>India</v>
      </c>
      <c r="C951" s="1">
        <f ca="1">IFERROR(__xludf.DUMMYFUNCTION("""COMPUTED_VALUE"""),442902)</f>
        <v>442902</v>
      </c>
      <c r="D951" s="1" t="str">
        <f ca="1">IFERROR(__xludf.DUMMYFUNCTION("""COMPUTED_VALUE"""),"Male")</f>
        <v>Male</v>
      </c>
      <c r="E951" s="1" t="str">
        <f ca="1">IFERROR(__xludf.DUMMYFUNCTION("""COMPUTED_VALUE"""),"My Parents")</f>
        <v>My Parents</v>
      </c>
      <c r="F951" s="1" t="str">
        <f ca="1">IFERROR(__xludf.DUMMYFUNCTION("""COMPUTED_VALUE"""),"Yes, I will earn and do that")</f>
        <v>Yes, I will earn and do that</v>
      </c>
      <c r="G951" s="1" t="str">
        <f ca="1">IFERROR(__xludf.DUMMYFUNCTION("""COMPUTED_VALUE"""),"No way")</f>
        <v>No way</v>
      </c>
      <c r="H951" s="1" t="str">
        <f ca="1">IFERROR(__xludf.DUMMYFUNCTION("""COMPUTED_VALUE"""),"No")</f>
        <v>No</v>
      </c>
      <c r="I951" s="1" t="str">
        <f ca="1">IFERROR(__xludf.DUMMYFUNCTION("""COMPUTED_VALUE"""),"Will NOT work for them")</f>
        <v>Will NOT work for them</v>
      </c>
      <c r="J951" s="1">
        <f ca="1">IFERROR(__xludf.DUMMYFUNCTION("""COMPUTED_VALUE"""),1)</f>
        <v>1</v>
      </c>
      <c r="K951" s="1" t="str">
        <f ca="1">IFERROR(__xludf.DUMMYFUNCTION("""COMPUTED_VALUE"""),"Fully Remote with Options to travel as and when needed")</f>
        <v>Fully Remote with Options to travel as and when needed</v>
      </c>
      <c r="L951" s="1" t="str">
        <f ca="1">IFERROR(__xludf.DUMMYFUNCTION("""COMPUTED_VALUE"""),"Employer who appreciates learning and enables that environment")</f>
        <v>Employer who appreciates learning and enables that environment</v>
      </c>
      <c r="M951"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N951" s="1"/>
      <c r="O951" s="1" t="str">
        <f ca="1">IFERROR(__xludf.DUMMYFUNCTION("""COMPUTED_VALUE"""),"Manager who sets unrealistic targets")</f>
        <v>Manager who sets unrealistic targets</v>
      </c>
      <c r="P951" s="1" t="str">
        <f ca="1">IFERROR(__xludf.DUMMYFUNCTION("""COMPUTED_VALUE"""),"Work &lt;=6 People in the Team")</f>
        <v>Work &lt;=6 People in the Team</v>
      </c>
      <c r="Q951" s="1" t="s">
        <v>40</v>
      </c>
      <c r="R951" s="1"/>
    </row>
    <row r="952" spans="1:18" x14ac:dyDescent="0.25">
      <c r="A952" s="2">
        <f ca="1">IFERROR(__xludf.DUMMYFUNCTION("""COMPUTED_VALUE"""),45025.5943978935)</f>
        <v>45025.594397893503</v>
      </c>
      <c r="B952" s="1" t="str">
        <f ca="1">IFERROR(__xludf.DUMMYFUNCTION("""COMPUTED_VALUE"""),"India")</f>
        <v>India</v>
      </c>
      <c r="C952" s="1">
        <f ca="1">IFERROR(__xludf.DUMMYFUNCTION("""COMPUTED_VALUE"""),442902)</f>
        <v>442902</v>
      </c>
      <c r="D952" s="1" t="str">
        <f ca="1">IFERROR(__xludf.DUMMYFUNCTION("""COMPUTED_VALUE"""),"Female")</f>
        <v>Female</v>
      </c>
      <c r="E952" s="1" t="str">
        <f ca="1">IFERROR(__xludf.DUMMYFUNCTION("""COMPUTED_VALUE"""),"Influencers who had successful careers")</f>
        <v>Influencers who had successful careers</v>
      </c>
      <c r="F952" s="1" t="str">
        <f ca="1">IFERROR(__xludf.DUMMYFUNCTION("""COMPUTED_VALUE"""),"No, But if someone could bare the cost I will")</f>
        <v>No, But if someone could bare the cost I will</v>
      </c>
      <c r="G952" s="1" t="str">
        <f ca="1">IFERROR(__xludf.DUMMYFUNCTION("""COMPUTED_VALUE"""),"This will be hard to do, but if it is the right company I would try")</f>
        <v>This will be hard to do, but if it is the right company I would try</v>
      </c>
      <c r="H952" s="1" t="str">
        <f ca="1">IFERROR(__xludf.DUMMYFUNCTION("""COMPUTED_VALUE"""),"Yes")</f>
        <v>Yes</v>
      </c>
      <c r="I952" s="1" t="str">
        <f ca="1">IFERROR(__xludf.DUMMYFUNCTION("""COMPUTED_VALUE"""),"Will work for them")</f>
        <v>Will work for them</v>
      </c>
      <c r="J952" s="1">
        <f ca="1">IFERROR(__xludf.DUMMYFUNCTION("""COMPUTED_VALUE"""),8)</f>
        <v>8</v>
      </c>
      <c r="K952" s="1" t="str">
        <f ca="1">IFERROR(__xludf.DUMMYFUNCTION("""COMPUTED_VALUE"""),"Fully Remote with Options to travel as and when needed")</f>
        <v>Fully Remote with Options to travel as and when needed</v>
      </c>
      <c r="L952" s="1" t="str">
        <f ca="1">IFERROR(__xludf.DUMMYFUNCTION("""COMPUTED_VALUE"""),"Employer who pushes your limits and doesn't enables learning environment and never rewards you")</f>
        <v>Employer who pushes your limits and doesn't enables learning environment and never rewards you</v>
      </c>
      <c r="M952" s="1" t="str">
        <f ca="1">IFERROR(__xludf.DUMMYFUNCTION("""COMPUTED_VALUE"""),"Build and develop a Team, Design and Develop amazing software, Look deeply into Data and generate insights, Work in a BPO setup for some well known client")</f>
        <v>Build and develop a Team, Design and Develop amazing software, Look deeply into Data and generate insights, Work in a BPO setup for some well known client</v>
      </c>
      <c r="N952" s="1"/>
      <c r="O952" s="1" t="str">
        <f ca="1">IFERROR(__xludf.DUMMYFUNCTION("""COMPUTED_VALUE"""),"Manager who explains what is expected, sets a goal and helps achieve it")</f>
        <v>Manager who explains what is expected, sets a goal and helps achieve it</v>
      </c>
      <c r="P952" s="1" t="str">
        <f ca="1">IFERROR(__xludf.DUMMYFUNCTION("""COMPUTED_VALUE"""),"Work &lt;=6 People in the Team")</f>
        <v>Work &lt;=6 People in the Team</v>
      </c>
      <c r="Q952" s="1" t="s">
        <v>40</v>
      </c>
      <c r="R952" s="1"/>
    </row>
    <row r="953" spans="1:18" x14ac:dyDescent="0.25">
      <c r="A953" s="2">
        <f ca="1">IFERROR(__xludf.DUMMYFUNCTION("""COMPUTED_VALUE"""),45025.6355417939)</f>
        <v>45025.635541793898</v>
      </c>
      <c r="B953" s="1" t="str">
        <f ca="1">IFERROR(__xludf.DUMMYFUNCTION("""COMPUTED_VALUE"""),"India")</f>
        <v>India</v>
      </c>
      <c r="C953" s="1">
        <f ca="1">IFERROR(__xludf.DUMMYFUNCTION("""COMPUTED_VALUE"""),411902)</f>
        <v>411902</v>
      </c>
      <c r="D953" s="1" t="str">
        <f ca="1">IFERROR(__xludf.DUMMYFUNCTION("""COMPUTED_VALUE"""),"Male")</f>
        <v>Male</v>
      </c>
      <c r="E953" s="1" t="str">
        <f ca="1">IFERROR(__xludf.DUMMYFUNCTION("""COMPUTED_VALUE"""),"Influencers who had successful careers")</f>
        <v>Influencers who had successful careers</v>
      </c>
      <c r="F953" s="1" t="str">
        <f ca="1">IFERROR(__xludf.DUMMYFUNCTION("""COMPUTED_VALUE"""),"No I would not be pursuing Higher Education outside of India")</f>
        <v>No I would not be pursuing Higher Education outside of India</v>
      </c>
      <c r="G953" s="1" t="str">
        <f ca="1">IFERROR(__xludf.DUMMYFUNCTION("""COMPUTED_VALUE"""),"No way")</f>
        <v>No way</v>
      </c>
      <c r="H953" s="1" t="str">
        <f ca="1">IFERROR(__xludf.DUMMYFUNCTION("""COMPUTED_VALUE"""),"Yes")</f>
        <v>Yes</v>
      </c>
      <c r="I953" s="1" t="str">
        <f ca="1">IFERROR(__xludf.DUMMYFUNCTION("""COMPUTED_VALUE"""),"Will work for them")</f>
        <v>Will work for them</v>
      </c>
      <c r="J953" s="1">
        <f ca="1">IFERROR(__xludf.DUMMYFUNCTION("""COMPUTED_VALUE"""),5)</f>
        <v>5</v>
      </c>
      <c r="K953" s="1" t="str">
        <f ca="1">IFERROR(__xludf.DUMMYFUNCTION("""COMPUTED_VALUE"""),"Hybrid Working Environment with more than 15 days a month at office")</f>
        <v>Hybrid Working Environment with more than 15 days a month at office</v>
      </c>
      <c r="L953" s="1" t="str">
        <f ca="1">IFERROR(__xludf.DUMMYFUNCTION("""COMPUTED_VALUE"""),"Employer who pushes your limits by enabling an learning environment, and rewards you at the end")</f>
        <v>Employer who pushes your limits by enabling an learning environment, and rewards you at the end</v>
      </c>
      <c r="M95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953" s="1"/>
      <c r="O953" s="1" t="str">
        <f ca="1">IFERROR(__xludf.DUMMYFUNCTION("""COMPUTED_VALUE"""),"Manager who sets goal and helps me achieve it")</f>
        <v>Manager who sets goal and helps me achieve it</v>
      </c>
      <c r="P953" s="1" t="str">
        <f ca="1">IFERROR(__xludf.DUMMYFUNCTION("""COMPUTED_VALUE"""),"Work &lt;=6 People in the Team")</f>
        <v>Work &lt;=6 People in the Team</v>
      </c>
      <c r="Q953" s="1" t="s">
        <v>43</v>
      </c>
      <c r="R953" s="1"/>
    </row>
    <row r="954" spans="1:18" x14ac:dyDescent="0.25">
      <c r="A954" s="2">
        <f ca="1">IFERROR(__xludf.DUMMYFUNCTION("""COMPUTED_VALUE"""),45025.6914381134)</f>
        <v>45025.691438113397</v>
      </c>
      <c r="B954" s="1" t="str">
        <f ca="1">IFERROR(__xludf.DUMMYFUNCTION("""COMPUTED_VALUE"""),"India")</f>
        <v>India</v>
      </c>
      <c r="C954" s="1">
        <f ca="1">IFERROR(__xludf.DUMMYFUNCTION("""COMPUTED_VALUE"""),224001)</f>
        <v>224001</v>
      </c>
      <c r="D954" s="1" t="str">
        <f ca="1">IFERROR(__xludf.DUMMYFUNCTION("""COMPUTED_VALUE"""),"Male")</f>
        <v>Male</v>
      </c>
      <c r="E954" s="1" t="str">
        <f ca="1">IFERROR(__xludf.DUMMYFUNCTION("""COMPUTED_VALUE"""),"My Parents")</f>
        <v>My Parents</v>
      </c>
      <c r="F954" s="1" t="str">
        <f ca="1">IFERROR(__xludf.DUMMYFUNCTION("""COMPUTED_VALUE"""),"Yes, I will earn and do that")</f>
        <v>Yes, I will earn and do that</v>
      </c>
      <c r="G954" s="1" t="str">
        <f ca="1">IFERROR(__xludf.DUMMYFUNCTION("""COMPUTED_VALUE"""),"Will work for 3 years or more")</f>
        <v>Will work for 3 years or more</v>
      </c>
      <c r="H954" s="1" t="str">
        <f ca="1">IFERROR(__xludf.DUMMYFUNCTION("""COMPUTED_VALUE"""),"Yes")</f>
        <v>Yes</v>
      </c>
      <c r="I954" s="1" t="str">
        <f ca="1">IFERROR(__xludf.DUMMYFUNCTION("""COMPUTED_VALUE"""),"Will work for them")</f>
        <v>Will work for them</v>
      </c>
      <c r="J954" s="1">
        <f ca="1">IFERROR(__xludf.DUMMYFUNCTION("""COMPUTED_VALUE"""),5)</f>
        <v>5</v>
      </c>
      <c r="K954" s="1" t="str">
        <f ca="1">IFERROR(__xludf.DUMMYFUNCTION("""COMPUTED_VALUE"""),"Fully Remote with Options to travel as and when needed")</f>
        <v>Fully Remote with Options to travel as and when needed</v>
      </c>
      <c r="L954" s="1" t="str">
        <f ca="1">IFERROR(__xludf.DUMMYFUNCTION("""COMPUTED_VALUE"""),"Employer who pushes your limits by enabling an learning environment, and rewards you at the end")</f>
        <v>Employer who pushes your limits by enabling an learning environment, and rewards you at the end</v>
      </c>
      <c r="M954" s="1" t="str">
        <f ca="1">IFERROR(__xludf.DUMMYFUNCTION("""COMPUTED_VALUE"""),"Teaching in any of the institutes/colleges/online or offline, Build and develop a Team, Work as a freelancer and do my thing my way, An Artificial Intelligence Specialist / Talking to Robots")</f>
        <v>Teaching in any of the institutes/colleges/online or offline, Build and develop a Team, Work as a freelancer and do my thing my way, An Artificial Intelligence Specialist / Talking to Robots</v>
      </c>
      <c r="N954" s="1"/>
      <c r="O954" s="1" t="str">
        <f ca="1">IFERROR(__xludf.DUMMYFUNCTION("""COMPUTED_VALUE"""),"Manager who sets goal and helps me achieve it")</f>
        <v>Manager who sets goal and helps me achieve it</v>
      </c>
      <c r="P954" s="1" t="str">
        <f ca="1">IFERROR(__xludf.DUMMYFUNCTION("""COMPUTED_VALUE"""),"Work &lt;=6 People in the Team")</f>
        <v>Work &lt;=6 People in the Team</v>
      </c>
      <c r="Q954" s="1" t="s">
        <v>43</v>
      </c>
      <c r="R954" s="1"/>
    </row>
    <row r="955" spans="1:18" x14ac:dyDescent="0.25">
      <c r="A955" s="2">
        <f ca="1">IFERROR(__xludf.DUMMYFUNCTION("""COMPUTED_VALUE"""),45025.692882905)</f>
        <v>45025.692882905001</v>
      </c>
      <c r="B955" s="1" t="str">
        <f ca="1">IFERROR(__xludf.DUMMYFUNCTION("""COMPUTED_VALUE"""),"India")</f>
        <v>India</v>
      </c>
      <c r="C955" s="1">
        <f ca="1">IFERROR(__xludf.DUMMYFUNCTION("""COMPUTED_VALUE"""),201009)</f>
        <v>201009</v>
      </c>
      <c r="D955" s="1" t="str">
        <f ca="1">IFERROR(__xludf.DUMMYFUNCTION("""COMPUTED_VALUE"""),"Female")</f>
        <v>Female</v>
      </c>
      <c r="E955" s="1" t="str">
        <f ca="1">IFERROR(__xludf.DUMMYFUNCTION("""COMPUTED_VALUE"""),"My Parents")</f>
        <v>My Parents</v>
      </c>
      <c r="F955" s="1" t="str">
        <f ca="1">IFERROR(__xludf.DUMMYFUNCTION("""COMPUTED_VALUE"""),"Yes, I will earn and do that")</f>
        <v>Yes, I will earn and do that</v>
      </c>
      <c r="G955" s="1" t="str">
        <f ca="1">IFERROR(__xludf.DUMMYFUNCTION("""COMPUTED_VALUE"""),"Will work for 3 years or more")</f>
        <v>Will work for 3 years or more</v>
      </c>
      <c r="H955" s="1" t="str">
        <f ca="1">IFERROR(__xludf.DUMMYFUNCTION("""COMPUTED_VALUE"""),"No")</f>
        <v>No</v>
      </c>
      <c r="I955" s="1" t="str">
        <f ca="1">IFERROR(__xludf.DUMMYFUNCTION("""COMPUTED_VALUE"""),"Will work for them")</f>
        <v>Will work for them</v>
      </c>
      <c r="J955" s="1">
        <f ca="1">IFERROR(__xludf.DUMMYFUNCTION("""COMPUTED_VALUE"""),10)</f>
        <v>10</v>
      </c>
      <c r="K955" s="1" t="str">
        <f ca="1">IFERROR(__xludf.DUMMYFUNCTION("""COMPUTED_VALUE"""),"Every Day Office Environment")</f>
        <v>Every Day Office Environment</v>
      </c>
      <c r="L955" s="1" t="str">
        <f ca="1">IFERROR(__xludf.DUMMYFUNCTION("""COMPUTED_VALUE"""),"Employer who appreciates learning and enables that environment")</f>
        <v>Employer who appreciates learning and enables that environment</v>
      </c>
      <c r="M9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955" s="1"/>
      <c r="O955" s="1" t="str">
        <f ca="1">IFERROR(__xludf.DUMMYFUNCTION("""COMPUTED_VALUE"""),"Manager who clearly describes what she/he needs")</f>
        <v>Manager who clearly describes what she/he needs</v>
      </c>
      <c r="P955" s="1" t="str">
        <f ca="1">IFERROR(__xludf.DUMMYFUNCTION("""COMPUTED_VALUE"""),"Work &gt;10 people in Team")</f>
        <v>Work &gt;10 people in Team</v>
      </c>
      <c r="Q955" s="1" t="s">
        <v>43</v>
      </c>
      <c r="R955" s="1"/>
    </row>
    <row r="956" spans="1:18" x14ac:dyDescent="0.25">
      <c r="A956" s="2">
        <f ca="1">IFERROR(__xludf.DUMMYFUNCTION("""COMPUTED_VALUE"""),45025.6931861689)</f>
        <v>45025.693186168901</v>
      </c>
      <c r="B956" s="1" t="str">
        <f ca="1">IFERROR(__xludf.DUMMYFUNCTION("""COMPUTED_VALUE"""),"India")</f>
        <v>India</v>
      </c>
      <c r="C956" s="1">
        <f ca="1">IFERROR(__xludf.DUMMYFUNCTION("""COMPUTED_VALUE"""),224001)</f>
        <v>224001</v>
      </c>
      <c r="D956" s="1" t="str">
        <f ca="1">IFERROR(__xludf.DUMMYFUNCTION("""COMPUTED_VALUE"""),"Female")</f>
        <v>Female</v>
      </c>
      <c r="E956" s="1" t="str">
        <f ca="1">IFERROR(__xludf.DUMMYFUNCTION("""COMPUTED_VALUE"""),"People from my circle, but not family members")</f>
        <v>People from my circle, but not family members</v>
      </c>
      <c r="F956" s="1" t="str">
        <f ca="1">IFERROR(__xludf.DUMMYFUNCTION("""COMPUTED_VALUE"""),"Yes, I will earn and do that")</f>
        <v>Yes, I will earn and do that</v>
      </c>
      <c r="G956" s="1" t="str">
        <f ca="1">IFERROR(__xludf.DUMMYFUNCTION("""COMPUTED_VALUE"""),"Will work for 3 years or more")</f>
        <v>Will work for 3 years or more</v>
      </c>
      <c r="H956" s="1" t="str">
        <f ca="1">IFERROR(__xludf.DUMMYFUNCTION("""COMPUTED_VALUE"""),"No")</f>
        <v>No</v>
      </c>
      <c r="I956" s="1" t="str">
        <f ca="1">IFERROR(__xludf.DUMMYFUNCTION("""COMPUTED_VALUE"""),"Will work for them")</f>
        <v>Will work for them</v>
      </c>
      <c r="J956" s="1">
        <f ca="1">IFERROR(__xludf.DUMMYFUNCTION("""COMPUTED_VALUE"""),3)</f>
        <v>3</v>
      </c>
      <c r="K956" s="1" t="str">
        <f ca="1">IFERROR(__xludf.DUMMYFUNCTION("""COMPUTED_VALUE"""),"Every Day Office Environment")</f>
        <v>Every Day Office Environment</v>
      </c>
      <c r="L956" s="1" t="str">
        <f ca="1">IFERROR(__xludf.DUMMYFUNCTION("""COMPUTED_VALUE"""),"Employer who appreciates learning and enables that environment")</f>
        <v>Employer who appreciates learning and enables that environment</v>
      </c>
      <c r="M95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956" s="1"/>
      <c r="O956" s="1" t="str">
        <f ca="1">IFERROR(__xludf.DUMMYFUNCTION("""COMPUTED_VALUE"""),"Manager who sets targets and expects me to achieve it")</f>
        <v>Manager who sets targets and expects me to achieve it</v>
      </c>
      <c r="P956" s="1" t="str">
        <f ca="1">IFERROR(__xludf.DUMMYFUNCTION("""COMPUTED_VALUE"""),"Work &lt;=6 People in the Team")</f>
        <v>Work &lt;=6 People in the Team</v>
      </c>
      <c r="Q956" s="1" t="s">
        <v>43</v>
      </c>
      <c r="R956" s="1"/>
    </row>
    <row r="957" spans="1:18" x14ac:dyDescent="0.25">
      <c r="A957" s="2">
        <f ca="1">IFERROR(__xludf.DUMMYFUNCTION("""COMPUTED_VALUE"""),45025.6945456828)</f>
        <v>45025.694545682803</v>
      </c>
      <c r="B957" s="1" t="str">
        <f ca="1">IFERROR(__xludf.DUMMYFUNCTION("""COMPUTED_VALUE"""),"India")</f>
        <v>India</v>
      </c>
      <c r="C957" s="1">
        <f ca="1">IFERROR(__xludf.DUMMYFUNCTION("""COMPUTED_VALUE"""),122002)</f>
        <v>122002</v>
      </c>
      <c r="D957" s="1" t="str">
        <f ca="1">IFERROR(__xludf.DUMMYFUNCTION("""COMPUTED_VALUE"""),"Male")</f>
        <v>Male</v>
      </c>
      <c r="E957" s="1" t="str">
        <f ca="1">IFERROR(__xludf.DUMMYFUNCTION("""COMPUTED_VALUE"""),"My Parents")</f>
        <v>My Parents</v>
      </c>
      <c r="F957" s="1" t="str">
        <f ca="1">IFERROR(__xludf.DUMMYFUNCTION("""COMPUTED_VALUE"""),"Yes, I will earn and do that")</f>
        <v>Yes, I will earn and do that</v>
      </c>
      <c r="G957" s="1" t="str">
        <f ca="1">IFERROR(__xludf.DUMMYFUNCTION("""COMPUTED_VALUE"""),"This will be hard to do, but if it is the right company I would try")</f>
        <v>This will be hard to do, but if it is the right company I would try</v>
      </c>
      <c r="H957" s="1" t="str">
        <f ca="1">IFERROR(__xludf.DUMMYFUNCTION("""COMPUTED_VALUE"""),"No")</f>
        <v>No</v>
      </c>
      <c r="I957" s="1" t="str">
        <f ca="1">IFERROR(__xludf.DUMMYFUNCTION("""COMPUTED_VALUE"""),"Will NOT work for them")</f>
        <v>Will NOT work for them</v>
      </c>
      <c r="J957" s="1">
        <f ca="1">IFERROR(__xludf.DUMMYFUNCTION("""COMPUTED_VALUE"""),3)</f>
        <v>3</v>
      </c>
      <c r="K957" s="1" t="str">
        <f ca="1">IFERROR(__xludf.DUMMYFUNCTION("""COMPUTED_VALUE"""),"Hybrid Working Environment with less than 3 days a month at office")</f>
        <v>Hybrid Working Environment with less than 3 days a month at office</v>
      </c>
      <c r="L957" s="1" t="str">
        <f ca="1">IFERROR(__xludf.DUMMYFUNCTION("""COMPUTED_VALUE"""),"Employer who pushes your limits by enabling an learning environment, and rewards you at the end")</f>
        <v>Employer who pushes your limits by enabling an learning environment, and rewards you at the end</v>
      </c>
      <c r="M957"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957" s="1"/>
      <c r="O957" s="1" t="str">
        <f ca="1">IFERROR(__xludf.DUMMYFUNCTION("""COMPUTED_VALUE"""),"Manager who explains what is expected, sets a goal and helps achieve it")</f>
        <v>Manager who explains what is expected, sets a goal and helps achieve it</v>
      </c>
      <c r="P957" s="1" t="str">
        <f ca="1">IFERROR(__xludf.DUMMYFUNCTION("""COMPUTED_VALUE"""),"Work &gt;=7 People in the Team")</f>
        <v>Work &gt;=7 People in the Team</v>
      </c>
      <c r="Q957" s="1" t="s">
        <v>43</v>
      </c>
      <c r="R957" s="1"/>
    </row>
    <row r="958" spans="1:18" x14ac:dyDescent="0.25">
      <c r="A958" s="2">
        <f ca="1">IFERROR(__xludf.DUMMYFUNCTION("""COMPUTED_VALUE"""),45025.6962868055)</f>
        <v>45025.696286805498</v>
      </c>
      <c r="B958" s="1" t="str">
        <f ca="1">IFERROR(__xludf.DUMMYFUNCTION("""COMPUTED_VALUE"""),"India")</f>
        <v>India</v>
      </c>
      <c r="C958" s="1">
        <f ca="1">IFERROR(__xludf.DUMMYFUNCTION("""COMPUTED_VALUE"""),201310)</f>
        <v>201310</v>
      </c>
      <c r="D958" s="1" t="str">
        <f ca="1">IFERROR(__xludf.DUMMYFUNCTION("""COMPUTED_VALUE"""),"Male")</f>
        <v>Male</v>
      </c>
      <c r="E958" s="1" t="str">
        <f ca="1">IFERROR(__xludf.DUMMYFUNCTION("""COMPUTED_VALUE"""),"People who have changed the world for better")</f>
        <v>People who have changed the world for better</v>
      </c>
      <c r="F958" s="1" t="str">
        <f ca="1">IFERROR(__xludf.DUMMYFUNCTION("""COMPUTED_VALUE"""),"No, But if someone could bare the cost I will")</f>
        <v>No, But if someone could bare the cost I will</v>
      </c>
      <c r="G958" s="1" t="str">
        <f ca="1">IFERROR(__xludf.DUMMYFUNCTION("""COMPUTED_VALUE"""),"Will work for 3 years or more")</f>
        <v>Will work for 3 years or more</v>
      </c>
      <c r="H958" s="1" t="str">
        <f ca="1">IFERROR(__xludf.DUMMYFUNCTION("""COMPUTED_VALUE"""),"No")</f>
        <v>No</v>
      </c>
      <c r="I958" s="1" t="str">
        <f ca="1">IFERROR(__xludf.DUMMYFUNCTION("""COMPUTED_VALUE"""),"Will NOT work for them")</f>
        <v>Will NOT work for them</v>
      </c>
      <c r="J958" s="1">
        <f ca="1">IFERROR(__xludf.DUMMYFUNCTION("""COMPUTED_VALUE"""),5)</f>
        <v>5</v>
      </c>
      <c r="K958" s="1" t="str">
        <f ca="1">IFERROR(__xludf.DUMMYFUNCTION("""COMPUTED_VALUE"""),"Fully Remote with Options to travel as and when needed")</f>
        <v>Fully Remote with Options to travel as and when needed</v>
      </c>
      <c r="L958" s="1" t="str">
        <f ca="1">IFERROR(__xludf.DUMMYFUNCTION("""COMPUTED_VALUE"""),"Employer who rewards learning and enables that environment")</f>
        <v>Employer who rewards learning and enables that environment</v>
      </c>
      <c r="M958" s="1" t="str">
        <f ca="1">IFERROR(__xludf.DUMMYFUNCTION("""COMPUTED_VALUE"""),"Design and Creative strategy in any company, Manage and drive End-to-End Projects or Products, Design and Develop amazing software, Entrepreneur or Start Up")</f>
        <v>Design and Creative strategy in any company, Manage and drive End-to-End Projects or Products, Design and Develop amazing software, Entrepreneur or Start Up</v>
      </c>
      <c r="N958" s="1"/>
      <c r="O958" s="1" t="str">
        <f ca="1">IFERROR(__xludf.DUMMYFUNCTION("""COMPUTED_VALUE"""),"Manager who explains what is expected, sets a goal and helps achieve it")</f>
        <v>Manager who explains what is expected, sets a goal and helps achieve it</v>
      </c>
      <c r="P958" s="1" t="str">
        <f ca="1">IFERROR(__xludf.DUMMYFUNCTION("""COMPUTED_VALUE"""),"Work &gt;=7 People in the Team")</f>
        <v>Work &gt;=7 People in the Team</v>
      </c>
      <c r="Q958" s="1" t="s">
        <v>43</v>
      </c>
      <c r="R958" s="1"/>
    </row>
    <row r="959" spans="1:18" x14ac:dyDescent="0.25">
      <c r="A959" s="2">
        <f ca="1">IFERROR(__xludf.DUMMYFUNCTION("""COMPUTED_VALUE"""),45025.7151838078)</f>
        <v>45025.715183807799</v>
      </c>
      <c r="B959" s="1" t="str">
        <f ca="1">IFERROR(__xludf.DUMMYFUNCTION("""COMPUTED_VALUE"""),"India")</f>
        <v>India</v>
      </c>
      <c r="C959" s="1">
        <f ca="1">IFERROR(__xludf.DUMMYFUNCTION("""COMPUTED_VALUE"""),110096)</f>
        <v>110096</v>
      </c>
      <c r="D959" s="1" t="str">
        <f ca="1">IFERROR(__xludf.DUMMYFUNCTION("""COMPUTED_VALUE"""),"Male")</f>
        <v>Male</v>
      </c>
      <c r="E959" s="1" t="str">
        <f ca="1">IFERROR(__xludf.DUMMYFUNCTION("""COMPUTED_VALUE"""),"People from my circle, but not family members")</f>
        <v>People from my circle, but not family members</v>
      </c>
      <c r="F959" s="1" t="str">
        <f ca="1">IFERROR(__xludf.DUMMYFUNCTION("""COMPUTED_VALUE"""),"No I would not be pursuing Higher Education outside of India")</f>
        <v>No I would not be pursuing Higher Education outside of India</v>
      </c>
      <c r="G959" s="1" t="str">
        <f ca="1">IFERROR(__xludf.DUMMYFUNCTION("""COMPUTED_VALUE"""),"Will work for 3 years or more")</f>
        <v>Will work for 3 years or more</v>
      </c>
      <c r="H959" s="1" t="str">
        <f ca="1">IFERROR(__xludf.DUMMYFUNCTION("""COMPUTED_VALUE"""),"No")</f>
        <v>No</v>
      </c>
      <c r="I959" s="1" t="str">
        <f ca="1">IFERROR(__xludf.DUMMYFUNCTION("""COMPUTED_VALUE"""),"Will NOT work for them")</f>
        <v>Will NOT work for them</v>
      </c>
      <c r="J959" s="1">
        <f ca="1">IFERROR(__xludf.DUMMYFUNCTION("""COMPUTED_VALUE"""),5)</f>
        <v>5</v>
      </c>
      <c r="K959" s="1" t="str">
        <f ca="1">IFERROR(__xludf.DUMMYFUNCTION("""COMPUTED_VALUE"""),"Hybrid Working Environment with more than 15 days a month at office")</f>
        <v>Hybrid Working Environment with more than 15 days a month at office</v>
      </c>
      <c r="L959" s="1" t="str">
        <f ca="1">IFERROR(__xludf.DUMMYFUNCTION("""COMPUTED_VALUE"""),"Employer who pushes your limits by enabling an learning environment, and rewards you at the end")</f>
        <v>Employer who pushes your limits by enabling an learning environment, and rewards you at the end</v>
      </c>
      <c r="M959"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N959" s="1"/>
      <c r="O959" s="1" t="str">
        <f ca="1">IFERROR(__xludf.DUMMYFUNCTION("""COMPUTED_VALUE"""),"Manager who explains what is expected, sets a goal and helps achieve it")</f>
        <v>Manager who explains what is expected, sets a goal and helps achieve it</v>
      </c>
      <c r="P959" s="1" t="str">
        <f ca="1">IFERROR(__xludf.DUMMYFUNCTION("""COMPUTED_VALUE"""),"Work &lt;=6 People in the Team")</f>
        <v>Work &lt;=6 People in the Team</v>
      </c>
      <c r="Q959" s="1" t="s">
        <v>40</v>
      </c>
      <c r="R959" s="1"/>
    </row>
    <row r="960" spans="1:18" x14ac:dyDescent="0.25">
      <c r="A960" s="2">
        <f ca="1">IFERROR(__xludf.DUMMYFUNCTION("""COMPUTED_VALUE"""),45025.7212469791)</f>
        <v>45025.721246979097</v>
      </c>
      <c r="B960" s="1" t="str">
        <f ca="1">IFERROR(__xludf.DUMMYFUNCTION("""COMPUTED_VALUE"""),"India")</f>
        <v>India</v>
      </c>
      <c r="C960" s="1">
        <f ca="1">IFERROR(__xludf.DUMMYFUNCTION("""COMPUTED_VALUE"""),421306)</f>
        <v>421306</v>
      </c>
      <c r="D960" s="1" t="str">
        <f ca="1">IFERROR(__xludf.DUMMYFUNCTION("""COMPUTED_VALUE"""),"Female")</f>
        <v>Female</v>
      </c>
      <c r="E960" s="1" t="str">
        <f ca="1">IFERROR(__xludf.DUMMYFUNCTION("""COMPUTED_VALUE"""),"My Parents")</f>
        <v>My Parents</v>
      </c>
      <c r="F960" s="1" t="str">
        <f ca="1">IFERROR(__xludf.DUMMYFUNCTION("""COMPUTED_VALUE"""),"Yes, I will earn and do that")</f>
        <v>Yes, I will earn and do that</v>
      </c>
      <c r="G960" s="1" t="str">
        <f ca="1">IFERROR(__xludf.DUMMYFUNCTION("""COMPUTED_VALUE"""),"This will be hard to do, but if it is the right company I would try")</f>
        <v>This will be hard to do, but if it is the right company I would try</v>
      </c>
      <c r="H960" s="1" t="str">
        <f ca="1">IFERROR(__xludf.DUMMYFUNCTION("""COMPUTED_VALUE"""),"No")</f>
        <v>No</v>
      </c>
      <c r="I960" s="1" t="str">
        <f ca="1">IFERROR(__xludf.DUMMYFUNCTION("""COMPUTED_VALUE"""),"Will NOT work for them")</f>
        <v>Will NOT work for them</v>
      </c>
      <c r="J960" s="1">
        <f ca="1">IFERROR(__xludf.DUMMYFUNCTION("""COMPUTED_VALUE"""),8)</f>
        <v>8</v>
      </c>
      <c r="K960" s="1" t="str">
        <f ca="1">IFERROR(__xludf.DUMMYFUNCTION("""COMPUTED_VALUE"""),"Fully Remote with Options to travel as and when needed")</f>
        <v>Fully Remote with Options to travel as and when needed</v>
      </c>
      <c r="L960" s="1" t="str">
        <f ca="1">IFERROR(__xludf.DUMMYFUNCTION("""COMPUTED_VALUE"""),"Employer who appreciates learning and enables that environment")</f>
        <v>Employer who appreciates learning and enables that environment</v>
      </c>
      <c r="M960"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N960" s="1"/>
      <c r="O960" s="1" t="str">
        <f ca="1">IFERROR(__xludf.DUMMYFUNCTION("""COMPUTED_VALUE"""),"Manager who explains what is expected, sets a goal and helps achieve it")</f>
        <v>Manager who explains what is expected, sets a goal and helps achieve it</v>
      </c>
      <c r="P960" s="1" t="str">
        <f ca="1">IFERROR(__xludf.DUMMYFUNCTION("""COMPUTED_VALUE"""),"Work &gt;10 people in Team")</f>
        <v>Work &gt;10 people in Team</v>
      </c>
      <c r="Q960" s="1" t="s">
        <v>43</v>
      </c>
      <c r="R960" s="1"/>
    </row>
    <row r="961" spans="1:18" x14ac:dyDescent="0.25">
      <c r="A961" s="2">
        <f ca="1">IFERROR(__xludf.DUMMYFUNCTION("""COMPUTED_VALUE"""),45025.7274051273)</f>
        <v>45025.727405127298</v>
      </c>
      <c r="B961" s="1" t="str">
        <f ca="1">IFERROR(__xludf.DUMMYFUNCTION("""COMPUTED_VALUE"""),"India")</f>
        <v>India</v>
      </c>
      <c r="C961" s="1">
        <f ca="1">IFERROR(__xludf.DUMMYFUNCTION("""COMPUTED_VALUE"""),247667)</f>
        <v>247667</v>
      </c>
      <c r="D961" s="1" t="str">
        <f ca="1">IFERROR(__xludf.DUMMYFUNCTION("""COMPUTED_VALUE"""),"Male")</f>
        <v>Male</v>
      </c>
      <c r="E961" s="1" t="str">
        <f ca="1">IFERROR(__xludf.DUMMYFUNCTION("""COMPUTED_VALUE"""),"People from my circle, but not family members")</f>
        <v>People from my circle, but not family members</v>
      </c>
      <c r="F961" s="1" t="str">
        <f ca="1">IFERROR(__xludf.DUMMYFUNCTION("""COMPUTED_VALUE"""),"No I would not be pursuing Higher Education outside of India")</f>
        <v>No I would not be pursuing Higher Education outside of India</v>
      </c>
      <c r="G961" s="1" t="str">
        <f ca="1">IFERROR(__xludf.DUMMYFUNCTION("""COMPUTED_VALUE"""),"Will work for 3 years or more")</f>
        <v>Will work for 3 years or more</v>
      </c>
      <c r="H961" s="1" t="str">
        <f ca="1">IFERROR(__xludf.DUMMYFUNCTION("""COMPUTED_VALUE"""),"No")</f>
        <v>No</v>
      </c>
      <c r="I961" s="1" t="str">
        <f ca="1">IFERROR(__xludf.DUMMYFUNCTION("""COMPUTED_VALUE"""),"Will work for them")</f>
        <v>Will work for them</v>
      </c>
      <c r="J961" s="1">
        <f ca="1">IFERROR(__xludf.DUMMYFUNCTION("""COMPUTED_VALUE"""),1)</f>
        <v>1</v>
      </c>
      <c r="K961" s="1" t="str">
        <f ca="1">IFERROR(__xludf.DUMMYFUNCTION("""COMPUTED_VALUE"""),"Every Day Office Environment")</f>
        <v>Every Day Office Environment</v>
      </c>
      <c r="L961" s="1" t="str">
        <f ca="1">IFERROR(__xludf.DUMMYFUNCTION("""COMPUTED_VALUE"""),"Employer who rewards learning and enables that environment")</f>
        <v>Employer who rewards learning and enables that environment</v>
      </c>
      <c r="M96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961" s="1"/>
      <c r="O961" s="1" t="str">
        <f ca="1">IFERROR(__xludf.DUMMYFUNCTION("""COMPUTED_VALUE"""),"Manager who sets targets and expects me to achieve it")</f>
        <v>Manager who sets targets and expects me to achieve it</v>
      </c>
      <c r="P961" s="1" t="str">
        <f ca="1">IFERROR(__xludf.DUMMYFUNCTION("""COMPUTED_VALUE"""),"Work alone")</f>
        <v>Work alone</v>
      </c>
      <c r="Q961" s="1" t="s">
        <v>40</v>
      </c>
      <c r="R961" s="1"/>
    </row>
    <row r="962" spans="1:18" x14ac:dyDescent="0.25">
      <c r="A962" s="2">
        <f ca="1">IFERROR(__xludf.DUMMYFUNCTION("""COMPUTED_VALUE"""),45025.7450209374)</f>
        <v>45025.7450209374</v>
      </c>
      <c r="B962" s="1" t="str">
        <f ca="1">IFERROR(__xludf.DUMMYFUNCTION("""COMPUTED_VALUE"""),"India")</f>
        <v>India</v>
      </c>
      <c r="C962" s="1">
        <f ca="1">IFERROR(__xludf.DUMMYFUNCTION("""COMPUTED_VALUE"""),250002)</f>
        <v>250002</v>
      </c>
      <c r="D962" s="1" t="str">
        <f ca="1">IFERROR(__xludf.DUMMYFUNCTION("""COMPUTED_VALUE"""),"Male")</f>
        <v>Male</v>
      </c>
      <c r="E962" s="1" t="str">
        <f ca="1">IFERROR(__xludf.DUMMYFUNCTION("""COMPUTED_VALUE"""),"People who have changed the world for better")</f>
        <v>People who have changed the world for better</v>
      </c>
      <c r="F962" s="1" t="str">
        <f ca="1">IFERROR(__xludf.DUMMYFUNCTION("""COMPUTED_VALUE"""),"No, But if someone could bare the cost I will")</f>
        <v>No, But if someone could bare the cost I will</v>
      </c>
      <c r="G962" s="1" t="str">
        <f ca="1">IFERROR(__xludf.DUMMYFUNCTION("""COMPUTED_VALUE"""),"This will be hard to do, but if it is the right company I would try")</f>
        <v>This will be hard to do, but if it is the right company I would try</v>
      </c>
      <c r="H962" s="1" t="str">
        <f ca="1">IFERROR(__xludf.DUMMYFUNCTION("""COMPUTED_VALUE"""),"No")</f>
        <v>No</v>
      </c>
      <c r="I962" s="1" t="str">
        <f ca="1">IFERROR(__xludf.DUMMYFUNCTION("""COMPUTED_VALUE"""),"Will NOT work for them")</f>
        <v>Will NOT work for them</v>
      </c>
      <c r="J962" s="1">
        <f ca="1">IFERROR(__xludf.DUMMYFUNCTION("""COMPUTED_VALUE"""),9)</f>
        <v>9</v>
      </c>
      <c r="K962" s="1" t="str">
        <f ca="1">IFERROR(__xludf.DUMMYFUNCTION("""COMPUTED_VALUE"""),"Hybrid Working Environment with more than 15 days a month at office")</f>
        <v>Hybrid Working Environment with more than 15 days a month at office</v>
      </c>
      <c r="L962" s="1" t="str">
        <f ca="1">IFERROR(__xludf.DUMMYFUNCTION("""COMPUTED_VALUE"""),"Employer who pushes your limits by enabling an learning environment, and rewards you at the end")</f>
        <v>Employer who pushes your limits by enabling an learning environment, and rewards you at the end</v>
      </c>
      <c r="M962"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N962" s="1"/>
      <c r="O962" s="1" t="str">
        <f ca="1">IFERROR(__xludf.DUMMYFUNCTION("""COMPUTED_VALUE"""),"Manager who explains what is expected, sets a goal and helps achieve it")</f>
        <v>Manager who explains what is expected, sets a goal and helps achieve it</v>
      </c>
      <c r="P962" s="1" t="str">
        <f ca="1">IFERROR(__xludf.DUMMYFUNCTION("""COMPUTED_VALUE"""),"Work  &lt;67 people in team")</f>
        <v>Work  &lt;67 people in team</v>
      </c>
      <c r="Q962" s="1" t="s">
        <v>43</v>
      </c>
      <c r="R962" s="1"/>
    </row>
    <row r="963" spans="1:18" x14ac:dyDescent="0.25">
      <c r="A963" s="2">
        <f ca="1">IFERROR(__xludf.DUMMYFUNCTION("""COMPUTED_VALUE"""),45025.7670136342)</f>
        <v>45025.767013634199</v>
      </c>
      <c r="B963" s="1" t="str">
        <f ca="1">IFERROR(__xludf.DUMMYFUNCTION("""COMPUTED_VALUE"""),"India")</f>
        <v>India</v>
      </c>
      <c r="C963" s="1">
        <f ca="1">IFERROR(__xludf.DUMMYFUNCTION("""COMPUTED_VALUE"""),500032)</f>
        <v>500032</v>
      </c>
      <c r="D963" s="1" t="str">
        <f ca="1">IFERROR(__xludf.DUMMYFUNCTION("""COMPUTED_VALUE"""),"Male")</f>
        <v>Male</v>
      </c>
      <c r="E963" s="1" t="str">
        <f ca="1">IFERROR(__xludf.DUMMYFUNCTION("""COMPUTED_VALUE"""),"People from my circle, but not family members")</f>
        <v>People from my circle, but not family members</v>
      </c>
      <c r="F963" s="1" t="str">
        <f ca="1">IFERROR(__xludf.DUMMYFUNCTION("""COMPUTED_VALUE"""),"Yes, I will earn and do that")</f>
        <v>Yes, I will earn and do that</v>
      </c>
      <c r="G963" s="1" t="str">
        <f ca="1">IFERROR(__xludf.DUMMYFUNCTION("""COMPUTED_VALUE"""),"This will be hard to do, but if it is the right company I would try")</f>
        <v>This will be hard to do, but if it is the right company I would try</v>
      </c>
      <c r="H963" s="1" t="str">
        <f ca="1">IFERROR(__xludf.DUMMYFUNCTION("""COMPUTED_VALUE"""),"No")</f>
        <v>No</v>
      </c>
      <c r="I963" s="1" t="str">
        <f ca="1">IFERROR(__xludf.DUMMYFUNCTION("""COMPUTED_VALUE"""),"Will NOT work for them")</f>
        <v>Will NOT work for them</v>
      </c>
      <c r="J963" s="1">
        <f ca="1">IFERROR(__xludf.DUMMYFUNCTION("""COMPUTED_VALUE"""),1)</f>
        <v>1</v>
      </c>
      <c r="K963" s="1" t="str">
        <f ca="1">IFERROR(__xludf.DUMMYFUNCTION("""COMPUTED_VALUE"""),"Hybrid Working Environment with less than 3 days a month at office")</f>
        <v>Hybrid Working Environment with less than 3 days a month at office</v>
      </c>
      <c r="L963" s="1" t="str">
        <f ca="1">IFERROR(__xludf.DUMMYFUNCTION("""COMPUTED_VALUE"""),"Employer who pushes your limits by enabling an learning environment, and rewards you at the end")</f>
        <v>Employer who pushes your limits by enabling an learning environment, and rewards you at the end</v>
      </c>
      <c r="M963" s="1" t="str">
        <f ca="1">IFERROR(__xludf.DUMMYFUNCTION("""COMPUTED_VALUE"""),"Manage and drive End-to-End Projects or Products, Design and Develop amazing software, Work as a freelancer and do my thing my way, An Artificial Intelligence Specialist / Talking to Robots")</f>
        <v>Manage and drive End-to-End Projects or Products, Design and Develop amazing software, Work as a freelancer and do my thing my way, An Artificial Intelligence Specialist / Talking to Robots</v>
      </c>
      <c r="N963" s="1"/>
      <c r="O963" s="1" t="str">
        <f ca="1">IFERROR(__xludf.DUMMYFUNCTION("""COMPUTED_VALUE"""),"Manager who explains what is expected, sets a goal and helps achieve it")</f>
        <v>Manager who explains what is expected, sets a goal and helps achieve it</v>
      </c>
      <c r="P963" s="1" t="str">
        <f ca="1">IFERROR(__xludf.DUMMYFUNCTION("""COMPUTED_VALUE"""),"Work &lt;=6 People in the Team")</f>
        <v>Work &lt;=6 People in the Team</v>
      </c>
      <c r="Q963" s="1" t="s">
        <v>43</v>
      </c>
      <c r="R963" s="1"/>
    </row>
    <row r="964" spans="1:18" x14ac:dyDescent="0.25">
      <c r="A964" s="2">
        <f ca="1">IFERROR(__xludf.DUMMYFUNCTION("""COMPUTED_VALUE"""),45025.8070714583)</f>
        <v>45025.807071458301</v>
      </c>
      <c r="B964" s="1" t="str">
        <f ca="1">IFERROR(__xludf.DUMMYFUNCTION("""COMPUTED_VALUE"""),"India")</f>
        <v>India</v>
      </c>
      <c r="C964" s="1">
        <f ca="1">IFERROR(__xludf.DUMMYFUNCTION("""COMPUTED_VALUE"""),600042)</f>
        <v>600042</v>
      </c>
      <c r="D964" s="1" t="str">
        <f ca="1">IFERROR(__xludf.DUMMYFUNCTION("""COMPUTED_VALUE"""),"Male")</f>
        <v>Male</v>
      </c>
      <c r="E964" s="1" t="str">
        <f ca="1">IFERROR(__xludf.DUMMYFUNCTION("""COMPUTED_VALUE"""),"People who have changed the world for better")</f>
        <v>People who have changed the world for better</v>
      </c>
      <c r="F964" s="1" t="str">
        <f ca="1">IFERROR(__xludf.DUMMYFUNCTION("""COMPUTED_VALUE"""),"Yes, I will earn and do that")</f>
        <v>Yes, I will earn and do that</v>
      </c>
      <c r="G964" s="1" t="str">
        <f ca="1">IFERROR(__xludf.DUMMYFUNCTION("""COMPUTED_VALUE"""),"This will be hard to do, but if it is the right company I would try")</f>
        <v>This will be hard to do, but if it is the right company I would try</v>
      </c>
      <c r="H964" s="1" t="str">
        <f ca="1">IFERROR(__xludf.DUMMYFUNCTION("""COMPUTED_VALUE"""),"Yes")</f>
        <v>Yes</v>
      </c>
      <c r="I964" s="1" t="str">
        <f ca="1">IFERROR(__xludf.DUMMYFUNCTION("""COMPUTED_VALUE"""),"Will NOT work for them")</f>
        <v>Will NOT work for them</v>
      </c>
      <c r="J964" s="1">
        <f ca="1">IFERROR(__xludf.DUMMYFUNCTION("""COMPUTED_VALUE"""),4)</f>
        <v>4</v>
      </c>
      <c r="K964" s="1" t="str">
        <f ca="1">IFERROR(__xludf.DUMMYFUNCTION("""COMPUTED_VALUE"""),"Hybrid Working Environment with more than 15 days a month at office")</f>
        <v>Hybrid Working Environment with more than 15 days a month at office</v>
      </c>
      <c r="L964" s="1" t="str">
        <f ca="1">IFERROR(__xludf.DUMMYFUNCTION("""COMPUTED_VALUE"""),"Employer who pushes your limits by enabling an learning environment, and rewards you at the end")</f>
        <v>Employer who pushes your limits by enabling an learning environment, and rewards you at the end</v>
      </c>
      <c r="M964" s="1" t="str">
        <f ca="1">IFERROR(__xludf.DUMMYFUNCTION("""COMPUTED_VALUE"""),"Manage and drive End-to-End Projects or Products, Build and develop a Team, Entrepreneur or Start Up, An Artificial Intelligence Specialist / Talking to Robots")</f>
        <v>Manage and drive End-to-End Projects or Products, Build and develop a Team, Entrepreneur or Start Up, An Artificial Intelligence Specialist / Talking to Robots</v>
      </c>
      <c r="N964" s="1"/>
      <c r="O964" s="1" t="str">
        <f ca="1">IFERROR(__xludf.DUMMYFUNCTION("""COMPUTED_VALUE"""),"Manager who explains what is expected, sets a goal and helps achieve it")</f>
        <v>Manager who explains what is expected, sets a goal and helps achieve it</v>
      </c>
      <c r="P964" s="1" t="str">
        <f ca="1">IFERROR(__xludf.DUMMYFUNCTION("""COMPUTED_VALUE"""),"Work &lt;=6 People in the Team")</f>
        <v>Work &lt;=6 People in the Team</v>
      </c>
      <c r="Q964" s="1" t="s">
        <v>42</v>
      </c>
      <c r="R964" s="1"/>
    </row>
    <row r="965" spans="1:18" x14ac:dyDescent="0.25">
      <c r="A965" s="2">
        <f ca="1">IFERROR(__xludf.DUMMYFUNCTION("""COMPUTED_VALUE"""),45025.8149454398)</f>
        <v>45025.814945439801</v>
      </c>
      <c r="B965" s="1" t="str">
        <f ca="1">IFERROR(__xludf.DUMMYFUNCTION("""COMPUTED_VALUE"""),"India")</f>
        <v>India</v>
      </c>
      <c r="C965" s="1">
        <f ca="1">IFERROR(__xludf.DUMMYFUNCTION("""COMPUTED_VALUE"""),250001)</f>
        <v>250001</v>
      </c>
      <c r="D965" s="1" t="str">
        <f ca="1">IFERROR(__xludf.DUMMYFUNCTION("""COMPUTED_VALUE"""),"Female")</f>
        <v>Female</v>
      </c>
      <c r="E965" s="1" t="str">
        <f ca="1">IFERROR(__xludf.DUMMYFUNCTION("""COMPUTED_VALUE"""),"My Parents")</f>
        <v>My Parents</v>
      </c>
      <c r="F965" s="1" t="str">
        <f ca="1">IFERROR(__xludf.DUMMYFUNCTION("""COMPUTED_VALUE"""),"No, But if someone could bare the cost I will")</f>
        <v>No, But if someone could bare the cost I will</v>
      </c>
      <c r="G965" s="1" t="str">
        <f ca="1">IFERROR(__xludf.DUMMYFUNCTION("""COMPUTED_VALUE"""),"Will work for 3 years or more")</f>
        <v>Will work for 3 years or more</v>
      </c>
      <c r="H965" s="1" t="str">
        <f ca="1">IFERROR(__xludf.DUMMYFUNCTION("""COMPUTED_VALUE"""),"No")</f>
        <v>No</v>
      </c>
      <c r="I965" s="1" t="str">
        <f ca="1">IFERROR(__xludf.DUMMYFUNCTION("""COMPUTED_VALUE"""),"Will NOT work for them")</f>
        <v>Will NOT work for them</v>
      </c>
      <c r="J965" s="1">
        <f ca="1">IFERROR(__xludf.DUMMYFUNCTION("""COMPUTED_VALUE"""),1)</f>
        <v>1</v>
      </c>
      <c r="K965" s="1" t="str">
        <f ca="1">IFERROR(__xludf.DUMMYFUNCTION("""COMPUTED_VALUE"""),"Fully Remote with Options to travel as and when needed")</f>
        <v>Fully Remote with Options to travel as and when needed</v>
      </c>
      <c r="L965" s="1" t="str">
        <f ca="1">IFERROR(__xludf.DUMMYFUNCTION("""COMPUTED_VALUE"""),"Employer who appreciates learning and enables that environment")</f>
        <v>Employer who appreciates learning and enables that environment</v>
      </c>
      <c r="M965"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965" s="1"/>
      <c r="O965" s="1" t="str">
        <f ca="1">IFERROR(__xludf.DUMMYFUNCTION("""COMPUTED_VALUE"""),"Manager who explains what is expected, sets a goal and helps achieve it")</f>
        <v>Manager who explains what is expected, sets a goal and helps achieve it</v>
      </c>
      <c r="P965" s="1" t="str">
        <f ca="1">IFERROR(__xludf.DUMMYFUNCTION("""COMPUTED_VALUE"""),"Work Alone, &lt;67 people in team")</f>
        <v>Work Alone, &lt;67 people in team</v>
      </c>
      <c r="Q965" s="1" t="s">
        <v>40</v>
      </c>
      <c r="R965" s="1"/>
    </row>
    <row r="966" spans="1:18" x14ac:dyDescent="0.25">
      <c r="A966" s="2">
        <f ca="1">IFERROR(__xludf.DUMMYFUNCTION("""COMPUTED_VALUE"""),45025.8628475578)</f>
        <v>45025.862847557801</v>
      </c>
      <c r="B966" s="1" t="str">
        <f ca="1">IFERROR(__xludf.DUMMYFUNCTION("""COMPUTED_VALUE"""),"India")</f>
        <v>India</v>
      </c>
      <c r="C966" s="1">
        <f ca="1">IFERROR(__xludf.DUMMYFUNCTION("""COMPUTED_VALUE"""),110059)</f>
        <v>110059</v>
      </c>
      <c r="D966" s="1" t="str">
        <f ca="1">IFERROR(__xludf.DUMMYFUNCTION("""COMPUTED_VALUE"""),"Female")</f>
        <v>Female</v>
      </c>
      <c r="E966" s="1" t="str">
        <f ca="1">IFERROR(__xludf.DUMMYFUNCTION("""COMPUTED_VALUE"""),"People who have changed the world for better")</f>
        <v>People who have changed the world for better</v>
      </c>
      <c r="F966" s="1" t="str">
        <f ca="1">IFERROR(__xludf.DUMMYFUNCTION("""COMPUTED_VALUE"""),"No I would not be pursuing Higher Education outside of India")</f>
        <v>No I would not be pursuing Higher Education outside of India</v>
      </c>
      <c r="G966" s="1" t="str">
        <f ca="1">IFERROR(__xludf.DUMMYFUNCTION("""COMPUTED_VALUE"""),"This will be hard to do, but if it is the right company I would try")</f>
        <v>This will be hard to do, but if it is the right company I would try</v>
      </c>
      <c r="H966" s="1" t="str">
        <f ca="1">IFERROR(__xludf.DUMMYFUNCTION("""COMPUTED_VALUE"""),"No")</f>
        <v>No</v>
      </c>
      <c r="I966" s="1" t="str">
        <f ca="1">IFERROR(__xludf.DUMMYFUNCTION("""COMPUTED_VALUE"""),"Will NOT work for them")</f>
        <v>Will NOT work for them</v>
      </c>
      <c r="J966" s="1">
        <f ca="1">IFERROR(__xludf.DUMMYFUNCTION("""COMPUTED_VALUE"""),3)</f>
        <v>3</v>
      </c>
      <c r="K966" s="1" t="str">
        <f ca="1">IFERROR(__xludf.DUMMYFUNCTION("""COMPUTED_VALUE"""),"Hybrid Working Environment with more than 15 days a month at office")</f>
        <v>Hybrid Working Environment with more than 15 days a month at office</v>
      </c>
      <c r="L966" s="1" t="str">
        <f ca="1">IFERROR(__xludf.DUMMYFUNCTION("""COMPUTED_VALUE"""),"Employer who appreciates learning and enables that environment")</f>
        <v>Employer who appreciates learning and enables that environment</v>
      </c>
      <c r="M966"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N966" s="1"/>
      <c r="O966" s="1" t="str">
        <f ca="1">IFERROR(__xludf.DUMMYFUNCTION("""COMPUTED_VALUE"""),"Manager who explains what is expected, sets a goal and helps achieve it")</f>
        <v>Manager who explains what is expected, sets a goal and helps achieve it</v>
      </c>
      <c r="P966" s="1" t="str">
        <f ca="1">IFERROR(__xludf.DUMMYFUNCTION("""COMPUTED_VALUE"""),"Work &lt;=6 People in the Team")</f>
        <v>Work &lt;=6 People in the Team</v>
      </c>
      <c r="Q966" s="1" t="s">
        <v>43</v>
      </c>
      <c r="R966" s="1"/>
    </row>
    <row r="967" spans="1:18" x14ac:dyDescent="0.25">
      <c r="A967" s="2">
        <f ca="1">IFERROR(__xludf.DUMMYFUNCTION("""COMPUTED_VALUE"""),45025.8646490624)</f>
        <v>45025.864649062401</v>
      </c>
      <c r="B967" s="1" t="str">
        <f ca="1">IFERROR(__xludf.DUMMYFUNCTION("""COMPUTED_VALUE"""),"India")</f>
        <v>India</v>
      </c>
      <c r="C967" s="1">
        <f ca="1">IFERROR(__xludf.DUMMYFUNCTION("""COMPUTED_VALUE"""),110059)</f>
        <v>110059</v>
      </c>
      <c r="D967" s="1" t="str">
        <f ca="1">IFERROR(__xludf.DUMMYFUNCTION("""COMPUTED_VALUE"""),"Female")</f>
        <v>Female</v>
      </c>
      <c r="E967" s="1" t="str">
        <f ca="1">IFERROR(__xludf.DUMMYFUNCTION("""COMPUTED_VALUE"""),"People from my circle, but not family members")</f>
        <v>People from my circle, but not family members</v>
      </c>
      <c r="F967" s="1" t="str">
        <f ca="1">IFERROR(__xludf.DUMMYFUNCTION("""COMPUTED_VALUE"""),"No, But if someone could bare the cost I will")</f>
        <v>No, But if someone could bare the cost I will</v>
      </c>
      <c r="G967" s="1" t="str">
        <f ca="1">IFERROR(__xludf.DUMMYFUNCTION("""COMPUTED_VALUE"""),"Will work for 3 years or more")</f>
        <v>Will work for 3 years or more</v>
      </c>
      <c r="H967" s="1" t="str">
        <f ca="1">IFERROR(__xludf.DUMMYFUNCTION("""COMPUTED_VALUE"""),"No")</f>
        <v>No</v>
      </c>
      <c r="I967" s="1" t="str">
        <f ca="1">IFERROR(__xludf.DUMMYFUNCTION("""COMPUTED_VALUE"""),"Will NOT work for them")</f>
        <v>Will NOT work for them</v>
      </c>
      <c r="J967" s="1">
        <f ca="1">IFERROR(__xludf.DUMMYFUNCTION("""COMPUTED_VALUE"""),4)</f>
        <v>4</v>
      </c>
      <c r="K967" s="1" t="str">
        <f ca="1">IFERROR(__xludf.DUMMYFUNCTION("""COMPUTED_VALUE"""),"Fully Remote with Options to travel as and when needed")</f>
        <v>Fully Remote with Options to travel as and when needed</v>
      </c>
      <c r="L967" s="1" t="str">
        <f ca="1">IFERROR(__xludf.DUMMYFUNCTION("""COMPUTED_VALUE"""),"Employer who appreciates learning and enables that environment")</f>
        <v>Employer who appreciates learning and enables that environment</v>
      </c>
      <c r="M967"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N967" s="1"/>
      <c r="O967" s="1" t="str">
        <f ca="1">IFERROR(__xludf.DUMMYFUNCTION("""COMPUTED_VALUE"""),"Manager who explains what is expected, sets a goal and helps achieve it")</f>
        <v>Manager who explains what is expected, sets a goal and helps achieve it</v>
      </c>
      <c r="P967" s="1" t="str">
        <f ca="1">IFERROR(__xludf.DUMMYFUNCTION("""COMPUTED_VALUE"""),"Work &lt;=6 People in the Team")</f>
        <v>Work &lt;=6 People in the Team</v>
      </c>
      <c r="Q967" s="1" t="s">
        <v>40</v>
      </c>
      <c r="R967" s="1"/>
    </row>
    <row r="968" spans="1:18" x14ac:dyDescent="0.25">
      <c r="A968" s="2">
        <f ca="1">IFERROR(__xludf.DUMMYFUNCTION("""COMPUTED_VALUE"""),45025.9356575115)</f>
        <v>45025.935657511502</v>
      </c>
      <c r="B968" s="1" t="str">
        <f ca="1">IFERROR(__xludf.DUMMYFUNCTION("""COMPUTED_VALUE"""),"India")</f>
        <v>India</v>
      </c>
      <c r="C968" s="1">
        <f ca="1">IFERROR(__xludf.DUMMYFUNCTION("""COMPUTED_VALUE"""),122022)</f>
        <v>122022</v>
      </c>
      <c r="D968" s="1" t="str">
        <f ca="1">IFERROR(__xludf.DUMMYFUNCTION("""COMPUTED_VALUE"""),"Female")</f>
        <v>Female</v>
      </c>
      <c r="E968" s="1" t="str">
        <f ca="1">IFERROR(__xludf.DUMMYFUNCTION("""COMPUTED_VALUE"""),"Influencers who had successful careers")</f>
        <v>Influencers who had successful careers</v>
      </c>
      <c r="F968" s="1" t="str">
        <f ca="1">IFERROR(__xludf.DUMMYFUNCTION("""COMPUTED_VALUE"""),"No, But if someone could bare the cost I will")</f>
        <v>No, But if someone could bare the cost I will</v>
      </c>
      <c r="G968" s="1" t="str">
        <f ca="1">IFERROR(__xludf.DUMMYFUNCTION("""COMPUTED_VALUE"""),"This will be hard to do, but if it is the right company I would try")</f>
        <v>This will be hard to do, but if it is the right company I would try</v>
      </c>
      <c r="H968" s="1" t="str">
        <f ca="1">IFERROR(__xludf.DUMMYFUNCTION("""COMPUTED_VALUE"""),"No")</f>
        <v>No</v>
      </c>
      <c r="I968" s="1" t="str">
        <f ca="1">IFERROR(__xludf.DUMMYFUNCTION("""COMPUTED_VALUE"""),"Will NOT work for them")</f>
        <v>Will NOT work for them</v>
      </c>
      <c r="J968" s="1">
        <f ca="1">IFERROR(__xludf.DUMMYFUNCTION("""COMPUTED_VALUE"""),3)</f>
        <v>3</v>
      </c>
      <c r="K968" s="1" t="str">
        <f ca="1">IFERROR(__xludf.DUMMYFUNCTION("""COMPUTED_VALUE"""),"Hybrid Working Environment with more than 15 days a month at office")</f>
        <v>Hybrid Working Environment with more than 15 days a month at office</v>
      </c>
      <c r="L968" s="1" t="str">
        <f ca="1">IFERROR(__xludf.DUMMYFUNCTION("""COMPUTED_VALUE"""),"Employer who pushes your limits by enabling an learning environment, and rewards you at the end")</f>
        <v>Employer who pushes your limits by enabling an learning environment, and rewards you at the end</v>
      </c>
      <c r="M968"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968" s="1"/>
      <c r="O968" s="1" t="str">
        <f ca="1">IFERROR(__xludf.DUMMYFUNCTION("""COMPUTED_VALUE"""),"Manager who explains what is expected, sets a goal and helps achieve it")</f>
        <v>Manager who explains what is expected, sets a goal and helps achieve it</v>
      </c>
      <c r="P968" s="1" t="str">
        <f ca="1">IFERROR(__xludf.DUMMYFUNCTION("""COMPUTED_VALUE"""),"Work &lt;=6 People in the Team")</f>
        <v>Work &lt;=6 People in the Team</v>
      </c>
      <c r="Q968" s="1" t="s">
        <v>40</v>
      </c>
      <c r="R968" s="1"/>
    </row>
    <row r="969" spans="1:18" x14ac:dyDescent="0.25">
      <c r="A969" s="2">
        <f ca="1">IFERROR(__xludf.DUMMYFUNCTION("""COMPUTED_VALUE"""),45026.409674618)</f>
        <v>45026.409674618</v>
      </c>
      <c r="B969" s="1" t="str">
        <f ca="1">IFERROR(__xludf.DUMMYFUNCTION("""COMPUTED_VALUE"""),"India")</f>
        <v>India</v>
      </c>
      <c r="C969" s="1">
        <f ca="1">IFERROR(__xludf.DUMMYFUNCTION("""COMPUTED_VALUE"""),462021)</f>
        <v>462021</v>
      </c>
      <c r="D969" s="1" t="str">
        <f ca="1">IFERROR(__xludf.DUMMYFUNCTION("""COMPUTED_VALUE"""),"Female")</f>
        <v>Female</v>
      </c>
      <c r="E969" s="1" t="str">
        <f ca="1">IFERROR(__xludf.DUMMYFUNCTION("""COMPUTED_VALUE"""),"Influencers who had successful careers")</f>
        <v>Influencers who had successful careers</v>
      </c>
      <c r="F969" s="1" t="str">
        <f ca="1">IFERROR(__xludf.DUMMYFUNCTION("""COMPUTED_VALUE"""),"No, But if someone could bare the cost I will")</f>
        <v>No, But if someone could bare the cost I will</v>
      </c>
      <c r="G969" s="1" t="str">
        <f ca="1">IFERROR(__xludf.DUMMYFUNCTION("""COMPUTED_VALUE"""),"This will be hard to do, but if it is the right company I would try")</f>
        <v>This will be hard to do, but if it is the right company I would try</v>
      </c>
      <c r="H969" s="1" t="str">
        <f ca="1">IFERROR(__xludf.DUMMYFUNCTION("""COMPUTED_VALUE"""),"Yes")</f>
        <v>Yes</v>
      </c>
      <c r="I969" s="1" t="str">
        <f ca="1">IFERROR(__xludf.DUMMYFUNCTION("""COMPUTED_VALUE"""),"Will work for them")</f>
        <v>Will work for them</v>
      </c>
      <c r="J969" s="1">
        <f ca="1">IFERROR(__xludf.DUMMYFUNCTION("""COMPUTED_VALUE"""),5)</f>
        <v>5</v>
      </c>
      <c r="K969" s="1" t="str">
        <f ca="1">IFERROR(__xludf.DUMMYFUNCTION("""COMPUTED_VALUE"""),"Hybrid Working Environment with less than 3 days a month at office")</f>
        <v>Hybrid Working Environment with less than 3 days a month at office</v>
      </c>
      <c r="L969" s="1" t="str">
        <f ca="1">IFERROR(__xludf.DUMMYFUNCTION("""COMPUTED_VALUE"""),"Employer who pushes your limits by enabling an learning environment, and rewards you at the end")</f>
        <v>Employer who pushes your limits by enabling an learning environment, and rewards you at the end</v>
      </c>
      <c r="M969" s="1" t="str">
        <f ca="1">IFERROR(__xludf.DUMMYFUNCTION("""COMPUTED_VALUE"""),"Teaching in any of the institutes/colleges/online or offline, Build and develop a Team, Work in a BPO setup for some well known client, Work as a freelancer and do my thing my way")</f>
        <v>Teaching in any of the institutes/colleges/online or offline, Build and develop a Team, Work in a BPO setup for some well known client, Work as a freelancer and do my thing my way</v>
      </c>
      <c r="N969" s="1"/>
      <c r="O969" s="1" t="str">
        <f ca="1">IFERROR(__xludf.DUMMYFUNCTION("""COMPUTED_VALUE"""),"Manager who explains what is expected, sets a goal and helps achieve it")</f>
        <v>Manager who explains what is expected, sets a goal and helps achieve it</v>
      </c>
      <c r="P969" s="1" t="str">
        <f ca="1">IFERROR(__xludf.DUMMYFUNCTION("""COMPUTED_VALUE"""),"Work &lt;=6 People in the Team")</f>
        <v>Work &lt;=6 People in the Team</v>
      </c>
      <c r="Q969" s="1" t="s">
        <v>43</v>
      </c>
      <c r="R969" s="1"/>
    </row>
    <row r="970" spans="1:18" x14ac:dyDescent="0.25">
      <c r="A970" s="2">
        <f ca="1">IFERROR(__xludf.DUMMYFUNCTION("""COMPUTED_VALUE"""),45026.4749476967)</f>
        <v>45026.474947696697</v>
      </c>
      <c r="B970" s="1" t="str">
        <f ca="1">IFERROR(__xludf.DUMMYFUNCTION("""COMPUTED_VALUE"""),"India")</f>
        <v>India</v>
      </c>
      <c r="C970" s="1">
        <f ca="1">IFERROR(__xludf.DUMMYFUNCTION("""COMPUTED_VALUE"""),40095)</f>
        <v>40095</v>
      </c>
      <c r="D970" s="1" t="str">
        <f ca="1">IFERROR(__xludf.DUMMYFUNCTION("""COMPUTED_VALUE"""),"Male")</f>
        <v>Male</v>
      </c>
      <c r="E970" s="1" t="str">
        <f ca="1">IFERROR(__xludf.DUMMYFUNCTION("""COMPUTED_VALUE"""),"My Parents")</f>
        <v>My Parents</v>
      </c>
      <c r="F970" s="1" t="str">
        <f ca="1">IFERROR(__xludf.DUMMYFUNCTION("""COMPUTED_VALUE"""),"Yes, I will earn and do that")</f>
        <v>Yes, I will earn and do that</v>
      </c>
      <c r="G970" s="1" t="str">
        <f ca="1">IFERROR(__xludf.DUMMYFUNCTION("""COMPUTED_VALUE"""),"Will work for 3 years or more")</f>
        <v>Will work for 3 years or more</v>
      </c>
      <c r="H970" s="1" t="str">
        <f ca="1">IFERROR(__xludf.DUMMYFUNCTION("""COMPUTED_VALUE"""),"Yes")</f>
        <v>Yes</v>
      </c>
      <c r="I970" s="1" t="str">
        <f ca="1">IFERROR(__xludf.DUMMYFUNCTION("""COMPUTED_VALUE"""),"Will work for them")</f>
        <v>Will work for them</v>
      </c>
      <c r="J970" s="1">
        <f ca="1">IFERROR(__xludf.DUMMYFUNCTION("""COMPUTED_VALUE"""),2)</f>
        <v>2</v>
      </c>
      <c r="K970" s="1" t="str">
        <f ca="1">IFERROR(__xludf.DUMMYFUNCTION("""COMPUTED_VALUE"""),"Every Day Office Environment")</f>
        <v>Every Day Office Environment</v>
      </c>
      <c r="L970" s="1" t="str">
        <f ca="1">IFERROR(__xludf.DUMMYFUNCTION("""COMPUTED_VALUE"""),"Employers who appreciates learning but doesn't enables an learning environment")</f>
        <v>Employers who appreciates learning but doesn't enables an learning environment</v>
      </c>
      <c r="M970" s="1" t="str">
        <f ca="1">IFERROR(__xludf.DUMMYFUNCTION("""COMPUTED_VALUE"""),"Work in a BPO setup for some well known client, Work as a freelancer and do my thing my way, Become a content Creator in some platform, An Artificial Intelligence Specialist / Talking to Robots")</f>
        <v>Work in a BPO setup for some well known client, Work as a freelancer and do my thing my way, Become a content Creator in some platform, An Artificial Intelligence Specialist / Talking to Robots</v>
      </c>
      <c r="N970" s="1"/>
      <c r="O970" s="1" t="str">
        <f ca="1">IFERROR(__xludf.DUMMYFUNCTION("""COMPUTED_VALUE"""),"Manager who sets unrealistic targets")</f>
        <v>Manager who sets unrealistic targets</v>
      </c>
      <c r="P970" s="1" t="str">
        <f ca="1">IFERROR(__xludf.DUMMYFUNCTION("""COMPUTED_VALUE"""),"Work &gt;10 people in Team")</f>
        <v>Work &gt;10 people in Team</v>
      </c>
      <c r="Q970" s="1" t="s">
        <v>43</v>
      </c>
      <c r="R970" s="1"/>
    </row>
    <row r="971" spans="1:18" x14ac:dyDescent="0.25">
      <c r="A971" s="2">
        <f ca="1">IFERROR(__xludf.DUMMYFUNCTION("""COMPUTED_VALUE"""),45026.4880672338)</f>
        <v>45026.488067233797</v>
      </c>
      <c r="B971" s="1" t="str">
        <f ca="1">IFERROR(__xludf.DUMMYFUNCTION("""COMPUTED_VALUE"""),"India")</f>
        <v>India</v>
      </c>
      <c r="C971" s="1">
        <f ca="1">IFERROR(__xludf.DUMMYFUNCTION("""COMPUTED_VALUE"""),110043)</f>
        <v>110043</v>
      </c>
      <c r="D971" s="1" t="str">
        <f ca="1">IFERROR(__xludf.DUMMYFUNCTION("""COMPUTED_VALUE"""),"Male")</f>
        <v>Male</v>
      </c>
      <c r="E971" s="1" t="str">
        <f ca="1">IFERROR(__xludf.DUMMYFUNCTION("""COMPUTED_VALUE"""),"My Parents")</f>
        <v>My Parents</v>
      </c>
      <c r="F971" s="1" t="str">
        <f ca="1">IFERROR(__xludf.DUMMYFUNCTION("""COMPUTED_VALUE"""),"No, But if someone could bare the cost I will")</f>
        <v>No, But if someone could bare the cost I will</v>
      </c>
      <c r="G971" s="1" t="str">
        <f ca="1">IFERROR(__xludf.DUMMYFUNCTION("""COMPUTED_VALUE"""),"This will be hard to do, but if it is the right company I would try")</f>
        <v>This will be hard to do, but if it is the right company I would try</v>
      </c>
      <c r="H971" s="1" t="str">
        <f ca="1">IFERROR(__xludf.DUMMYFUNCTION("""COMPUTED_VALUE"""),"No")</f>
        <v>No</v>
      </c>
      <c r="I971" s="1" t="str">
        <f ca="1">IFERROR(__xludf.DUMMYFUNCTION("""COMPUTED_VALUE"""),"Will NOT work for them")</f>
        <v>Will NOT work for them</v>
      </c>
      <c r="J971" s="1">
        <f ca="1">IFERROR(__xludf.DUMMYFUNCTION("""COMPUTED_VALUE"""),2)</f>
        <v>2</v>
      </c>
      <c r="K971" s="1" t="str">
        <f ca="1">IFERROR(__xludf.DUMMYFUNCTION("""COMPUTED_VALUE"""),"Hybrid Working Environment with more than 15 days a month at office")</f>
        <v>Hybrid Working Environment with more than 15 days a month at office</v>
      </c>
      <c r="L971" s="1" t="str">
        <f ca="1">IFERROR(__xludf.DUMMYFUNCTION("""COMPUTED_VALUE"""),"Employer who pushes your limits by enabling an learning environment, and rewards you at the end")</f>
        <v>Employer who pushes your limits by enabling an learning environment, and rewards you at the end</v>
      </c>
      <c r="M97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971" s="1"/>
      <c r="O971" s="1" t="str">
        <f ca="1">IFERROR(__xludf.DUMMYFUNCTION("""COMPUTED_VALUE"""),"Manager who explains what is expected, sets a goal and helps achieve it")</f>
        <v>Manager who explains what is expected, sets a goal and helps achieve it</v>
      </c>
      <c r="P971" s="1" t="str">
        <f ca="1">IFERROR(__xludf.DUMMYFUNCTION("""COMPUTED_VALUE"""),"Work &lt;=6 People in the Team")</f>
        <v>Work &lt;=6 People in the Team</v>
      </c>
      <c r="Q971" s="1" t="s">
        <v>40</v>
      </c>
      <c r="R971" s="1"/>
    </row>
    <row r="972" spans="1:18" x14ac:dyDescent="0.25">
      <c r="A972" s="2">
        <f ca="1">IFERROR(__xludf.DUMMYFUNCTION("""COMPUTED_VALUE"""),45026.4912056828)</f>
        <v>45026.491205682803</v>
      </c>
      <c r="B972" s="1" t="str">
        <f ca="1">IFERROR(__xludf.DUMMYFUNCTION("""COMPUTED_VALUE"""),"India")</f>
        <v>India</v>
      </c>
      <c r="C972" s="1">
        <f ca="1">IFERROR(__xludf.DUMMYFUNCTION("""COMPUTED_VALUE"""),132001)</f>
        <v>132001</v>
      </c>
      <c r="D972" s="1" t="str">
        <f ca="1">IFERROR(__xludf.DUMMYFUNCTION("""COMPUTED_VALUE"""),"Male")</f>
        <v>Male</v>
      </c>
      <c r="E972" s="1" t="str">
        <f ca="1">IFERROR(__xludf.DUMMYFUNCTION("""COMPUTED_VALUE"""),"People who have changed the world for better")</f>
        <v>People who have changed the world for better</v>
      </c>
      <c r="F972" s="1" t="str">
        <f ca="1">IFERROR(__xludf.DUMMYFUNCTION("""COMPUTED_VALUE"""),"Yes, I will earn and do that")</f>
        <v>Yes, I will earn and do that</v>
      </c>
      <c r="G972" s="1" t="str">
        <f ca="1">IFERROR(__xludf.DUMMYFUNCTION("""COMPUTED_VALUE"""),"This will be hard to do, but if it is the right company I would try")</f>
        <v>This will be hard to do, but if it is the right company I would try</v>
      </c>
      <c r="H972" s="1" t="str">
        <f ca="1">IFERROR(__xludf.DUMMYFUNCTION("""COMPUTED_VALUE"""),"No")</f>
        <v>No</v>
      </c>
      <c r="I972" s="1" t="str">
        <f ca="1">IFERROR(__xludf.DUMMYFUNCTION("""COMPUTED_VALUE"""),"Will NOT work for them")</f>
        <v>Will NOT work for them</v>
      </c>
      <c r="J972" s="1">
        <f ca="1">IFERROR(__xludf.DUMMYFUNCTION("""COMPUTED_VALUE"""),5)</f>
        <v>5</v>
      </c>
      <c r="K972" s="1" t="str">
        <f ca="1">IFERROR(__xludf.DUMMYFUNCTION("""COMPUTED_VALUE"""),"Fully Remote with Options to travel as and when needed")</f>
        <v>Fully Remote with Options to travel as and when needed</v>
      </c>
      <c r="L972" s="1" t="str">
        <f ca="1">IFERROR(__xludf.DUMMYFUNCTION("""COMPUTED_VALUE"""),"Employer who pushes your limits by enabling an learning environment, and rewards you at the end")</f>
        <v>Employer who pushes your limits by enabling an learning environment, and rewards you at the end</v>
      </c>
      <c r="M972"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972" s="1"/>
      <c r="O972" s="1" t="str">
        <f ca="1">IFERROR(__xludf.DUMMYFUNCTION("""COMPUTED_VALUE"""),"Manager who clearly describes what she/he needs")</f>
        <v>Manager who clearly describes what she/he needs</v>
      </c>
      <c r="P972" s="1" t="str">
        <f ca="1">IFERROR(__xludf.DUMMYFUNCTION("""COMPUTED_VALUE"""),"Work &lt;=6 People in the Team")</f>
        <v>Work &lt;=6 People in the Team</v>
      </c>
      <c r="Q972" s="1" t="s">
        <v>43</v>
      </c>
      <c r="R972" s="1"/>
    </row>
    <row r="973" spans="1:18" x14ac:dyDescent="0.25">
      <c r="A973" s="2">
        <f ca="1">IFERROR(__xludf.DUMMYFUNCTION("""COMPUTED_VALUE"""),45026.5025656018)</f>
        <v>45026.502565601797</v>
      </c>
      <c r="B973" s="1" t="str">
        <f ca="1">IFERROR(__xludf.DUMMYFUNCTION("""COMPUTED_VALUE"""),"India")</f>
        <v>India</v>
      </c>
      <c r="C973" s="1">
        <f ca="1">IFERROR(__xludf.DUMMYFUNCTION("""COMPUTED_VALUE"""),250002)</f>
        <v>250002</v>
      </c>
      <c r="D973" s="1" t="str">
        <f ca="1">IFERROR(__xludf.DUMMYFUNCTION("""COMPUTED_VALUE"""),"Male")</f>
        <v>Male</v>
      </c>
      <c r="E973" s="1" t="str">
        <f ca="1">IFERROR(__xludf.DUMMYFUNCTION("""COMPUTED_VALUE"""),"People who have changed the world for better")</f>
        <v>People who have changed the world for better</v>
      </c>
      <c r="F973" s="1" t="str">
        <f ca="1">IFERROR(__xludf.DUMMYFUNCTION("""COMPUTED_VALUE"""),"No I would not be pursuing Higher Education outside of India")</f>
        <v>No I would not be pursuing Higher Education outside of India</v>
      </c>
      <c r="G973" s="1" t="str">
        <f ca="1">IFERROR(__xludf.DUMMYFUNCTION("""COMPUTED_VALUE"""),"This will be hard to do, but if it is the right company I would try")</f>
        <v>This will be hard to do, but if it is the right company I would try</v>
      </c>
      <c r="H973" s="1" t="str">
        <f ca="1">IFERROR(__xludf.DUMMYFUNCTION("""COMPUTED_VALUE"""),"No")</f>
        <v>No</v>
      </c>
      <c r="I973" s="1" t="str">
        <f ca="1">IFERROR(__xludf.DUMMYFUNCTION("""COMPUTED_VALUE"""),"Will NOT work for them")</f>
        <v>Will NOT work for them</v>
      </c>
      <c r="J973" s="1">
        <f ca="1">IFERROR(__xludf.DUMMYFUNCTION("""COMPUTED_VALUE"""),7)</f>
        <v>7</v>
      </c>
      <c r="K973" s="1" t="str">
        <f ca="1">IFERROR(__xludf.DUMMYFUNCTION("""COMPUTED_VALUE"""),"Every Day Office Environment")</f>
        <v>Every Day Office Environment</v>
      </c>
      <c r="L973" s="1" t="str">
        <f ca="1">IFERROR(__xludf.DUMMYFUNCTION("""COMPUTED_VALUE"""),"Employer who appreciates learning and enables that environment")</f>
        <v>Employer who appreciates learning and enables that environment</v>
      </c>
      <c r="M97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N973" s="1"/>
      <c r="O973" s="1" t="str">
        <f ca="1">IFERROR(__xludf.DUMMYFUNCTION("""COMPUTED_VALUE"""),"Manager who clearly describes what she/he needs")</f>
        <v>Manager who clearly describes what she/he needs</v>
      </c>
      <c r="P973" s="1" t="str">
        <f ca="1">IFERROR(__xludf.DUMMYFUNCTION("""COMPUTED_VALUE"""),"Work &lt;=6 People in the Team")</f>
        <v>Work &lt;=6 People in the Team</v>
      </c>
      <c r="Q973" s="1" t="s">
        <v>43</v>
      </c>
      <c r="R973" s="1"/>
    </row>
    <row r="974" spans="1:18" x14ac:dyDescent="0.25">
      <c r="A974" s="2">
        <f ca="1">IFERROR(__xludf.DUMMYFUNCTION("""COMPUTED_VALUE"""),45027.5551586342)</f>
        <v>45027.555158634197</v>
      </c>
      <c r="B974" s="1" t="str">
        <f ca="1">IFERROR(__xludf.DUMMYFUNCTION("""COMPUTED_VALUE"""),"India")</f>
        <v>India</v>
      </c>
      <c r="C974" s="1">
        <f ca="1">IFERROR(__xludf.DUMMYFUNCTION("""COMPUTED_VALUE"""),560061)</f>
        <v>560061</v>
      </c>
      <c r="D974" s="1" t="str">
        <f ca="1">IFERROR(__xludf.DUMMYFUNCTION("""COMPUTED_VALUE"""),"Female")</f>
        <v>Female</v>
      </c>
      <c r="E974" s="1" t="str">
        <f ca="1">IFERROR(__xludf.DUMMYFUNCTION("""COMPUTED_VALUE"""),"People who have changed the world for better")</f>
        <v>People who have changed the world for better</v>
      </c>
      <c r="F974" s="1" t="str">
        <f ca="1">IFERROR(__xludf.DUMMYFUNCTION("""COMPUTED_VALUE"""),"Yes, I will earn and do that")</f>
        <v>Yes, I will earn and do that</v>
      </c>
      <c r="G974" s="1" t="str">
        <f ca="1">IFERROR(__xludf.DUMMYFUNCTION("""COMPUTED_VALUE"""),"This will be hard to do, but if it is the right company I would try")</f>
        <v>This will be hard to do, but if it is the right company I would try</v>
      </c>
      <c r="H974" s="1" t="str">
        <f ca="1">IFERROR(__xludf.DUMMYFUNCTION("""COMPUTED_VALUE"""),"Yes")</f>
        <v>Yes</v>
      </c>
      <c r="I974" s="1" t="str">
        <f ca="1">IFERROR(__xludf.DUMMYFUNCTION("""COMPUTED_VALUE"""),"Will NOT work for them")</f>
        <v>Will NOT work for them</v>
      </c>
      <c r="J974" s="1">
        <f ca="1">IFERROR(__xludf.DUMMYFUNCTION("""COMPUTED_VALUE"""),5)</f>
        <v>5</v>
      </c>
      <c r="K974" s="1" t="str">
        <f ca="1">IFERROR(__xludf.DUMMYFUNCTION("""COMPUTED_VALUE"""),"Hybrid Working Environment with more than 15 days a month at office")</f>
        <v>Hybrid Working Environment with more than 15 days a month at office</v>
      </c>
      <c r="L974" s="1" t="str">
        <f ca="1">IFERROR(__xludf.DUMMYFUNCTION("""COMPUTED_VALUE"""),"Employer who pushes your limits by enabling an learning environment, and rewards you at the end")</f>
        <v>Employer who pushes your limits by enabling an learning environment, and rewards you at the end</v>
      </c>
      <c r="M974"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N974" s="1"/>
      <c r="O974" s="1" t="str">
        <f ca="1">IFERROR(__xludf.DUMMYFUNCTION("""COMPUTED_VALUE"""),"Manager who explains what is expected, sets a goal and helps achieve it")</f>
        <v>Manager who explains what is expected, sets a goal and helps achieve it</v>
      </c>
      <c r="P974" s="1" t="str">
        <f ca="1">IFERROR(__xludf.DUMMYFUNCTION("""COMPUTED_VALUE"""),"Work &lt;=6 People in the Team")</f>
        <v>Work &lt;=6 People in the Team</v>
      </c>
      <c r="Q974" s="1" t="s">
        <v>43</v>
      </c>
      <c r="R974" s="1"/>
    </row>
    <row r="975" spans="1:18" x14ac:dyDescent="0.25">
      <c r="A975" s="2">
        <f ca="1">IFERROR(__xludf.DUMMYFUNCTION("""COMPUTED_VALUE"""),45027.5633955671)</f>
        <v>45027.5633955671</v>
      </c>
      <c r="B975" s="1" t="str">
        <f ca="1">IFERROR(__xludf.DUMMYFUNCTION("""COMPUTED_VALUE"""),"Germany")</f>
        <v>Germany</v>
      </c>
      <c r="C975" s="1">
        <f ca="1">IFERROR(__xludf.DUMMYFUNCTION("""COMPUTED_VALUE"""),10317)</f>
        <v>10317</v>
      </c>
      <c r="D975" s="1" t="str">
        <f ca="1">IFERROR(__xludf.DUMMYFUNCTION("""COMPUTED_VALUE"""),"Male")</f>
        <v>Male</v>
      </c>
      <c r="E975" s="1" t="str">
        <f ca="1">IFERROR(__xludf.DUMMYFUNCTION("""COMPUTED_VALUE"""),"Social Media like LinkedIn")</f>
        <v>Social Media like LinkedIn</v>
      </c>
      <c r="F975" s="1" t="str">
        <f ca="1">IFERROR(__xludf.DUMMYFUNCTION("""COMPUTED_VALUE"""),"Yes, I will earn and do that")</f>
        <v>Yes, I will earn and do that</v>
      </c>
      <c r="G975" s="1" t="str">
        <f ca="1">IFERROR(__xludf.DUMMYFUNCTION("""COMPUTED_VALUE"""),"Will work for 3 years or more")</f>
        <v>Will work for 3 years or more</v>
      </c>
      <c r="H975" s="1" t="str">
        <f ca="1">IFERROR(__xludf.DUMMYFUNCTION("""COMPUTED_VALUE"""),"No")</f>
        <v>No</v>
      </c>
      <c r="I975" s="1" t="str">
        <f ca="1">IFERROR(__xludf.DUMMYFUNCTION("""COMPUTED_VALUE"""),"Will NOT work for them")</f>
        <v>Will NOT work for them</v>
      </c>
      <c r="J975" s="1">
        <f ca="1">IFERROR(__xludf.DUMMYFUNCTION("""COMPUTED_VALUE"""),1)</f>
        <v>1</v>
      </c>
      <c r="K975" s="1" t="str">
        <f ca="1">IFERROR(__xludf.DUMMYFUNCTION("""COMPUTED_VALUE"""),"Hybrid Working Environment with more than 15 days a month at office")</f>
        <v>Hybrid Working Environment with more than 15 days a month at office</v>
      </c>
      <c r="L975" s="1" t="str">
        <f ca="1">IFERROR(__xludf.DUMMYFUNCTION("""COMPUTED_VALUE"""),"Employer who pushes your limits by enabling an learning environment, and rewards you at the end")</f>
        <v>Employer who pushes your limits by enabling an learning environment, and rewards you at the end</v>
      </c>
      <c r="M975"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N975" s="1"/>
      <c r="O975" s="1" t="str">
        <f ca="1">IFERROR(__xludf.DUMMYFUNCTION("""COMPUTED_VALUE"""),"Manager who sets goal and helps me achieve it")</f>
        <v>Manager who sets goal and helps me achieve it</v>
      </c>
      <c r="P975" s="1" t="str">
        <f ca="1">IFERROR(__xludf.DUMMYFUNCTION("""COMPUTED_VALUE"""),"Work &lt;=6 People in the Team")</f>
        <v>Work &lt;=6 People in the Team</v>
      </c>
      <c r="Q975" s="1" t="s">
        <v>43</v>
      </c>
      <c r="R975" s="1"/>
    </row>
    <row r="976" spans="1:18" x14ac:dyDescent="0.25">
      <c r="A976" s="2">
        <f ca="1">IFERROR(__xludf.DUMMYFUNCTION("""COMPUTED_VALUE"""),45027.5671434374)</f>
        <v>45027.567143437402</v>
      </c>
      <c r="B976" s="1" t="str">
        <f ca="1">IFERROR(__xludf.DUMMYFUNCTION("""COMPUTED_VALUE"""),"India")</f>
        <v>India</v>
      </c>
      <c r="C976" s="1">
        <f ca="1">IFERROR(__xludf.DUMMYFUNCTION("""COMPUTED_VALUE"""),110089)</f>
        <v>110089</v>
      </c>
      <c r="D976" s="1" t="str">
        <f ca="1">IFERROR(__xludf.DUMMYFUNCTION("""COMPUTED_VALUE"""),"Female")</f>
        <v>Female</v>
      </c>
      <c r="E976" s="1" t="str">
        <f ca="1">IFERROR(__xludf.DUMMYFUNCTION("""COMPUTED_VALUE"""),"My Parents")</f>
        <v>My Parents</v>
      </c>
      <c r="F976" s="1" t="str">
        <f ca="1">IFERROR(__xludf.DUMMYFUNCTION("""COMPUTED_VALUE"""),"No I would not be pursuing Higher Education outside of India")</f>
        <v>No I would not be pursuing Higher Education outside of India</v>
      </c>
      <c r="G976" s="1" t="str">
        <f ca="1">IFERROR(__xludf.DUMMYFUNCTION("""COMPUTED_VALUE"""),"Will work for 3 years or more")</f>
        <v>Will work for 3 years or more</v>
      </c>
      <c r="H976" s="1" t="str">
        <f ca="1">IFERROR(__xludf.DUMMYFUNCTION("""COMPUTED_VALUE"""),"No")</f>
        <v>No</v>
      </c>
      <c r="I976" s="1" t="str">
        <f ca="1">IFERROR(__xludf.DUMMYFUNCTION("""COMPUTED_VALUE"""),"Will NOT work for them")</f>
        <v>Will NOT work for them</v>
      </c>
      <c r="J976" s="1">
        <f ca="1">IFERROR(__xludf.DUMMYFUNCTION("""COMPUTED_VALUE"""),7)</f>
        <v>7</v>
      </c>
      <c r="K976" s="1" t="str">
        <f ca="1">IFERROR(__xludf.DUMMYFUNCTION("""COMPUTED_VALUE"""),"Hybrid Working Environment with less than 3 days a month at office")</f>
        <v>Hybrid Working Environment with less than 3 days a month at office</v>
      </c>
      <c r="L976" s="1" t="str">
        <f ca="1">IFERROR(__xludf.DUMMYFUNCTION("""COMPUTED_VALUE"""),"Employer who pushes your limits by enabling an learning environment, and rewards you at the end")</f>
        <v>Employer who pushes your limits by enabling an learning environment, and rewards you at the end</v>
      </c>
      <c r="M976"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N976" s="1"/>
      <c r="O976" s="1" t="str">
        <f ca="1">IFERROR(__xludf.DUMMYFUNCTION("""COMPUTED_VALUE"""),"Manager who explains what is expected, sets a goal and helps achieve it")</f>
        <v>Manager who explains what is expected, sets a goal and helps achieve it</v>
      </c>
      <c r="P976" s="1" t="str">
        <f ca="1">IFERROR(__xludf.DUMMYFUNCTION("""COMPUTED_VALUE"""),"Work &lt;=6 People in the Team")</f>
        <v>Work &lt;=6 People in the Team</v>
      </c>
      <c r="Q976" s="1" t="s">
        <v>40</v>
      </c>
      <c r="R976" s="1"/>
    </row>
    <row r="977" spans="1:18" x14ac:dyDescent="0.25">
      <c r="A977" s="2">
        <f ca="1">IFERROR(__xludf.DUMMYFUNCTION("""COMPUTED_VALUE"""),45027.9461679744)</f>
        <v>45027.946167974398</v>
      </c>
      <c r="B977" s="1" t="str">
        <f ca="1">IFERROR(__xludf.DUMMYFUNCTION("""COMPUTED_VALUE"""),"India")</f>
        <v>India</v>
      </c>
      <c r="C977" s="1">
        <f ca="1">IFERROR(__xludf.DUMMYFUNCTION("""COMPUTED_VALUE"""),603209)</f>
        <v>603209</v>
      </c>
      <c r="D977" s="1" t="str">
        <f ca="1">IFERROR(__xludf.DUMMYFUNCTION("""COMPUTED_VALUE"""),"Male")</f>
        <v>Male</v>
      </c>
      <c r="E977" s="1" t="str">
        <f ca="1">IFERROR(__xludf.DUMMYFUNCTION("""COMPUTED_VALUE"""),"Social Media like LinkedIn")</f>
        <v>Social Media like LinkedIn</v>
      </c>
      <c r="F977" s="1" t="str">
        <f ca="1">IFERROR(__xludf.DUMMYFUNCTION("""COMPUTED_VALUE"""),"No I would not be pursuing Higher Education outside of India")</f>
        <v>No I would not be pursuing Higher Education outside of India</v>
      </c>
      <c r="G977" s="1" t="str">
        <f ca="1">IFERROR(__xludf.DUMMYFUNCTION("""COMPUTED_VALUE"""),"Will work for 3 years or more")</f>
        <v>Will work for 3 years or more</v>
      </c>
      <c r="H977" s="1" t="str">
        <f ca="1">IFERROR(__xludf.DUMMYFUNCTION("""COMPUTED_VALUE"""),"Yes")</f>
        <v>Yes</v>
      </c>
      <c r="I977" s="1" t="str">
        <f ca="1">IFERROR(__xludf.DUMMYFUNCTION("""COMPUTED_VALUE"""),"Will work for them")</f>
        <v>Will work for them</v>
      </c>
      <c r="J977" s="1">
        <f ca="1">IFERROR(__xludf.DUMMYFUNCTION("""COMPUTED_VALUE"""),8)</f>
        <v>8</v>
      </c>
      <c r="K977" s="1" t="str">
        <f ca="1">IFERROR(__xludf.DUMMYFUNCTION("""COMPUTED_VALUE"""),"Fully Remote with No option to visit offices")</f>
        <v>Fully Remote with No option to visit offices</v>
      </c>
      <c r="L977" s="1" t="str">
        <f ca="1">IFERROR(__xludf.DUMMYFUNCTION("""COMPUTED_VALUE"""),"Employer who rewards learning and enables that environment")</f>
        <v>Employer who rewards learning and enables that environment</v>
      </c>
      <c r="M97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977" s="1"/>
      <c r="O977" s="1" t="str">
        <f ca="1">IFERROR(__xludf.DUMMYFUNCTION("""COMPUTED_VALUE"""),"Manager who clearly describes what she/he needs")</f>
        <v>Manager who clearly describes what she/he needs</v>
      </c>
      <c r="P977" s="1" t="str">
        <f ca="1">IFERROR(__xludf.DUMMYFUNCTION("""COMPUTED_VALUE"""),"Work &lt;=6 People in the Team")</f>
        <v>Work &lt;=6 People in the Team</v>
      </c>
      <c r="Q977" s="1" t="s">
        <v>43</v>
      </c>
      <c r="R977" s="1"/>
    </row>
    <row r="978" spans="1:18" x14ac:dyDescent="0.25">
      <c r="A978" s="2">
        <f ca="1">IFERROR(__xludf.DUMMYFUNCTION("""COMPUTED_VALUE"""),45028.3914289236)</f>
        <v>45028.391428923598</v>
      </c>
      <c r="B978" s="1" t="str">
        <f ca="1">IFERROR(__xludf.DUMMYFUNCTION("""COMPUTED_VALUE"""),"India")</f>
        <v>India</v>
      </c>
      <c r="C978" s="1">
        <f ca="1">IFERROR(__xludf.DUMMYFUNCTION("""COMPUTED_VALUE"""),110026)</f>
        <v>110026</v>
      </c>
      <c r="D978" s="1" t="str">
        <f ca="1">IFERROR(__xludf.DUMMYFUNCTION("""COMPUTED_VALUE"""),"Male")</f>
        <v>Male</v>
      </c>
      <c r="E978" s="1" t="str">
        <f ca="1">IFERROR(__xludf.DUMMYFUNCTION("""COMPUTED_VALUE"""),"People from my circle, but not family members")</f>
        <v>People from my circle, but not family members</v>
      </c>
      <c r="F978" s="1" t="str">
        <f ca="1">IFERROR(__xludf.DUMMYFUNCTION("""COMPUTED_VALUE"""),"No, But if someone could bare the cost I will")</f>
        <v>No, But if someone could bare the cost I will</v>
      </c>
      <c r="G978" s="1" t="str">
        <f ca="1">IFERROR(__xludf.DUMMYFUNCTION("""COMPUTED_VALUE"""),"Will work for 3 years or more")</f>
        <v>Will work for 3 years or more</v>
      </c>
      <c r="H978" s="1" t="str">
        <f ca="1">IFERROR(__xludf.DUMMYFUNCTION("""COMPUTED_VALUE"""),"No")</f>
        <v>No</v>
      </c>
      <c r="I978" s="1" t="str">
        <f ca="1">IFERROR(__xludf.DUMMYFUNCTION("""COMPUTED_VALUE"""),"Will NOT work for them")</f>
        <v>Will NOT work for them</v>
      </c>
      <c r="J978" s="1">
        <f ca="1">IFERROR(__xludf.DUMMYFUNCTION("""COMPUTED_VALUE"""),7)</f>
        <v>7</v>
      </c>
      <c r="K978" s="1" t="str">
        <f ca="1">IFERROR(__xludf.DUMMYFUNCTION("""COMPUTED_VALUE"""),"Every Day Office Environment")</f>
        <v>Every Day Office Environment</v>
      </c>
      <c r="L978" s="1" t="str">
        <f ca="1">IFERROR(__xludf.DUMMYFUNCTION("""COMPUTED_VALUE"""),"Employer who appreciates learning and enables that environment")</f>
        <v>Employer who appreciates learning and enables that environment</v>
      </c>
      <c r="M97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978" s="1"/>
      <c r="O978" s="1" t="str">
        <f ca="1">IFERROR(__xludf.DUMMYFUNCTION("""COMPUTED_VALUE"""),"Manager who explains what is expected, sets a goal and helps achieve it")</f>
        <v>Manager who explains what is expected, sets a goal and helps achieve it</v>
      </c>
      <c r="P978" s="1" t="str">
        <f ca="1">IFERROR(__xludf.DUMMYFUNCTION("""COMPUTED_VALUE"""),"Work &lt;=6 People in the Team")</f>
        <v>Work &lt;=6 People in the Team</v>
      </c>
      <c r="Q978" s="1" t="s">
        <v>42</v>
      </c>
      <c r="R978" s="1"/>
    </row>
    <row r="979" spans="1:18" x14ac:dyDescent="0.25">
      <c r="A979" s="2">
        <f ca="1">IFERROR(__xludf.DUMMYFUNCTION("""COMPUTED_VALUE"""),45029.6407750463)</f>
        <v>45029.640775046297</v>
      </c>
      <c r="B979" s="1" t="str">
        <f ca="1">IFERROR(__xludf.DUMMYFUNCTION("""COMPUTED_VALUE"""),"India")</f>
        <v>India</v>
      </c>
      <c r="C979" s="1">
        <f ca="1">IFERROR(__xludf.DUMMYFUNCTION("""COMPUTED_VALUE"""),507002)</f>
        <v>507002</v>
      </c>
      <c r="D979" s="1" t="str">
        <f ca="1">IFERROR(__xludf.DUMMYFUNCTION("""COMPUTED_VALUE"""),"Male")</f>
        <v>Male</v>
      </c>
      <c r="E979" s="1" t="str">
        <f ca="1">IFERROR(__xludf.DUMMYFUNCTION("""COMPUTED_VALUE"""),"My Parents")</f>
        <v>My Parents</v>
      </c>
      <c r="F979" s="1" t="str">
        <f ca="1">IFERROR(__xludf.DUMMYFUNCTION("""COMPUTED_VALUE"""),"No I would not be pursuing Higher Education outside of India")</f>
        <v>No I would not be pursuing Higher Education outside of India</v>
      </c>
      <c r="G979" s="1" t="str">
        <f ca="1">IFERROR(__xludf.DUMMYFUNCTION("""COMPUTED_VALUE"""),"This will be hard to do, but if it is the right company I would try")</f>
        <v>This will be hard to do, but if it is the right company I would try</v>
      </c>
      <c r="H979" s="1" t="str">
        <f ca="1">IFERROR(__xludf.DUMMYFUNCTION("""COMPUTED_VALUE"""),"No")</f>
        <v>No</v>
      </c>
      <c r="I979" s="1" t="str">
        <f ca="1">IFERROR(__xludf.DUMMYFUNCTION("""COMPUTED_VALUE"""),"Will NOT work for them")</f>
        <v>Will NOT work for them</v>
      </c>
      <c r="J979" s="1">
        <f ca="1">IFERROR(__xludf.DUMMYFUNCTION("""COMPUTED_VALUE"""),7)</f>
        <v>7</v>
      </c>
      <c r="K979" s="1" t="str">
        <f ca="1">IFERROR(__xludf.DUMMYFUNCTION("""COMPUTED_VALUE"""),"Fully Remote with Options to travel as and when needed")</f>
        <v>Fully Remote with Options to travel as and when needed</v>
      </c>
      <c r="L979" s="1" t="str">
        <f ca="1">IFERROR(__xludf.DUMMYFUNCTION("""COMPUTED_VALUE"""),"Employer who rewards learning and enables that environment")</f>
        <v>Employer who rewards learning and enables that environment</v>
      </c>
      <c r="M97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N979" s="1"/>
      <c r="O979" s="1" t="str">
        <f ca="1">IFERROR(__xludf.DUMMYFUNCTION("""COMPUTED_VALUE"""),"Manager who sets goal and helps me achieve it")</f>
        <v>Manager who sets goal and helps me achieve it</v>
      </c>
      <c r="P979" s="1" t="str">
        <f ca="1">IFERROR(__xludf.DUMMYFUNCTION("""COMPUTED_VALUE"""),"Work &lt;=6 People in the Team")</f>
        <v>Work &lt;=6 People in the Team</v>
      </c>
      <c r="Q979" s="1" t="s">
        <v>43</v>
      </c>
      <c r="R979" s="1"/>
    </row>
    <row r="980" spans="1:18" x14ac:dyDescent="0.25">
      <c r="A980" s="2">
        <f ca="1">IFERROR(__xludf.DUMMYFUNCTION("""COMPUTED_VALUE"""),45030.4317929513)</f>
        <v>45030.431792951298</v>
      </c>
      <c r="B980" s="1" t="str">
        <f ca="1">IFERROR(__xludf.DUMMYFUNCTION("""COMPUTED_VALUE"""),"Others")</f>
        <v>Others</v>
      </c>
      <c r="C980" s="1">
        <f ca="1">IFERROR(__xludf.DUMMYFUNCTION("""COMPUTED_VALUE"""),6054)</f>
        <v>6054</v>
      </c>
      <c r="D980" s="1" t="str">
        <f ca="1">IFERROR(__xludf.DUMMYFUNCTION("""COMPUTED_VALUE"""),"Male")</f>
        <v>Male</v>
      </c>
      <c r="E980" s="1" t="str">
        <f ca="1">IFERROR(__xludf.DUMMYFUNCTION("""COMPUTED_VALUE"""),"People who have changed the world for better")</f>
        <v>People who have changed the world for better</v>
      </c>
      <c r="F980" s="1" t="str">
        <f ca="1">IFERROR(__xludf.DUMMYFUNCTION("""COMPUTED_VALUE"""),"Yes, I will earn and do that")</f>
        <v>Yes, I will earn and do that</v>
      </c>
      <c r="G980" s="1" t="str">
        <f ca="1">IFERROR(__xludf.DUMMYFUNCTION("""COMPUTED_VALUE"""),"Will work for 3 years or more")</f>
        <v>Will work for 3 years or more</v>
      </c>
      <c r="H980" s="1" t="str">
        <f ca="1">IFERROR(__xludf.DUMMYFUNCTION("""COMPUTED_VALUE"""),"No")</f>
        <v>No</v>
      </c>
      <c r="I980" s="1" t="str">
        <f ca="1">IFERROR(__xludf.DUMMYFUNCTION("""COMPUTED_VALUE"""),"Will NOT work for them")</f>
        <v>Will NOT work for them</v>
      </c>
      <c r="J980" s="1">
        <f ca="1">IFERROR(__xludf.DUMMYFUNCTION("""COMPUTED_VALUE"""),1)</f>
        <v>1</v>
      </c>
      <c r="K980" s="1" t="str">
        <f ca="1">IFERROR(__xludf.DUMMYFUNCTION("""COMPUTED_VALUE"""),"Every Day Office Environment")</f>
        <v>Every Day Office Environment</v>
      </c>
      <c r="L980" s="1" t="str">
        <f ca="1">IFERROR(__xludf.DUMMYFUNCTION("""COMPUTED_VALUE"""),"Employer who pushes your limits by enabling an learning environment, and rewards you at the end")</f>
        <v>Employer who pushes your limits by enabling an learning environment, and rewards you at the end</v>
      </c>
      <c r="M98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N980" s="1"/>
      <c r="O980" s="1" t="str">
        <f ca="1">IFERROR(__xludf.DUMMYFUNCTION("""COMPUTED_VALUE"""),"Manager who explains what is expected, sets a goal and helps achieve it")</f>
        <v>Manager who explains what is expected, sets a goal and helps achieve it</v>
      </c>
      <c r="P980" s="1" t="str">
        <f ca="1">IFERROR(__xludf.DUMMYFUNCTION("""COMPUTED_VALUE"""),"Work Alone, &lt;67 people in team")</f>
        <v>Work Alone, &lt;67 people in team</v>
      </c>
      <c r="Q980" s="1" t="s">
        <v>43</v>
      </c>
      <c r="R980" s="1"/>
    </row>
    <row r="981" spans="1:18" x14ac:dyDescent="0.25">
      <c r="A981" s="2">
        <f ca="1">IFERROR(__xludf.DUMMYFUNCTION("""COMPUTED_VALUE"""),45033.6707267476)</f>
        <v>45033.670726747601</v>
      </c>
      <c r="B981" s="1" t="str">
        <f ca="1">IFERROR(__xludf.DUMMYFUNCTION("""COMPUTED_VALUE"""),"India")</f>
        <v>India</v>
      </c>
      <c r="C981" s="1">
        <f ca="1">IFERROR(__xludf.DUMMYFUNCTION("""COMPUTED_VALUE"""),110089)</f>
        <v>110089</v>
      </c>
      <c r="D981" s="1" t="str">
        <f ca="1">IFERROR(__xludf.DUMMYFUNCTION("""COMPUTED_VALUE"""),"Male")</f>
        <v>Male</v>
      </c>
      <c r="E981" s="1" t="str">
        <f ca="1">IFERROR(__xludf.DUMMYFUNCTION("""COMPUTED_VALUE"""),"People who have changed the world for better")</f>
        <v>People who have changed the world for better</v>
      </c>
      <c r="F981" s="1" t="str">
        <f ca="1">IFERROR(__xludf.DUMMYFUNCTION("""COMPUTED_VALUE"""),"No, But if someone could bare the cost I will")</f>
        <v>No, But if someone could bare the cost I will</v>
      </c>
      <c r="G981" s="1" t="str">
        <f ca="1">IFERROR(__xludf.DUMMYFUNCTION("""COMPUTED_VALUE"""),"Will work for 3 years or more")</f>
        <v>Will work for 3 years or more</v>
      </c>
      <c r="H981" s="1" t="str">
        <f ca="1">IFERROR(__xludf.DUMMYFUNCTION("""COMPUTED_VALUE"""),"No")</f>
        <v>No</v>
      </c>
      <c r="I981" s="1" t="str">
        <f ca="1">IFERROR(__xludf.DUMMYFUNCTION("""COMPUTED_VALUE"""),"Will NOT work for them")</f>
        <v>Will NOT work for them</v>
      </c>
      <c r="J981" s="1">
        <f ca="1">IFERROR(__xludf.DUMMYFUNCTION("""COMPUTED_VALUE"""),1)</f>
        <v>1</v>
      </c>
      <c r="K981" s="1" t="str">
        <f ca="1">IFERROR(__xludf.DUMMYFUNCTION("""COMPUTED_VALUE"""),"Fully Remote with Options to travel as and when needed")</f>
        <v>Fully Remote with Options to travel as and when needed</v>
      </c>
      <c r="L981" s="1" t="str">
        <f ca="1">IFERROR(__xludf.DUMMYFUNCTION("""COMPUTED_VALUE"""),"Employer who pushes your limits by enabling an learning environment, and rewards you at the end")</f>
        <v>Employer who pushes your limits by enabling an learning environment, and rewards you at the end</v>
      </c>
      <c r="M981"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N981" s="1"/>
      <c r="O981" s="1" t="str">
        <f ca="1">IFERROR(__xludf.DUMMYFUNCTION("""COMPUTED_VALUE"""),"Manager who explains what is expected, sets a goal and helps achieve it")</f>
        <v>Manager who explains what is expected, sets a goal and helps achieve it</v>
      </c>
      <c r="P981" s="1" t="str">
        <f ca="1">IFERROR(__xludf.DUMMYFUNCTION("""COMPUTED_VALUE"""),"Work &gt;10 people in Team")</f>
        <v>Work &gt;10 people in Team</v>
      </c>
      <c r="Q981" s="1" t="s">
        <v>43</v>
      </c>
      <c r="R981" s="1"/>
    </row>
    <row r="982" spans="1:18" x14ac:dyDescent="0.25">
      <c r="A982" s="2">
        <f ca="1">IFERROR(__xludf.DUMMYFUNCTION("""COMPUTED_VALUE"""),45033.7427592361)</f>
        <v>45033.742759236098</v>
      </c>
      <c r="B982" s="1" t="str">
        <f ca="1">IFERROR(__xludf.DUMMYFUNCTION("""COMPUTED_VALUE"""),"India")</f>
        <v>India</v>
      </c>
      <c r="C982" s="1">
        <f ca="1">IFERROR(__xludf.DUMMYFUNCTION("""COMPUTED_VALUE"""),440008)</f>
        <v>440008</v>
      </c>
      <c r="D982" s="1" t="str">
        <f ca="1">IFERROR(__xludf.DUMMYFUNCTION("""COMPUTED_VALUE"""),"Male")</f>
        <v>Male</v>
      </c>
      <c r="E982" s="1" t="str">
        <f ca="1">IFERROR(__xludf.DUMMYFUNCTION("""COMPUTED_VALUE"""),"People who have changed the world for better")</f>
        <v>People who have changed the world for better</v>
      </c>
      <c r="F982" s="1" t="str">
        <f ca="1">IFERROR(__xludf.DUMMYFUNCTION("""COMPUTED_VALUE"""),"Yes, I will earn and do that")</f>
        <v>Yes, I will earn and do that</v>
      </c>
      <c r="G982" s="1" t="str">
        <f ca="1">IFERROR(__xludf.DUMMYFUNCTION("""COMPUTED_VALUE"""),"This will be hard to do, but if it is the right company I would try")</f>
        <v>This will be hard to do, but if it is the right company I would try</v>
      </c>
      <c r="H982" s="1" t="str">
        <f ca="1">IFERROR(__xludf.DUMMYFUNCTION("""COMPUTED_VALUE"""),"No")</f>
        <v>No</v>
      </c>
      <c r="I982" s="1" t="str">
        <f ca="1">IFERROR(__xludf.DUMMYFUNCTION("""COMPUTED_VALUE"""),"Will NOT work for them")</f>
        <v>Will NOT work for them</v>
      </c>
      <c r="J982" s="1">
        <f ca="1">IFERROR(__xludf.DUMMYFUNCTION("""COMPUTED_VALUE"""),5)</f>
        <v>5</v>
      </c>
      <c r="K982" s="1" t="str">
        <f ca="1">IFERROR(__xludf.DUMMYFUNCTION("""COMPUTED_VALUE"""),"Hybrid Working Environment with more than 15 days a month at office")</f>
        <v>Hybrid Working Environment with more than 15 days a month at office</v>
      </c>
      <c r="L982" s="1" t="str">
        <f ca="1">IFERROR(__xludf.DUMMYFUNCTION("""COMPUTED_VALUE"""),"Employer who pushes your limits by enabling an learning environment, and rewards you at the end")</f>
        <v>Employer who pushes your limits by enabling an learning environment, and rewards you at the end</v>
      </c>
      <c r="M98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982" s="1"/>
      <c r="O982" s="1" t="str">
        <f ca="1">IFERROR(__xludf.DUMMYFUNCTION("""COMPUTED_VALUE"""),"Manager who sets goal and helps me achieve it")</f>
        <v>Manager who sets goal and helps me achieve it</v>
      </c>
      <c r="P982" s="1" t="str">
        <f ca="1">IFERROR(__xludf.DUMMYFUNCTION("""COMPUTED_VALUE"""),"Work &lt;=6 People in the Team")</f>
        <v>Work &lt;=6 People in the Team</v>
      </c>
      <c r="Q982" s="1" t="s">
        <v>40</v>
      </c>
      <c r="R982" s="1"/>
    </row>
    <row r="983" spans="1:18" x14ac:dyDescent="0.25">
      <c r="A983" s="2">
        <f ca="1">IFERROR(__xludf.DUMMYFUNCTION("""COMPUTED_VALUE"""),45033.7460310069)</f>
        <v>45033.7460310069</v>
      </c>
      <c r="B983" s="1" t="str">
        <f ca="1">IFERROR(__xludf.DUMMYFUNCTION("""COMPUTED_VALUE"""),"India")</f>
        <v>India</v>
      </c>
      <c r="C983" s="1">
        <f ca="1">IFERROR(__xludf.DUMMYFUNCTION("""COMPUTED_VALUE"""),441207)</f>
        <v>441207</v>
      </c>
      <c r="D983" s="1" t="str">
        <f ca="1">IFERROR(__xludf.DUMMYFUNCTION("""COMPUTED_VALUE"""),"Female")</f>
        <v>Female</v>
      </c>
      <c r="E983" s="1" t="str">
        <f ca="1">IFERROR(__xludf.DUMMYFUNCTION("""COMPUTED_VALUE"""),"My Parents")</f>
        <v>My Parents</v>
      </c>
      <c r="F983" s="1" t="str">
        <f ca="1">IFERROR(__xludf.DUMMYFUNCTION("""COMPUTED_VALUE"""),"Yes, I will earn and do that")</f>
        <v>Yes, I will earn and do that</v>
      </c>
      <c r="G983" s="1" t="str">
        <f ca="1">IFERROR(__xludf.DUMMYFUNCTION("""COMPUTED_VALUE"""),"This will be hard to do, but if it is the right company I would try")</f>
        <v>This will be hard to do, but if it is the right company I would try</v>
      </c>
      <c r="H983" s="1" t="str">
        <f ca="1">IFERROR(__xludf.DUMMYFUNCTION("""COMPUTED_VALUE"""),"No")</f>
        <v>No</v>
      </c>
      <c r="I983" s="1" t="str">
        <f ca="1">IFERROR(__xludf.DUMMYFUNCTION("""COMPUTED_VALUE"""),"Will NOT work for them")</f>
        <v>Will NOT work for them</v>
      </c>
      <c r="J983" s="1">
        <f ca="1">IFERROR(__xludf.DUMMYFUNCTION("""COMPUTED_VALUE"""),6)</f>
        <v>6</v>
      </c>
      <c r="K983" s="1" t="str">
        <f ca="1">IFERROR(__xludf.DUMMYFUNCTION("""COMPUTED_VALUE"""),"Hybrid Working Environment with less than 3 days a month at office")</f>
        <v>Hybrid Working Environment with less than 3 days a month at office</v>
      </c>
      <c r="L983" s="1" t="str">
        <f ca="1">IFERROR(__xludf.DUMMYFUNCTION("""COMPUTED_VALUE"""),"Employer who appreciates learning and enables that environment")</f>
        <v>Employer who appreciates learning and enables that environment</v>
      </c>
      <c r="M98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N983" s="1"/>
      <c r="O983" s="1" t="str">
        <f ca="1">IFERROR(__xludf.DUMMYFUNCTION("""COMPUTED_VALUE"""),"Manager who clearly describes what she/he needs")</f>
        <v>Manager who clearly describes what she/he needs</v>
      </c>
      <c r="P983" s="1" t="str">
        <f ca="1">IFERROR(__xludf.DUMMYFUNCTION("""COMPUTED_VALUE"""),"Work &lt;=6 People in the Team")</f>
        <v>Work &lt;=6 People in the Team</v>
      </c>
      <c r="Q983" s="1" t="s">
        <v>43</v>
      </c>
      <c r="R983" s="1"/>
    </row>
    <row r="984" spans="1:18" x14ac:dyDescent="0.25">
      <c r="A984" s="2">
        <f ca="1">IFERROR(__xludf.DUMMYFUNCTION("""COMPUTED_VALUE"""),45039.5162302662)</f>
        <v>45039.516230266199</v>
      </c>
      <c r="B984" s="1" t="str">
        <f ca="1">IFERROR(__xludf.DUMMYFUNCTION("""COMPUTED_VALUE"""),"India")</f>
        <v>India</v>
      </c>
      <c r="C984" s="1">
        <f ca="1">IFERROR(__xludf.DUMMYFUNCTION("""COMPUTED_VALUE"""),301001)</f>
        <v>301001</v>
      </c>
      <c r="D984" s="1" t="str">
        <f ca="1">IFERROR(__xludf.DUMMYFUNCTION("""COMPUTED_VALUE"""),"Male")</f>
        <v>Male</v>
      </c>
      <c r="E984" s="1" t="str">
        <f ca="1">IFERROR(__xludf.DUMMYFUNCTION("""COMPUTED_VALUE"""),"My Parents")</f>
        <v>My Parents</v>
      </c>
      <c r="F984" s="1" t="str">
        <f ca="1">IFERROR(__xludf.DUMMYFUNCTION("""COMPUTED_VALUE"""),"Yes, I will earn and do that")</f>
        <v>Yes, I will earn and do that</v>
      </c>
      <c r="G984" s="1" t="str">
        <f ca="1">IFERROR(__xludf.DUMMYFUNCTION("""COMPUTED_VALUE"""),"This will be hard to do, but if it is the right company I would try")</f>
        <v>This will be hard to do, but if it is the right company I would try</v>
      </c>
      <c r="H984" s="1" t="str">
        <f ca="1">IFERROR(__xludf.DUMMYFUNCTION("""COMPUTED_VALUE"""),"No")</f>
        <v>No</v>
      </c>
      <c r="I984" s="1" t="str">
        <f ca="1">IFERROR(__xludf.DUMMYFUNCTION("""COMPUTED_VALUE"""),"Will NOT work for them")</f>
        <v>Will NOT work for them</v>
      </c>
      <c r="J984" s="1">
        <f ca="1">IFERROR(__xludf.DUMMYFUNCTION("""COMPUTED_VALUE"""),7)</f>
        <v>7</v>
      </c>
      <c r="K984" s="1" t="str">
        <f ca="1">IFERROR(__xludf.DUMMYFUNCTION("""COMPUTED_VALUE"""),"Hybrid Working Environment with more than 15 days a month at office")</f>
        <v>Hybrid Working Environment with more than 15 days a month at office</v>
      </c>
      <c r="L984" s="1" t="str">
        <f ca="1">IFERROR(__xludf.DUMMYFUNCTION("""COMPUTED_VALUE"""),"Employer who pushes your limits by enabling an learning environment, and rewards you at the end")</f>
        <v>Employer who pushes your limits by enabling an learning environment, and rewards you at the end</v>
      </c>
      <c r="M98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984" s="1"/>
      <c r="O984" s="1" t="str">
        <f ca="1">IFERROR(__xludf.DUMMYFUNCTION("""COMPUTED_VALUE"""),"Manager who explains what is expected, sets a goal and helps achieve it")</f>
        <v>Manager who explains what is expected, sets a goal and helps achieve it</v>
      </c>
      <c r="P984" s="1" t="str">
        <f ca="1">IFERROR(__xludf.DUMMYFUNCTION("""COMPUTED_VALUE"""),"Work &lt;=6 People in the Team")</f>
        <v>Work &lt;=6 People in the Team</v>
      </c>
      <c r="Q984" s="1" t="s">
        <v>43</v>
      </c>
      <c r="R984" s="1"/>
    </row>
    <row r="985" spans="1:18" x14ac:dyDescent="0.25">
      <c r="A985" s="2">
        <f ca="1">IFERROR(__xludf.DUMMYFUNCTION("""COMPUTED_VALUE"""),45043.8720767823)</f>
        <v>45043.872076782303</v>
      </c>
      <c r="B985" s="1" t="str">
        <f ca="1">IFERROR(__xludf.DUMMYFUNCTION("""COMPUTED_VALUE"""),"India")</f>
        <v>India</v>
      </c>
      <c r="C985" s="1">
        <f ca="1">IFERROR(__xludf.DUMMYFUNCTION("""COMPUTED_VALUE"""),431203)</f>
        <v>431203</v>
      </c>
      <c r="D985" s="1" t="str">
        <f ca="1">IFERROR(__xludf.DUMMYFUNCTION("""COMPUTED_VALUE"""),"Male")</f>
        <v>Male</v>
      </c>
      <c r="E985" s="1" t="str">
        <f ca="1">IFERROR(__xludf.DUMMYFUNCTION("""COMPUTED_VALUE"""),"People from my circle, but not family members")</f>
        <v>People from my circle, but not family members</v>
      </c>
      <c r="F985" s="1" t="str">
        <f ca="1">IFERROR(__xludf.DUMMYFUNCTION("""COMPUTED_VALUE"""),"Yes, I will earn and do that")</f>
        <v>Yes, I will earn and do that</v>
      </c>
      <c r="G985" s="1" t="str">
        <f ca="1">IFERROR(__xludf.DUMMYFUNCTION("""COMPUTED_VALUE"""),"This will be hard to do, but if it is the right company I would try")</f>
        <v>This will be hard to do, but if it is the right company I would try</v>
      </c>
      <c r="H985" s="1" t="str">
        <f ca="1">IFERROR(__xludf.DUMMYFUNCTION("""COMPUTED_VALUE"""),"No")</f>
        <v>No</v>
      </c>
      <c r="I985" s="1" t="str">
        <f ca="1">IFERROR(__xludf.DUMMYFUNCTION("""COMPUTED_VALUE"""),"Will NOT work for them")</f>
        <v>Will NOT work for them</v>
      </c>
      <c r="J985" s="1">
        <f ca="1">IFERROR(__xludf.DUMMYFUNCTION("""COMPUTED_VALUE"""),7)</f>
        <v>7</v>
      </c>
      <c r="K985" s="1" t="str">
        <f ca="1">IFERROR(__xludf.DUMMYFUNCTION("""COMPUTED_VALUE"""),"Hybrid Working Environment with more than 15 days a month at office")</f>
        <v>Hybrid Working Environment with more than 15 days a month at office</v>
      </c>
      <c r="L985" s="1" t="str">
        <f ca="1">IFERROR(__xludf.DUMMYFUNCTION("""COMPUTED_VALUE"""),"Employer who pushes your limits by enabling an learning environment, and rewards you at the end")</f>
        <v>Employer who pushes your limits by enabling an learning environment, and rewards you at the end</v>
      </c>
      <c r="M985" s="1" t="str">
        <f ca="1">IFERROR(__xludf.DUMMYFUNCTION("""COMPUTED_VALUE"""),"Business Operations in any organization, Manage and drive End-to-End Projects or Products, Look deeply into Data and generate insights, I Want to sell things/Sales")</f>
        <v>Business Operations in any organization, Manage and drive End-to-End Projects or Products, Look deeply into Data and generate insights, I Want to sell things/Sales</v>
      </c>
      <c r="N985" s="1"/>
      <c r="O985" s="1" t="str">
        <f ca="1">IFERROR(__xludf.DUMMYFUNCTION("""COMPUTED_VALUE"""),"Manager who explains what is expected, sets a goal and helps achieve it")</f>
        <v>Manager who explains what is expected, sets a goal and helps achieve it</v>
      </c>
      <c r="P985" s="1" t="str">
        <f ca="1">IFERROR(__xludf.DUMMYFUNCTION("""COMPUTED_VALUE"""),"Work &gt;10 people in Team")</f>
        <v>Work &gt;10 people in Team</v>
      </c>
      <c r="Q985" s="1" t="s">
        <v>43</v>
      </c>
      <c r="R985" s="1"/>
    </row>
    <row r="986" spans="1:18" x14ac:dyDescent="0.25">
      <c r="A986" s="2">
        <f ca="1">IFERROR(__xludf.DUMMYFUNCTION("""COMPUTED_VALUE"""),45043.8772189004)</f>
        <v>45043.877218900401</v>
      </c>
      <c r="B986" s="1" t="str">
        <f ca="1">IFERROR(__xludf.DUMMYFUNCTION("""COMPUTED_VALUE"""),"India")</f>
        <v>India</v>
      </c>
      <c r="C986" s="1">
        <f ca="1">IFERROR(__xludf.DUMMYFUNCTION("""COMPUTED_VALUE"""),411047)</f>
        <v>411047</v>
      </c>
      <c r="D986" s="1" t="str">
        <f ca="1">IFERROR(__xludf.DUMMYFUNCTION("""COMPUTED_VALUE"""),"Male")</f>
        <v>Male</v>
      </c>
      <c r="E986" s="1" t="str">
        <f ca="1">IFERROR(__xludf.DUMMYFUNCTION("""COMPUTED_VALUE"""),"People from my circle, but not family members")</f>
        <v>People from my circle, but not family members</v>
      </c>
      <c r="F986" s="1" t="str">
        <f ca="1">IFERROR(__xludf.DUMMYFUNCTION("""COMPUTED_VALUE"""),"No, But if someone could bare the cost I will")</f>
        <v>No, But if someone could bare the cost I will</v>
      </c>
      <c r="G986" s="1" t="str">
        <f ca="1">IFERROR(__xludf.DUMMYFUNCTION("""COMPUTED_VALUE"""),"This will be hard to do, but if it is the right company I would try")</f>
        <v>This will be hard to do, but if it is the right company I would try</v>
      </c>
      <c r="H986" s="1" t="str">
        <f ca="1">IFERROR(__xludf.DUMMYFUNCTION("""COMPUTED_VALUE"""),"No")</f>
        <v>No</v>
      </c>
      <c r="I986" s="1" t="str">
        <f ca="1">IFERROR(__xludf.DUMMYFUNCTION("""COMPUTED_VALUE"""),"Will NOT work for them")</f>
        <v>Will NOT work for them</v>
      </c>
      <c r="J986" s="1">
        <f ca="1">IFERROR(__xludf.DUMMYFUNCTION("""COMPUTED_VALUE"""),4)</f>
        <v>4</v>
      </c>
      <c r="K986" s="1" t="str">
        <f ca="1">IFERROR(__xludf.DUMMYFUNCTION("""COMPUTED_VALUE"""),"Fully Remote with Options to travel as and when needed")</f>
        <v>Fully Remote with Options to travel as and when needed</v>
      </c>
      <c r="L986" s="1" t="str">
        <f ca="1">IFERROR(__xludf.DUMMYFUNCTION("""COMPUTED_VALUE"""),"Employer who pushes your limits by enabling an learning environment, and rewards you at the end")</f>
        <v>Employer who pushes your limits by enabling an learning environment, and rewards you at the end</v>
      </c>
      <c r="M986"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N986" s="1"/>
      <c r="O986" s="1" t="str">
        <f ca="1">IFERROR(__xludf.DUMMYFUNCTION("""COMPUTED_VALUE"""),"Manager who explains what is expected, sets a goal and helps achieve it")</f>
        <v>Manager who explains what is expected, sets a goal and helps achieve it</v>
      </c>
      <c r="P986" s="1" t="str">
        <f ca="1">IFERROR(__xludf.DUMMYFUNCTION("""COMPUTED_VALUE"""),"Work Alone, &lt;=6 in team")</f>
        <v>Work Alone, &lt;=6 in team</v>
      </c>
      <c r="Q986" s="1" t="s">
        <v>40</v>
      </c>
      <c r="R986" s="1"/>
    </row>
    <row r="987" spans="1:18" x14ac:dyDescent="0.25">
      <c r="A987" s="2">
        <f ca="1">IFERROR(__xludf.DUMMYFUNCTION("""COMPUTED_VALUE"""),45043.8777726851)</f>
        <v>45043.877772685097</v>
      </c>
      <c r="B987" s="1" t="str">
        <f ca="1">IFERROR(__xludf.DUMMYFUNCTION("""COMPUTED_VALUE"""),"India")</f>
        <v>India</v>
      </c>
      <c r="C987" s="1">
        <f ca="1">IFERROR(__xludf.DUMMYFUNCTION("""COMPUTED_VALUE"""),641035)</f>
        <v>641035</v>
      </c>
      <c r="D987" s="1" t="str">
        <f ca="1">IFERROR(__xludf.DUMMYFUNCTION("""COMPUTED_VALUE"""),"Male")</f>
        <v>Male</v>
      </c>
      <c r="E987" s="1" t="str">
        <f ca="1">IFERROR(__xludf.DUMMYFUNCTION("""COMPUTED_VALUE"""),"My Parents")</f>
        <v>My Parents</v>
      </c>
      <c r="F987" s="1" t="str">
        <f ca="1">IFERROR(__xludf.DUMMYFUNCTION("""COMPUTED_VALUE"""),"Yes, I will earn and do that")</f>
        <v>Yes, I will earn and do that</v>
      </c>
      <c r="G987" s="1" t="str">
        <f ca="1">IFERROR(__xludf.DUMMYFUNCTION("""COMPUTED_VALUE"""),"Will work for 3 years or more")</f>
        <v>Will work for 3 years or more</v>
      </c>
      <c r="H987" s="1" t="str">
        <f ca="1">IFERROR(__xludf.DUMMYFUNCTION("""COMPUTED_VALUE"""),"Yes")</f>
        <v>Yes</v>
      </c>
      <c r="I987" s="1" t="str">
        <f ca="1">IFERROR(__xludf.DUMMYFUNCTION("""COMPUTED_VALUE"""),"Will work for them")</f>
        <v>Will work for them</v>
      </c>
      <c r="J987" s="1">
        <f ca="1">IFERROR(__xludf.DUMMYFUNCTION("""COMPUTED_VALUE"""),6)</f>
        <v>6</v>
      </c>
      <c r="K987" s="1" t="str">
        <f ca="1">IFERROR(__xludf.DUMMYFUNCTION("""COMPUTED_VALUE"""),"Hybrid Working Environment with less than 3 days a month at office")</f>
        <v>Hybrid Working Environment with less than 3 days a month at office</v>
      </c>
      <c r="L987" s="1" t="str">
        <f ca="1">IFERROR(__xludf.DUMMYFUNCTION("""COMPUTED_VALUE"""),"Employer who appreciates learning and enables that environment")</f>
        <v>Employer who appreciates learning and enables that environment</v>
      </c>
      <c r="M987"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N987" s="1"/>
      <c r="O987" s="1" t="str">
        <f ca="1">IFERROR(__xludf.DUMMYFUNCTION("""COMPUTED_VALUE"""),"Manager who sets goal and helps me achieve it")</f>
        <v>Manager who sets goal and helps me achieve it</v>
      </c>
      <c r="P987" s="1" t="str">
        <f ca="1">IFERROR(__xludf.DUMMYFUNCTION("""COMPUTED_VALUE"""),"Work &lt;=6 People in the Team")</f>
        <v>Work &lt;=6 People in the Team</v>
      </c>
      <c r="Q987" s="1" t="s">
        <v>43</v>
      </c>
      <c r="R987" s="1"/>
    </row>
    <row r="988" spans="1:18" x14ac:dyDescent="0.25">
      <c r="A988" s="2">
        <f ca="1">IFERROR(__xludf.DUMMYFUNCTION("""COMPUTED_VALUE"""),45043.878563368)</f>
        <v>45043.878563368002</v>
      </c>
      <c r="B988" s="1" t="str">
        <f ca="1">IFERROR(__xludf.DUMMYFUNCTION("""COMPUTED_VALUE"""),"India")</f>
        <v>India</v>
      </c>
      <c r="C988" s="1">
        <f ca="1">IFERROR(__xludf.DUMMYFUNCTION("""COMPUTED_VALUE"""),431133)</f>
        <v>431133</v>
      </c>
      <c r="D988" s="1" t="str">
        <f ca="1">IFERROR(__xludf.DUMMYFUNCTION("""COMPUTED_VALUE"""),"Male")</f>
        <v>Male</v>
      </c>
      <c r="E988" s="1" t="str">
        <f ca="1">IFERROR(__xludf.DUMMYFUNCTION("""COMPUTED_VALUE"""),"People from my circle, but not family members")</f>
        <v>People from my circle, but not family members</v>
      </c>
      <c r="F988" s="1" t="str">
        <f ca="1">IFERROR(__xludf.DUMMYFUNCTION("""COMPUTED_VALUE"""),"No, But if someone could bare the cost I will")</f>
        <v>No, But if someone could bare the cost I will</v>
      </c>
      <c r="G988" s="1" t="str">
        <f ca="1">IFERROR(__xludf.DUMMYFUNCTION("""COMPUTED_VALUE"""),"This will be hard to do, but if it is the right company I would try")</f>
        <v>This will be hard to do, but if it is the right company I would try</v>
      </c>
      <c r="H988" s="1" t="str">
        <f ca="1">IFERROR(__xludf.DUMMYFUNCTION("""COMPUTED_VALUE"""),"No")</f>
        <v>No</v>
      </c>
      <c r="I988" s="1" t="str">
        <f ca="1">IFERROR(__xludf.DUMMYFUNCTION("""COMPUTED_VALUE"""),"Will NOT work for them")</f>
        <v>Will NOT work for them</v>
      </c>
      <c r="J988" s="1">
        <f ca="1">IFERROR(__xludf.DUMMYFUNCTION("""COMPUTED_VALUE"""),5)</f>
        <v>5</v>
      </c>
      <c r="K988" s="1" t="str">
        <f ca="1">IFERROR(__xludf.DUMMYFUNCTION("""COMPUTED_VALUE"""),"Hybrid Working Environment with more than 15 days a month at office")</f>
        <v>Hybrid Working Environment with more than 15 days a month at office</v>
      </c>
      <c r="L988" s="1" t="str">
        <f ca="1">IFERROR(__xludf.DUMMYFUNCTION("""COMPUTED_VALUE"""),"Employer who rewards learning and enables that environment")</f>
        <v>Employer who rewards learning and enables that environment</v>
      </c>
      <c r="M98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988" s="1"/>
      <c r="O988" s="1" t="str">
        <f ca="1">IFERROR(__xludf.DUMMYFUNCTION("""COMPUTED_VALUE"""),"Manager who sets goal and helps me achieve it")</f>
        <v>Manager who sets goal and helps me achieve it</v>
      </c>
      <c r="P988" s="1" t="str">
        <f ca="1">IFERROR(__xludf.DUMMYFUNCTION("""COMPUTED_VALUE"""),"Work &lt;=6 People in the Team")</f>
        <v>Work &lt;=6 People in the Team</v>
      </c>
      <c r="Q988" s="1" t="s">
        <v>40</v>
      </c>
      <c r="R988" s="1"/>
    </row>
    <row r="989" spans="1:18" x14ac:dyDescent="0.25">
      <c r="A989" s="2">
        <f ca="1">IFERROR(__xludf.DUMMYFUNCTION("""COMPUTED_VALUE"""),45043.8789728125)</f>
        <v>45043.878972812498</v>
      </c>
      <c r="B989" s="1" t="str">
        <f ca="1">IFERROR(__xludf.DUMMYFUNCTION("""COMPUTED_VALUE"""),"India")</f>
        <v>India</v>
      </c>
      <c r="C989" s="1">
        <f ca="1">IFERROR(__xludf.DUMMYFUNCTION("""COMPUTED_VALUE"""),425001)</f>
        <v>425001</v>
      </c>
      <c r="D989" s="1" t="str">
        <f ca="1">IFERROR(__xludf.DUMMYFUNCTION("""COMPUTED_VALUE"""),"Male")</f>
        <v>Male</v>
      </c>
      <c r="E989" s="1" t="str">
        <f ca="1">IFERROR(__xludf.DUMMYFUNCTION("""COMPUTED_VALUE"""),"Social Media like LinkedIn")</f>
        <v>Social Media like LinkedIn</v>
      </c>
      <c r="F989" s="1" t="str">
        <f ca="1">IFERROR(__xludf.DUMMYFUNCTION("""COMPUTED_VALUE"""),"Yes, I will earn and do that")</f>
        <v>Yes, I will earn and do that</v>
      </c>
      <c r="G989" s="1" t="str">
        <f ca="1">IFERROR(__xludf.DUMMYFUNCTION("""COMPUTED_VALUE"""),"This will be hard to do, but if it is the right company I would try")</f>
        <v>This will be hard to do, but if it is the right company I would try</v>
      </c>
      <c r="H989" s="1" t="str">
        <f ca="1">IFERROR(__xludf.DUMMYFUNCTION("""COMPUTED_VALUE"""),"No")</f>
        <v>No</v>
      </c>
      <c r="I989" s="1" t="str">
        <f ca="1">IFERROR(__xludf.DUMMYFUNCTION("""COMPUTED_VALUE"""),"Will work for them")</f>
        <v>Will work for them</v>
      </c>
      <c r="J989" s="1">
        <f ca="1">IFERROR(__xludf.DUMMYFUNCTION("""COMPUTED_VALUE"""),8)</f>
        <v>8</v>
      </c>
      <c r="K989" s="1" t="str">
        <f ca="1">IFERROR(__xludf.DUMMYFUNCTION("""COMPUTED_VALUE"""),"Hybrid Working Environment with more than 15 days a month at office")</f>
        <v>Hybrid Working Environment with more than 15 days a month at office</v>
      </c>
      <c r="L989" s="1" t="str">
        <f ca="1">IFERROR(__xludf.DUMMYFUNCTION("""COMPUTED_VALUE"""),"Employer who pushes your limits by enabling an learning environment, and rewards you at the end")</f>
        <v>Employer who pushes your limits by enabling an learning environment, and rewards you at the end</v>
      </c>
      <c r="M98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N989" s="1"/>
      <c r="O989" s="1" t="str">
        <f ca="1">IFERROR(__xludf.DUMMYFUNCTION("""COMPUTED_VALUE"""),"Manager who sets goal and helps me achieve it")</f>
        <v>Manager who sets goal and helps me achieve it</v>
      </c>
      <c r="P989" s="1" t="str">
        <f ca="1">IFERROR(__xludf.DUMMYFUNCTION("""COMPUTED_VALUE"""),"Work  &lt;67 people in team")</f>
        <v>Work  &lt;67 people in team</v>
      </c>
      <c r="Q989" s="1" t="s">
        <v>40</v>
      </c>
      <c r="R989" s="1"/>
    </row>
    <row r="990" spans="1:18" x14ac:dyDescent="0.25">
      <c r="A990" s="2">
        <f ca="1">IFERROR(__xludf.DUMMYFUNCTION("""COMPUTED_VALUE"""),45043.8793478125)</f>
        <v>45043.879347812501</v>
      </c>
      <c r="B990" s="1" t="str">
        <f ca="1">IFERROR(__xludf.DUMMYFUNCTION("""COMPUTED_VALUE"""),"India")</f>
        <v>India</v>
      </c>
      <c r="C990" s="1">
        <f ca="1">IFERROR(__xludf.DUMMYFUNCTION("""COMPUTED_VALUE"""),560075)</f>
        <v>560075</v>
      </c>
      <c r="D990" s="1" t="str">
        <f ca="1">IFERROR(__xludf.DUMMYFUNCTION("""COMPUTED_VALUE"""),"Female")</f>
        <v>Female</v>
      </c>
      <c r="E990" s="1" t="str">
        <f ca="1">IFERROR(__xludf.DUMMYFUNCTION("""COMPUTED_VALUE"""),"People who have changed the world for better")</f>
        <v>People who have changed the world for better</v>
      </c>
      <c r="F990" s="1" t="str">
        <f ca="1">IFERROR(__xludf.DUMMYFUNCTION("""COMPUTED_VALUE"""),"No I would not be pursuing Higher Education outside of India")</f>
        <v>No I would not be pursuing Higher Education outside of India</v>
      </c>
      <c r="G990" s="1" t="str">
        <f ca="1">IFERROR(__xludf.DUMMYFUNCTION("""COMPUTED_VALUE"""),"This will be hard to do, but if it is the right company I would try")</f>
        <v>This will be hard to do, but if it is the right company I would try</v>
      </c>
      <c r="H990" s="1" t="str">
        <f ca="1">IFERROR(__xludf.DUMMYFUNCTION("""COMPUTED_VALUE"""),"No")</f>
        <v>No</v>
      </c>
      <c r="I990" s="1" t="str">
        <f ca="1">IFERROR(__xludf.DUMMYFUNCTION("""COMPUTED_VALUE"""),"Will NOT work for them")</f>
        <v>Will NOT work for them</v>
      </c>
      <c r="J990" s="1">
        <f ca="1">IFERROR(__xludf.DUMMYFUNCTION("""COMPUTED_VALUE"""),8)</f>
        <v>8</v>
      </c>
      <c r="K990" s="1" t="str">
        <f ca="1">IFERROR(__xludf.DUMMYFUNCTION("""COMPUTED_VALUE"""),"Hybrid Working Environment with more than 15 days a month at office")</f>
        <v>Hybrid Working Environment with more than 15 days a month at office</v>
      </c>
      <c r="L990" s="1" t="str">
        <f ca="1">IFERROR(__xludf.DUMMYFUNCTION("""COMPUTED_VALUE"""),"Employer who pushes your limits by enabling an learning environment, and rewards you at the end")</f>
        <v>Employer who pushes your limits by enabling an learning environment, and rewards you at the end</v>
      </c>
      <c r="M9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990" s="1"/>
      <c r="O990" s="1" t="str">
        <f ca="1">IFERROR(__xludf.DUMMYFUNCTION("""COMPUTED_VALUE"""),"Manager who explains what is expected, sets a goal and helps achieve it")</f>
        <v>Manager who explains what is expected, sets a goal and helps achieve it</v>
      </c>
      <c r="P990" s="1" t="str">
        <f ca="1">IFERROR(__xludf.DUMMYFUNCTION("""COMPUTED_VALUE"""),"Work &gt;=7 People in the Team")</f>
        <v>Work &gt;=7 People in the Team</v>
      </c>
      <c r="Q990" s="1" t="s">
        <v>43</v>
      </c>
      <c r="R990" s="1"/>
    </row>
    <row r="991" spans="1:18" x14ac:dyDescent="0.25">
      <c r="A991" s="2">
        <f ca="1">IFERROR(__xludf.DUMMYFUNCTION("""COMPUTED_VALUE"""),45043.8796213078)</f>
        <v>45043.879621307802</v>
      </c>
      <c r="B991" s="1" t="str">
        <f ca="1">IFERROR(__xludf.DUMMYFUNCTION("""COMPUTED_VALUE"""),"India")</f>
        <v>India</v>
      </c>
      <c r="C991" s="1">
        <f ca="1">IFERROR(__xludf.DUMMYFUNCTION("""COMPUTED_VALUE"""),226201)</f>
        <v>226201</v>
      </c>
      <c r="D991" s="1" t="str">
        <f ca="1">IFERROR(__xludf.DUMMYFUNCTION("""COMPUTED_VALUE"""),"Male")</f>
        <v>Male</v>
      </c>
      <c r="E991" s="1" t="str">
        <f ca="1">IFERROR(__xludf.DUMMYFUNCTION("""COMPUTED_VALUE"""),"People who have changed the world for better")</f>
        <v>People who have changed the world for better</v>
      </c>
      <c r="F991" s="1" t="str">
        <f ca="1">IFERROR(__xludf.DUMMYFUNCTION("""COMPUTED_VALUE"""),"Yes, I will earn and do that")</f>
        <v>Yes, I will earn and do that</v>
      </c>
      <c r="G991" s="1" t="str">
        <f ca="1">IFERROR(__xludf.DUMMYFUNCTION("""COMPUTED_VALUE"""),"This will be hard to do, but if it is the right company I would try")</f>
        <v>This will be hard to do, but if it is the right company I would try</v>
      </c>
      <c r="H991" s="1" t="str">
        <f ca="1">IFERROR(__xludf.DUMMYFUNCTION("""COMPUTED_VALUE"""),"No")</f>
        <v>No</v>
      </c>
      <c r="I991" s="1" t="str">
        <f ca="1">IFERROR(__xludf.DUMMYFUNCTION("""COMPUTED_VALUE"""),"Will NOT work for them")</f>
        <v>Will NOT work for them</v>
      </c>
      <c r="J991" s="1">
        <f ca="1">IFERROR(__xludf.DUMMYFUNCTION("""COMPUTED_VALUE"""),6)</f>
        <v>6</v>
      </c>
      <c r="K991" s="1" t="str">
        <f ca="1">IFERROR(__xludf.DUMMYFUNCTION("""COMPUTED_VALUE"""),"Hybrid Working Environment with more than 15 days a month at office")</f>
        <v>Hybrid Working Environment with more than 15 days a month at office</v>
      </c>
      <c r="L991" s="1" t="str">
        <f ca="1">IFERROR(__xludf.DUMMYFUNCTION("""COMPUTED_VALUE"""),"Employer who pushes your limits by enabling an learning environment, and rewards you at the end")</f>
        <v>Employer who pushes your limits by enabling an learning environment, and rewards you at the end</v>
      </c>
      <c r="M991" s="1" t="str">
        <f ca="1">IFERROR(__xludf.DUMMYFUNCTION("""COMPUTED_VALUE"""),"Manage and drive End-to-End Projects or Products, Look deeply into Data and generate insights, An Artificial Intelligence Specialist / Talking to Robots, Manufacturing / Oil and Gas/ Construction / Hard Physical Work related")</f>
        <v>Manage and drive End-to-End Projects or Products, Look deeply into Data and generate insights, An Artificial Intelligence Specialist / Talking to Robots, Manufacturing / Oil and Gas/ Construction / Hard Physical Work related</v>
      </c>
      <c r="N991" s="1"/>
      <c r="O991" s="1" t="str">
        <f ca="1">IFERROR(__xludf.DUMMYFUNCTION("""COMPUTED_VALUE"""),"Manager who explains what is expected, sets a goal and helps achieve it")</f>
        <v>Manager who explains what is expected, sets a goal and helps achieve it</v>
      </c>
      <c r="P991" s="1" t="str">
        <f ca="1">IFERROR(__xludf.DUMMYFUNCTION("""COMPUTED_VALUE"""),"Work &lt;=6 People in the Team")</f>
        <v>Work &lt;=6 People in the Team</v>
      </c>
      <c r="Q991" s="1" t="s">
        <v>40</v>
      </c>
      <c r="R991" s="1"/>
    </row>
    <row r="992" spans="1:18" x14ac:dyDescent="0.25">
      <c r="A992" s="2">
        <f ca="1">IFERROR(__xludf.DUMMYFUNCTION("""COMPUTED_VALUE"""),45043.8799211458)</f>
        <v>45043.879921145803</v>
      </c>
      <c r="B992" s="1" t="str">
        <f ca="1">IFERROR(__xludf.DUMMYFUNCTION("""COMPUTED_VALUE"""),"India")</f>
        <v>India</v>
      </c>
      <c r="C992" s="1">
        <f ca="1">IFERROR(__xludf.DUMMYFUNCTION("""COMPUTED_VALUE"""),570003)</f>
        <v>570003</v>
      </c>
      <c r="D992" s="1" t="str">
        <f ca="1">IFERROR(__xludf.DUMMYFUNCTION("""COMPUTED_VALUE"""),"Male")</f>
        <v>Male</v>
      </c>
      <c r="E992" s="1" t="str">
        <f ca="1">IFERROR(__xludf.DUMMYFUNCTION("""COMPUTED_VALUE"""),"People who have changed the world for better")</f>
        <v>People who have changed the world for better</v>
      </c>
      <c r="F992" s="1" t="str">
        <f ca="1">IFERROR(__xludf.DUMMYFUNCTION("""COMPUTED_VALUE"""),"No I would not be pursuing Higher Education outside of India")</f>
        <v>No I would not be pursuing Higher Education outside of India</v>
      </c>
      <c r="G992" s="1" t="str">
        <f ca="1">IFERROR(__xludf.DUMMYFUNCTION("""COMPUTED_VALUE"""),"This will be hard to do, but if it is the right company I would try")</f>
        <v>This will be hard to do, but if it is the right company I would try</v>
      </c>
      <c r="H992" s="1" t="str">
        <f ca="1">IFERROR(__xludf.DUMMYFUNCTION("""COMPUTED_VALUE"""),"No")</f>
        <v>No</v>
      </c>
      <c r="I992" s="1" t="str">
        <f ca="1">IFERROR(__xludf.DUMMYFUNCTION("""COMPUTED_VALUE"""),"Will NOT work for them")</f>
        <v>Will NOT work for them</v>
      </c>
      <c r="J992" s="1">
        <f ca="1">IFERROR(__xludf.DUMMYFUNCTION("""COMPUTED_VALUE"""),5)</f>
        <v>5</v>
      </c>
      <c r="K992" s="1" t="str">
        <f ca="1">IFERROR(__xludf.DUMMYFUNCTION("""COMPUTED_VALUE"""),"Hybrid Working Environment with more than 15 days a month at office")</f>
        <v>Hybrid Working Environment with more than 15 days a month at office</v>
      </c>
      <c r="L992" s="1" t="str">
        <f ca="1">IFERROR(__xludf.DUMMYFUNCTION("""COMPUTED_VALUE"""),"Employer who rewards learning and enables that environment")</f>
        <v>Employer who rewards learning and enables that environment</v>
      </c>
      <c r="M99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992" s="1"/>
      <c r="O992" s="1" t="str">
        <f ca="1">IFERROR(__xludf.DUMMYFUNCTION("""COMPUTED_VALUE"""),"Manager who explains what is expected, sets a goal and helps achieve it")</f>
        <v>Manager who explains what is expected, sets a goal and helps achieve it</v>
      </c>
      <c r="P992" s="1" t="str">
        <f ca="1">IFERROR(__xludf.DUMMYFUNCTION("""COMPUTED_VALUE"""),"Work &lt;=6 People in the Team")</f>
        <v>Work &lt;=6 People in the Team</v>
      </c>
      <c r="Q992" s="1" t="s">
        <v>42</v>
      </c>
      <c r="R992" s="1"/>
    </row>
    <row r="993" spans="1:18" x14ac:dyDescent="0.25">
      <c r="A993" s="2">
        <f ca="1">IFERROR(__xludf.DUMMYFUNCTION("""COMPUTED_VALUE"""),45043.8803072222)</f>
        <v>45043.8803072222</v>
      </c>
      <c r="B993" s="1" t="str">
        <f ca="1">IFERROR(__xludf.DUMMYFUNCTION("""COMPUTED_VALUE"""),"India")</f>
        <v>India</v>
      </c>
      <c r="C993" s="1">
        <f ca="1">IFERROR(__xludf.DUMMYFUNCTION("""COMPUTED_VALUE"""),201002)</f>
        <v>201002</v>
      </c>
      <c r="D993" s="1" t="str">
        <f ca="1">IFERROR(__xludf.DUMMYFUNCTION("""COMPUTED_VALUE"""),"Male")</f>
        <v>Male</v>
      </c>
      <c r="E993" s="1" t="str">
        <f ca="1">IFERROR(__xludf.DUMMYFUNCTION("""COMPUTED_VALUE"""),"Social Media like LinkedIn")</f>
        <v>Social Media like LinkedIn</v>
      </c>
      <c r="F993" s="1" t="str">
        <f ca="1">IFERROR(__xludf.DUMMYFUNCTION("""COMPUTED_VALUE"""),"Yes, I will earn and do that")</f>
        <v>Yes, I will earn and do that</v>
      </c>
      <c r="G993" s="1" t="str">
        <f ca="1">IFERROR(__xludf.DUMMYFUNCTION("""COMPUTED_VALUE"""),"This will be hard to do, but if it is the right company I would try")</f>
        <v>This will be hard to do, but if it is the right company I would try</v>
      </c>
      <c r="H993" s="1" t="str">
        <f ca="1">IFERROR(__xludf.DUMMYFUNCTION("""COMPUTED_VALUE"""),"No")</f>
        <v>No</v>
      </c>
      <c r="I993" s="1" t="str">
        <f ca="1">IFERROR(__xludf.DUMMYFUNCTION("""COMPUTED_VALUE"""),"Will NOT work for them")</f>
        <v>Will NOT work for them</v>
      </c>
      <c r="J993" s="1">
        <f ca="1">IFERROR(__xludf.DUMMYFUNCTION("""COMPUTED_VALUE"""),8)</f>
        <v>8</v>
      </c>
      <c r="K993" s="1" t="str">
        <f ca="1">IFERROR(__xludf.DUMMYFUNCTION("""COMPUTED_VALUE"""),"Fully Remote with No option to visit offices")</f>
        <v>Fully Remote with No option to visit offices</v>
      </c>
      <c r="L993" s="1" t="str">
        <f ca="1">IFERROR(__xludf.DUMMYFUNCTION("""COMPUTED_VALUE"""),"Employer who pushes your limits by enabling an learning environment, and rewards you at the end")</f>
        <v>Employer who pushes your limits by enabling an learning environment, and rewards you at the end</v>
      </c>
      <c r="M993"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N993" s="1"/>
      <c r="O993" s="1" t="str">
        <f ca="1">IFERROR(__xludf.DUMMYFUNCTION("""COMPUTED_VALUE"""),"Manager who explains what is expected, sets a goal and helps achieve it")</f>
        <v>Manager who explains what is expected, sets a goal and helps achieve it</v>
      </c>
      <c r="P993" s="1" t="str">
        <f ca="1">IFERROR(__xludf.DUMMYFUNCTION("""COMPUTED_VALUE"""),"Work &lt;=6 People in the Team")</f>
        <v>Work &lt;=6 People in the Team</v>
      </c>
      <c r="Q993" s="1" t="s">
        <v>43</v>
      </c>
      <c r="R993" s="1"/>
    </row>
    <row r="994" spans="1:18" x14ac:dyDescent="0.25">
      <c r="A994" s="2">
        <f ca="1">IFERROR(__xludf.DUMMYFUNCTION("""COMPUTED_VALUE"""),45043.881235706)</f>
        <v>45043.881235706001</v>
      </c>
      <c r="B994" s="1" t="str">
        <f ca="1">IFERROR(__xludf.DUMMYFUNCTION("""COMPUTED_VALUE"""),"India")</f>
        <v>India</v>
      </c>
      <c r="C994" s="1">
        <f ca="1">IFERROR(__xludf.DUMMYFUNCTION("""COMPUTED_VALUE"""),411041)</f>
        <v>411041</v>
      </c>
      <c r="D994" s="1" t="str">
        <f ca="1">IFERROR(__xludf.DUMMYFUNCTION("""COMPUTED_VALUE"""),"Male")</f>
        <v>Male</v>
      </c>
      <c r="E994" s="1" t="str">
        <f ca="1">IFERROR(__xludf.DUMMYFUNCTION("""COMPUTED_VALUE"""),"People from my circle, but not family members")</f>
        <v>People from my circle, but not family members</v>
      </c>
      <c r="F994" s="1" t="str">
        <f ca="1">IFERROR(__xludf.DUMMYFUNCTION("""COMPUTED_VALUE"""),"Yes, I will earn and do that")</f>
        <v>Yes, I will earn and do that</v>
      </c>
      <c r="G994" s="1" t="str">
        <f ca="1">IFERROR(__xludf.DUMMYFUNCTION("""COMPUTED_VALUE"""),"Will work for 3 years or more")</f>
        <v>Will work for 3 years or more</v>
      </c>
      <c r="H994" s="1" t="str">
        <f ca="1">IFERROR(__xludf.DUMMYFUNCTION("""COMPUTED_VALUE"""),"No")</f>
        <v>No</v>
      </c>
      <c r="I994" s="1" t="str">
        <f ca="1">IFERROR(__xludf.DUMMYFUNCTION("""COMPUTED_VALUE"""),"Will NOT work for them")</f>
        <v>Will NOT work for them</v>
      </c>
      <c r="J994" s="1">
        <f ca="1">IFERROR(__xludf.DUMMYFUNCTION("""COMPUTED_VALUE"""),7)</f>
        <v>7</v>
      </c>
      <c r="K994" s="1" t="str">
        <f ca="1">IFERROR(__xludf.DUMMYFUNCTION("""COMPUTED_VALUE"""),"Hybrid Working Environment with less than 3 days a month at office")</f>
        <v>Hybrid Working Environment with less than 3 days a month at office</v>
      </c>
      <c r="L994" s="1" t="str">
        <f ca="1">IFERROR(__xludf.DUMMYFUNCTION("""COMPUTED_VALUE"""),"Employer who rewards learning and enables that environment")</f>
        <v>Employer who rewards learning and enables that environment</v>
      </c>
      <c r="M994"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N994" s="1"/>
      <c r="O994" s="1" t="str">
        <f ca="1">IFERROR(__xludf.DUMMYFUNCTION("""COMPUTED_VALUE"""),"Manager who explains what is expected, sets a goal and helps achieve it")</f>
        <v>Manager who explains what is expected, sets a goal and helps achieve it</v>
      </c>
      <c r="P994" s="1" t="str">
        <f ca="1">IFERROR(__xludf.DUMMYFUNCTION("""COMPUTED_VALUE"""),"Work &gt;10 people in Team")</f>
        <v>Work &gt;10 people in Team</v>
      </c>
      <c r="Q994" s="1" t="s">
        <v>43</v>
      </c>
      <c r="R994" s="1"/>
    </row>
    <row r="995" spans="1:18" x14ac:dyDescent="0.25">
      <c r="A995" s="2">
        <f ca="1">IFERROR(__xludf.DUMMYFUNCTION("""COMPUTED_VALUE"""),45043.8816473726)</f>
        <v>45043.881647372596</v>
      </c>
      <c r="B995" s="1" t="str">
        <f ca="1">IFERROR(__xludf.DUMMYFUNCTION("""COMPUTED_VALUE"""),"India")</f>
        <v>India</v>
      </c>
      <c r="C995" s="1">
        <f ca="1">IFERROR(__xludf.DUMMYFUNCTION("""COMPUTED_VALUE"""),211002)</f>
        <v>211002</v>
      </c>
      <c r="D995" s="1" t="str">
        <f ca="1">IFERROR(__xludf.DUMMYFUNCTION("""COMPUTED_VALUE"""),"Female")</f>
        <v>Female</v>
      </c>
      <c r="E995" s="1" t="str">
        <f ca="1">IFERROR(__xludf.DUMMYFUNCTION("""COMPUTED_VALUE"""),"Influencers who had successful careers")</f>
        <v>Influencers who had successful careers</v>
      </c>
      <c r="F995" s="1" t="str">
        <f ca="1">IFERROR(__xludf.DUMMYFUNCTION("""COMPUTED_VALUE"""),"No I would not be pursuing Higher Education outside of India")</f>
        <v>No I would not be pursuing Higher Education outside of India</v>
      </c>
      <c r="G995" s="1" t="str">
        <f ca="1">IFERROR(__xludf.DUMMYFUNCTION("""COMPUTED_VALUE"""),"Will work for 3 years or more")</f>
        <v>Will work for 3 years or more</v>
      </c>
      <c r="H995" s="1" t="str">
        <f ca="1">IFERROR(__xludf.DUMMYFUNCTION("""COMPUTED_VALUE"""),"No")</f>
        <v>No</v>
      </c>
      <c r="I995" s="1" t="str">
        <f ca="1">IFERROR(__xludf.DUMMYFUNCTION("""COMPUTED_VALUE"""),"Will NOT work for them")</f>
        <v>Will NOT work for them</v>
      </c>
      <c r="J995" s="1">
        <f ca="1">IFERROR(__xludf.DUMMYFUNCTION("""COMPUTED_VALUE"""),4)</f>
        <v>4</v>
      </c>
      <c r="K995" s="1" t="str">
        <f ca="1">IFERROR(__xludf.DUMMYFUNCTION("""COMPUTED_VALUE"""),"Hybrid Working Environment with more than 15 days a month at office")</f>
        <v>Hybrid Working Environment with more than 15 days a month at office</v>
      </c>
      <c r="L995" s="1" t="str">
        <f ca="1">IFERROR(__xludf.DUMMYFUNCTION("""COMPUTED_VALUE"""),"Employer who pushes your limits by enabling an learning environment, and rewards you at the end")</f>
        <v>Employer who pushes your limits by enabling an learning environment, and rewards you at the end</v>
      </c>
      <c r="M99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995" s="1"/>
      <c r="O995" s="1" t="str">
        <f ca="1">IFERROR(__xludf.DUMMYFUNCTION("""COMPUTED_VALUE"""),"Manager who explains what is expected, sets a goal and helps achieve it")</f>
        <v>Manager who explains what is expected, sets a goal and helps achieve it</v>
      </c>
      <c r="P995" s="1" t="str">
        <f ca="1">IFERROR(__xludf.DUMMYFUNCTION("""COMPUTED_VALUE"""),"Work  &lt;67 people in team")</f>
        <v>Work  &lt;67 people in team</v>
      </c>
      <c r="Q995" s="1" t="s">
        <v>40</v>
      </c>
      <c r="R995" s="1"/>
    </row>
    <row r="996" spans="1:18" x14ac:dyDescent="0.25">
      <c r="A996" s="2">
        <f ca="1">IFERROR(__xludf.DUMMYFUNCTION("""COMPUTED_VALUE"""),45043.8821773495)</f>
        <v>45043.8821773495</v>
      </c>
      <c r="B996" s="1" t="str">
        <f ca="1">IFERROR(__xludf.DUMMYFUNCTION("""COMPUTED_VALUE"""),"India")</f>
        <v>India</v>
      </c>
      <c r="C996" s="1">
        <f ca="1">IFERROR(__xludf.DUMMYFUNCTION("""COMPUTED_VALUE"""),201204)</f>
        <v>201204</v>
      </c>
      <c r="D996" s="1" t="str">
        <f ca="1">IFERROR(__xludf.DUMMYFUNCTION("""COMPUTED_VALUE"""),"Female")</f>
        <v>Female</v>
      </c>
      <c r="E996" s="1" t="str">
        <f ca="1">IFERROR(__xludf.DUMMYFUNCTION("""COMPUTED_VALUE"""),"My Parents")</f>
        <v>My Parents</v>
      </c>
      <c r="F996" s="1" t="str">
        <f ca="1">IFERROR(__xludf.DUMMYFUNCTION("""COMPUTED_VALUE"""),"Yes, I will earn and do that")</f>
        <v>Yes, I will earn and do that</v>
      </c>
      <c r="G996" s="1" t="str">
        <f ca="1">IFERROR(__xludf.DUMMYFUNCTION("""COMPUTED_VALUE"""),"This will be hard to do, but if it is the right company I would try")</f>
        <v>This will be hard to do, but if it is the right company I would try</v>
      </c>
      <c r="H996" s="1" t="str">
        <f ca="1">IFERROR(__xludf.DUMMYFUNCTION("""COMPUTED_VALUE"""),"Yes")</f>
        <v>Yes</v>
      </c>
      <c r="I996" s="1" t="str">
        <f ca="1">IFERROR(__xludf.DUMMYFUNCTION("""COMPUTED_VALUE"""),"Will NOT work for them")</f>
        <v>Will NOT work for them</v>
      </c>
      <c r="J996" s="1">
        <f ca="1">IFERROR(__xludf.DUMMYFUNCTION("""COMPUTED_VALUE"""),8)</f>
        <v>8</v>
      </c>
      <c r="K996" s="1" t="str">
        <f ca="1">IFERROR(__xludf.DUMMYFUNCTION("""COMPUTED_VALUE"""),"Hybrid Working Environment with more than 15 days a month at office")</f>
        <v>Hybrid Working Environment with more than 15 days a month at office</v>
      </c>
      <c r="L996" s="1" t="str">
        <f ca="1">IFERROR(__xludf.DUMMYFUNCTION("""COMPUTED_VALUE"""),"Employer who pushes your limits by enabling an learning environment, and rewards you at the end")</f>
        <v>Employer who pushes your limits by enabling an learning environment, and rewards you at the end</v>
      </c>
      <c r="M996"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N996" s="1"/>
      <c r="O996" s="1" t="str">
        <f ca="1">IFERROR(__xludf.DUMMYFUNCTION("""COMPUTED_VALUE"""),"Manager who explains what is expected, sets a goal and helps achieve it")</f>
        <v>Manager who explains what is expected, sets a goal and helps achieve it</v>
      </c>
      <c r="P996" s="1" t="str">
        <f ca="1">IFERROR(__xludf.DUMMYFUNCTION("""COMPUTED_VALUE"""),"Work &lt;=6 People in the Team")</f>
        <v>Work &lt;=6 People in the Team</v>
      </c>
      <c r="Q996" s="1" t="s">
        <v>40</v>
      </c>
      <c r="R996" s="1"/>
    </row>
    <row r="997" spans="1:18" x14ac:dyDescent="0.25">
      <c r="A997" s="2">
        <f ca="1">IFERROR(__xludf.DUMMYFUNCTION("""COMPUTED_VALUE"""),45043.8834200115)</f>
        <v>45043.883420011502</v>
      </c>
      <c r="B997" s="1" t="str">
        <f ca="1">IFERROR(__xludf.DUMMYFUNCTION("""COMPUTED_VALUE"""),"India")</f>
        <v>India</v>
      </c>
      <c r="C997" s="1">
        <f ca="1">IFERROR(__xludf.DUMMYFUNCTION("""COMPUTED_VALUE"""),503001)</f>
        <v>503001</v>
      </c>
      <c r="D997" s="1" t="str">
        <f ca="1">IFERROR(__xludf.DUMMYFUNCTION("""COMPUTED_VALUE"""),"Male")</f>
        <v>Male</v>
      </c>
      <c r="E997" s="1" t="str">
        <f ca="1">IFERROR(__xludf.DUMMYFUNCTION("""COMPUTED_VALUE"""),"Influencers who had successful careers")</f>
        <v>Influencers who had successful careers</v>
      </c>
      <c r="F997" s="1" t="str">
        <f ca="1">IFERROR(__xludf.DUMMYFUNCTION("""COMPUTED_VALUE"""),"No I would not be pursuing Higher Education outside of India")</f>
        <v>No I would not be pursuing Higher Education outside of India</v>
      </c>
      <c r="G997" s="1" t="str">
        <f ca="1">IFERROR(__xludf.DUMMYFUNCTION("""COMPUTED_VALUE"""),"This will be hard to do, but if it is the right company I would try")</f>
        <v>This will be hard to do, but if it is the right company I would try</v>
      </c>
      <c r="H997" s="1" t="str">
        <f ca="1">IFERROR(__xludf.DUMMYFUNCTION("""COMPUTED_VALUE"""),"Yes")</f>
        <v>Yes</v>
      </c>
      <c r="I997" s="1" t="str">
        <f ca="1">IFERROR(__xludf.DUMMYFUNCTION("""COMPUTED_VALUE"""),"Will work for them")</f>
        <v>Will work for them</v>
      </c>
      <c r="J997" s="1">
        <f ca="1">IFERROR(__xludf.DUMMYFUNCTION("""COMPUTED_VALUE"""),4)</f>
        <v>4</v>
      </c>
      <c r="K997" s="1" t="str">
        <f ca="1">IFERROR(__xludf.DUMMYFUNCTION("""COMPUTED_VALUE"""),"Hybrid Working Environment with more than 15 days a month at office")</f>
        <v>Hybrid Working Environment with more than 15 days a month at office</v>
      </c>
      <c r="L997" s="1" t="str">
        <f ca="1">IFERROR(__xludf.DUMMYFUNCTION("""COMPUTED_VALUE"""),"Employer who pushes your limits by enabling an learning environment, and rewards you at the end")</f>
        <v>Employer who pushes your limits by enabling an learning environment, and rewards you at the end</v>
      </c>
      <c r="M997"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997" s="1"/>
      <c r="O997" s="1" t="str">
        <f ca="1">IFERROR(__xludf.DUMMYFUNCTION("""COMPUTED_VALUE"""),"Manager who explains what is expected, sets a goal and helps achieve it")</f>
        <v>Manager who explains what is expected, sets a goal and helps achieve it</v>
      </c>
      <c r="P997" s="1" t="str">
        <f ca="1">IFERROR(__xludf.DUMMYFUNCTION("""COMPUTED_VALUE"""),"Work &lt;=6 People in the Team")</f>
        <v>Work &lt;=6 People in the Team</v>
      </c>
      <c r="Q997" s="1" t="s">
        <v>40</v>
      </c>
      <c r="R997" s="1"/>
    </row>
    <row r="998" spans="1:18" x14ac:dyDescent="0.25">
      <c r="A998" s="2">
        <f ca="1">IFERROR(__xludf.DUMMYFUNCTION("""COMPUTED_VALUE"""),45043.8835174768)</f>
        <v>45043.883517476803</v>
      </c>
      <c r="B998" s="1" t="str">
        <f ca="1">IFERROR(__xludf.DUMMYFUNCTION("""COMPUTED_VALUE"""),"India")</f>
        <v>India</v>
      </c>
      <c r="C998" s="1">
        <f ca="1">IFERROR(__xludf.DUMMYFUNCTION("""COMPUTED_VALUE"""),453441)</f>
        <v>453441</v>
      </c>
      <c r="D998" s="1" t="str">
        <f ca="1">IFERROR(__xludf.DUMMYFUNCTION("""COMPUTED_VALUE"""),"Female")</f>
        <v>Female</v>
      </c>
      <c r="E998" s="1" t="str">
        <f ca="1">IFERROR(__xludf.DUMMYFUNCTION("""COMPUTED_VALUE"""),"People who have changed the world for better")</f>
        <v>People who have changed the world for better</v>
      </c>
      <c r="F998" s="1" t="str">
        <f ca="1">IFERROR(__xludf.DUMMYFUNCTION("""COMPUTED_VALUE"""),"Yes, I will earn and do that")</f>
        <v>Yes, I will earn and do that</v>
      </c>
      <c r="G998" s="1" t="str">
        <f ca="1">IFERROR(__xludf.DUMMYFUNCTION("""COMPUTED_VALUE"""),"Will work for 3 years or more")</f>
        <v>Will work for 3 years or more</v>
      </c>
      <c r="H998" s="1" t="str">
        <f ca="1">IFERROR(__xludf.DUMMYFUNCTION("""COMPUTED_VALUE"""),"No")</f>
        <v>No</v>
      </c>
      <c r="I998" s="1" t="str">
        <f ca="1">IFERROR(__xludf.DUMMYFUNCTION("""COMPUTED_VALUE"""),"Will NOT work for them")</f>
        <v>Will NOT work for them</v>
      </c>
      <c r="J998" s="1">
        <f ca="1">IFERROR(__xludf.DUMMYFUNCTION("""COMPUTED_VALUE"""),2)</f>
        <v>2</v>
      </c>
      <c r="K998" s="1" t="str">
        <f ca="1">IFERROR(__xludf.DUMMYFUNCTION("""COMPUTED_VALUE"""),"Fully Remote with Options to travel as and when needed")</f>
        <v>Fully Remote with Options to travel as and when needed</v>
      </c>
      <c r="L998" s="1" t="str">
        <f ca="1">IFERROR(__xludf.DUMMYFUNCTION("""COMPUTED_VALUE"""),"Employer who rewards learning and enables that environment")</f>
        <v>Employer who rewards learning and enables that environment</v>
      </c>
      <c r="M99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998" s="1"/>
      <c r="O998" s="1" t="str">
        <f ca="1">IFERROR(__xludf.DUMMYFUNCTION("""COMPUTED_VALUE"""),"Manager who explains what is expected, sets a goal and helps achieve it")</f>
        <v>Manager who explains what is expected, sets a goal and helps achieve it</v>
      </c>
      <c r="P998" s="1" t="str">
        <f ca="1">IFERROR(__xludf.DUMMYFUNCTION("""COMPUTED_VALUE"""),"Work &lt;=6 People in the Team")</f>
        <v>Work &lt;=6 People in the Team</v>
      </c>
      <c r="Q998" s="1" t="s">
        <v>40</v>
      </c>
      <c r="R998" s="1"/>
    </row>
    <row r="999" spans="1:18" x14ac:dyDescent="0.25">
      <c r="A999" s="2">
        <f ca="1">IFERROR(__xludf.DUMMYFUNCTION("""COMPUTED_VALUE"""),45043.8836455787)</f>
        <v>45043.883645578702</v>
      </c>
      <c r="B999" s="1" t="str">
        <f ca="1">IFERROR(__xludf.DUMMYFUNCTION("""COMPUTED_VALUE"""),"India")</f>
        <v>India</v>
      </c>
      <c r="C999" s="1">
        <f ca="1">IFERROR(__xludf.DUMMYFUNCTION("""COMPUTED_VALUE"""),761001)</f>
        <v>761001</v>
      </c>
      <c r="D999" s="1" t="str">
        <f ca="1">IFERROR(__xludf.DUMMYFUNCTION("""COMPUTED_VALUE"""),"Male")</f>
        <v>Male</v>
      </c>
      <c r="E999" s="1" t="str">
        <f ca="1">IFERROR(__xludf.DUMMYFUNCTION("""COMPUTED_VALUE"""),"People from my circle, but not family members")</f>
        <v>People from my circle, but not family members</v>
      </c>
      <c r="F999" s="1" t="str">
        <f ca="1">IFERROR(__xludf.DUMMYFUNCTION("""COMPUTED_VALUE"""),"No I would not be pursuing Higher Education outside of India")</f>
        <v>No I would not be pursuing Higher Education outside of India</v>
      </c>
      <c r="G999" s="1" t="str">
        <f ca="1">IFERROR(__xludf.DUMMYFUNCTION("""COMPUTED_VALUE"""),"Will work for 3 years or more")</f>
        <v>Will work for 3 years or more</v>
      </c>
      <c r="H999" s="1" t="str">
        <f ca="1">IFERROR(__xludf.DUMMYFUNCTION("""COMPUTED_VALUE"""),"No")</f>
        <v>No</v>
      </c>
      <c r="I999" s="1" t="str">
        <f ca="1">IFERROR(__xludf.DUMMYFUNCTION("""COMPUTED_VALUE"""),"Will NOT work for them")</f>
        <v>Will NOT work for them</v>
      </c>
      <c r="J999" s="1">
        <f ca="1">IFERROR(__xludf.DUMMYFUNCTION("""COMPUTED_VALUE"""),7)</f>
        <v>7</v>
      </c>
      <c r="K999" s="1" t="str">
        <f ca="1">IFERROR(__xludf.DUMMYFUNCTION("""COMPUTED_VALUE"""),"Hybrid Working Environment with more than 15 days a month at office")</f>
        <v>Hybrid Working Environment with more than 15 days a month at office</v>
      </c>
      <c r="L999" s="1" t="str">
        <f ca="1">IFERROR(__xludf.DUMMYFUNCTION("""COMPUTED_VALUE"""),"Employer who pushes your limits by enabling an learning environment, and rewards you at the end")</f>
        <v>Employer who pushes your limits by enabling an learning environment, and rewards you at the end</v>
      </c>
      <c r="M99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999" s="1"/>
      <c r="O999" s="1" t="str">
        <f ca="1">IFERROR(__xludf.DUMMYFUNCTION("""COMPUTED_VALUE"""),"Manager who explains what is expected, sets a goal and helps achieve it")</f>
        <v>Manager who explains what is expected, sets a goal and helps achieve it</v>
      </c>
      <c r="P999" s="1" t="str">
        <f ca="1">IFERROR(__xludf.DUMMYFUNCTION("""COMPUTED_VALUE"""),"Work &lt;=6 People in the Team")</f>
        <v>Work &lt;=6 People in the Team</v>
      </c>
      <c r="Q999" s="1" t="s">
        <v>43</v>
      </c>
      <c r="R999" s="1"/>
    </row>
    <row r="1000" spans="1:18" x14ac:dyDescent="0.25">
      <c r="A1000" s="2">
        <f ca="1">IFERROR(__xludf.DUMMYFUNCTION("""COMPUTED_VALUE"""),45043.8837742824)</f>
        <v>45043.883774282403</v>
      </c>
      <c r="B1000" s="1" t="str">
        <f ca="1">IFERROR(__xludf.DUMMYFUNCTION("""COMPUTED_VALUE"""),"India")</f>
        <v>India</v>
      </c>
      <c r="C1000" s="1">
        <f ca="1">IFERROR(__xludf.DUMMYFUNCTION("""COMPUTED_VALUE"""),440030)</f>
        <v>440030</v>
      </c>
      <c r="D1000" s="1" t="str">
        <f ca="1">IFERROR(__xludf.DUMMYFUNCTION("""COMPUTED_VALUE"""),"Male")</f>
        <v>Male</v>
      </c>
      <c r="E1000" s="1" t="str">
        <f ca="1">IFERROR(__xludf.DUMMYFUNCTION("""COMPUTED_VALUE"""),"Influencers who had successful careers")</f>
        <v>Influencers who had successful careers</v>
      </c>
      <c r="F1000" s="1" t="str">
        <f ca="1">IFERROR(__xludf.DUMMYFUNCTION("""COMPUTED_VALUE"""),"Yes, I will earn and do that")</f>
        <v>Yes, I will earn and do that</v>
      </c>
      <c r="G1000" s="1" t="str">
        <f ca="1">IFERROR(__xludf.DUMMYFUNCTION("""COMPUTED_VALUE"""),"This will be hard to do, but if it is the right company I would try")</f>
        <v>This will be hard to do, but if it is the right company I would try</v>
      </c>
      <c r="H1000" s="1" t="str">
        <f ca="1">IFERROR(__xludf.DUMMYFUNCTION("""COMPUTED_VALUE"""),"No")</f>
        <v>No</v>
      </c>
      <c r="I1000" s="1" t="str">
        <f ca="1">IFERROR(__xludf.DUMMYFUNCTION("""COMPUTED_VALUE"""),"Will NOT work for them")</f>
        <v>Will NOT work for them</v>
      </c>
      <c r="J1000" s="1">
        <f ca="1">IFERROR(__xludf.DUMMYFUNCTION("""COMPUTED_VALUE"""),5)</f>
        <v>5</v>
      </c>
      <c r="K1000" s="1" t="str">
        <f ca="1">IFERROR(__xludf.DUMMYFUNCTION("""COMPUTED_VALUE"""),"Hybrid Working Environment with more than 15 days a month at office")</f>
        <v>Hybrid Working Environment with more than 15 days a month at office</v>
      </c>
      <c r="L1000" s="1" t="str">
        <f ca="1">IFERROR(__xludf.DUMMYFUNCTION("""COMPUTED_VALUE"""),"Employer who pushes your limits by enabling an learning environment, and rewards you at the end")</f>
        <v>Employer who pushes your limits by enabling an learning environment, and rewards you at the end</v>
      </c>
      <c r="M1000"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N1000" s="1"/>
      <c r="O1000" s="1" t="str">
        <f ca="1">IFERROR(__xludf.DUMMYFUNCTION("""COMPUTED_VALUE"""),"Manager who explains what is expected, sets a goal and helps achieve it")</f>
        <v>Manager who explains what is expected, sets a goal and helps achieve it</v>
      </c>
      <c r="P1000" s="1" t="str">
        <f ca="1">IFERROR(__xludf.DUMMYFUNCTION("""COMPUTED_VALUE"""),"Work &lt;=6 People in the Team")</f>
        <v>Work &lt;=6 People in the Team</v>
      </c>
      <c r="Q1000" s="1" t="s">
        <v>40</v>
      </c>
      <c r="R1000" s="1"/>
    </row>
    <row r="1001" spans="1:18" x14ac:dyDescent="0.25">
      <c r="A1001" s="2">
        <f ca="1">IFERROR(__xludf.DUMMYFUNCTION("""COMPUTED_VALUE"""),45043.8841438541)</f>
        <v>45043.884143854099</v>
      </c>
      <c r="B1001" s="1" t="str">
        <f ca="1">IFERROR(__xludf.DUMMYFUNCTION("""COMPUTED_VALUE"""),"India")</f>
        <v>India</v>
      </c>
      <c r="C1001" s="1">
        <f ca="1">IFERROR(__xludf.DUMMYFUNCTION("""COMPUTED_VALUE"""),500068)</f>
        <v>500068</v>
      </c>
      <c r="D1001" s="1" t="str">
        <f ca="1">IFERROR(__xludf.DUMMYFUNCTION("""COMPUTED_VALUE"""),"Male")</f>
        <v>Male</v>
      </c>
      <c r="E1001" s="1" t="str">
        <f ca="1">IFERROR(__xludf.DUMMYFUNCTION("""COMPUTED_VALUE"""),"Influencers who had successful careers")</f>
        <v>Influencers who had successful careers</v>
      </c>
      <c r="F1001" s="1" t="str">
        <f ca="1">IFERROR(__xludf.DUMMYFUNCTION("""COMPUTED_VALUE"""),"Yes, I will earn and do that")</f>
        <v>Yes, I will earn and do that</v>
      </c>
      <c r="G1001" s="1" t="str">
        <f ca="1">IFERROR(__xludf.DUMMYFUNCTION("""COMPUTED_VALUE"""),"Will work for 3 years or more")</f>
        <v>Will work for 3 years or more</v>
      </c>
      <c r="H1001" s="1" t="str">
        <f ca="1">IFERROR(__xludf.DUMMYFUNCTION("""COMPUTED_VALUE"""),"No")</f>
        <v>No</v>
      </c>
      <c r="I1001" s="1" t="str">
        <f ca="1">IFERROR(__xludf.DUMMYFUNCTION("""COMPUTED_VALUE"""),"Will NOT work for them")</f>
        <v>Will NOT work for them</v>
      </c>
      <c r="J1001" s="1">
        <f ca="1">IFERROR(__xludf.DUMMYFUNCTION("""COMPUTED_VALUE"""),2)</f>
        <v>2</v>
      </c>
      <c r="K1001" s="1" t="str">
        <f ca="1">IFERROR(__xludf.DUMMYFUNCTION("""COMPUTED_VALUE"""),"Hybrid Working Environment with more than 15 days a month at office")</f>
        <v>Hybrid Working Environment with more than 15 days a month at office</v>
      </c>
      <c r="L1001" s="1" t="str">
        <f ca="1">IFERROR(__xludf.DUMMYFUNCTION("""COMPUTED_VALUE"""),"Employer who pushes your limits by enabling an learning environment, and rewards you at the end")</f>
        <v>Employer who pushes your limits by enabling an learning environment, and rewards you at the end</v>
      </c>
      <c r="M1001"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N1001" s="1"/>
      <c r="O1001" s="1" t="str">
        <f ca="1">IFERROR(__xludf.DUMMYFUNCTION("""COMPUTED_VALUE"""),"Manager who explains what is expected, sets a goal and helps achieve it")</f>
        <v>Manager who explains what is expected, sets a goal and helps achieve it</v>
      </c>
      <c r="P1001" s="1" t="str">
        <f ca="1">IFERROR(__xludf.DUMMYFUNCTION("""COMPUTED_VALUE"""),"Work &lt;=6 People in the Team")</f>
        <v>Work &lt;=6 People in the Team</v>
      </c>
      <c r="Q1001" s="1" t="s">
        <v>40</v>
      </c>
      <c r="R1001" s="1"/>
    </row>
    <row r="1002" spans="1:18" x14ac:dyDescent="0.25">
      <c r="A1002" s="2">
        <f ca="1">IFERROR(__xludf.DUMMYFUNCTION("""COMPUTED_VALUE"""),45043.8844094328)</f>
        <v>45043.884409432801</v>
      </c>
      <c r="B1002" s="1" t="str">
        <f ca="1">IFERROR(__xludf.DUMMYFUNCTION("""COMPUTED_VALUE"""),"India")</f>
        <v>India</v>
      </c>
      <c r="C1002" s="1">
        <f ca="1">IFERROR(__xludf.DUMMYFUNCTION("""COMPUTED_VALUE"""),500072)</f>
        <v>500072</v>
      </c>
      <c r="D1002" s="1" t="str">
        <f ca="1">IFERROR(__xludf.DUMMYFUNCTION("""COMPUTED_VALUE"""),"Female")</f>
        <v>Female</v>
      </c>
      <c r="E1002" s="1" t="str">
        <f ca="1">IFERROR(__xludf.DUMMYFUNCTION("""COMPUTED_VALUE"""),"People who have changed the world for better")</f>
        <v>People who have changed the world for better</v>
      </c>
      <c r="F1002" s="1" t="str">
        <f ca="1">IFERROR(__xludf.DUMMYFUNCTION("""COMPUTED_VALUE"""),"No, But if someone could bare the cost I will")</f>
        <v>No, But if someone could bare the cost I will</v>
      </c>
      <c r="G1002" s="1" t="str">
        <f ca="1">IFERROR(__xludf.DUMMYFUNCTION("""COMPUTED_VALUE"""),"Will work for 3 years or more")</f>
        <v>Will work for 3 years or more</v>
      </c>
      <c r="H1002" s="1" t="str">
        <f ca="1">IFERROR(__xludf.DUMMYFUNCTION("""COMPUTED_VALUE"""),"Yes")</f>
        <v>Yes</v>
      </c>
      <c r="I1002" s="1" t="str">
        <f ca="1">IFERROR(__xludf.DUMMYFUNCTION("""COMPUTED_VALUE"""),"Will work for them")</f>
        <v>Will work for them</v>
      </c>
      <c r="J1002" s="1">
        <f ca="1">IFERROR(__xludf.DUMMYFUNCTION("""COMPUTED_VALUE"""),10)</f>
        <v>10</v>
      </c>
      <c r="K1002" s="1" t="str">
        <f ca="1">IFERROR(__xludf.DUMMYFUNCTION("""COMPUTED_VALUE"""),"Fully Remote with Options to travel as and when needed")</f>
        <v>Fully Remote with Options to travel as and when needed</v>
      </c>
      <c r="L1002" s="1" t="str">
        <f ca="1">IFERROR(__xludf.DUMMYFUNCTION("""COMPUTED_VALUE"""),"Employer who pushes your limits by enabling an learning environment, and rewards you at the end")</f>
        <v>Employer who pushes your limits by enabling an learning environment, and rewards you at the end</v>
      </c>
      <c r="M1002"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N1002" s="1"/>
      <c r="O1002" s="1" t="str">
        <f ca="1">IFERROR(__xludf.DUMMYFUNCTION("""COMPUTED_VALUE"""),"Manager who explains what is expected, sets a goal and helps achieve it")</f>
        <v>Manager who explains what is expected, sets a goal and helps achieve it</v>
      </c>
      <c r="P1002" s="1" t="str">
        <f ca="1">IFERROR(__xludf.DUMMYFUNCTION("""COMPUTED_VALUE"""),"Work Alone, &lt;=6 in team")</f>
        <v>Work Alone, &lt;=6 in team</v>
      </c>
      <c r="Q1002" s="1" t="s">
        <v>43</v>
      </c>
      <c r="R1002" s="1"/>
    </row>
    <row r="1003" spans="1:18" x14ac:dyDescent="0.25">
      <c r="A1003" s="2">
        <f ca="1">IFERROR(__xludf.DUMMYFUNCTION("""COMPUTED_VALUE"""),45043.8847065393)</f>
        <v>45043.884706539298</v>
      </c>
      <c r="B1003" s="1" t="str">
        <f ca="1">IFERROR(__xludf.DUMMYFUNCTION("""COMPUTED_VALUE"""),"India")</f>
        <v>India</v>
      </c>
      <c r="C1003" s="1">
        <f ca="1">IFERROR(__xludf.DUMMYFUNCTION("""COMPUTED_VALUE"""),509216)</f>
        <v>509216</v>
      </c>
      <c r="D1003" s="1" t="str">
        <f ca="1">IFERROR(__xludf.DUMMYFUNCTION("""COMPUTED_VALUE"""),"Male")</f>
        <v>Male</v>
      </c>
      <c r="E1003" s="1" t="str">
        <f ca="1">IFERROR(__xludf.DUMMYFUNCTION("""COMPUTED_VALUE"""),"Influencers who had successful careers")</f>
        <v>Influencers who had successful careers</v>
      </c>
      <c r="F1003" s="1" t="str">
        <f ca="1">IFERROR(__xludf.DUMMYFUNCTION("""COMPUTED_VALUE"""),"Yes, I will earn and do that")</f>
        <v>Yes, I will earn and do that</v>
      </c>
      <c r="G1003" s="1" t="str">
        <f ca="1">IFERROR(__xludf.DUMMYFUNCTION("""COMPUTED_VALUE"""),"Will work for 3 years or more")</f>
        <v>Will work for 3 years or more</v>
      </c>
      <c r="H1003" s="1" t="str">
        <f ca="1">IFERROR(__xludf.DUMMYFUNCTION("""COMPUTED_VALUE"""),"No")</f>
        <v>No</v>
      </c>
      <c r="I1003" s="1" t="str">
        <f ca="1">IFERROR(__xludf.DUMMYFUNCTION("""COMPUTED_VALUE"""),"Will NOT work for them")</f>
        <v>Will NOT work for them</v>
      </c>
      <c r="J1003" s="1">
        <f ca="1">IFERROR(__xludf.DUMMYFUNCTION("""COMPUTED_VALUE"""),5)</f>
        <v>5</v>
      </c>
      <c r="K1003" s="1" t="str">
        <f ca="1">IFERROR(__xludf.DUMMYFUNCTION("""COMPUTED_VALUE"""),"Hybrid Working Environment with more than 15 days a month at office")</f>
        <v>Hybrid Working Environment with more than 15 days a month at office</v>
      </c>
      <c r="L1003" s="1" t="str">
        <f ca="1">IFERROR(__xludf.DUMMYFUNCTION("""COMPUTED_VALUE"""),"Employer who pushes your limits by enabling an learning environment, and rewards you at the end")</f>
        <v>Employer who pushes your limits by enabling an learning environment, and rewards you at the end</v>
      </c>
      <c r="M1003"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N1003" s="1"/>
      <c r="O1003" s="1" t="str">
        <f ca="1">IFERROR(__xludf.DUMMYFUNCTION("""COMPUTED_VALUE"""),"Manager who sets goal and helps me achieve it")</f>
        <v>Manager who sets goal and helps me achieve it</v>
      </c>
      <c r="P1003" s="1" t="str">
        <f ca="1">IFERROR(__xludf.DUMMYFUNCTION("""COMPUTED_VALUE"""),"Work &lt;=6 People in the Team")</f>
        <v>Work &lt;=6 People in the Team</v>
      </c>
      <c r="Q1003" s="1" t="s">
        <v>43</v>
      </c>
      <c r="R1003" s="1"/>
    </row>
    <row r="1004" spans="1:18" x14ac:dyDescent="0.25">
      <c r="A1004" s="2">
        <f ca="1">IFERROR(__xludf.DUMMYFUNCTION("""COMPUTED_VALUE"""),45043.8870573726)</f>
        <v>45043.887057372602</v>
      </c>
      <c r="B1004" s="1" t="str">
        <f ca="1">IFERROR(__xludf.DUMMYFUNCTION("""COMPUTED_VALUE"""),"India")</f>
        <v>India</v>
      </c>
      <c r="C1004" s="1">
        <f ca="1">IFERROR(__xludf.DUMMYFUNCTION("""COMPUTED_VALUE"""),781012)</f>
        <v>781012</v>
      </c>
      <c r="D1004" s="1" t="str">
        <f ca="1">IFERROR(__xludf.DUMMYFUNCTION("""COMPUTED_VALUE"""),"Female")</f>
        <v>Female</v>
      </c>
      <c r="E1004" s="1" t="str">
        <f ca="1">IFERROR(__xludf.DUMMYFUNCTION("""COMPUTED_VALUE"""),"Influencers who had successful careers")</f>
        <v>Influencers who had successful careers</v>
      </c>
      <c r="F1004" s="1" t="str">
        <f ca="1">IFERROR(__xludf.DUMMYFUNCTION("""COMPUTED_VALUE"""),"Yes, I will earn and do that")</f>
        <v>Yes, I will earn and do that</v>
      </c>
      <c r="G1004" s="1" t="str">
        <f ca="1">IFERROR(__xludf.DUMMYFUNCTION("""COMPUTED_VALUE"""),"This will be hard to do, but if it is the right company I would try")</f>
        <v>This will be hard to do, but if it is the right company I would try</v>
      </c>
      <c r="H1004" s="1" t="str">
        <f ca="1">IFERROR(__xludf.DUMMYFUNCTION("""COMPUTED_VALUE"""),"No")</f>
        <v>No</v>
      </c>
      <c r="I1004" s="1" t="str">
        <f ca="1">IFERROR(__xludf.DUMMYFUNCTION("""COMPUTED_VALUE"""),"Will NOT work for them")</f>
        <v>Will NOT work for them</v>
      </c>
      <c r="J1004" s="1">
        <f ca="1">IFERROR(__xludf.DUMMYFUNCTION("""COMPUTED_VALUE"""),3)</f>
        <v>3</v>
      </c>
      <c r="K1004" s="1" t="str">
        <f ca="1">IFERROR(__xludf.DUMMYFUNCTION("""COMPUTED_VALUE"""),"Fully Remote with Options to travel as and when needed")</f>
        <v>Fully Remote with Options to travel as and when needed</v>
      </c>
      <c r="L1004" s="1" t="str">
        <f ca="1">IFERROR(__xludf.DUMMYFUNCTION("""COMPUTED_VALUE"""),"Employer who pushes your limits by enabling an learning environment, and rewards you at the end")</f>
        <v>Employer who pushes your limits by enabling an learning environment, and rewards you at the end</v>
      </c>
      <c r="M100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1004" s="1"/>
      <c r="O1004" s="1" t="str">
        <f ca="1">IFERROR(__xludf.DUMMYFUNCTION("""COMPUTED_VALUE"""),"Manager who explains what is expected, sets a goal and helps achieve it")</f>
        <v>Manager who explains what is expected, sets a goal and helps achieve it</v>
      </c>
      <c r="P1004" s="1" t="str">
        <f ca="1">IFERROR(__xludf.DUMMYFUNCTION("""COMPUTED_VALUE"""),"Work &lt;=6 People in the Team")</f>
        <v>Work &lt;=6 People in the Team</v>
      </c>
      <c r="Q1004" s="1" t="s">
        <v>43</v>
      </c>
      <c r="R1004" s="1"/>
    </row>
    <row r="1005" spans="1:18" x14ac:dyDescent="0.25">
      <c r="A1005" s="2">
        <f ca="1">IFERROR(__xludf.DUMMYFUNCTION("""COMPUTED_VALUE"""),45043.8875142245)</f>
        <v>45043.887514224502</v>
      </c>
      <c r="B1005" s="1" t="str">
        <f ca="1">IFERROR(__xludf.DUMMYFUNCTION("""COMPUTED_VALUE"""),"India")</f>
        <v>India</v>
      </c>
      <c r="C1005" s="1">
        <f ca="1">IFERROR(__xludf.DUMMYFUNCTION("""COMPUTED_VALUE"""),560036)</f>
        <v>560036</v>
      </c>
      <c r="D1005" s="1" t="str">
        <f ca="1">IFERROR(__xludf.DUMMYFUNCTION("""COMPUTED_VALUE"""),"Female")</f>
        <v>Female</v>
      </c>
      <c r="E1005" s="1" t="str">
        <f ca="1">IFERROR(__xludf.DUMMYFUNCTION("""COMPUTED_VALUE"""),"Influencers who had successful careers")</f>
        <v>Influencers who had successful careers</v>
      </c>
      <c r="F1005" s="1" t="str">
        <f ca="1">IFERROR(__xludf.DUMMYFUNCTION("""COMPUTED_VALUE"""),"No I would not be pursuing Higher Education outside of India")</f>
        <v>No I would not be pursuing Higher Education outside of India</v>
      </c>
      <c r="G1005" s="1" t="str">
        <f ca="1">IFERROR(__xludf.DUMMYFUNCTION("""COMPUTED_VALUE"""),"Will work for 3 years or more")</f>
        <v>Will work for 3 years or more</v>
      </c>
      <c r="H1005" s="1" t="str">
        <f ca="1">IFERROR(__xludf.DUMMYFUNCTION("""COMPUTED_VALUE"""),"No")</f>
        <v>No</v>
      </c>
      <c r="I1005" s="1" t="str">
        <f ca="1">IFERROR(__xludf.DUMMYFUNCTION("""COMPUTED_VALUE"""),"Will NOT work for them")</f>
        <v>Will NOT work for them</v>
      </c>
      <c r="J1005" s="1">
        <f ca="1">IFERROR(__xludf.DUMMYFUNCTION("""COMPUTED_VALUE"""),2)</f>
        <v>2</v>
      </c>
      <c r="K1005" s="1" t="str">
        <f ca="1">IFERROR(__xludf.DUMMYFUNCTION("""COMPUTED_VALUE"""),"Hybrid Working Environment with less than 3 days a month at office")</f>
        <v>Hybrid Working Environment with less than 3 days a month at office</v>
      </c>
      <c r="L1005" s="1" t="str">
        <f ca="1">IFERROR(__xludf.DUMMYFUNCTION("""COMPUTED_VALUE"""),"Employer who pushes your limits by enabling an learning environment, and rewards you at the end")</f>
        <v>Employer who pushes your limits by enabling an learning environment, and rewards you at the end</v>
      </c>
      <c r="M1005"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N1005" s="1"/>
      <c r="O1005" s="1" t="str">
        <f ca="1">IFERROR(__xludf.DUMMYFUNCTION("""COMPUTED_VALUE"""),"Manager who explains what is expected, sets a goal and helps achieve it")</f>
        <v>Manager who explains what is expected, sets a goal and helps achieve it</v>
      </c>
      <c r="P1005" s="1" t="str">
        <f ca="1">IFERROR(__xludf.DUMMYFUNCTION("""COMPUTED_VALUE"""),"Work Alone, &lt;=6 in team")</f>
        <v>Work Alone, &lt;=6 in team</v>
      </c>
      <c r="Q1005" s="1" t="s">
        <v>43</v>
      </c>
      <c r="R1005" s="1"/>
    </row>
    <row r="1006" spans="1:18" x14ac:dyDescent="0.25">
      <c r="A1006" s="2">
        <f ca="1">IFERROR(__xludf.DUMMYFUNCTION("""COMPUTED_VALUE"""),45043.8878621643)</f>
        <v>45043.887862164302</v>
      </c>
      <c r="B1006" s="1" t="str">
        <f ca="1">IFERROR(__xludf.DUMMYFUNCTION("""COMPUTED_VALUE"""),"India")</f>
        <v>India</v>
      </c>
      <c r="C1006" s="1">
        <f ca="1">IFERROR(__xludf.DUMMYFUNCTION("""COMPUTED_VALUE"""),500077)</f>
        <v>500077</v>
      </c>
      <c r="D1006" s="1" t="str">
        <f ca="1">IFERROR(__xludf.DUMMYFUNCTION("""COMPUTED_VALUE"""),"Female")</f>
        <v>Female</v>
      </c>
      <c r="E1006" s="1" t="str">
        <f ca="1">IFERROR(__xludf.DUMMYFUNCTION("""COMPUTED_VALUE"""),"People from my circle, but not family members")</f>
        <v>People from my circle, but not family members</v>
      </c>
      <c r="F1006" s="1" t="str">
        <f ca="1">IFERROR(__xludf.DUMMYFUNCTION("""COMPUTED_VALUE"""),"Yes, I will earn and do that")</f>
        <v>Yes, I will earn and do that</v>
      </c>
      <c r="G1006" s="1" t="str">
        <f ca="1">IFERROR(__xludf.DUMMYFUNCTION("""COMPUTED_VALUE"""),"Will work for 3 years or more")</f>
        <v>Will work for 3 years or more</v>
      </c>
      <c r="H1006" s="1" t="str">
        <f ca="1">IFERROR(__xludf.DUMMYFUNCTION("""COMPUTED_VALUE"""),"No")</f>
        <v>No</v>
      </c>
      <c r="I1006" s="1" t="str">
        <f ca="1">IFERROR(__xludf.DUMMYFUNCTION("""COMPUTED_VALUE"""),"Will NOT work for them")</f>
        <v>Will NOT work for them</v>
      </c>
      <c r="J1006" s="1">
        <f ca="1">IFERROR(__xludf.DUMMYFUNCTION("""COMPUTED_VALUE"""),7)</f>
        <v>7</v>
      </c>
      <c r="K1006" s="1" t="str">
        <f ca="1">IFERROR(__xludf.DUMMYFUNCTION("""COMPUTED_VALUE"""),"Hybrid Working Environment with less than 3 days a month at office")</f>
        <v>Hybrid Working Environment with less than 3 days a month at office</v>
      </c>
      <c r="L1006" s="1" t="str">
        <f ca="1">IFERROR(__xludf.DUMMYFUNCTION("""COMPUTED_VALUE"""),"Employer who pushes your limits by enabling an learning environment, and rewards you at the end")</f>
        <v>Employer who pushes your limits by enabling an learning environment, and rewards you at the end</v>
      </c>
      <c r="M100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006" s="1"/>
      <c r="O1006" s="1" t="str">
        <f ca="1">IFERROR(__xludf.DUMMYFUNCTION("""COMPUTED_VALUE"""),"Manager who explains what is expected, sets a goal and helps achieve it")</f>
        <v>Manager who explains what is expected, sets a goal and helps achieve it</v>
      </c>
      <c r="P1006" s="1" t="str">
        <f ca="1">IFERROR(__xludf.DUMMYFUNCTION("""COMPUTED_VALUE"""),"Work &lt;=6 People in the Team")</f>
        <v>Work &lt;=6 People in the Team</v>
      </c>
      <c r="Q1006" s="1" t="s">
        <v>40</v>
      </c>
      <c r="R1006" s="1"/>
    </row>
    <row r="1007" spans="1:18" x14ac:dyDescent="0.25">
      <c r="A1007" s="2">
        <f ca="1">IFERROR(__xludf.DUMMYFUNCTION("""COMPUTED_VALUE"""),45043.8895241666)</f>
        <v>45043.889524166603</v>
      </c>
      <c r="B1007" s="1" t="str">
        <f ca="1">IFERROR(__xludf.DUMMYFUNCTION("""COMPUTED_VALUE"""),"India")</f>
        <v>India</v>
      </c>
      <c r="C1007" s="1">
        <f ca="1">IFERROR(__xludf.DUMMYFUNCTION("""COMPUTED_VALUE"""),364710)</f>
        <v>364710</v>
      </c>
      <c r="D1007" s="1" t="str">
        <f ca="1">IFERROR(__xludf.DUMMYFUNCTION("""COMPUTED_VALUE"""),"Female")</f>
        <v>Female</v>
      </c>
      <c r="E1007" s="1" t="str">
        <f ca="1">IFERROR(__xludf.DUMMYFUNCTION("""COMPUTED_VALUE"""),"My Parents")</f>
        <v>My Parents</v>
      </c>
      <c r="F1007" s="1" t="str">
        <f ca="1">IFERROR(__xludf.DUMMYFUNCTION("""COMPUTED_VALUE"""),"No I would not be pursuing Higher Education outside of India")</f>
        <v>No I would not be pursuing Higher Education outside of India</v>
      </c>
      <c r="G1007" s="1" t="str">
        <f ca="1">IFERROR(__xludf.DUMMYFUNCTION("""COMPUTED_VALUE"""),"This will be hard to do, but if it is the right company I would try")</f>
        <v>This will be hard to do, but if it is the right company I would try</v>
      </c>
      <c r="H1007" s="1" t="str">
        <f ca="1">IFERROR(__xludf.DUMMYFUNCTION("""COMPUTED_VALUE"""),"No")</f>
        <v>No</v>
      </c>
      <c r="I1007" s="1" t="str">
        <f ca="1">IFERROR(__xludf.DUMMYFUNCTION("""COMPUTED_VALUE"""),"Will NOT work for them")</f>
        <v>Will NOT work for them</v>
      </c>
      <c r="J1007" s="1">
        <f ca="1">IFERROR(__xludf.DUMMYFUNCTION("""COMPUTED_VALUE"""),4)</f>
        <v>4</v>
      </c>
      <c r="K1007" s="1" t="str">
        <f ca="1">IFERROR(__xludf.DUMMYFUNCTION("""COMPUTED_VALUE"""),"Hybrid Working Environment with more than 15 days a month at office")</f>
        <v>Hybrid Working Environment with more than 15 days a month at office</v>
      </c>
      <c r="L1007" s="1" t="str">
        <f ca="1">IFERROR(__xludf.DUMMYFUNCTION("""COMPUTED_VALUE"""),"Employer who appreciates learning and enables that environment")</f>
        <v>Employer who appreciates learning and enables that environment</v>
      </c>
      <c r="M1007"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1007" s="1"/>
      <c r="O1007" s="1" t="str">
        <f ca="1">IFERROR(__xludf.DUMMYFUNCTION("""COMPUTED_VALUE"""),"Manager who explains what is expected, sets a goal and helps achieve it")</f>
        <v>Manager who explains what is expected, sets a goal and helps achieve it</v>
      </c>
      <c r="P1007" s="1" t="str">
        <f ca="1">IFERROR(__xludf.DUMMYFUNCTION("""COMPUTED_VALUE"""),"Work &lt;=6 People in the Team")</f>
        <v>Work &lt;=6 People in the Team</v>
      </c>
      <c r="Q1007" s="1" t="s">
        <v>43</v>
      </c>
      <c r="R1007" s="1"/>
    </row>
    <row r="1008" spans="1:18" x14ac:dyDescent="0.25">
      <c r="A1008" s="2">
        <f ca="1">IFERROR(__xludf.DUMMYFUNCTION("""COMPUTED_VALUE"""),45043.8898105902)</f>
        <v>45043.889810590197</v>
      </c>
      <c r="B1008" s="1" t="str">
        <f ca="1">IFERROR(__xludf.DUMMYFUNCTION("""COMPUTED_VALUE"""),"India")</f>
        <v>India</v>
      </c>
      <c r="C1008" s="1">
        <f ca="1">IFERROR(__xludf.DUMMYFUNCTION("""COMPUTED_VALUE"""),201306)</f>
        <v>201306</v>
      </c>
      <c r="D1008" s="1" t="str">
        <f ca="1">IFERROR(__xludf.DUMMYFUNCTION("""COMPUTED_VALUE"""),"Female")</f>
        <v>Female</v>
      </c>
      <c r="E1008" s="1" t="str">
        <f ca="1">IFERROR(__xludf.DUMMYFUNCTION("""COMPUTED_VALUE"""),"People from my circle, but not family members")</f>
        <v>People from my circle, but not family members</v>
      </c>
      <c r="F1008" s="1" t="str">
        <f ca="1">IFERROR(__xludf.DUMMYFUNCTION("""COMPUTED_VALUE"""),"No I would not be pursuing Higher Education outside of India")</f>
        <v>No I would not be pursuing Higher Education outside of India</v>
      </c>
      <c r="G1008" s="1" t="str">
        <f ca="1">IFERROR(__xludf.DUMMYFUNCTION("""COMPUTED_VALUE"""),"Will work for 3 years or more")</f>
        <v>Will work for 3 years or more</v>
      </c>
      <c r="H1008" s="1" t="str">
        <f ca="1">IFERROR(__xludf.DUMMYFUNCTION("""COMPUTED_VALUE"""),"No")</f>
        <v>No</v>
      </c>
      <c r="I1008" s="1" t="str">
        <f ca="1">IFERROR(__xludf.DUMMYFUNCTION("""COMPUTED_VALUE"""),"Will NOT work for them")</f>
        <v>Will NOT work for them</v>
      </c>
      <c r="J1008" s="1">
        <f ca="1">IFERROR(__xludf.DUMMYFUNCTION("""COMPUTED_VALUE"""),8)</f>
        <v>8</v>
      </c>
      <c r="K1008" s="1" t="str">
        <f ca="1">IFERROR(__xludf.DUMMYFUNCTION("""COMPUTED_VALUE"""),"Every Day Office Environment")</f>
        <v>Every Day Office Environment</v>
      </c>
      <c r="L1008" s="1" t="str">
        <f ca="1">IFERROR(__xludf.DUMMYFUNCTION("""COMPUTED_VALUE"""),"Employer who appreciates learning and enables that environment")</f>
        <v>Employer who appreciates learning and enables that environment</v>
      </c>
      <c r="M10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008" s="1"/>
      <c r="O1008" s="1" t="str">
        <f ca="1">IFERROR(__xludf.DUMMYFUNCTION("""COMPUTED_VALUE"""),"Manager who explains what is expected, sets a goal and helps achieve it")</f>
        <v>Manager who explains what is expected, sets a goal and helps achieve it</v>
      </c>
      <c r="P1008" s="1" t="str">
        <f ca="1">IFERROR(__xludf.DUMMYFUNCTION("""COMPUTED_VALUE"""),"Work &lt;=6 People in the Team")</f>
        <v>Work &lt;=6 People in the Team</v>
      </c>
      <c r="Q1008" s="1" t="s">
        <v>43</v>
      </c>
      <c r="R1008" s="1"/>
    </row>
    <row r="1009" spans="1:18" x14ac:dyDescent="0.25">
      <c r="A1009" s="2">
        <f ca="1">IFERROR(__xludf.DUMMYFUNCTION("""COMPUTED_VALUE"""),45043.8900260648)</f>
        <v>45043.890026064801</v>
      </c>
      <c r="B1009" s="1" t="str">
        <f ca="1">IFERROR(__xludf.DUMMYFUNCTION("""COMPUTED_VALUE"""),"India")</f>
        <v>India</v>
      </c>
      <c r="C1009" s="1">
        <f ca="1">IFERROR(__xludf.DUMMYFUNCTION("""COMPUTED_VALUE"""),500005)</f>
        <v>500005</v>
      </c>
      <c r="D1009" s="1" t="str">
        <f ca="1">IFERROR(__xludf.DUMMYFUNCTION("""COMPUTED_VALUE"""),"Female")</f>
        <v>Female</v>
      </c>
      <c r="E1009" s="1" t="str">
        <f ca="1">IFERROR(__xludf.DUMMYFUNCTION("""COMPUTED_VALUE"""),"People from my circle, but not family members")</f>
        <v>People from my circle, but not family members</v>
      </c>
      <c r="F1009" s="1" t="str">
        <f ca="1">IFERROR(__xludf.DUMMYFUNCTION("""COMPUTED_VALUE"""),"No, But if someone could bare the cost I will")</f>
        <v>No, But if someone could bare the cost I will</v>
      </c>
      <c r="G1009" s="1" t="str">
        <f ca="1">IFERROR(__xludf.DUMMYFUNCTION("""COMPUTED_VALUE"""),"This will be hard to do, but if it is the right company I would try")</f>
        <v>This will be hard to do, but if it is the right company I would try</v>
      </c>
      <c r="H1009" s="1" t="str">
        <f ca="1">IFERROR(__xludf.DUMMYFUNCTION("""COMPUTED_VALUE"""),"Yes")</f>
        <v>Yes</v>
      </c>
      <c r="I1009" s="1" t="str">
        <f ca="1">IFERROR(__xludf.DUMMYFUNCTION("""COMPUTED_VALUE"""),"Will NOT work for them")</f>
        <v>Will NOT work for them</v>
      </c>
      <c r="J1009" s="1">
        <f ca="1">IFERROR(__xludf.DUMMYFUNCTION("""COMPUTED_VALUE"""),7)</f>
        <v>7</v>
      </c>
      <c r="K1009" s="1" t="str">
        <f ca="1">IFERROR(__xludf.DUMMYFUNCTION("""COMPUTED_VALUE"""),"Every Day Office Environment")</f>
        <v>Every Day Office Environment</v>
      </c>
      <c r="L1009" s="1" t="str">
        <f ca="1">IFERROR(__xludf.DUMMYFUNCTION("""COMPUTED_VALUE"""),"Employer who pushes your limits by enabling an learning environment, and rewards you at the end")</f>
        <v>Employer who pushes your limits by enabling an learning environment, and rewards you at the end</v>
      </c>
      <c r="M100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N1009" s="1"/>
      <c r="O1009" s="1" t="str">
        <f ca="1">IFERROR(__xludf.DUMMYFUNCTION("""COMPUTED_VALUE"""),"Manager who sets goal and helps me achieve it")</f>
        <v>Manager who sets goal and helps me achieve it</v>
      </c>
      <c r="P1009" s="1" t="str">
        <f ca="1">IFERROR(__xludf.DUMMYFUNCTION("""COMPUTED_VALUE"""),"Work Alone, &lt;=6 in team")</f>
        <v>Work Alone, &lt;=6 in team</v>
      </c>
      <c r="Q1009" s="1" t="s">
        <v>40</v>
      </c>
      <c r="R1009" s="1"/>
    </row>
    <row r="1010" spans="1:18" x14ac:dyDescent="0.25">
      <c r="A1010" s="2">
        <f ca="1">IFERROR(__xludf.DUMMYFUNCTION("""COMPUTED_VALUE"""),45043.8914080324)</f>
        <v>45043.891408032403</v>
      </c>
      <c r="B1010" s="1" t="str">
        <f ca="1">IFERROR(__xludf.DUMMYFUNCTION("""COMPUTED_VALUE"""),"India")</f>
        <v>India</v>
      </c>
      <c r="C1010" s="1">
        <f ca="1">IFERROR(__xludf.DUMMYFUNCTION("""COMPUTED_VALUE"""),250002)</f>
        <v>250002</v>
      </c>
      <c r="D1010" s="1" t="str">
        <f ca="1">IFERROR(__xludf.DUMMYFUNCTION("""COMPUTED_VALUE"""),"Male")</f>
        <v>Male</v>
      </c>
      <c r="E1010" s="1" t="str">
        <f ca="1">IFERROR(__xludf.DUMMYFUNCTION("""COMPUTED_VALUE"""),"People who have changed the world for better")</f>
        <v>People who have changed the world for better</v>
      </c>
      <c r="F1010" s="1" t="str">
        <f ca="1">IFERROR(__xludf.DUMMYFUNCTION("""COMPUTED_VALUE"""),"Yes, I will earn and do that")</f>
        <v>Yes, I will earn and do that</v>
      </c>
      <c r="G1010" s="1" t="str">
        <f ca="1">IFERROR(__xludf.DUMMYFUNCTION("""COMPUTED_VALUE"""),"This will be hard to do, but if it is the right company I would try")</f>
        <v>This will be hard to do, but if it is the right company I would try</v>
      </c>
      <c r="H1010" s="1" t="str">
        <f ca="1">IFERROR(__xludf.DUMMYFUNCTION("""COMPUTED_VALUE"""),"No")</f>
        <v>No</v>
      </c>
      <c r="I1010" s="1" t="str">
        <f ca="1">IFERROR(__xludf.DUMMYFUNCTION("""COMPUTED_VALUE"""),"Will NOT work for them")</f>
        <v>Will NOT work for them</v>
      </c>
      <c r="J1010" s="1">
        <f ca="1">IFERROR(__xludf.DUMMYFUNCTION("""COMPUTED_VALUE"""),2)</f>
        <v>2</v>
      </c>
      <c r="K1010" s="1" t="str">
        <f ca="1">IFERROR(__xludf.DUMMYFUNCTION("""COMPUTED_VALUE"""),"Fully Remote with Options to travel as and when needed")</f>
        <v>Fully Remote with Options to travel as and when needed</v>
      </c>
      <c r="L1010" s="1" t="str">
        <f ca="1">IFERROR(__xludf.DUMMYFUNCTION("""COMPUTED_VALUE"""),"Employer who pushes your limits by enabling an learning environment, and rewards you at the end")</f>
        <v>Employer who pushes your limits by enabling an learning environment, and rewards you at the end</v>
      </c>
      <c r="M1010"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1010" s="1"/>
      <c r="O1010" s="1" t="str">
        <f ca="1">IFERROR(__xludf.DUMMYFUNCTION("""COMPUTED_VALUE"""),"Manager who explains what is expected, sets a goal and helps achieve it")</f>
        <v>Manager who explains what is expected, sets a goal and helps achieve it</v>
      </c>
      <c r="P1010" s="1" t="str">
        <f ca="1">IFERROR(__xludf.DUMMYFUNCTION("""COMPUTED_VALUE"""),"Work &lt;=6 People in the Team")</f>
        <v>Work &lt;=6 People in the Team</v>
      </c>
      <c r="Q1010" s="1" t="s">
        <v>40</v>
      </c>
      <c r="R1010" s="1"/>
    </row>
    <row r="1011" spans="1:18" x14ac:dyDescent="0.25">
      <c r="A1011" s="2">
        <f ca="1">IFERROR(__xludf.DUMMYFUNCTION("""COMPUTED_VALUE"""),45043.8917826041)</f>
        <v>45043.8917826041</v>
      </c>
      <c r="B1011" s="1" t="str">
        <f ca="1">IFERROR(__xludf.DUMMYFUNCTION("""COMPUTED_VALUE"""),"India")</f>
        <v>India</v>
      </c>
      <c r="C1011" s="1">
        <f ca="1">IFERROR(__xludf.DUMMYFUNCTION("""COMPUTED_VALUE"""),400709)</f>
        <v>400709</v>
      </c>
      <c r="D1011" s="1" t="str">
        <f ca="1">IFERROR(__xludf.DUMMYFUNCTION("""COMPUTED_VALUE"""),"Male")</f>
        <v>Male</v>
      </c>
      <c r="E1011" s="1" t="str">
        <f ca="1">IFERROR(__xludf.DUMMYFUNCTION("""COMPUTED_VALUE"""),"Influencers who had successful careers")</f>
        <v>Influencers who had successful careers</v>
      </c>
      <c r="F1011" s="1" t="str">
        <f ca="1">IFERROR(__xludf.DUMMYFUNCTION("""COMPUTED_VALUE"""),"Yes, I will earn and do that")</f>
        <v>Yes, I will earn and do that</v>
      </c>
      <c r="G1011" s="1" t="str">
        <f ca="1">IFERROR(__xludf.DUMMYFUNCTION("""COMPUTED_VALUE"""),"No way")</f>
        <v>No way</v>
      </c>
      <c r="H1011" s="1" t="str">
        <f ca="1">IFERROR(__xludf.DUMMYFUNCTION("""COMPUTED_VALUE"""),"No")</f>
        <v>No</v>
      </c>
      <c r="I1011" s="1" t="str">
        <f ca="1">IFERROR(__xludf.DUMMYFUNCTION("""COMPUTED_VALUE"""),"Will NOT work for them")</f>
        <v>Will NOT work for them</v>
      </c>
      <c r="J1011" s="1">
        <f ca="1">IFERROR(__xludf.DUMMYFUNCTION("""COMPUTED_VALUE"""),2)</f>
        <v>2</v>
      </c>
      <c r="K1011" s="1" t="str">
        <f ca="1">IFERROR(__xludf.DUMMYFUNCTION("""COMPUTED_VALUE"""),"Every Day Office Environment")</f>
        <v>Every Day Office Environment</v>
      </c>
      <c r="L1011" s="1" t="str">
        <f ca="1">IFERROR(__xludf.DUMMYFUNCTION("""COMPUTED_VALUE"""),"Employer who pushes your limits by enabling an learning environment, and rewards you at the end")</f>
        <v>Employer who pushes your limits by enabling an learning environment, and rewards you at the end</v>
      </c>
      <c r="M1011"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N1011" s="1"/>
      <c r="O1011" s="1" t="str">
        <f ca="1">IFERROR(__xludf.DUMMYFUNCTION("""COMPUTED_VALUE"""),"Manager who explains what is expected, sets a goal and helps achieve it")</f>
        <v>Manager who explains what is expected, sets a goal and helps achieve it</v>
      </c>
      <c r="P1011" s="1" t="str">
        <f ca="1">IFERROR(__xludf.DUMMYFUNCTION("""COMPUTED_VALUE"""),"Work Alone, &lt;67 people in team")</f>
        <v>Work Alone, &lt;67 people in team</v>
      </c>
      <c r="Q1011" s="1" t="s">
        <v>40</v>
      </c>
      <c r="R1011" s="1"/>
    </row>
    <row r="1012" spans="1:18" x14ac:dyDescent="0.25">
      <c r="A1012" s="2">
        <f ca="1">IFERROR(__xludf.DUMMYFUNCTION("""COMPUTED_VALUE"""),45043.8923026736)</f>
        <v>45043.892302673601</v>
      </c>
      <c r="B1012" s="1" t="str">
        <f ca="1">IFERROR(__xludf.DUMMYFUNCTION("""COMPUTED_VALUE"""),"India")</f>
        <v>India</v>
      </c>
      <c r="C1012" s="1">
        <f ca="1">IFERROR(__xludf.DUMMYFUNCTION("""COMPUTED_VALUE"""),492001)</f>
        <v>492001</v>
      </c>
      <c r="D1012" s="1" t="str">
        <f ca="1">IFERROR(__xludf.DUMMYFUNCTION("""COMPUTED_VALUE"""),"Male")</f>
        <v>Male</v>
      </c>
      <c r="E1012" s="1" t="str">
        <f ca="1">IFERROR(__xludf.DUMMYFUNCTION("""COMPUTED_VALUE"""),"People who have changed the world for better")</f>
        <v>People who have changed the world for better</v>
      </c>
      <c r="F1012" s="1" t="str">
        <f ca="1">IFERROR(__xludf.DUMMYFUNCTION("""COMPUTED_VALUE"""),"No I would not be pursuing Higher Education outside of India")</f>
        <v>No I would not be pursuing Higher Education outside of India</v>
      </c>
      <c r="G1012" s="1" t="str">
        <f ca="1">IFERROR(__xludf.DUMMYFUNCTION("""COMPUTED_VALUE"""),"This will be hard to do, but if it is the right company I would try")</f>
        <v>This will be hard to do, but if it is the right company I would try</v>
      </c>
      <c r="H1012" s="1" t="str">
        <f ca="1">IFERROR(__xludf.DUMMYFUNCTION("""COMPUTED_VALUE"""),"No")</f>
        <v>No</v>
      </c>
      <c r="I1012" s="1" t="str">
        <f ca="1">IFERROR(__xludf.DUMMYFUNCTION("""COMPUTED_VALUE"""),"Will NOT work for them")</f>
        <v>Will NOT work for them</v>
      </c>
      <c r="J1012" s="1">
        <f ca="1">IFERROR(__xludf.DUMMYFUNCTION("""COMPUTED_VALUE"""),7)</f>
        <v>7</v>
      </c>
      <c r="K1012" s="1" t="str">
        <f ca="1">IFERROR(__xludf.DUMMYFUNCTION("""COMPUTED_VALUE"""),"Fully Remote with Options to travel as and when needed")</f>
        <v>Fully Remote with Options to travel as and when needed</v>
      </c>
      <c r="L1012" s="1" t="str">
        <f ca="1">IFERROR(__xludf.DUMMYFUNCTION("""COMPUTED_VALUE"""),"Employer who pushes your limits by enabling an learning environment, and rewards you at the end")</f>
        <v>Employer who pushes your limits by enabling an learning environment, and rewards you at the end</v>
      </c>
      <c r="M1012"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1012" s="1"/>
      <c r="O1012" s="1" t="str">
        <f ca="1">IFERROR(__xludf.DUMMYFUNCTION("""COMPUTED_VALUE"""),"Manager who explains what is expected, sets a goal and helps achieve it")</f>
        <v>Manager who explains what is expected, sets a goal and helps achieve it</v>
      </c>
      <c r="P1012" s="1" t="str">
        <f ca="1">IFERROR(__xludf.DUMMYFUNCTION("""COMPUTED_VALUE"""),"Work Alone, &lt;67 people in team")</f>
        <v>Work Alone, &lt;67 people in team</v>
      </c>
      <c r="Q1012" s="1" t="s">
        <v>40</v>
      </c>
      <c r="R1012" s="1"/>
    </row>
    <row r="1013" spans="1:18" x14ac:dyDescent="0.25">
      <c r="A1013" s="2">
        <f ca="1">IFERROR(__xludf.DUMMYFUNCTION("""COMPUTED_VALUE"""),45043.8924039236)</f>
        <v>45043.892403923601</v>
      </c>
      <c r="B1013" s="1" t="str">
        <f ca="1">IFERROR(__xludf.DUMMYFUNCTION("""COMPUTED_VALUE"""),"India")</f>
        <v>India</v>
      </c>
      <c r="C1013" s="1">
        <f ca="1">IFERROR(__xludf.DUMMYFUNCTION("""COMPUTED_VALUE"""),382028)</f>
        <v>382028</v>
      </c>
      <c r="D1013" s="1" t="str">
        <f ca="1">IFERROR(__xludf.DUMMYFUNCTION("""COMPUTED_VALUE"""),"Female")</f>
        <v>Female</v>
      </c>
      <c r="E1013" s="1" t="str">
        <f ca="1">IFERROR(__xludf.DUMMYFUNCTION("""COMPUTED_VALUE"""),"Influencers who had successful careers")</f>
        <v>Influencers who had successful careers</v>
      </c>
      <c r="F1013" s="1" t="str">
        <f ca="1">IFERROR(__xludf.DUMMYFUNCTION("""COMPUTED_VALUE"""),"Yes, I will earn and do that")</f>
        <v>Yes, I will earn and do that</v>
      </c>
      <c r="G1013" s="1" t="str">
        <f ca="1">IFERROR(__xludf.DUMMYFUNCTION("""COMPUTED_VALUE"""),"This will be hard to do, but if it is the right company I would try")</f>
        <v>This will be hard to do, but if it is the right company I would try</v>
      </c>
      <c r="H1013" s="1" t="str">
        <f ca="1">IFERROR(__xludf.DUMMYFUNCTION("""COMPUTED_VALUE"""),"No")</f>
        <v>No</v>
      </c>
      <c r="I1013" s="1" t="str">
        <f ca="1">IFERROR(__xludf.DUMMYFUNCTION("""COMPUTED_VALUE"""),"Will NOT work for them")</f>
        <v>Will NOT work for them</v>
      </c>
      <c r="J1013" s="1">
        <f ca="1">IFERROR(__xludf.DUMMYFUNCTION("""COMPUTED_VALUE"""),7)</f>
        <v>7</v>
      </c>
      <c r="K1013" s="1" t="str">
        <f ca="1">IFERROR(__xludf.DUMMYFUNCTION("""COMPUTED_VALUE"""),"Hybrid Working Environment with more than 15 days a month at office")</f>
        <v>Hybrid Working Environment with more than 15 days a month at office</v>
      </c>
      <c r="L1013" s="1" t="str">
        <f ca="1">IFERROR(__xludf.DUMMYFUNCTION("""COMPUTED_VALUE"""),"Employer who pushes your limits by enabling an learning environment, and rewards you at the end")</f>
        <v>Employer who pushes your limits by enabling an learning environment, and rewards you at the end</v>
      </c>
      <c r="M101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013" s="1"/>
      <c r="O1013" s="1" t="str">
        <f ca="1">IFERROR(__xludf.DUMMYFUNCTION("""COMPUTED_VALUE"""),"Manager who explains what is expected, sets a goal and helps achieve it")</f>
        <v>Manager who explains what is expected, sets a goal and helps achieve it</v>
      </c>
      <c r="P1013" s="1" t="str">
        <f ca="1">IFERROR(__xludf.DUMMYFUNCTION("""COMPUTED_VALUE"""),"Work Alone, &lt;=6 in team")</f>
        <v>Work Alone, &lt;=6 in team</v>
      </c>
      <c r="Q1013" s="1" t="s">
        <v>43</v>
      </c>
      <c r="R1013" s="1"/>
    </row>
    <row r="1014" spans="1:18" x14ac:dyDescent="0.25">
      <c r="A1014" s="2">
        <f ca="1">IFERROR(__xludf.DUMMYFUNCTION("""COMPUTED_VALUE"""),45043.8927948379)</f>
        <v>45043.892794837899</v>
      </c>
      <c r="B1014" s="1" t="str">
        <f ca="1">IFERROR(__xludf.DUMMYFUNCTION("""COMPUTED_VALUE"""),"India")</f>
        <v>India</v>
      </c>
      <c r="C1014" s="1">
        <f ca="1">IFERROR(__xludf.DUMMYFUNCTION("""COMPUTED_VALUE"""),560037)</f>
        <v>560037</v>
      </c>
      <c r="D1014" s="1" t="str">
        <f ca="1">IFERROR(__xludf.DUMMYFUNCTION("""COMPUTED_VALUE"""),"Female")</f>
        <v>Female</v>
      </c>
      <c r="E1014" s="1" t="str">
        <f ca="1">IFERROR(__xludf.DUMMYFUNCTION("""COMPUTED_VALUE"""),"People who have changed the world for better")</f>
        <v>People who have changed the world for better</v>
      </c>
      <c r="F1014" s="1" t="str">
        <f ca="1">IFERROR(__xludf.DUMMYFUNCTION("""COMPUTED_VALUE"""),"Yes, I will earn and do that")</f>
        <v>Yes, I will earn and do that</v>
      </c>
      <c r="G1014" s="1" t="str">
        <f ca="1">IFERROR(__xludf.DUMMYFUNCTION("""COMPUTED_VALUE"""),"This will be hard to do, but if it is the right company I would try")</f>
        <v>This will be hard to do, but if it is the right company I would try</v>
      </c>
      <c r="H1014" s="1" t="str">
        <f ca="1">IFERROR(__xludf.DUMMYFUNCTION("""COMPUTED_VALUE"""),"No")</f>
        <v>No</v>
      </c>
      <c r="I1014" s="1" t="str">
        <f ca="1">IFERROR(__xludf.DUMMYFUNCTION("""COMPUTED_VALUE"""),"Will NOT work for them")</f>
        <v>Will NOT work for them</v>
      </c>
      <c r="J1014" s="1">
        <f ca="1">IFERROR(__xludf.DUMMYFUNCTION("""COMPUTED_VALUE"""),5)</f>
        <v>5</v>
      </c>
      <c r="K1014" s="1" t="str">
        <f ca="1">IFERROR(__xludf.DUMMYFUNCTION("""COMPUTED_VALUE"""),"Hybrid Working Environment with less than 3 days a month at office")</f>
        <v>Hybrid Working Environment with less than 3 days a month at office</v>
      </c>
      <c r="L1014" s="1" t="str">
        <f ca="1">IFERROR(__xludf.DUMMYFUNCTION("""COMPUTED_VALUE"""),"Employer who appreciates learning and enables that environment")</f>
        <v>Employer who appreciates learning and enables that environment</v>
      </c>
      <c r="M101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N1014" s="1"/>
      <c r="O1014" s="1" t="str">
        <f ca="1">IFERROR(__xludf.DUMMYFUNCTION("""COMPUTED_VALUE"""),"Manager who explains what is expected, sets a goal and helps achieve it")</f>
        <v>Manager who explains what is expected, sets a goal and helps achieve it</v>
      </c>
      <c r="P1014" s="1" t="str">
        <f ca="1">IFERROR(__xludf.DUMMYFUNCTION("""COMPUTED_VALUE"""),"Work &gt;10 people in Team")</f>
        <v>Work &gt;10 people in Team</v>
      </c>
      <c r="Q1014" s="1" t="s">
        <v>43</v>
      </c>
      <c r="R1014" s="1"/>
    </row>
    <row r="1015" spans="1:18" x14ac:dyDescent="0.25">
      <c r="A1015" s="2">
        <f ca="1">IFERROR(__xludf.DUMMYFUNCTION("""COMPUTED_VALUE"""),45043.8929442245)</f>
        <v>45043.892944224499</v>
      </c>
      <c r="B1015" s="1" t="str">
        <f ca="1">IFERROR(__xludf.DUMMYFUNCTION("""COMPUTED_VALUE"""),"India")</f>
        <v>India</v>
      </c>
      <c r="C1015" s="1">
        <f ca="1">IFERROR(__xludf.DUMMYFUNCTION("""COMPUTED_VALUE"""),401107)</f>
        <v>401107</v>
      </c>
      <c r="D1015" s="1" t="str">
        <f ca="1">IFERROR(__xludf.DUMMYFUNCTION("""COMPUTED_VALUE"""),"Male")</f>
        <v>Male</v>
      </c>
      <c r="E1015" s="1" t="str">
        <f ca="1">IFERROR(__xludf.DUMMYFUNCTION("""COMPUTED_VALUE"""),"My Parents")</f>
        <v>My Parents</v>
      </c>
      <c r="F1015" s="1" t="str">
        <f ca="1">IFERROR(__xludf.DUMMYFUNCTION("""COMPUTED_VALUE"""),"No I would not be pursuing Higher Education outside of India")</f>
        <v>No I would not be pursuing Higher Education outside of India</v>
      </c>
      <c r="G1015" s="1" t="str">
        <f ca="1">IFERROR(__xludf.DUMMYFUNCTION("""COMPUTED_VALUE"""),"This will be hard to do, but if it is the right company I would try")</f>
        <v>This will be hard to do, but if it is the right company I would try</v>
      </c>
      <c r="H1015" s="1" t="str">
        <f ca="1">IFERROR(__xludf.DUMMYFUNCTION("""COMPUTED_VALUE"""),"Yes")</f>
        <v>Yes</v>
      </c>
      <c r="I1015" s="1" t="str">
        <f ca="1">IFERROR(__xludf.DUMMYFUNCTION("""COMPUTED_VALUE"""),"Will NOT work for them")</f>
        <v>Will NOT work for them</v>
      </c>
      <c r="J1015" s="1">
        <f ca="1">IFERROR(__xludf.DUMMYFUNCTION("""COMPUTED_VALUE"""),6)</f>
        <v>6</v>
      </c>
      <c r="K1015" s="1" t="str">
        <f ca="1">IFERROR(__xludf.DUMMYFUNCTION("""COMPUTED_VALUE"""),"Hybrid Working Environment with more than 15 days a month at office")</f>
        <v>Hybrid Working Environment with more than 15 days a month at office</v>
      </c>
      <c r="L1015" s="1" t="str">
        <f ca="1">IFERROR(__xludf.DUMMYFUNCTION("""COMPUTED_VALUE"""),"Employer who appreciates learning and enables that environment")</f>
        <v>Employer who appreciates learning and enables that environment</v>
      </c>
      <c r="M1015"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N1015" s="1"/>
      <c r="O1015" s="1" t="str">
        <f ca="1">IFERROR(__xludf.DUMMYFUNCTION("""COMPUTED_VALUE"""),"Manager who explains what is expected, sets a goal and helps achieve it")</f>
        <v>Manager who explains what is expected, sets a goal and helps achieve it</v>
      </c>
      <c r="P1015" s="1" t="str">
        <f ca="1">IFERROR(__xludf.DUMMYFUNCTION("""COMPUTED_VALUE"""),"Work &lt;=6 People in the Team")</f>
        <v>Work &lt;=6 People in the Team</v>
      </c>
      <c r="Q1015" s="1" t="s">
        <v>42</v>
      </c>
      <c r="R1015" s="1"/>
    </row>
    <row r="1016" spans="1:18" x14ac:dyDescent="0.25">
      <c r="A1016" s="2">
        <f ca="1">IFERROR(__xludf.DUMMYFUNCTION("""COMPUTED_VALUE"""),45043.8932961689)</f>
        <v>45043.893296168899</v>
      </c>
      <c r="B1016" s="1" t="str">
        <f ca="1">IFERROR(__xludf.DUMMYFUNCTION("""COMPUTED_VALUE"""),"India")</f>
        <v>India</v>
      </c>
      <c r="C1016" s="1">
        <f ca="1">IFERROR(__xludf.DUMMYFUNCTION("""COMPUTED_VALUE"""),534134)</f>
        <v>534134</v>
      </c>
      <c r="D1016" s="1" t="str">
        <f ca="1">IFERROR(__xludf.DUMMYFUNCTION("""COMPUTED_VALUE"""),"Female")</f>
        <v>Female</v>
      </c>
      <c r="E1016" s="1" t="str">
        <f ca="1">IFERROR(__xludf.DUMMYFUNCTION("""COMPUTED_VALUE"""),"Influencers who had successful careers")</f>
        <v>Influencers who had successful careers</v>
      </c>
      <c r="F1016" s="1" t="str">
        <f ca="1">IFERROR(__xludf.DUMMYFUNCTION("""COMPUTED_VALUE"""),"Yes, I will earn and do that")</f>
        <v>Yes, I will earn and do that</v>
      </c>
      <c r="G1016" s="1" t="str">
        <f ca="1">IFERROR(__xludf.DUMMYFUNCTION("""COMPUTED_VALUE"""),"Will work for 3 years or more")</f>
        <v>Will work for 3 years or more</v>
      </c>
      <c r="H1016" s="1" t="str">
        <f ca="1">IFERROR(__xludf.DUMMYFUNCTION("""COMPUTED_VALUE"""),"No")</f>
        <v>No</v>
      </c>
      <c r="I1016" s="1" t="str">
        <f ca="1">IFERROR(__xludf.DUMMYFUNCTION("""COMPUTED_VALUE"""),"Will work for them")</f>
        <v>Will work for them</v>
      </c>
      <c r="J1016" s="1">
        <f ca="1">IFERROR(__xludf.DUMMYFUNCTION("""COMPUTED_VALUE"""),6)</f>
        <v>6</v>
      </c>
      <c r="K1016" s="1" t="str">
        <f ca="1">IFERROR(__xludf.DUMMYFUNCTION("""COMPUTED_VALUE"""),"Fully Remote with Options to travel as and when needed")</f>
        <v>Fully Remote with Options to travel as and when needed</v>
      </c>
      <c r="L1016" s="1" t="str">
        <f ca="1">IFERROR(__xludf.DUMMYFUNCTION("""COMPUTED_VALUE"""),"Employer who appreciates learning and enables that environment")</f>
        <v>Employer who appreciates learning and enables that environment</v>
      </c>
      <c r="M1016" s="1" t="str">
        <f ca="1">IFERROR(__xludf.DUMMYFUNCTION("""COMPUTED_VALUE"""),"Manage and drive End-to-End Projects or Products, Work as a freelancer and do my thing my way, Become a content Creator in some platform, I Want to sell things/Sales")</f>
        <v>Manage and drive End-to-End Projects or Products, Work as a freelancer and do my thing my way, Become a content Creator in some platform, I Want to sell things/Sales</v>
      </c>
      <c r="N1016" s="1"/>
      <c r="O1016" s="1" t="str">
        <f ca="1">IFERROR(__xludf.DUMMYFUNCTION("""COMPUTED_VALUE"""),"Manager who explains what is expected, sets a goal and helps achieve it")</f>
        <v>Manager who explains what is expected, sets a goal and helps achieve it</v>
      </c>
      <c r="P1016" s="1" t="str">
        <f ca="1">IFERROR(__xludf.DUMMYFUNCTION("""COMPUTED_VALUE"""),"Work &lt;=6 People in the Team")</f>
        <v>Work &lt;=6 People in the Team</v>
      </c>
      <c r="Q1016" s="1" t="s">
        <v>43</v>
      </c>
      <c r="R1016" s="1"/>
    </row>
    <row r="1017" spans="1:18" x14ac:dyDescent="0.25">
      <c r="A1017" s="2">
        <f ca="1">IFERROR(__xludf.DUMMYFUNCTION("""COMPUTED_VALUE"""),45043.8934969213)</f>
        <v>45043.893496921301</v>
      </c>
      <c r="B1017" s="1" t="str">
        <f ca="1">IFERROR(__xludf.DUMMYFUNCTION("""COMPUTED_VALUE"""),"India")</f>
        <v>India</v>
      </c>
      <c r="C1017" s="1">
        <f ca="1">IFERROR(__xludf.DUMMYFUNCTION("""COMPUTED_VALUE"""),247776)</f>
        <v>247776</v>
      </c>
      <c r="D1017" s="1" t="str">
        <f ca="1">IFERROR(__xludf.DUMMYFUNCTION("""COMPUTED_VALUE"""),"Female")</f>
        <v>Female</v>
      </c>
      <c r="E1017" s="1" t="str">
        <f ca="1">IFERROR(__xludf.DUMMYFUNCTION("""COMPUTED_VALUE"""),"My Parents")</f>
        <v>My Parents</v>
      </c>
      <c r="F1017" s="1" t="str">
        <f ca="1">IFERROR(__xludf.DUMMYFUNCTION("""COMPUTED_VALUE"""),"No I would not be pursuing Higher Education outside of India")</f>
        <v>No I would not be pursuing Higher Education outside of India</v>
      </c>
      <c r="G1017" s="1" t="str">
        <f ca="1">IFERROR(__xludf.DUMMYFUNCTION("""COMPUTED_VALUE"""),"This will be hard to do, but if it is the right company I would try")</f>
        <v>This will be hard to do, but if it is the right company I would try</v>
      </c>
      <c r="H1017" s="1" t="str">
        <f ca="1">IFERROR(__xludf.DUMMYFUNCTION("""COMPUTED_VALUE"""),"No")</f>
        <v>No</v>
      </c>
      <c r="I1017" s="1" t="str">
        <f ca="1">IFERROR(__xludf.DUMMYFUNCTION("""COMPUTED_VALUE"""),"Will NOT work for them")</f>
        <v>Will NOT work for them</v>
      </c>
      <c r="J1017" s="1">
        <f ca="1">IFERROR(__xludf.DUMMYFUNCTION("""COMPUTED_VALUE"""),8)</f>
        <v>8</v>
      </c>
      <c r="K1017" s="1" t="str">
        <f ca="1">IFERROR(__xludf.DUMMYFUNCTION("""COMPUTED_VALUE"""),"Fully Remote with Options to travel as and when needed")</f>
        <v>Fully Remote with Options to travel as and when needed</v>
      </c>
      <c r="L1017" s="1" t="str">
        <f ca="1">IFERROR(__xludf.DUMMYFUNCTION("""COMPUTED_VALUE"""),"Employer who pushes your limits by enabling an learning environment, and rewards you at the end")</f>
        <v>Employer who pushes your limits by enabling an learning environment, and rewards you at the end</v>
      </c>
      <c r="M10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1017" s="1"/>
      <c r="O1017" s="1" t="str">
        <f ca="1">IFERROR(__xludf.DUMMYFUNCTION("""COMPUTED_VALUE"""),"Manager who explains what is expected, sets a goal and helps achieve it")</f>
        <v>Manager who explains what is expected, sets a goal and helps achieve it</v>
      </c>
      <c r="P1017" s="1" t="str">
        <f ca="1">IFERROR(__xludf.DUMMYFUNCTION("""COMPUTED_VALUE"""),"Work &lt;=6 People in the Team")</f>
        <v>Work &lt;=6 People in the Team</v>
      </c>
      <c r="Q1017" s="1" t="s">
        <v>40</v>
      </c>
      <c r="R1017" s="1"/>
    </row>
    <row r="1018" spans="1:18" x14ac:dyDescent="0.25">
      <c r="A1018" s="2">
        <f ca="1">IFERROR(__xludf.DUMMYFUNCTION("""COMPUTED_VALUE"""),45043.8943732638)</f>
        <v>45043.8943732638</v>
      </c>
      <c r="B1018" s="1" t="str">
        <f ca="1">IFERROR(__xludf.DUMMYFUNCTION("""COMPUTED_VALUE"""),"India")</f>
        <v>India</v>
      </c>
      <c r="C1018" s="1">
        <f ca="1">IFERROR(__xludf.DUMMYFUNCTION("""COMPUTED_VALUE"""),508223)</f>
        <v>508223</v>
      </c>
      <c r="D1018" s="1" t="str">
        <f ca="1">IFERROR(__xludf.DUMMYFUNCTION("""COMPUTED_VALUE"""),"Male")</f>
        <v>Male</v>
      </c>
      <c r="E1018" s="1" t="str">
        <f ca="1">IFERROR(__xludf.DUMMYFUNCTION("""COMPUTED_VALUE"""),"Social Media like LinkedIn")</f>
        <v>Social Media like LinkedIn</v>
      </c>
      <c r="F1018" s="1" t="str">
        <f ca="1">IFERROR(__xludf.DUMMYFUNCTION("""COMPUTED_VALUE"""),"Yes, I will earn and do that")</f>
        <v>Yes, I will earn and do that</v>
      </c>
      <c r="G1018" s="1" t="str">
        <f ca="1">IFERROR(__xludf.DUMMYFUNCTION("""COMPUTED_VALUE"""),"Will work for 3 years or more")</f>
        <v>Will work for 3 years or more</v>
      </c>
      <c r="H1018" s="1" t="str">
        <f ca="1">IFERROR(__xludf.DUMMYFUNCTION("""COMPUTED_VALUE"""),"No")</f>
        <v>No</v>
      </c>
      <c r="I1018" s="1" t="str">
        <f ca="1">IFERROR(__xludf.DUMMYFUNCTION("""COMPUTED_VALUE"""),"Will NOT work for them")</f>
        <v>Will NOT work for them</v>
      </c>
      <c r="J1018" s="1">
        <f ca="1">IFERROR(__xludf.DUMMYFUNCTION("""COMPUTED_VALUE"""),4)</f>
        <v>4</v>
      </c>
      <c r="K1018" s="1" t="str">
        <f ca="1">IFERROR(__xludf.DUMMYFUNCTION("""COMPUTED_VALUE"""),"Every Day Office Environment")</f>
        <v>Every Day Office Environment</v>
      </c>
      <c r="L1018" s="1" t="str">
        <f ca="1">IFERROR(__xludf.DUMMYFUNCTION("""COMPUTED_VALUE"""),"Employer who appreciates learning and enables that environment")</f>
        <v>Employer who appreciates learning and enables that environment</v>
      </c>
      <c r="M1018"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N1018" s="1"/>
      <c r="O1018" s="1" t="str">
        <f ca="1">IFERROR(__xludf.DUMMYFUNCTION("""COMPUTED_VALUE"""),"Manager who clearly describes what she/he needs")</f>
        <v>Manager who clearly describes what she/he needs</v>
      </c>
      <c r="P1018" s="1" t="str">
        <f ca="1">IFERROR(__xludf.DUMMYFUNCTION("""COMPUTED_VALUE"""),"Work alone")</f>
        <v>Work alone</v>
      </c>
      <c r="Q1018" s="1" t="s">
        <v>43</v>
      </c>
      <c r="R1018" s="1"/>
    </row>
    <row r="1019" spans="1:18" x14ac:dyDescent="0.25">
      <c r="A1019" s="2">
        <f ca="1">IFERROR(__xludf.DUMMYFUNCTION("""COMPUTED_VALUE"""),45043.8944377546)</f>
        <v>45043.894437754599</v>
      </c>
      <c r="B1019" s="1" t="str">
        <f ca="1">IFERROR(__xludf.DUMMYFUNCTION("""COMPUTED_VALUE"""),"India")</f>
        <v>India</v>
      </c>
      <c r="C1019" s="1">
        <f ca="1">IFERROR(__xludf.DUMMYFUNCTION("""COMPUTED_VALUE"""),484551)</f>
        <v>484551</v>
      </c>
      <c r="D1019" s="1" t="str">
        <f ca="1">IFERROR(__xludf.DUMMYFUNCTION("""COMPUTED_VALUE"""),"Male")</f>
        <v>Male</v>
      </c>
      <c r="E1019" s="1" t="str">
        <f ca="1">IFERROR(__xludf.DUMMYFUNCTION("""COMPUTED_VALUE"""),"Influencers who had successful careers")</f>
        <v>Influencers who had successful careers</v>
      </c>
      <c r="F1019" s="1" t="str">
        <f ca="1">IFERROR(__xludf.DUMMYFUNCTION("""COMPUTED_VALUE"""),"No, But if someone could bare the cost I will")</f>
        <v>No, But if someone could bare the cost I will</v>
      </c>
      <c r="G1019" s="1" t="str">
        <f ca="1">IFERROR(__xludf.DUMMYFUNCTION("""COMPUTED_VALUE"""),"This will be hard to do, but if it is the right company I would try")</f>
        <v>This will be hard to do, but if it is the right company I would try</v>
      </c>
      <c r="H1019" s="1" t="str">
        <f ca="1">IFERROR(__xludf.DUMMYFUNCTION("""COMPUTED_VALUE"""),"Yes")</f>
        <v>Yes</v>
      </c>
      <c r="I1019" s="1" t="str">
        <f ca="1">IFERROR(__xludf.DUMMYFUNCTION("""COMPUTED_VALUE"""),"Will work for them")</f>
        <v>Will work for them</v>
      </c>
      <c r="J1019" s="1">
        <f ca="1">IFERROR(__xludf.DUMMYFUNCTION("""COMPUTED_VALUE"""),5)</f>
        <v>5</v>
      </c>
      <c r="K1019" s="1" t="str">
        <f ca="1">IFERROR(__xludf.DUMMYFUNCTION("""COMPUTED_VALUE"""),"Hybrid Working Environment with more than 15 days a month at office")</f>
        <v>Hybrid Working Environment with more than 15 days a month at office</v>
      </c>
      <c r="L1019" s="1" t="str">
        <f ca="1">IFERROR(__xludf.DUMMYFUNCTION("""COMPUTED_VALUE"""),"Employer who pushes your limits by enabling an learning environment, and rewards you at the end")</f>
        <v>Employer who pushes your limits by enabling an learning environment, and rewards you at the end</v>
      </c>
      <c r="M1019" s="1" t="str">
        <f ca="1">IFERROR(__xludf.DUMMYFUNCTION("""COMPUTED_VALUE"""),"Business Operations in any organization, Look deeply into Data and generate insights, Work as a freelancer and do my thing my way, Become a content Creator in some platform")</f>
        <v>Business Operations in any organization, Look deeply into Data and generate insights, Work as a freelancer and do my thing my way, Become a content Creator in some platform</v>
      </c>
      <c r="N1019" s="1"/>
      <c r="O1019" s="1" t="str">
        <f ca="1">IFERROR(__xludf.DUMMYFUNCTION("""COMPUTED_VALUE"""),"Manager who explains what is expected, sets a goal and helps achieve it")</f>
        <v>Manager who explains what is expected, sets a goal and helps achieve it</v>
      </c>
      <c r="P1019" s="1" t="str">
        <f ca="1">IFERROR(__xludf.DUMMYFUNCTION("""COMPUTED_VALUE"""),"Work &lt;=6 People in the Team")</f>
        <v>Work &lt;=6 People in the Team</v>
      </c>
      <c r="Q1019" s="1" t="s">
        <v>43</v>
      </c>
      <c r="R1019" s="1"/>
    </row>
    <row r="1020" spans="1:18" x14ac:dyDescent="0.25">
      <c r="A1020" s="2">
        <f ca="1">IFERROR(__xludf.DUMMYFUNCTION("""COMPUTED_VALUE"""),45043.8970999768)</f>
        <v>45043.897099976799</v>
      </c>
      <c r="B1020" s="1" t="str">
        <f ca="1">IFERROR(__xludf.DUMMYFUNCTION("""COMPUTED_VALUE"""),"India")</f>
        <v>India</v>
      </c>
      <c r="C1020" s="1">
        <f ca="1">IFERROR(__xludf.DUMMYFUNCTION("""COMPUTED_VALUE"""),560038)</f>
        <v>560038</v>
      </c>
      <c r="D1020" s="1" t="str">
        <f ca="1">IFERROR(__xludf.DUMMYFUNCTION("""COMPUTED_VALUE"""),"Male")</f>
        <v>Male</v>
      </c>
      <c r="E1020" s="1" t="str">
        <f ca="1">IFERROR(__xludf.DUMMYFUNCTION("""COMPUTED_VALUE"""),"Social Media like LinkedIn")</f>
        <v>Social Media like LinkedIn</v>
      </c>
      <c r="F1020" s="1" t="str">
        <f ca="1">IFERROR(__xludf.DUMMYFUNCTION("""COMPUTED_VALUE"""),"No I would not be pursuing Higher Education outside of India")</f>
        <v>No I would not be pursuing Higher Education outside of India</v>
      </c>
      <c r="G1020" s="1" t="str">
        <f ca="1">IFERROR(__xludf.DUMMYFUNCTION("""COMPUTED_VALUE"""),"This will be hard to do, but if it is the right company I would try")</f>
        <v>This will be hard to do, but if it is the right company I would try</v>
      </c>
      <c r="H1020" s="1" t="str">
        <f ca="1">IFERROR(__xludf.DUMMYFUNCTION("""COMPUTED_VALUE"""),"Yes")</f>
        <v>Yes</v>
      </c>
      <c r="I1020" s="1" t="str">
        <f ca="1">IFERROR(__xludf.DUMMYFUNCTION("""COMPUTED_VALUE"""),"Will NOT work for them")</f>
        <v>Will NOT work for them</v>
      </c>
      <c r="J1020" s="1">
        <f ca="1">IFERROR(__xludf.DUMMYFUNCTION("""COMPUTED_VALUE"""),8)</f>
        <v>8</v>
      </c>
      <c r="K1020" s="1" t="str">
        <f ca="1">IFERROR(__xludf.DUMMYFUNCTION("""COMPUTED_VALUE"""),"Fully Remote with Options to travel as and when needed")</f>
        <v>Fully Remote with Options to travel as and when needed</v>
      </c>
      <c r="L1020" s="1" t="str">
        <f ca="1">IFERROR(__xludf.DUMMYFUNCTION("""COMPUTED_VALUE"""),"Employer who rewards learning and enables that environment")</f>
        <v>Employer who rewards learning and enables that environment</v>
      </c>
      <c r="M1020" s="1" t="str">
        <f ca="1">IFERROR(__xludf.DUMMYFUNCTION("""COMPUTED_VALUE"""),"Business Operations in any organization, Work as a freelancer and do my thing my way, Become a content Creator in some platform, I Want to sell things/Sales")</f>
        <v>Business Operations in any organization, Work as a freelancer and do my thing my way, Become a content Creator in some platform, I Want to sell things/Sales</v>
      </c>
      <c r="N1020" s="1"/>
      <c r="O1020" s="1" t="str">
        <f ca="1">IFERROR(__xludf.DUMMYFUNCTION("""COMPUTED_VALUE"""),"Manager who clearly describes what she/he needs")</f>
        <v>Manager who clearly describes what she/he needs</v>
      </c>
      <c r="P1020" s="1" t="str">
        <f ca="1">IFERROR(__xludf.DUMMYFUNCTION("""COMPUTED_VALUE"""),"Work &gt;=7 People in the Team")</f>
        <v>Work &gt;=7 People in the Team</v>
      </c>
      <c r="Q1020" s="1" t="s">
        <v>40</v>
      </c>
      <c r="R1020" s="1"/>
    </row>
    <row r="1021" spans="1:18" x14ac:dyDescent="0.25">
      <c r="A1021" s="2">
        <f ca="1">IFERROR(__xludf.DUMMYFUNCTION("""COMPUTED_VALUE"""),45043.8972831134)</f>
        <v>45043.897283113401</v>
      </c>
      <c r="B1021" s="1" t="str">
        <f ca="1">IFERROR(__xludf.DUMMYFUNCTION("""COMPUTED_VALUE"""),"India")</f>
        <v>India</v>
      </c>
      <c r="C1021" s="1">
        <f ca="1">IFERROR(__xludf.DUMMYFUNCTION("""COMPUTED_VALUE"""),781012)</f>
        <v>781012</v>
      </c>
      <c r="D1021" s="1" t="str">
        <f ca="1">IFERROR(__xludf.DUMMYFUNCTION("""COMPUTED_VALUE"""),"Male")</f>
        <v>Male</v>
      </c>
      <c r="E1021" s="1" t="str">
        <f ca="1">IFERROR(__xludf.DUMMYFUNCTION("""COMPUTED_VALUE"""),"My Parents")</f>
        <v>My Parents</v>
      </c>
      <c r="F1021" s="1" t="str">
        <f ca="1">IFERROR(__xludf.DUMMYFUNCTION("""COMPUTED_VALUE"""),"No, But if someone could bare the cost I will")</f>
        <v>No, But if someone could bare the cost I will</v>
      </c>
      <c r="G1021" s="1" t="str">
        <f ca="1">IFERROR(__xludf.DUMMYFUNCTION("""COMPUTED_VALUE"""),"This will be hard to do, but if it is the right company I would try")</f>
        <v>This will be hard to do, but if it is the right company I would try</v>
      </c>
      <c r="H1021" s="1" t="str">
        <f ca="1">IFERROR(__xludf.DUMMYFUNCTION("""COMPUTED_VALUE"""),"No")</f>
        <v>No</v>
      </c>
      <c r="I1021" s="1" t="str">
        <f ca="1">IFERROR(__xludf.DUMMYFUNCTION("""COMPUTED_VALUE"""),"Will NOT work for them")</f>
        <v>Will NOT work for them</v>
      </c>
      <c r="J1021" s="1">
        <f ca="1">IFERROR(__xludf.DUMMYFUNCTION("""COMPUTED_VALUE"""),1)</f>
        <v>1</v>
      </c>
      <c r="K1021" s="1" t="str">
        <f ca="1">IFERROR(__xludf.DUMMYFUNCTION("""COMPUTED_VALUE"""),"Hybrid Working Environment with more than 15 days a month at office")</f>
        <v>Hybrid Working Environment with more than 15 days a month at office</v>
      </c>
      <c r="L1021" s="1" t="str">
        <f ca="1">IFERROR(__xludf.DUMMYFUNCTION("""COMPUTED_VALUE"""),"Employer who pushes your limits by enabling an learning environment, and rewards you at the end")</f>
        <v>Employer who pushes your limits by enabling an learning environment, and rewards you at the end</v>
      </c>
      <c r="M1021"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021" s="1"/>
      <c r="O1021" s="1" t="str">
        <f ca="1">IFERROR(__xludf.DUMMYFUNCTION("""COMPUTED_VALUE"""),"Manager who explains what is expected, sets a goal and helps achieve it")</f>
        <v>Manager who explains what is expected, sets a goal and helps achieve it</v>
      </c>
      <c r="P1021" s="1" t="str">
        <f ca="1">IFERROR(__xludf.DUMMYFUNCTION("""COMPUTED_VALUE"""),"Work &lt;=6 People in the Team")</f>
        <v>Work &lt;=6 People in the Team</v>
      </c>
      <c r="Q1021" s="1" t="s">
        <v>40</v>
      </c>
      <c r="R1021" s="1"/>
    </row>
    <row r="1022" spans="1:18" x14ac:dyDescent="0.25">
      <c r="A1022" s="2">
        <f ca="1">IFERROR(__xludf.DUMMYFUNCTION("""COMPUTED_VALUE"""),45043.8979126041)</f>
        <v>45043.897912604101</v>
      </c>
      <c r="B1022" s="1" t="str">
        <f ca="1">IFERROR(__xludf.DUMMYFUNCTION("""COMPUTED_VALUE"""),"India")</f>
        <v>India</v>
      </c>
      <c r="C1022" s="1">
        <f ca="1">IFERROR(__xludf.DUMMYFUNCTION("""COMPUTED_VALUE"""),508284)</f>
        <v>508284</v>
      </c>
      <c r="D1022" s="1" t="str">
        <f ca="1">IFERROR(__xludf.DUMMYFUNCTION("""COMPUTED_VALUE"""),"Male")</f>
        <v>Male</v>
      </c>
      <c r="E1022" s="1" t="str">
        <f ca="1">IFERROR(__xludf.DUMMYFUNCTION("""COMPUTED_VALUE"""),"Influencers who had successful careers")</f>
        <v>Influencers who had successful careers</v>
      </c>
      <c r="F1022" s="1" t="str">
        <f ca="1">IFERROR(__xludf.DUMMYFUNCTION("""COMPUTED_VALUE"""),"Yes, I will earn and do that")</f>
        <v>Yes, I will earn and do that</v>
      </c>
      <c r="G1022" s="1" t="str">
        <f ca="1">IFERROR(__xludf.DUMMYFUNCTION("""COMPUTED_VALUE"""),"Will work for 3 years or more")</f>
        <v>Will work for 3 years or more</v>
      </c>
      <c r="H1022" s="1" t="str">
        <f ca="1">IFERROR(__xludf.DUMMYFUNCTION("""COMPUTED_VALUE"""),"No")</f>
        <v>No</v>
      </c>
      <c r="I1022" s="1" t="str">
        <f ca="1">IFERROR(__xludf.DUMMYFUNCTION("""COMPUTED_VALUE"""),"Will NOT work for them")</f>
        <v>Will NOT work for them</v>
      </c>
      <c r="J1022" s="1">
        <f ca="1">IFERROR(__xludf.DUMMYFUNCTION("""COMPUTED_VALUE"""),4)</f>
        <v>4</v>
      </c>
      <c r="K1022" s="1" t="str">
        <f ca="1">IFERROR(__xludf.DUMMYFUNCTION("""COMPUTED_VALUE"""),"Every Day Office Environment")</f>
        <v>Every Day Office Environment</v>
      </c>
      <c r="L1022" s="1" t="str">
        <f ca="1">IFERROR(__xludf.DUMMYFUNCTION("""COMPUTED_VALUE"""),"Employer who appreciates learning and enables that environment")</f>
        <v>Employer who appreciates learning and enables that environment</v>
      </c>
      <c r="M102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022" s="1"/>
      <c r="O1022" s="1" t="str">
        <f ca="1">IFERROR(__xludf.DUMMYFUNCTION("""COMPUTED_VALUE"""),"Manager who explains what is expected, sets a goal and helps achieve it")</f>
        <v>Manager who explains what is expected, sets a goal and helps achieve it</v>
      </c>
      <c r="P1022" s="1" t="str">
        <f ca="1">IFERROR(__xludf.DUMMYFUNCTION("""COMPUTED_VALUE"""),"Work &lt;=6 People in the Team")</f>
        <v>Work &lt;=6 People in the Team</v>
      </c>
      <c r="Q1022" s="1" t="s">
        <v>43</v>
      </c>
      <c r="R1022" s="1"/>
    </row>
    <row r="1023" spans="1:18" x14ac:dyDescent="0.25">
      <c r="A1023" s="2">
        <f ca="1">IFERROR(__xludf.DUMMYFUNCTION("""COMPUTED_VALUE"""),45043.8981961226)</f>
        <v>45043.898196122602</v>
      </c>
      <c r="B1023" s="1" t="str">
        <f ca="1">IFERROR(__xludf.DUMMYFUNCTION("""COMPUTED_VALUE"""),"Others")</f>
        <v>Others</v>
      </c>
      <c r="C1023" s="1">
        <f ca="1">IFERROR(__xludf.DUMMYFUNCTION("""COMPUTED_VALUE"""),805125)</f>
        <v>805125</v>
      </c>
      <c r="D1023" s="1" t="str">
        <f ca="1">IFERROR(__xludf.DUMMYFUNCTION("""COMPUTED_VALUE"""),"Male")</f>
        <v>Male</v>
      </c>
      <c r="E1023" s="1" t="str">
        <f ca="1">IFERROR(__xludf.DUMMYFUNCTION("""COMPUTED_VALUE"""),"People from my circle, but not family members")</f>
        <v>People from my circle, but not family members</v>
      </c>
      <c r="F1023" s="1" t="str">
        <f ca="1">IFERROR(__xludf.DUMMYFUNCTION("""COMPUTED_VALUE"""),"Yes, I will earn and do that")</f>
        <v>Yes, I will earn and do that</v>
      </c>
      <c r="G1023" s="1" t="str">
        <f ca="1">IFERROR(__xludf.DUMMYFUNCTION("""COMPUTED_VALUE"""),"This will be hard to do, but if it is the right company I would try")</f>
        <v>This will be hard to do, but if it is the right company I would try</v>
      </c>
      <c r="H1023" s="1" t="str">
        <f ca="1">IFERROR(__xludf.DUMMYFUNCTION("""COMPUTED_VALUE"""),"Yes")</f>
        <v>Yes</v>
      </c>
      <c r="I1023" s="1" t="str">
        <f ca="1">IFERROR(__xludf.DUMMYFUNCTION("""COMPUTED_VALUE"""),"Will work for them")</f>
        <v>Will work for them</v>
      </c>
      <c r="J1023" s="1">
        <f ca="1">IFERROR(__xludf.DUMMYFUNCTION("""COMPUTED_VALUE"""),7)</f>
        <v>7</v>
      </c>
      <c r="K1023" s="1" t="str">
        <f ca="1">IFERROR(__xludf.DUMMYFUNCTION("""COMPUTED_VALUE"""),"Hybrid Working Environment with more than 15 days a month at office")</f>
        <v>Hybrid Working Environment with more than 15 days a month at office</v>
      </c>
      <c r="L1023" s="1" t="str">
        <f ca="1">IFERROR(__xludf.DUMMYFUNCTION("""COMPUTED_VALUE"""),"Employer who pushes your limits by enabling an learning environment, and rewards you at the end")</f>
        <v>Employer who pushes your limits by enabling an learning environment, and rewards you at the end</v>
      </c>
      <c r="M1023"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N1023" s="1"/>
      <c r="O1023" s="1" t="str">
        <f ca="1">IFERROR(__xludf.DUMMYFUNCTION("""COMPUTED_VALUE"""),"Manager who sets unrealistic targets")</f>
        <v>Manager who sets unrealistic targets</v>
      </c>
      <c r="P1023" s="1" t="str">
        <f ca="1">IFERROR(__xludf.DUMMYFUNCTION("""COMPUTED_VALUE"""),"Work &gt;10 people in Team")</f>
        <v>Work &gt;10 people in Team</v>
      </c>
      <c r="Q1023" s="1" t="s">
        <v>42</v>
      </c>
      <c r="R1023" s="1"/>
    </row>
    <row r="1024" spans="1:18" x14ac:dyDescent="0.25">
      <c r="A1024" s="2">
        <f ca="1">IFERROR(__xludf.DUMMYFUNCTION("""COMPUTED_VALUE"""),45043.8988596759)</f>
        <v>45043.898859675901</v>
      </c>
      <c r="B1024" s="1" t="str">
        <f ca="1">IFERROR(__xludf.DUMMYFUNCTION("""COMPUTED_VALUE"""),"India")</f>
        <v>India</v>
      </c>
      <c r="C1024" s="1">
        <f ca="1">IFERROR(__xludf.DUMMYFUNCTION("""COMPUTED_VALUE"""),247554)</f>
        <v>247554</v>
      </c>
      <c r="D1024" s="1" t="str">
        <f ca="1">IFERROR(__xludf.DUMMYFUNCTION("""COMPUTED_VALUE"""),"Male")</f>
        <v>Male</v>
      </c>
      <c r="E1024" s="1" t="str">
        <f ca="1">IFERROR(__xludf.DUMMYFUNCTION("""COMPUTED_VALUE"""),"My Parents")</f>
        <v>My Parents</v>
      </c>
      <c r="F1024" s="1" t="str">
        <f ca="1">IFERROR(__xludf.DUMMYFUNCTION("""COMPUTED_VALUE"""),"Yes, I will earn and do that")</f>
        <v>Yes, I will earn and do that</v>
      </c>
      <c r="G1024" s="1" t="str">
        <f ca="1">IFERROR(__xludf.DUMMYFUNCTION("""COMPUTED_VALUE"""),"This will be hard to do, but if it is the right company I would try")</f>
        <v>This will be hard to do, but if it is the right company I would try</v>
      </c>
      <c r="H1024" s="1" t="str">
        <f ca="1">IFERROR(__xludf.DUMMYFUNCTION("""COMPUTED_VALUE"""),"No")</f>
        <v>No</v>
      </c>
      <c r="I1024" s="1" t="str">
        <f ca="1">IFERROR(__xludf.DUMMYFUNCTION("""COMPUTED_VALUE"""),"Will work for them")</f>
        <v>Will work for them</v>
      </c>
      <c r="J1024" s="1">
        <f ca="1">IFERROR(__xludf.DUMMYFUNCTION("""COMPUTED_VALUE"""),7)</f>
        <v>7</v>
      </c>
      <c r="K1024" s="1" t="str">
        <f ca="1">IFERROR(__xludf.DUMMYFUNCTION("""COMPUTED_VALUE"""),"Fully Remote with Options to travel as and when needed")</f>
        <v>Fully Remote with Options to travel as and when needed</v>
      </c>
      <c r="L1024" s="1" t="str">
        <f ca="1">IFERROR(__xludf.DUMMYFUNCTION("""COMPUTED_VALUE"""),"Employer who rewards learning and enables that environment")</f>
        <v>Employer who rewards learning and enables that environment</v>
      </c>
      <c r="M1024"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N1024" s="1"/>
      <c r="O1024" s="1" t="str">
        <f ca="1">IFERROR(__xludf.DUMMYFUNCTION("""COMPUTED_VALUE"""),"Manager who explains what is expected, sets a goal and helps achieve it")</f>
        <v>Manager who explains what is expected, sets a goal and helps achieve it</v>
      </c>
      <c r="P1024" s="1" t="str">
        <f ca="1">IFERROR(__xludf.DUMMYFUNCTION("""COMPUTED_VALUE"""),"Work Alone, &lt;=6 in team")</f>
        <v>Work Alone, &lt;=6 in team</v>
      </c>
      <c r="Q1024" s="1" t="s">
        <v>42</v>
      </c>
      <c r="R1024" s="1"/>
    </row>
    <row r="1025" spans="1:18" x14ac:dyDescent="0.25">
      <c r="A1025" s="2">
        <f ca="1">IFERROR(__xludf.DUMMYFUNCTION("""COMPUTED_VALUE"""),45043.8991071527)</f>
        <v>45043.899107152698</v>
      </c>
      <c r="B1025" s="1" t="str">
        <f ca="1">IFERROR(__xludf.DUMMYFUNCTION("""COMPUTED_VALUE"""),"Others")</f>
        <v>Others</v>
      </c>
      <c r="C1025" s="1">
        <f ca="1">IFERROR(__xludf.DUMMYFUNCTION("""COMPUTED_VALUE"""),80078)</f>
        <v>80078</v>
      </c>
      <c r="D1025" s="1" t="str">
        <f ca="1">IFERROR(__xludf.DUMMYFUNCTION("""COMPUTED_VALUE"""),"Male")</f>
        <v>Male</v>
      </c>
      <c r="E1025" s="1" t="str">
        <f ca="1">IFERROR(__xludf.DUMMYFUNCTION("""COMPUTED_VALUE"""),"My Parents")</f>
        <v>My Parents</v>
      </c>
      <c r="F1025" s="1" t="str">
        <f ca="1">IFERROR(__xludf.DUMMYFUNCTION("""COMPUTED_VALUE"""),"Yes, I will earn and do that")</f>
        <v>Yes, I will earn and do that</v>
      </c>
      <c r="G1025" s="1" t="str">
        <f ca="1">IFERROR(__xludf.DUMMYFUNCTION("""COMPUTED_VALUE"""),"This will be hard to do, but if it is the right company I would try")</f>
        <v>This will be hard to do, but if it is the right company I would try</v>
      </c>
      <c r="H1025" s="1" t="str">
        <f ca="1">IFERROR(__xludf.DUMMYFUNCTION("""COMPUTED_VALUE"""),"Yes")</f>
        <v>Yes</v>
      </c>
      <c r="I1025" s="1" t="str">
        <f ca="1">IFERROR(__xludf.DUMMYFUNCTION("""COMPUTED_VALUE"""),"Will work for them")</f>
        <v>Will work for them</v>
      </c>
      <c r="J1025" s="1">
        <f ca="1">IFERROR(__xludf.DUMMYFUNCTION("""COMPUTED_VALUE"""),10)</f>
        <v>10</v>
      </c>
      <c r="K1025" s="1" t="str">
        <f ca="1">IFERROR(__xludf.DUMMYFUNCTION("""COMPUTED_VALUE"""),"Hybrid Working Environment with more than 15 days a month at office")</f>
        <v>Hybrid Working Environment with more than 15 days a month at office</v>
      </c>
      <c r="L1025" s="1" t="str">
        <f ca="1">IFERROR(__xludf.DUMMYFUNCTION("""COMPUTED_VALUE"""),"Employer who pushes your limits by enabling an learning environment, and rewards you at the end")</f>
        <v>Employer who pushes your limits by enabling an learning environment, and rewards you at the end</v>
      </c>
      <c r="M102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N1025" s="1"/>
      <c r="O1025" s="1" t="str">
        <f ca="1">IFERROR(__xludf.DUMMYFUNCTION("""COMPUTED_VALUE"""),"Manager who clearly describes what she/he needs")</f>
        <v>Manager who clearly describes what she/he needs</v>
      </c>
      <c r="P1025" s="1" t="str">
        <f ca="1">IFERROR(__xludf.DUMMYFUNCTION("""COMPUTED_VALUE"""),"Work Alone, &lt;=6 in team")</f>
        <v>Work Alone, &lt;=6 in team</v>
      </c>
      <c r="Q1025" s="1" t="s">
        <v>43</v>
      </c>
      <c r="R1025" s="1"/>
    </row>
    <row r="1026" spans="1:18" x14ac:dyDescent="0.25">
      <c r="A1026" s="2">
        <f ca="1">IFERROR(__xludf.DUMMYFUNCTION("""COMPUTED_VALUE"""),45043.9010489351)</f>
        <v>45043.901048935099</v>
      </c>
      <c r="B1026" s="1" t="str">
        <f ca="1">IFERROR(__xludf.DUMMYFUNCTION("""COMPUTED_VALUE"""),"India")</f>
        <v>India</v>
      </c>
      <c r="C1026" s="1">
        <f ca="1">IFERROR(__xludf.DUMMYFUNCTION("""COMPUTED_VALUE"""),505001)</f>
        <v>505001</v>
      </c>
      <c r="D1026" s="1" t="str">
        <f ca="1">IFERROR(__xludf.DUMMYFUNCTION("""COMPUTED_VALUE"""),"Female")</f>
        <v>Female</v>
      </c>
      <c r="E1026" s="1" t="str">
        <f ca="1">IFERROR(__xludf.DUMMYFUNCTION("""COMPUTED_VALUE"""),"People who have changed the world for better")</f>
        <v>People who have changed the world for better</v>
      </c>
      <c r="F1026" s="1" t="str">
        <f ca="1">IFERROR(__xludf.DUMMYFUNCTION("""COMPUTED_VALUE"""),"Yes, I will earn and do that")</f>
        <v>Yes, I will earn and do that</v>
      </c>
      <c r="G1026" s="1" t="str">
        <f ca="1">IFERROR(__xludf.DUMMYFUNCTION("""COMPUTED_VALUE"""),"Will work for 3 years or more")</f>
        <v>Will work for 3 years or more</v>
      </c>
      <c r="H1026" s="1" t="str">
        <f ca="1">IFERROR(__xludf.DUMMYFUNCTION("""COMPUTED_VALUE"""),"No")</f>
        <v>No</v>
      </c>
      <c r="I1026" s="1" t="str">
        <f ca="1">IFERROR(__xludf.DUMMYFUNCTION("""COMPUTED_VALUE"""),"Will NOT work for them")</f>
        <v>Will NOT work for them</v>
      </c>
      <c r="J1026" s="1">
        <f ca="1">IFERROR(__xludf.DUMMYFUNCTION("""COMPUTED_VALUE"""),8)</f>
        <v>8</v>
      </c>
      <c r="K1026" s="1" t="str">
        <f ca="1">IFERROR(__xludf.DUMMYFUNCTION("""COMPUTED_VALUE"""),"Hybrid Working Environment with less than 3 days a month at office")</f>
        <v>Hybrid Working Environment with less than 3 days a month at office</v>
      </c>
      <c r="L1026" s="1" t="str">
        <f ca="1">IFERROR(__xludf.DUMMYFUNCTION("""COMPUTED_VALUE"""),"Employer who appreciates learning and enables that environment")</f>
        <v>Employer who appreciates learning and enables that environment</v>
      </c>
      <c r="M102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026" s="1"/>
      <c r="O1026" s="1" t="str">
        <f ca="1">IFERROR(__xludf.DUMMYFUNCTION("""COMPUTED_VALUE"""),"Manager who explains what is expected, sets a goal and helps achieve it")</f>
        <v>Manager who explains what is expected, sets a goal and helps achieve it</v>
      </c>
      <c r="P1026" s="1" t="str">
        <f ca="1">IFERROR(__xludf.DUMMYFUNCTION("""COMPUTED_VALUE"""),"Work &lt;=6 People in the Team")</f>
        <v>Work &lt;=6 People in the Team</v>
      </c>
      <c r="Q1026" s="1" t="s">
        <v>42</v>
      </c>
      <c r="R1026" s="1"/>
    </row>
    <row r="1027" spans="1:18" x14ac:dyDescent="0.25">
      <c r="A1027" s="2">
        <f ca="1">IFERROR(__xludf.DUMMYFUNCTION("""COMPUTED_VALUE"""),45043.902888368)</f>
        <v>45043.902888368</v>
      </c>
      <c r="B1027" s="1" t="str">
        <f ca="1">IFERROR(__xludf.DUMMYFUNCTION("""COMPUTED_VALUE"""),"India")</f>
        <v>India</v>
      </c>
      <c r="C1027" s="1">
        <f ca="1">IFERROR(__xludf.DUMMYFUNCTION("""COMPUTED_VALUE"""),509216)</f>
        <v>509216</v>
      </c>
      <c r="D1027" s="1" t="str">
        <f ca="1">IFERROR(__xludf.DUMMYFUNCTION("""COMPUTED_VALUE"""),"Male")</f>
        <v>Male</v>
      </c>
      <c r="E1027" s="1" t="str">
        <f ca="1">IFERROR(__xludf.DUMMYFUNCTION("""COMPUTED_VALUE"""),"People who have changed the world for better")</f>
        <v>People who have changed the world for better</v>
      </c>
      <c r="F1027" s="1" t="str">
        <f ca="1">IFERROR(__xludf.DUMMYFUNCTION("""COMPUTED_VALUE"""),"No, But if someone could bare the cost I will")</f>
        <v>No, But if someone could bare the cost I will</v>
      </c>
      <c r="G1027" s="1" t="str">
        <f ca="1">IFERROR(__xludf.DUMMYFUNCTION("""COMPUTED_VALUE"""),"Will work for 3 years or more")</f>
        <v>Will work for 3 years or more</v>
      </c>
      <c r="H1027" s="1" t="str">
        <f ca="1">IFERROR(__xludf.DUMMYFUNCTION("""COMPUTED_VALUE"""),"No")</f>
        <v>No</v>
      </c>
      <c r="I1027" s="1" t="str">
        <f ca="1">IFERROR(__xludf.DUMMYFUNCTION("""COMPUTED_VALUE"""),"Will NOT work for them")</f>
        <v>Will NOT work for them</v>
      </c>
      <c r="J1027" s="1">
        <f ca="1">IFERROR(__xludf.DUMMYFUNCTION("""COMPUTED_VALUE"""),6)</f>
        <v>6</v>
      </c>
      <c r="K1027" s="1" t="str">
        <f ca="1">IFERROR(__xludf.DUMMYFUNCTION("""COMPUTED_VALUE"""),"Fully Remote with No option to visit offices")</f>
        <v>Fully Remote with No option to visit offices</v>
      </c>
      <c r="L1027" s="1" t="str">
        <f ca="1">IFERROR(__xludf.DUMMYFUNCTION("""COMPUTED_VALUE"""),"Employer who appreciates learning and enables that environment")</f>
        <v>Employer who appreciates learning and enables that environment</v>
      </c>
      <c r="M1027" s="1" t="str">
        <f ca="1">IFERROR(__xludf.DUMMYFUNCTION("""COMPUTED_VALUE"""),"Design and Develop amazing software, Work as a freelancer and do my thing my way, Become a content Creator in some platform, An Artificial Intelligence Specialist / Talking to Robots")</f>
        <v>Design and Develop amazing software, Work as a freelancer and do my thing my way, Become a content Creator in some platform, An Artificial Intelligence Specialist / Talking to Robots</v>
      </c>
      <c r="N1027" s="1"/>
      <c r="O1027" s="1" t="str">
        <f ca="1">IFERROR(__xludf.DUMMYFUNCTION("""COMPUTED_VALUE"""),"Manager who explains what is expected, sets a goal and helps achieve it")</f>
        <v>Manager who explains what is expected, sets a goal and helps achieve it</v>
      </c>
      <c r="P1027" s="1" t="str">
        <f ca="1">IFERROR(__xludf.DUMMYFUNCTION("""COMPUTED_VALUE"""),"Work &lt;=6 People in the Team")</f>
        <v>Work &lt;=6 People in the Team</v>
      </c>
      <c r="Q1027" s="1" t="s">
        <v>40</v>
      </c>
      <c r="R1027" s="1"/>
    </row>
    <row r="1028" spans="1:18" x14ac:dyDescent="0.25">
      <c r="A1028" s="2">
        <f ca="1">IFERROR(__xludf.DUMMYFUNCTION("""COMPUTED_VALUE"""),45043.9031669213)</f>
        <v>45043.9031669213</v>
      </c>
      <c r="B1028" s="1" t="str">
        <f ca="1">IFERROR(__xludf.DUMMYFUNCTION("""COMPUTED_VALUE"""),"India")</f>
        <v>India</v>
      </c>
      <c r="C1028" s="1">
        <f ca="1">IFERROR(__xludf.DUMMYFUNCTION("""COMPUTED_VALUE"""),500035)</f>
        <v>500035</v>
      </c>
      <c r="D1028" s="1" t="str">
        <f ca="1">IFERROR(__xludf.DUMMYFUNCTION("""COMPUTED_VALUE"""),"Male")</f>
        <v>Male</v>
      </c>
      <c r="E1028" s="1" t="str">
        <f ca="1">IFERROR(__xludf.DUMMYFUNCTION("""COMPUTED_VALUE"""),"Social Media like LinkedIn")</f>
        <v>Social Media like LinkedIn</v>
      </c>
      <c r="F1028" s="1" t="str">
        <f ca="1">IFERROR(__xludf.DUMMYFUNCTION("""COMPUTED_VALUE"""),"No I would not be pursuing Higher Education outside of India")</f>
        <v>No I would not be pursuing Higher Education outside of India</v>
      </c>
      <c r="G1028" s="1" t="str">
        <f ca="1">IFERROR(__xludf.DUMMYFUNCTION("""COMPUTED_VALUE"""),"This will be hard to do, but if it is the right company I would try")</f>
        <v>This will be hard to do, but if it is the right company I would try</v>
      </c>
      <c r="H1028" s="1" t="str">
        <f ca="1">IFERROR(__xludf.DUMMYFUNCTION("""COMPUTED_VALUE"""),"Yes")</f>
        <v>Yes</v>
      </c>
      <c r="I1028" s="1" t="str">
        <f ca="1">IFERROR(__xludf.DUMMYFUNCTION("""COMPUTED_VALUE"""),"Will work for them")</f>
        <v>Will work for them</v>
      </c>
      <c r="J1028" s="1">
        <f ca="1">IFERROR(__xludf.DUMMYFUNCTION("""COMPUTED_VALUE"""),8)</f>
        <v>8</v>
      </c>
      <c r="K1028" s="1" t="str">
        <f ca="1">IFERROR(__xludf.DUMMYFUNCTION("""COMPUTED_VALUE"""),"Hybrid Working Environment with more than 15 days a month at office")</f>
        <v>Hybrid Working Environment with more than 15 days a month at office</v>
      </c>
      <c r="L1028" s="1" t="str">
        <f ca="1">IFERROR(__xludf.DUMMYFUNCTION("""COMPUTED_VALUE"""),"Employer who rewards learning and enables that environment")</f>
        <v>Employer who rewards learning and enables that environment</v>
      </c>
      <c r="M1028"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N1028" s="1"/>
      <c r="O1028" s="1" t="str">
        <f ca="1">IFERROR(__xludf.DUMMYFUNCTION("""COMPUTED_VALUE"""),"Manager who sets goal and helps me achieve it")</f>
        <v>Manager who sets goal and helps me achieve it</v>
      </c>
      <c r="P1028" s="1" t="str">
        <f ca="1">IFERROR(__xludf.DUMMYFUNCTION("""COMPUTED_VALUE"""),"Work &lt;=6 People in the Team")</f>
        <v>Work &lt;=6 People in the Team</v>
      </c>
      <c r="Q1028" s="1" t="s">
        <v>43</v>
      </c>
      <c r="R1028" s="1"/>
    </row>
    <row r="1029" spans="1:18" x14ac:dyDescent="0.25">
      <c r="A1029" s="2">
        <f ca="1">IFERROR(__xludf.DUMMYFUNCTION("""COMPUTED_VALUE"""),45043.9036453703)</f>
        <v>45043.903645370301</v>
      </c>
      <c r="B1029" s="1" t="str">
        <f ca="1">IFERROR(__xludf.DUMMYFUNCTION("""COMPUTED_VALUE"""),"India")</f>
        <v>India</v>
      </c>
      <c r="C1029" s="1">
        <f ca="1">IFERROR(__xludf.DUMMYFUNCTION("""COMPUTED_VALUE"""),250002)</f>
        <v>250002</v>
      </c>
      <c r="D1029" s="1" t="str">
        <f ca="1">IFERROR(__xludf.DUMMYFUNCTION("""COMPUTED_VALUE"""),"Female")</f>
        <v>Female</v>
      </c>
      <c r="E1029" s="1" t="str">
        <f ca="1">IFERROR(__xludf.DUMMYFUNCTION("""COMPUTED_VALUE"""),"People who have changed the world for better")</f>
        <v>People who have changed the world for better</v>
      </c>
      <c r="F1029" s="1" t="str">
        <f ca="1">IFERROR(__xludf.DUMMYFUNCTION("""COMPUTED_VALUE"""),"No I would not be pursuing Higher Education outside of India")</f>
        <v>No I would not be pursuing Higher Education outside of India</v>
      </c>
      <c r="G1029" s="1" t="str">
        <f ca="1">IFERROR(__xludf.DUMMYFUNCTION("""COMPUTED_VALUE"""),"This will be hard to do, but if it is the right company I would try")</f>
        <v>This will be hard to do, but if it is the right company I would try</v>
      </c>
      <c r="H1029" s="1" t="str">
        <f ca="1">IFERROR(__xludf.DUMMYFUNCTION("""COMPUTED_VALUE"""),"No")</f>
        <v>No</v>
      </c>
      <c r="I1029" s="1" t="str">
        <f ca="1">IFERROR(__xludf.DUMMYFUNCTION("""COMPUTED_VALUE"""),"Will NOT work for them")</f>
        <v>Will NOT work for them</v>
      </c>
      <c r="J1029" s="1">
        <f ca="1">IFERROR(__xludf.DUMMYFUNCTION("""COMPUTED_VALUE"""),5)</f>
        <v>5</v>
      </c>
      <c r="K1029" s="1" t="str">
        <f ca="1">IFERROR(__xludf.DUMMYFUNCTION("""COMPUTED_VALUE"""),"Hybrid Working Environment with less than 3 days a month at office")</f>
        <v>Hybrid Working Environment with less than 3 days a month at office</v>
      </c>
      <c r="L1029" s="1" t="str">
        <f ca="1">IFERROR(__xludf.DUMMYFUNCTION("""COMPUTED_VALUE"""),"Employer who pushes your limits by enabling an learning environment, and rewards you at the end")</f>
        <v>Employer who pushes your limits by enabling an learning environment, and rewards you at the end</v>
      </c>
      <c r="M1029" s="1" t="str">
        <f ca="1">IFERROR(__xludf.DUMMYFUNCTION("""COMPUTED_VALUE"""),"Build and develop a Team, Entrepreneur or Start Up, I Want to sell things/Sales, An Artificial Intelligence Specialist / Talking to Robots")</f>
        <v>Build and develop a Team, Entrepreneur or Start Up, I Want to sell things/Sales, An Artificial Intelligence Specialist / Talking to Robots</v>
      </c>
      <c r="N1029" s="1"/>
      <c r="O1029" s="1" t="str">
        <f ca="1">IFERROR(__xludf.DUMMYFUNCTION("""COMPUTED_VALUE"""),"Manager who explains what is expected, sets a goal and helps achieve it")</f>
        <v>Manager who explains what is expected, sets a goal and helps achieve it</v>
      </c>
      <c r="P1029" s="1" t="str">
        <f ca="1">IFERROR(__xludf.DUMMYFUNCTION("""COMPUTED_VALUE"""),"Work &gt;=7 People in the Team")</f>
        <v>Work &gt;=7 People in the Team</v>
      </c>
      <c r="Q1029" s="1" t="s">
        <v>43</v>
      </c>
      <c r="R1029" s="1"/>
    </row>
    <row r="1030" spans="1:18" x14ac:dyDescent="0.25">
      <c r="A1030" s="2">
        <f ca="1">IFERROR(__xludf.DUMMYFUNCTION("""COMPUTED_VALUE"""),45043.9070152546)</f>
        <v>45043.907015254597</v>
      </c>
      <c r="B1030" s="1" t="str">
        <f ca="1">IFERROR(__xludf.DUMMYFUNCTION("""COMPUTED_VALUE"""),"India")</f>
        <v>India</v>
      </c>
      <c r="C1030" s="1">
        <f ca="1">IFERROR(__xludf.DUMMYFUNCTION("""COMPUTED_VALUE"""),509216)</f>
        <v>509216</v>
      </c>
      <c r="D1030" s="1" t="str">
        <f ca="1">IFERROR(__xludf.DUMMYFUNCTION("""COMPUTED_VALUE"""),"Male")</f>
        <v>Male</v>
      </c>
      <c r="E1030" s="1" t="str">
        <f ca="1">IFERROR(__xludf.DUMMYFUNCTION("""COMPUTED_VALUE"""),"Influencers who had successful careers")</f>
        <v>Influencers who had successful careers</v>
      </c>
      <c r="F1030" s="1" t="str">
        <f ca="1">IFERROR(__xludf.DUMMYFUNCTION("""COMPUTED_VALUE"""),"Yes, I will earn and do that")</f>
        <v>Yes, I will earn and do that</v>
      </c>
      <c r="G1030" s="1" t="str">
        <f ca="1">IFERROR(__xludf.DUMMYFUNCTION("""COMPUTED_VALUE"""),"This will be hard to do, but if it is the right company I would try")</f>
        <v>This will be hard to do, but if it is the right company I would try</v>
      </c>
      <c r="H1030" s="1" t="str">
        <f ca="1">IFERROR(__xludf.DUMMYFUNCTION("""COMPUTED_VALUE"""),"No")</f>
        <v>No</v>
      </c>
      <c r="I1030" s="1" t="str">
        <f ca="1">IFERROR(__xludf.DUMMYFUNCTION("""COMPUTED_VALUE"""),"Will NOT work for them")</f>
        <v>Will NOT work for them</v>
      </c>
      <c r="J1030" s="1">
        <f ca="1">IFERROR(__xludf.DUMMYFUNCTION("""COMPUTED_VALUE"""),5)</f>
        <v>5</v>
      </c>
      <c r="K1030" s="1" t="str">
        <f ca="1">IFERROR(__xludf.DUMMYFUNCTION("""COMPUTED_VALUE"""),"Hybrid Working Environment with more than 15 days a month at office")</f>
        <v>Hybrid Working Environment with more than 15 days a month at office</v>
      </c>
      <c r="L1030" s="1" t="str">
        <f ca="1">IFERROR(__xludf.DUMMYFUNCTION("""COMPUTED_VALUE"""),"Employer who pushes your limits by enabling an learning environment, and rewards you at the end")</f>
        <v>Employer who pushes your limits by enabling an learning environment, and rewards you at the end</v>
      </c>
      <c r="M103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030" s="1"/>
      <c r="O1030" s="1" t="str">
        <f ca="1">IFERROR(__xludf.DUMMYFUNCTION("""COMPUTED_VALUE"""),"Manager who explains what is expected, sets a goal and helps achieve it")</f>
        <v>Manager who explains what is expected, sets a goal and helps achieve it</v>
      </c>
      <c r="P1030" s="1" t="str">
        <f ca="1">IFERROR(__xludf.DUMMYFUNCTION("""COMPUTED_VALUE"""),"Work &gt;=7 People in the Team")</f>
        <v>Work &gt;=7 People in the Team</v>
      </c>
      <c r="Q1030" s="1" t="s">
        <v>43</v>
      </c>
      <c r="R1030" s="1"/>
    </row>
    <row r="1031" spans="1:18" x14ac:dyDescent="0.25">
      <c r="A1031" s="2">
        <f ca="1">IFERROR(__xludf.DUMMYFUNCTION("""COMPUTED_VALUE"""),45043.9077415972)</f>
        <v>45043.907741597199</v>
      </c>
      <c r="B1031" s="1" t="str">
        <f ca="1">IFERROR(__xludf.DUMMYFUNCTION("""COMPUTED_VALUE"""),"India")</f>
        <v>India</v>
      </c>
      <c r="C1031" s="1">
        <f ca="1">IFERROR(__xludf.DUMMYFUNCTION("""COMPUTED_VALUE"""),500008)</f>
        <v>500008</v>
      </c>
      <c r="D1031" s="1" t="str">
        <f ca="1">IFERROR(__xludf.DUMMYFUNCTION("""COMPUTED_VALUE"""),"Female")</f>
        <v>Female</v>
      </c>
      <c r="E1031" s="1" t="str">
        <f ca="1">IFERROR(__xludf.DUMMYFUNCTION("""COMPUTED_VALUE"""),"Influencers who had successful careers")</f>
        <v>Influencers who had successful careers</v>
      </c>
      <c r="F1031" s="1" t="str">
        <f ca="1">IFERROR(__xludf.DUMMYFUNCTION("""COMPUTED_VALUE"""),"No I would not be pursuing Higher Education outside of India")</f>
        <v>No I would not be pursuing Higher Education outside of India</v>
      </c>
      <c r="G1031" s="1" t="str">
        <f ca="1">IFERROR(__xludf.DUMMYFUNCTION("""COMPUTED_VALUE"""),"Will work for 3 years or more")</f>
        <v>Will work for 3 years or more</v>
      </c>
      <c r="H1031" s="1" t="str">
        <f ca="1">IFERROR(__xludf.DUMMYFUNCTION("""COMPUTED_VALUE"""),"No")</f>
        <v>No</v>
      </c>
      <c r="I1031" s="1" t="str">
        <f ca="1">IFERROR(__xludf.DUMMYFUNCTION("""COMPUTED_VALUE"""),"Will work for them")</f>
        <v>Will work for them</v>
      </c>
      <c r="J1031" s="1">
        <f ca="1">IFERROR(__xludf.DUMMYFUNCTION("""COMPUTED_VALUE"""),8)</f>
        <v>8</v>
      </c>
      <c r="K1031" s="1" t="str">
        <f ca="1">IFERROR(__xludf.DUMMYFUNCTION("""COMPUTED_VALUE"""),"Every Day Office Environment")</f>
        <v>Every Day Office Environment</v>
      </c>
      <c r="L1031" s="1" t="str">
        <f ca="1">IFERROR(__xludf.DUMMYFUNCTION("""COMPUTED_VALUE"""),"Employer who pushes your limits by enabling an learning environment, and rewards you at the end")</f>
        <v>Employer who pushes your limits by enabling an learning environment, and rewards you at the end</v>
      </c>
      <c r="M103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031" s="1"/>
      <c r="O1031" s="1" t="str">
        <f ca="1">IFERROR(__xludf.DUMMYFUNCTION("""COMPUTED_VALUE"""),"Manager who explains what is expected, sets a goal and helps achieve it")</f>
        <v>Manager who explains what is expected, sets a goal and helps achieve it</v>
      </c>
      <c r="P1031" s="1" t="str">
        <f ca="1">IFERROR(__xludf.DUMMYFUNCTION("""COMPUTED_VALUE"""),"Work  &lt;67 people in team")</f>
        <v>Work  &lt;67 people in team</v>
      </c>
      <c r="Q1031" s="1" t="s">
        <v>43</v>
      </c>
      <c r="R1031" s="1"/>
    </row>
    <row r="1032" spans="1:18" x14ac:dyDescent="0.25">
      <c r="A1032" s="2">
        <f ca="1">IFERROR(__xludf.DUMMYFUNCTION("""COMPUTED_VALUE"""),45043.9103905902)</f>
        <v>45043.910390590201</v>
      </c>
      <c r="B1032" s="1" t="str">
        <f ca="1">IFERROR(__xludf.DUMMYFUNCTION("""COMPUTED_VALUE"""),"India")</f>
        <v>India</v>
      </c>
      <c r="C1032" s="1">
        <f ca="1">IFERROR(__xludf.DUMMYFUNCTION("""COMPUTED_VALUE"""),500092)</f>
        <v>500092</v>
      </c>
      <c r="D1032" s="1" t="str">
        <f ca="1">IFERROR(__xludf.DUMMYFUNCTION("""COMPUTED_VALUE"""),"Male")</f>
        <v>Male</v>
      </c>
      <c r="E1032" s="1" t="str">
        <f ca="1">IFERROR(__xludf.DUMMYFUNCTION("""COMPUTED_VALUE"""),"People from my circle, but not family members")</f>
        <v>People from my circle, but not family members</v>
      </c>
      <c r="F1032" s="1" t="str">
        <f ca="1">IFERROR(__xludf.DUMMYFUNCTION("""COMPUTED_VALUE"""),"Yes, I will earn and do that")</f>
        <v>Yes, I will earn and do that</v>
      </c>
      <c r="G1032" s="1" t="str">
        <f ca="1">IFERROR(__xludf.DUMMYFUNCTION("""COMPUTED_VALUE"""),"This will be hard to do, but if it is the right company I would try")</f>
        <v>This will be hard to do, but if it is the right company I would try</v>
      </c>
      <c r="H1032" s="1" t="str">
        <f ca="1">IFERROR(__xludf.DUMMYFUNCTION("""COMPUTED_VALUE"""),"No")</f>
        <v>No</v>
      </c>
      <c r="I1032" s="1" t="str">
        <f ca="1">IFERROR(__xludf.DUMMYFUNCTION("""COMPUTED_VALUE"""),"Will NOT work for them")</f>
        <v>Will NOT work for them</v>
      </c>
      <c r="J1032" s="1">
        <f ca="1">IFERROR(__xludf.DUMMYFUNCTION("""COMPUTED_VALUE"""),5)</f>
        <v>5</v>
      </c>
      <c r="K1032" s="1" t="str">
        <f ca="1">IFERROR(__xludf.DUMMYFUNCTION("""COMPUTED_VALUE"""),"Fully Remote with Options to travel as and when needed")</f>
        <v>Fully Remote with Options to travel as and when needed</v>
      </c>
      <c r="L1032" s="1" t="str">
        <f ca="1">IFERROR(__xludf.DUMMYFUNCTION("""COMPUTED_VALUE"""),"Employer who pushes your limits by enabling an learning environment, and rewards you at the end")</f>
        <v>Employer who pushes your limits by enabling an learning environment, and rewards you at the end</v>
      </c>
      <c r="M1032"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N1032" s="1"/>
      <c r="O1032" s="1" t="str">
        <f ca="1">IFERROR(__xludf.DUMMYFUNCTION("""COMPUTED_VALUE"""),"Manager who explains what is expected, sets a goal and helps achieve it")</f>
        <v>Manager who explains what is expected, sets a goal and helps achieve it</v>
      </c>
      <c r="P1032" s="1" t="str">
        <f ca="1">IFERROR(__xludf.DUMMYFUNCTION("""COMPUTED_VALUE"""),"Work &lt;=6 People in the Team")</f>
        <v>Work &lt;=6 People in the Team</v>
      </c>
      <c r="Q1032" s="1" t="s">
        <v>40</v>
      </c>
      <c r="R1032" s="1"/>
    </row>
    <row r="1033" spans="1:18" x14ac:dyDescent="0.25">
      <c r="A1033" s="2">
        <f ca="1">IFERROR(__xludf.DUMMYFUNCTION("""COMPUTED_VALUE"""),45043.9137175694)</f>
        <v>45043.913717569398</v>
      </c>
      <c r="B1033" s="1" t="str">
        <f ca="1">IFERROR(__xludf.DUMMYFUNCTION("""COMPUTED_VALUE"""),"India")</f>
        <v>India</v>
      </c>
      <c r="C1033" s="1">
        <f ca="1">IFERROR(__xludf.DUMMYFUNCTION("""COMPUTED_VALUE"""),500016)</f>
        <v>500016</v>
      </c>
      <c r="D1033" s="1" t="str">
        <f ca="1">IFERROR(__xludf.DUMMYFUNCTION("""COMPUTED_VALUE"""),"Female")</f>
        <v>Female</v>
      </c>
      <c r="E1033" s="1" t="str">
        <f ca="1">IFERROR(__xludf.DUMMYFUNCTION("""COMPUTED_VALUE"""),"People who have changed the world for better")</f>
        <v>People who have changed the world for better</v>
      </c>
      <c r="F1033" s="1" t="str">
        <f ca="1">IFERROR(__xludf.DUMMYFUNCTION("""COMPUTED_VALUE"""),"No I would not be pursuing Higher Education outside of India")</f>
        <v>No I would not be pursuing Higher Education outside of India</v>
      </c>
      <c r="G1033" s="1" t="str">
        <f ca="1">IFERROR(__xludf.DUMMYFUNCTION("""COMPUTED_VALUE"""),"Will work for 3 years or more")</f>
        <v>Will work for 3 years or more</v>
      </c>
      <c r="H1033" s="1" t="str">
        <f ca="1">IFERROR(__xludf.DUMMYFUNCTION("""COMPUTED_VALUE"""),"Yes")</f>
        <v>Yes</v>
      </c>
      <c r="I1033" s="1" t="str">
        <f ca="1">IFERROR(__xludf.DUMMYFUNCTION("""COMPUTED_VALUE"""),"Will NOT work for them")</f>
        <v>Will NOT work for them</v>
      </c>
      <c r="J1033" s="1">
        <f ca="1">IFERROR(__xludf.DUMMYFUNCTION("""COMPUTED_VALUE"""),4)</f>
        <v>4</v>
      </c>
      <c r="K1033" s="1" t="str">
        <f ca="1">IFERROR(__xludf.DUMMYFUNCTION("""COMPUTED_VALUE"""),"Every Day Office Environment")</f>
        <v>Every Day Office Environment</v>
      </c>
      <c r="L1033" s="1" t="str">
        <f ca="1">IFERROR(__xludf.DUMMYFUNCTION("""COMPUTED_VALUE"""),"Employer who pushes your limits by enabling an learning environment, and rewards you at the end")</f>
        <v>Employer who pushes your limits by enabling an learning environment, and rewards you at the end</v>
      </c>
      <c r="M103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033" s="1"/>
      <c r="O1033" s="1" t="str">
        <f ca="1">IFERROR(__xludf.DUMMYFUNCTION("""COMPUTED_VALUE"""),"Manager who explains what is expected, sets a goal and helps achieve it")</f>
        <v>Manager who explains what is expected, sets a goal and helps achieve it</v>
      </c>
      <c r="P1033" s="1" t="str">
        <f ca="1">IFERROR(__xludf.DUMMYFUNCTION("""COMPUTED_VALUE"""),"Work &lt;=6 People in the Team")</f>
        <v>Work &lt;=6 People in the Team</v>
      </c>
      <c r="Q1033" s="1" t="s">
        <v>40</v>
      </c>
      <c r="R1033" s="1"/>
    </row>
    <row r="1034" spans="1:18" x14ac:dyDescent="0.25">
      <c r="A1034" s="2">
        <f ca="1">IFERROR(__xludf.DUMMYFUNCTION("""COMPUTED_VALUE"""),45043.9147123958)</f>
        <v>45043.914712395803</v>
      </c>
      <c r="B1034" s="1" t="str">
        <f ca="1">IFERROR(__xludf.DUMMYFUNCTION("""COMPUTED_VALUE"""),"India")</f>
        <v>India</v>
      </c>
      <c r="C1034" s="1">
        <f ca="1">IFERROR(__xludf.DUMMYFUNCTION("""COMPUTED_VALUE"""),509385)</f>
        <v>509385</v>
      </c>
      <c r="D1034" s="1" t="str">
        <f ca="1">IFERROR(__xludf.DUMMYFUNCTION("""COMPUTED_VALUE"""),"Female")</f>
        <v>Female</v>
      </c>
      <c r="E1034" s="1" t="str">
        <f ca="1">IFERROR(__xludf.DUMMYFUNCTION("""COMPUTED_VALUE"""),"People who have changed the world for better")</f>
        <v>People who have changed the world for better</v>
      </c>
      <c r="F1034" s="1" t="str">
        <f ca="1">IFERROR(__xludf.DUMMYFUNCTION("""COMPUTED_VALUE"""),"Yes, I will earn and do that")</f>
        <v>Yes, I will earn and do that</v>
      </c>
      <c r="G1034" s="1" t="str">
        <f ca="1">IFERROR(__xludf.DUMMYFUNCTION("""COMPUTED_VALUE"""),"Will work for 3 years or more")</f>
        <v>Will work for 3 years or more</v>
      </c>
      <c r="H1034" s="1" t="str">
        <f ca="1">IFERROR(__xludf.DUMMYFUNCTION("""COMPUTED_VALUE"""),"No")</f>
        <v>No</v>
      </c>
      <c r="I1034" s="1" t="str">
        <f ca="1">IFERROR(__xludf.DUMMYFUNCTION("""COMPUTED_VALUE"""),"Will NOT work for them")</f>
        <v>Will NOT work for them</v>
      </c>
      <c r="J1034" s="1">
        <f ca="1">IFERROR(__xludf.DUMMYFUNCTION("""COMPUTED_VALUE"""),8)</f>
        <v>8</v>
      </c>
      <c r="K1034" s="1" t="str">
        <f ca="1">IFERROR(__xludf.DUMMYFUNCTION("""COMPUTED_VALUE"""),"Every Day Office Environment")</f>
        <v>Every Day Office Environment</v>
      </c>
      <c r="L1034" s="1" t="str">
        <f ca="1">IFERROR(__xludf.DUMMYFUNCTION("""COMPUTED_VALUE"""),"Employer who appreciates learning and enables that environment")</f>
        <v>Employer who appreciates learning and enables that environment</v>
      </c>
      <c r="M103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1034" s="1"/>
      <c r="O1034" s="1" t="str">
        <f ca="1">IFERROR(__xludf.DUMMYFUNCTION("""COMPUTED_VALUE"""),"Manager who explains what is expected, sets a goal and helps achieve it")</f>
        <v>Manager who explains what is expected, sets a goal and helps achieve it</v>
      </c>
      <c r="P1034" s="1" t="str">
        <f ca="1">IFERROR(__xludf.DUMMYFUNCTION("""COMPUTED_VALUE"""),"Work &gt;10 people in Team")</f>
        <v>Work &gt;10 people in Team</v>
      </c>
      <c r="Q1034" s="1" t="s">
        <v>43</v>
      </c>
      <c r="R1034" s="1"/>
    </row>
    <row r="1035" spans="1:18" x14ac:dyDescent="0.25">
      <c r="A1035" s="2">
        <f ca="1">IFERROR(__xludf.DUMMYFUNCTION("""COMPUTED_VALUE"""),45043.915758368)</f>
        <v>45043.915758367999</v>
      </c>
      <c r="B1035" s="1" t="str">
        <f ca="1">IFERROR(__xludf.DUMMYFUNCTION("""COMPUTED_VALUE"""),"India")</f>
        <v>India</v>
      </c>
      <c r="C1035" s="1">
        <f ca="1">IFERROR(__xludf.DUMMYFUNCTION("""COMPUTED_VALUE"""),110085)</f>
        <v>110085</v>
      </c>
      <c r="D1035" s="1" t="str">
        <f ca="1">IFERROR(__xludf.DUMMYFUNCTION("""COMPUTED_VALUE"""),"Female")</f>
        <v>Female</v>
      </c>
      <c r="E1035" s="1" t="str">
        <f ca="1">IFERROR(__xludf.DUMMYFUNCTION("""COMPUTED_VALUE"""),"People who have changed the world for better")</f>
        <v>People who have changed the world for better</v>
      </c>
      <c r="F1035" s="1" t="str">
        <f ca="1">IFERROR(__xludf.DUMMYFUNCTION("""COMPUTED_VALUE"""),"Yes, I will earn and do that")</f>
        <v>Yes, I will earn and do that</v>
      </c>
      <c r="G1035" s="1" t="str">
        <f ca="1">IFERROR(__xludf.DUMMYFUNCTION("""COMPUTED_VALUE"""),"This will be hard to do, but if it is the right company I would try")</f>
        <v>This will be hard to do, but if it is the right company I would try</v>
      </c>
      <c r="H1035" s="1" t="str">
        <f ca="1">IFERROR(__xludf.DUMMYFUNCTION("""COMPUTED_VALUE"""),"No")</f>
        <v>No</v>
      </c>
      <c r="I1035" s="1" t="str">
        <f ca="1">IFERROR(__xludf.DUMMYFUNCTION("""COMPUTED_VALUE"""),"Will NOT work for them")</f>
        <v>Will NOT work for them</v>
      </c>
      <c r="J1035" s="1">
        <f ca="1">IFERROR(__xludf.DUMMYFUNCTION("""COMPUTED_VALUE"""),4)</f>
        <v>4</v>
      </c>
      <c r="K1035" s="1" t="str">
        <f ca="1">IFERROR(__xludf.DUMMYFUNCTION("""COMPUTED_VALUE"""),"Hybrid Working Environment with more than 15 days a month at office")</f>
        <v>Hybrid Working Environment with more than 15 days a month at office</v>
      </c>
      <c r="L1035" s="1" t="str">
        <f ca="1">IFERROR(__xludf.DUMMYFUNCTION("""COMPUTED_VALUE"""),"Employer who pushes your limits by enabling an learning environment, and rewards you at the end")</f>
        <v>Employer who pushes your limits by enabling an learning environment, and rewards you at the end</v>
      </c>
      <c r="M103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N1035" s="1"/>
      <c r="O1035" s="1" t="str">
        <f ca="1">IFERROR(__xludf.DUMMYFUNCTION("""COMPUTED_VALUE"""),"Manager who sets goal and helps me achieve it")</f>
        <v>Manager who sets goal and helps me achieve it</v>
      </c>
      <c r="P1035" s="1" t="str">
        <f ca="1">IFERROR(__xludf.DUMMYFUNCTION("""COMPUTED_VALUE"""),"Work &lt;=6 People in the Team")</f>
        <v>Work &lt;=6 People in the Team</v>
      </c>
      <c r="Q1035" s="1" t="s">
        <v>42</v>
      </c>
      <c r="R1035" s="1"/>
    </row>
    <row r="1036" spans="1:18" x14ac:dyDescent="0.25">
      <c r="A1036" s="2">
        <f ca="1">IFERROR(__xludf.DUMMYFUNCTION("""COMPUTED_VALUE"""),45043.91646603)</f>
        <v>45043.916466030001</v>
      </c>
      <c r="B1036" s="1" t="str">
        <f ca="1">IFERROR(__xludf.DUMMYFUNCTION("""COMPUTED_VALUE"""),"India")</f>
        <v>India</v>
      </c>
      <c r="C1036" s="1">
        <f ca="1">IFERROR(__xludf.DUMMYFUNCTION("""COMPUTED_VALUE"""),501504)</f>
        <v>501504</v>
      </c>
      <c r="D1036" s="1" t="str">
        <f ca="1">IFERROR(__xludf.DUMMYFUNCTION("""COMPUTED_VALUE"""),"Male")</f>
        <v>Male</v>
      </c>
      <c r="E1036" s="1" t="str">
        <f ca="1">IFERROR(__xludf.DUMMYFUNCTION("""COMPUTED_VALUE"""),"My Parents")</f>
        <v>My Parents</v>
      </c>
      <c r="F1036" s="1" t="str">
        <f ca="1">IFERROR(__xludf.DUMMYFUNCTION("""COMPUTED_VALUE"""),"No, But if someone could bare the cost I will")</f>
        <v>No, But if someone could bare the cost I will</v>
      </c>
      <c r="G1036" s="1" t="str">
        <f ca="1">IFERROR(__xludf.DUMMYFUNCTION("""COMPUTED_VALUE"""),"This will be hard to do, but if it is the right company I would try")</f>
        <v>This will be hard to do, but if it is the right company I would try</v>
      </c>
      <c r="H1036" s="1" t="str">
        <f ca="1">IFERROR(__xludf.DUMMYFUNCTION("""COMPUTED_VALUE"""),"Yes")</f>
        <v>Yes</v>
      </c>
      <c r="I1036" s="1" t="str">
        <f ca="1">IFERROR(__xludf.DUMMYFUNCTION("""COMPUTED_VALUE"""),"Will NOT work for them")</f>
        <v>Will NOT work for them</v>
      </c>
      <c r="J1036" s="1">
        <f ca="1">IFERROR(__xludf.DUMMYFUNCTION("""COMPUTED_VALUE"""),5)</f>
        <v>5</v>
      </c>
      <c r="K1036" s="1" t="str">
        <f ca="1">IFERROR(__xludf.DUMMYFUNCTION("""COMPUTED_VALUE"""),"Hybrid Working Environment with less than 3 days a month at office")</f>
        <v>Hybrid Working Environment with less than 3 days a month at office</v>
      </c>
      <c r="L1036" s="1" t="str">
        <f ca="1">IFERROR(__xludf.DUMMYFUNCTION("""COMPUTED_VALUE"""),"Employer who pushes your limits by enabling an learning environment, and rewards you at the end")</f>
        <v>Employer who pushes your limits by enabling an learning environment, and rewards you at the end</v>
      </c>
      <c r="M1036" s="1" t="str">
        <f ca="1">IFERROR(__xludf.DUMMYFUNCTION("""COMPUTED_VALUE"""),"Design and Creative strategy in any company, Build and develop a Team, Entrepreneur or Start Up, Manufacturing / Oil and Gas/ Construction / Hard Physical Work related")</f>
        <v>Design and Creative strategy in any company, Build and develop a Team, Entrepreneur or Start Up, Manufacturing / Oil and Gas/ Construction / Hard Physical Work related</v>
      </c>
      <c r="N1036" s="1"/>
      <c r="O1036" s="1" t="str">
        <f ca="1">IFERROR(__xludf.DUMMYFUNCTION("""COMPUTED_VALUE"""),"Manager who clearly describes what she/he needs")</f>
        <v>Manager who clearly describes what she/he needs</v>
      </c>
      <c r="P1036" s="1" t="str">
        <f ca="1">IFERROR(__xludf.DUMMYFUNCTION("""COMPUTED_VALUE"""),"Work &lt;=6 People in the Team")</f>
        <v>Work &lt;=6 People in the Team</v>
      </c>
      <c r="Q1036" s="1" t="s">
        <v>43</v>
      </c>
      <c r="R1036" s="1"/>
    </row>
    <row r="1037" spans="1:18" x14ac:dyDescent="0.25">
      <c r="A1037" s="2">
        <f ca="1">IFERROR(__xludf.DUMMYFUNCTION("""COMPUTED_VALUE"""),45043.9166903588)</f>
        <v>45043.916690358797</v>
      </c>
      <c r="B1037" s="1" t="str">
        <f ca="1">IFERROR(__xludf.DUMMYFUNCTION("""COMPUTED_VALUE"""),"India")</f>
        <v>India</v>
      </c>
      <c r="C1037" s="1">
        <f ca="1">IFERROR(__xludf.DUMMYFUNCTION("""COMPUTED_VALUE"""),500037)</f>
        <v>500037</v>
      </c>
      <c r="D1037" s="1" t="str">
        <f ca="1">IFERROR(__xludf.DUMMYFUNCTION("""COMPUTED_VALUE"""),"Female")</f>
        <v>Female</v>
      </c>
      <c r="E1037" s="1" t="str">
        <f ca="1">IFERROR(__xludf.DUMMYFUNCTION("""COMPUTED_VALUE"""),"My Parents")</f>
        <v>My Parents</v>
      </c>
      <c r="F1037" s="1" t="str">
        <f ca="1">IFERROR(__xludf.DUMMYFUNCTION("""COMPUTED_VALUE"""),"Yes, I will earn and do that")</f>
        <v>Yes, I will earn and do that</v>
      </c>
      <c r="G1037" s="1" t="str">
        <f ca="1">IFERROR(__xludf.DUMMYFUNCTION("""COMPUTED_VALUE"""),"This will be hard to do, but if it is the right company I would try")</f>
        <v>This will be hard to do, but if it is the right company I would try</v>
      </c>
      <c r="H1037" s="1" t="str">
        <f ca="1">IFERROR(__xludf.DUMMYFUNCTION("""COMPUTED_VALUE"""),"No")</f>
        <v>No</v>
      </c>
      <c r="I1037" s="1" t="str">
        <f ca="1">IFERROR(__xludf.DUMMYFUNCTION("""COMPUTED_VALUE"""),"Will NOT work for them")</f>
        <v>Will NOT work for them</v>
      </c>
      <c r="J1037" s="1">
        <f ca="1">IFERROR(__xludf.DUMMYFUNCTION("""COMPUTED_VALUE"""),4)</f>
        <v>4</v>
      </c>
      <c r="K1037" s="1" t="str">
        <f ca="1">IFERROR(__xludf.DUMMYFUNCTION("""COMPUTED_VALUE"""),"Fully Remote with Options to travel as and when needed")</f>
        <v>Fully Remote with Options to travel as and when needed</v>
      </c>
      <c r="L1037" s="1" t="str">
        <f ca="1">IFERROR(__xludf.DUMMYFUNCTION("""COMPUTED_VALUE"""),"Employer who pushes your limits by enabling an learning environment, and rewards you at the end")</f>
        <v>Employer who pushes your limits by enabling an learning environment, and rewards you at the end</v>
      </c>
      <c r="M10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037" s="1"/>
      <c r="O1037" s="1" t="str">
        <f ca="1">IFERROR(__xludf.DUMMYFUNCTION("""COMPUTED_VALUE"""),"Manager who explains what is expected, sets a goal and helps achieve it")</f>
        <v>Manager who explains what is expected, sets a goal and helps achieve it</v>
      </c>
      <c r="P1037" s="1" t="str">
        <f ca="1">IFERROR(__xludf.DUMMYFUNCTION("""COMPUTED_VALUE"""),"Work &lt;=6 People in the Team")</f>
        <v>Work &lt;=6 People in the Team</v>
      </c>
      <c r="Q1037" s="1" t="s">
        <v>43</v>
      </c>
      <c r="R1037" s="1"/>
    </row>
    <row r="1038" spans="1:18" x14ac:dyDescent="0.25">
      <c r="A1038" s="2">
        <f ca="1">IFERROR(__xludf.DUMMYFUNCTION("""COMPUTED_VALUE"""),45043.9182390625)</f>
        <v>45043.918239062499</v>
      </c>
      <c r="B1038" s="1" t="str">
        <f ca="1">IFERROR(__xludf.DUMMYFUNCTION("""COMPUTED_VALUE"""),"India")</f>
        <v>India</v>
      </c>
      <c r="C1038" s="1">
        <f ca="1">IFERROR(__xludf.DUMMYFUNCTION("""COMPUTED_VALUE"""),506002)</f>
        <v>506002</v>
      </c>
      <c r="D1038" s="1" t="str">
        <f ca="1">IFERROR(__xludf.DUMMYFUNCTION("""COMPUTED_VALUE"""),"Male")</f>
        <v>Male</v>
      </c>
      <c r="E1038" s="1" t="str">
        <f ca="1">IFERROR(__xludf.DUMMYFUNCTION("""COMPUTED_VALUE"""),"Influencers who had successful careers")</f>
        <v>Influencers who had successful careers</v>
      </c>
      <c r="F1038" s="1" t="str">
        <f ca="1">IFERROR(__xludf.DUMMYFUNCTION("""COMPUTED_VALUE"""),"Yes, I will earn and do that")</f>
        <v>Yes, I will earn and do that</v>
      </c>
      <c r="G1038" s="1" t="str">
        <f ca="1">IFERROR(__xludf.DUMMYFUNCTION("""COMPUTED_VALUE"""),"No way")</f>
        <v>No way</v>
      </c>
      <c r="H1038" s="1" t="str">
        <f ca="1">IFERROR(__xludf.DUMMYFUNCTION("""COMPUTED_VALUE"""),"No")</f>
        <v>No</v>
      </c>
      <c r="I1038" s="1" t="str">
        <f ca="1">IFERROR(__xludf.DUMMYFUNCTION("""COMPUTED_VALUE"""),"Will NOT work for them")</f>
        <v>Will NOT work for them</v>
      </c>
      <c r="J1038" s="1">
        <f ca="1">IFERROR(__xludf.DUMMYFUNCTION("""COMPUTED_VALUE"""),2)</f>
        <v>2</v>
      </c>
      <c r="K1038" s="1" t="str">
        <f ca="1">IFERROR(__xludf.DUMMYFUNCTION("""COMPUTED_VALUE"""),"Fully Remote with Options to travel as and when needed")</f>
        <v>Fully Remote with Options to travel as and when needed</v>
      </c>
      <c r="L1038" s="1" t="str">
        <f ca="1">IFERROR(__xludf.DUMMYFUNCTION("""COMPUTED_VALUE"""),"Employer who pushes your limits by enabling an learning environment, and rewards you at the end")</f>
        <v>Employer who pushes your limits by enabling an learning environment, and rewards you at the end</v>
      </c>
      <c r="M1038"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N1038" s="1"/>
      <c r="O1038" s="1" t="str">
        <f ca="1">IFERROR(__xludf.DUMMYFUNCTION("""COMPUTED_VALUE"""),"Manager who sets goal and helps me achieve it")</f>
        <v>Manager who sets goal and helps me achieve it</v>
      </c>
      <c r="P1038" s="1" t="str">
        <f ca="1">IFERROR(__xludf.DUMMYFUNCTION("""COMPUTED_VALUE"""),"Work &lt;=6 People in the Team")</f>
        <v>Work &lt;=6 People in the Team</v>
      </c>
      <c r="Q1038" s="1" t="s">
        <v>43</v>
      </c>
      <c r="R1038" s="1"/>
    </row>
    <row r="1039" spans="1:18" x14ac:dyDescent="0.25">
      <c r="A1039" s="2">
        <f ca="1">IFERROR(__xludf.DUMMYFUNCTION("""COMPUTED_VALUE"""),45043.9222481944)</f>
        <v>45043.922248194402</v>
      </c>
      <c r="B1039" s="1" t="str">
        <f ca="1">IFERROR(__xludf.DUMMYFUNCTION("""COMPUTED_VALUE"""),"India")</f>
        <v>India</v>
      </c>
      <c r="C1039" s="1">
        <f ca="1">IFERROR(__xludf.DUMMYFUNCTION("""COMPUTED_VALUE"""),564114)</f>
        <v>564114</v>
      </c>
      <c r="D1039" s="1" t="str">
        <f ca="1">IFERROR(__xludf.DUMMYFUNCTION("""COMPUTED_VALUE"""),"Female")</f>
        <v>Female</v>
      </c>
      <c r="E1039" s="1" t="str">
        <f ca="1">IFERROR(__xludf.DUMMYFUNCTION("""COMPUTED_VALUE"""),"Influencers who had successful careers")</f>
        <v>Influencers who had successful careers</v>
      </c>
      <c r="F1039" s="1" t="str">
        <f ca="1">IFERROR(__xludf.DUMMYFUNCTION("""COMPUTED_VALUE"""),"No I would not be pursuing Higher Education outside of India")</f>
        <v>No I would not be pursuing Higher Education outside of India</v>
      </c>
      <c r="G1039" s="1" t="str">
        <f ca="1">IFERROR(__xludf.DUMMYFUNCTION("""COMPUTED_VALUE"""),"This will be hard to do, but if it is the right company I would try")</f>
        <v>This will be hard to do, but if it is the right company I would try</v>
      </c>
      <c r="H1039" s="1" t="str">
        <f ca="1">IFERROR(__xludf.DUMMYFUNCTION("""COMPUTED_VALUE"""),"Yes")</f>
        <v>Yes</v>
      </c>
      <c r="I1039" s="1" t="str">
        <f ca="1">IFERROR(__xludf.DUMMYFUNCTION("""COMPUTED_VALUE"""),"Will NOT work for them")</f>
        <v>Will NOT work for them</v>
      </c>
      <c r="J1039" s="1">
        <f ca="1">IFERROR(__xludf.DUMMYFUNCTION("""COMPUTED_VALUE"""),7)</f>
        <v>7</v>
      </c>
      <c r="K1039" s="1" t="str">
        <f ca="1">IFERROR(__xludf.DUMMYFUNCTION("""COMPUTED_VALUE"""),"Hybrid Working Environment with more than 15 days a month at office")</f>
        <v>Hybrid Working Environment with more than 15 days a month at office</v>
      </c>
      <c r="L1039" s="1" t="str">
        <f ca="1">IFERROR(__xludf.DUMMYFUNCTION("""COMPUTED_VALUE"""),"Employer who appreciates learning and enables that environment")</f>
        <v>Employer who appreciates learning and enables that environment</v>
      </c>
      <c r="M1039"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N1039" s="1"/>
      <c r="O1039" s="1" t="str">
        <f ca="1">IFERROR(__xludf.DUMMYFUNCTION("""COMPUTED_VALUE"""),"Manager who explains what is expected, sets a goal and helps achieve it")</f>
        <v>Manager who explains what is expected, sets a goal and helps achieve it</v>
      </c>
      <c r="P1039" s="1" t="str">
        <f ca="1">IFERROR(__xludf.DUMMYFUNCTION("""COMPUTED_VALUE"""),"Work &lt;=6 People in the Team")</f>
        <v>Work &lt;=6 People in the Team</v>
      </c>
      <c r="Q1039" s="1" t="s">
        <v>43</v>
      </c>
      <c r="R1039" s="1"/>
    </row>
    <row r="1040" spans="1:18" x14ac:dyDescent="0.25">
      <c r="A1040" s="2">
        <f ca="1">IFERROR(__xludf.DUMMYFUNCTION("""COMPUTED_VALUE"""),45043.9226165393)</f>
        <v>45043.922616539297</v>
      </c>
      <c r="B1040" s="1" t="str">
        <f ca="1">IFERROR(__xludf.DUMMYFUNCTION("""COMPUTED_VALUE"""),"India")</f>
        <v>India</v>
      </c>
      <c r="C1040" s="1">
        <f ca="1">IFERROR(__xludf.DUMMYFUNCTION("""COMPUTED_VALUE"""),501504)</f>
        <v>501504</v>
      </c>
      <c r="D1040" s="1" t="str">
        <f ca="1">IFERROR(__xludf.DUMMYFUNCTION("""COMPUTED_VALUE"""),"Female")</f>
        <v>Female</v>
      </c>
      <c r="E1040" s="1" t="str">
        <f ca="1">IFERROR(__xludf.DUMMYFUNCTION("""COMPUTED_VALUE"""),"My Parents")</f>
        <v>My Parents</v>
      </c>
      <c r="F1040" s="1" t="str">
        <f ca="1">IFERROR(__xludf.DUMMYFUNCTION("""COMPUTED_VALUE"""),"Yes, I will earn and do that")</f>
        <v>Yes, I will earn and do that</v>
      </c>
      <c r="G1040" s="1" t="str">
        <f ca="1">IFERROR(__xludf.DUMMYFUNCTION("""COMPUTED_VALUE"""),"This will be hard to do, but if it is the right company I would try")</f>
        <v>This will be hard to do, but if it is the right company I would try</v>
      </c>
      <c r="H1040" s="1" t="str">
        <f ca="1">IFERROR(__xludf.DUMMYFUNCTION("""COMPUTED_VALUE"""),"No")</f>
        <v>No</v>
      </c>
      <c r="I1040" s="1" t="str">
        <f ca="1">IFERROR(__xludf.DUMMYFUNCTION("""COMPUTED_VALUE"""),"Will NOT work for them")</f>
        <v>Will NOT work for them</v>
      </c>
      <c r="J1040" s="1">
        <f ca="1">IFERROR(__xludf.DUMMYFUNCTION("""COMPUTED_VALUE"""),5)</f>
        <v>5</v>
      </c>
      <c r="K1040" s="1" t="str">
        <f ca="1">IFERROR(__xludf.DUMMYFUNCTION("""COMPUTED_VALUE"""),"Hybrid Working Environment with more than 15 days a month at office")</f>
        <v>Hybrid Working Environment with more than 15 days a month at office</v>
      </c>
      <c r="L1040" s="1" t="str">
        <f ca="1">IFERROR(__xludf.DUMMYFUNCTION("""COMPUTED_VALUE"""),"Employer who appreciates learning and enables that environment")</f>
        <v>Employer who appreciates learning and enables that environment</v>
      </c>
      <c r="M1040"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1040" s="1"/>
      <c r="O1040" s="1" t="str">
        <f ca="1">IFERROR(__xludf.DUMMYFUNCTION("""COMPUTED_VALUE"""),"Manager who explains what is expected, sets a goal and helps achieve it")</f>
        <v>Manager who explains what is expected, sets a goal and helps achieve it</v>
      </c>
      <c r="P1040" s="1" t="str">
        <f ca="1">IFERROR(__xludf.DUMMYFUNCTION("""COMPUTED_VALUE"""),"Work &lt;=6 People in the Team")</f>
        <v>Work &lt;=6 People in the Team</v>
      </c>
      <c r="Q1040" s="1" t="s">
        <v>43</v>
      </c>
      <c r="R1040" s="1"/>
    </row>
    <row r="1041" spans="1:18" x14ac:dyDescent="0.25">
      <c r="A1041" s="2">
        <f ca="1">IFERROR(__xludf.DUMMYFUNCTION("""COMPUTED_VALUE"""),45043.9228111226)</f>
        <v>45043.922811122597</v>
      </c>
      <c r="B1041" s="1" t="str">
        <f ca="1">IFERROR(__xludf.DUMMYFUNCTION("""COMPUTED_VALUE"""),"India")</f>
        <v>India</v>
      </c>
      <c r="C1041" s="1">
        <f ca="1">IFERROR(__xludf.DUMMYFUNCTION("""COMPUTED_VALUE"""),741121)</f>
        <v>741121</v>
      </c>
      <c r="D1041" s="1" t="str">
        <f ca="1">IFERROR(__xludf.DUMMYFUNCTION("""COMPUTED_VALUE"""),"Female")</f>
        <v>Female</v>
      </c>
      <c r="E1041" s="1" t="str">
        <f ca="1">IFERROR(__xludf.DUMMYFUNCTION("""COMPUTED_VALUE"""),"Influencers who had successful careers")</f>
        <v>Influencers who had successful careers</v>
      </c>
      <c r="F1041" s="1" t="str">
        <f ca="1">IFERROR(__xludf.DUMMYFUNCTION("""COMPUTED_VALUE"""),"No I would not be pursuing Higher Education outside of India")</f>
        <v>No I would not be pursuing Higher Education outside of India</v>
      </c>
      <c r="G1041" s="1" t="str">
        <f ca="1">IFERROR(__xludf.DUMMYFUNCTION("""COMPUTED_VALUE"""),"This will be hard to do, but if it is the right company I would try")</f>
        <v>This will be hard to do, but if it is the right company I would try</v>
      </c>
      <c r="H1041" s="1" t="str">
        <f ca="1">IFERROR(__xludf.DUMMYFUNCTION("""COMPUTED_VALUE"""),"No")</f>
        <v>No</v>
      </c>
      <c r="I1041" s="1" t="str">
        <f ca="1">IFERROR(__xludf.DUMMYFUNCTION("""COMPUTED_VALUE"""),"Will NOT work for them")</f>
        <v>Will NOT work for them</v>
      </c>
      <c r="J1041" s="1">
        <f ca="1">IFERROR(__xludf.DUMMYFUNCTION("""COMPUTED_VALUE"""),8)</f>
        <v>8</v>
      </c>
      <c r="K1041" s="1" t="str">
        <f ca="1">IFERROR(__xludf.DUMMYFUNCTION("""COMPUTED_VALUE"""),"Fully Remote with Options to travel as and when needed")</f>
        <v>Fully Remote with Options to travel as and when needed</v>
      </c>
      <c r="L1041" s="1" t="str">
        <f ca="1">IFERROR(__xludf.DUMMYFUNCTION("""COMPUTED_VALUE"""),"Employer who pushes your limits by enabling an learning environment, and rewards you at the end")</f>
        <v>Employer who pushes your limits by enabling an learning environment, and rewards you at the end</v>
      </c>
      <c r="M1041"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N1041" s="1"/>
      <c r="O1041" s="1" t="str">
        <f ca="1">IFERROR(__xludf.DUMMYFUNCTION("""COMPUTED_VALUE"""),"Manager who sets goal and helps me achieve it")</f>
        <v>Manager who sets goal and helps me achieve it</v>
      </c>
      <c r="P1041" s="1" t="str">
        <f ca="1">IFERROR(__xludf.DUMMYFUNCTION("""COMPUTED_VALUE"""),"Work &lt;=6 People in the Team")</f>
        <v>Work &lt;=6 People in the Team</v>
      </c>
      <c r="Q1041" s="1" t="s">
        <v>40</v>
      </c>
      <c r="R1041" s="1"/>
    </row>
    <row r="1042" spans="1:18" x14ac:dyDescent="0.25">
      <c r="A1042" s="2">
        <f ca="1">IFERROR(__xludf.DUMMYFUNCTION("""COMPUTED_VALUE"""),45043.9242005324)</f>
        <v>45043.924200532398</v>
      </c>
      <c r="B1042" s="1" t="str">
        <f ca="1">IFERROR(__xludf.DUMMYFUNCTION("""COMPUTED_VALUE"""),"India")</f>
        <v>India</v>
      </c>
      <c r="C1042" s="1">
        <f ca="1">IFERROR(__xludf.DUMMYFUNCTION("""COMPUTED_VALUE"""),755051)</f>
        <v>755051</v>
      </c>
      <c r="D1042" s="1" t="str">
        <f ca="1">IFERROR(__xludf.DUMMYFUNCTION("""COMPUTED_VALUE"""),"Female")</f>
        <v>Female</v>
      </c>
      <c r="E1042" s="1" t="str">
        <f ca="1">IFERROR(__xludf.DUMMYFUNCTION("""COMPUTED_VALUE"""),"Social Media like LinkedIn")</f>
        <v>Social Media like LinkedIn</v>
      </c>
      <c r="F1042" s="1" t="str">
        <f ca="1">IFERROR(__xludf.DUMMYFUNCTION("""COMPUTED_VALUE"""),"No I would not be pursuing Higher Education outside of India")</f>
        <v>No I would not be pursuing Higher Education outside of India</v>
      </c>
      <c r="G1042" s="1" t="str">
        <f ca="1">IFERROR(__xludf.DUMMYFUNCTION("""COMPUTED_VALUE"""),"This will be hard to do, but if it is the right company I would try")</f>
        <v>This will be hard to do, but if it is the right company I would try</v>
      </c>
      <c r="H1042" s="1" t="str">
        <f ca="1">IFERROR(__xludf.DUMMYFUNCTION("""COMPUTED_VALUE"""),"No")</f>
        <v>No</v>
      </c>
      <c r="I1042" s="1" t="str">
        <f ca="1">IFERROR(__xludf.DUMMYFUNCTION("""COMPUTED_VALUE"""),"Will NOT work for them")</f>
        <v>Will NOT work for them</v>
      </c>
      <c r="J1042" s="1">
        <f ca="1">IFERROR(__xludf.DUMMYFUNCTION("""COMPUTED_VALUE"""),5)</f>
        <v>5</v>
      </c>
      <c r="K1042" s="1" t="str">
        <f ca="1">IFERROR(__xludf.DUMMYFUNCTION("""COMPUTED_VALUE"""),"Hybrid Working Environment with more than 15 days a month at office")</f>
        <v>Hybrid Working Environment with more than 15 days a month at office</v>
      </c>
      <c r="L1042" s="1" t="str">
        <f ca="1">IFERROR(__xludf.DUMMYFUNCTION("""COMPUTED_VALUE"""),"Employer who pushes your limits by enabling an learning environment, and rewards you at the end")</f>
        <v>Employer who pushes your limits by enabling an learning environment, and rewards you at the end</v>
      </c>
      <c r="M1042"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1042" s="1"/>
      <c r="O1042" s="1" t="str">
        <f ca="1">IFERROR(__xludf.DUMMYFUNCTION("""COMPUTED_VALUE"""),"Manager who explains what is expected, sets a goal and helps achieve it")</f>
        <v>Manager who explains what is expected, sets a goal and helps achieve it</v>
      </c>
      <c r="P1042" s="1" t="str">
        <f ca="1">IFERROR(__xludf.DUMMYFUNCTION("""COMPUTED_VALUE"""),"Work &gt;10 people in Team")</f>
        <v>Work &gt;10 people in Team</v>
      </c>
      <c r="Q1042" s="1" t="s">
        <v>40</v>
      </c>
      <c r="R1042" s="1"/>
    </row>
    <row r="1043" spans="1:18" x14ac:dyDescent="0.25">
      <c r="A1043" s="2">
        <f ca="1">IFERROR(__xludf.DUMMYFUNCTION("""COMPUTED_VALUE"""),45043.9246146296)</f>
        <v>45043.924614629599</v>
      </c>
      <c r="B1043" s="1" t="str">
        <f ca="1">IFERROR(__xludf.DUMMYFUNCTION("""COMPUTED_VALUE"""),"India")</f>
        <v>India</v>
      </c>
      <c r="C1043" s="1">
        <f ca="1">IFERROR(__xludf.DUMMYFUNCTION("""COMPUTED_VALUE"""),506315)</f>
        <v>506315</v>
      </c>
      <c r="D1043" s="1" t="str">
        <f ca="1">IFERROR(__xludf.DUMMYFUNCTION("""COMPUTED_VALUE"""),"Male")</f>
        <v>Male</v>
      </c>
      <c r="E1043" s="1" t="str">
        <f ca="1">IFERROR(__xludf.DUMMYFUNCTION("""COMPUTED_VALUE"""),"People who have changed the world for better")</f>
        <v>People who have changed the world for better</v>
      </c>
      <c r="F1043" s="1" t="str">
        <f ca="1">IFERROR(__xludf.DUMMYFUNCTION("""COMPUTED_VALUE"""),"No, But if someone could bare the cost I will")</f>
        <v>No, But if someone could bare the cost I will</v>
      </c>
      <c r="G1043" s="1" t="str">
        <f ca="1">IFERROR(__xludf.DUMMYFUNCTION("""COMPUTED_VALUE"""),"This will be hard to do, but if it is the right company I would try")</f>
        <v>This will be hard to do, but if it is the right company I would try</v>
      </c>
      <c r="H1043" s="1" t="str">
        <f ca="1">IFERROR(__xludf.DUMMYFUNCTION("""COMPUTED_VALUE"""),"No")</f>
        <v>No</v>
      </c>
      <c r="I1043" s="1" t="str">
        <f ca="1">IFERROR(__xludf.DUMMYFUNCTION("""COMPUTED_VALUE"""),"Will NOT work for them")</f>
        <v>Will NOT work for them</v>
      </c>
      <c r="J1043" s="1">
        <f ca="1">IFERROR(__xludf.DUMMYFUNCTION("""COMPUTED_VALUE"""),5)</f>
        <v>5</v>
      </c>
      <c r="K1043" s="1" t="str">
        <f ca="1">IFERROR(__xludf.DUMMYFUNCTION("""COMPUTED_VALUE"""),"Fully Remote with No option to visit offices")</f>
        <v>Fully Remote with No option to visit offices</v>
      </c>
      <c r="L1043" s="1" t="str">
        <f ca="1">IFERROR(__xludf.DUMMYFUNCTION("""COMPUTED_VALUE"""),"Employer who pushes your limits by enabling an learning environment, and rewards you at the end")</f>
        <v>Employer who pushes your limits by enabling an learning environment, and rewards you at the end</v>
      </c>
      <c r="M1043"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N1043" s="1"/>
      <c r="O1043" s="1" t="str">
        <f ca="1">IFERROR(__xludf.DUMMYFUNCTION("""COMPUTED_VALUE"""),"Manager who sets goal and helps me achieve it")</f>
        <v>Manager who sets goal and helps me achieve it</v>
      </c>
      <c r="P1043" s="1" t="str">
        <f ca="1">IFERROR(__xludf.DUMMYFUNCTION("""COMPUTED_VALUE"""),"Work &lt;67 People in the Team")</f>
        <v>Work &lt;67 People in the Team</v>
      </c>
      <c r="Q1043" s="1" t="s">
        <v>40</v>
      </c>
      <c r="R1043" s="1"/>
    </row>
    <row r="1044" spans="1:18" x14ac:dyDescent="0.25">
      <c r="A1044" s="2">
        <f ca="1">IFERROR(__xludf.DUMMYFUNCTION("""COMPUTED_VALUE"""),45043.9266736689)</f>
        <v>45043.926673668902</v>
      </c>
      <c r="B1044" s="1" t="str">
        <f ca="1">IFERROR(__xludf.DUMMYFUNCTION("""COMPUTED_VALUE"""),"India")</f>
        <v>India</v>
      </c>
      <c r="C1044" s="1">
        <f ca="1">IFERROR(__xludf.DUMMYFUNCTION("""COMPUTED_VALUE"""),600056)</f>
        <v>600056</v>
      </c>
      <c r="D1044" s="1" t="str">
        <f ca="1">IFERROR(__xludf.DUMMYFUNCTION("""COMPUTED_VALUE"""),"Female")</f>
        <v>Female</v>
      </c>
      <c r="E1044" s="1" t="str">
        <f ca="1">IFERROR(__xludf.DUMMYFUNCTION("""COMPUTED_VALUE"""),"Influencers who had successful careers")</f>
        <v>Influencers who had successful careers</v>
      </c>
      <c r="F1044" s="1" t="str">
        <f ca="1">IFERROR(__xludf.DUMMYFUNCTION("""COMPUTED_VALUE"""),"No I would not be pursuing Higher Education outside of India")</f>
        <v>No I would not be pursuing Higher Education outside of India</v>
      </c>
      <c r="G1044" s="1" t="str">
        <f ca="1">IFERROR(__xludf.DUMMYFUNCTION("""COMPUTED_VALUE"""),"This will be hard to do, but if it is the right company I would try")</f>
        <v>This will be hard to do, but if it is the right company I would try</v>
      </c>
      <c r="H1044" s="1" t="str">
        <f ca="1">IFERROR(__xludf.DUMMYFUNCTION("""COMPUTED_VALUE"""),"No")</f>
        <v>No</v>
      </c>
      <c r="I1044" s="1" t="str">
        <f ca="1">IFERROR(__xludf.DUMMYFUNCTION("""COMPUTED_VALUE"""),"Will NOT work for them")</f>
        <v>Will NOT work for them</v>
      </c>
      <c r="J1044" s="1">
        <f ca="1">IFERROR(__xludf.DUMMYFUNCTION("""COMPUTED_VALUE"""),5)</f>
        <v>5</v>
      </c>
      <c r="K1044" s="1" t="str">
        <f ca="1">IFERROR(__xludf.DUMMYFUNCTION("""COMPUTED_VALUE"""),"Fully Remote with Options to travel as and when needed")</f>
        <v>Fully Remote with Options to travel as and when needed</v>
      </c>
      <c r="L1044" s="1" t="str">
        <f ca="1">IFERROR(__xludf.DUMMYFUNCTION("""COMPUTED_VALUE"""),"Employer who appreciates learning and enables that environment")</f>
        <v>Employer who appreciates learning and enables that environment</v>
      </c>
      <c r="M1044"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N1044" s="1"/>
      <c r="O1044" s="1" t="str">
        <f ca="1">IFERROR(__xludf.DUMMYFUNCTION("""COMPUTED_VALUE"""),"Manager who clearly describes what she/he needs")</f>
        <v>Manager who clearly describes what she/he needs</v>
      </c>
      <c r="P1044" s="1" t="str">
        <f ca="1">IFERROR(__xludf.DUMMYFUNCTION("""COMPUTED_VALUE"""),"Work Alone, &lt;=6 in team")</f>
        <v>Work Alone, &lt;=6 in team</v>
      </c>
      <c r="Q1044" s="1" t="s">
        <v>43</v>
      </c>
      <c r="R1044" s="1"/>
    </row>
    <row r="1045" spans="1:18" x14ac:dyDescent="0.25">
      <c r="A1045" s="2">
        <f ca="1">IFERROR(__xludf.DUMMYFUNCTION("""COMPUTED_VALUE"""),45043.9269128587)</f>
        <v>45043.926912858697</v>
      </c>
      <c r="B1045" s="1" t="str">
        <f ca="1">IFERROR(__xludf.DUMMYFUNCTION("""COMPUTED_VALUE"""),"India")</f>
        <v>India</v>
      </c>
      <c r="C1045" s="1">
        <f ca="1">IFERROR(__xludf.DUMMYFUNCTION("""COMPUTED_VALUE"""),500053)</f>
        <v>500053</v>
      </c>
      <c r="D1045" s="1" t="str">
        <f ca="1">IFERROR(__xludf.DUMMYFUNCTION("""COMPUTED_VALUE"""),"Male")</f>
        <v>Male</v>
      </c>
      <c r="E1045" s="1" t="str">
        <f ca="1">IFERROR(__xludf.DUMMYFUNCTION("""COMPUTED_VALUE"""),"Social Media like LinkedIn")</f>
        <v>Social Media like LinkedIn</v>
      </c>
      <c r="F1045" s="1" t="str">
        <f ca="1">IFERROR(__xludf.DUMMYFUNCTION("""COMPUTED_VALUE"""),"Yes, I will earn and do that")</f>
        <v>Yes, I will earn and do that</v>
      </c>
      <c r="G1045" s="1" t="str">
        <f ca="1">IFERROR(__xludf.DUMMYFUNCTION("""COMPUTED_VALUE"""),"Will work for 3 years or more")</f>
        <v>Will work for 3 years or more</v>
      </c>
      <c r="H1045" s="1" t="str">
        <f ca="1">IFERROR(__xludf.DUMMYFUNCTION("""COMPUTED_VALUE"""),"No")</f>
        <v>No</v>
      </c>
      <c r="I1045" s="1" t="str">
        <f ca="1">IFERROR(__xludf.DUMMYFUNCTION("""COMPUTED_VALUE"""),"Will NOT work for them")</f>
        <v>Will NOT work for them</v>
      </c>
      <c r="J1045" s="1">
        <f ca="1">IFERROR(__xludf.DUMMYFUNCTION("""COMPUTED_VALUE"""),6)</f>
        <v>6</v>
      </c>
      <c r="K1045" s="1" t="str">
        <f ca="1">IFERROR(__xludf.DUMMYFUNCTION("""COMPUTED_VALUE"""),"Hybrid Working Environment with more than 15 days a month at office")</f>
        <v>Hybrid Working Environment with more than 15 days a month at office</v>
      </c>
      <c r="L1045" s="1" t="str">
        <f ca="1">IFERROR(__xludf.DUMMYFUNCTION("""COMPUTED_VALUE"""),"Employer who pushes your limits by enabling an learning environment, and rewards you at the end")</f>
        <v>Employer who pushes your limits by enabling an learning environment, and rewards you at the end</v>
      </c>
      <c r="M1045"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N1045" s="1"/>
      <c r="O1045" s="1" t="str">
        <f ca="1">IFERROR(__xludf.DUMMYFUNCTION("""COMPUTED_VALUE"""),"Manager who explains what is expected, sets a goal and helps achieve it")</f>
        <v>Manager who explains what is expected, sets a goal and helps achieve it</v>
      </c>
      <c r="P1045" s="1" t="str">
        <f ca="1">IFERROR(__xludf.DUMMYFUNCTION("""COMPUTED_VALUE"""),"Work &lt;=6 People in the Team")</f>
        <v>Work &lt;=6 People in the Team</v>
      </c>
      <c r="Q1045" s="1" t="s">
        <v>40</v>
      </c>
      <c r="R1045" s="1"/>
    </row>
    <row r="1046" spans="1:18" x14ac:dyDescent="0.25">
      <c r="A1046" s="2">
        <f ca="1">IFERROR(__xludf.DUMMYFUNCTION("""COMPUTED_VALUE"""),45043.9271459375)</f>
        <v>45043.927145937501</v>
      </c>
      <c r="B1046" s="1" t="str">
        <f ca="1">IFERROR(__xludf.DUMMYFUNCTION("""COMPUTED_VALUE"""),"India")</f>
        <v>India</v>
      </c>
      <c r="C1046" s="1">
        <f ca="1">IFERROR(__xludf.DUMMYFUNCTION("""COMPUTED_VALUE"""),402030)</f>
        <v>402030</v>
      </c>
      <c r="D1046" s="1" t="str">
        <f ca="1">IFERROR(__xludf.DUMMYFUNCTION("""COMPUTED_VALUE"""),"Female")</f>
        <v>Female</v>
      </c>
      <c r="E1046" s="1" t="str">
        <f ca="1">IFERROR(__xludf.DUMMYFUNCTION("""COMPUTED_VALUE"""),"People from my circle, but not family members")</f>
        <v>People from my circle, but not family members</v>
      </c>
      <c r="F1046" s="1" t="str">
        <f ca="1">IFERROR(__xludf.DUMMYFUNCTION("""COMPUTED_VALUE"""),"No I would not be pursuing Higher Education outside of India")</f>
        <v>No I would not be pursuing Higher Education outside of India</v>
      </c>
      <c r="G1046" s="1" t="str">
        <f ca="1">IFERROR(__xludf.DUMMYFUNCTION("""COMPUTED_VALUE"""),"This will be hard to do, but if it is the right company I would try")</f>
        <v>This will be hard to do, but if it is the right company I would try</v>
      </c>
      <c r="H1046" s="1" t="str">
        <f ca="1">IFERROR(__xludf.DUMMYFUNCTION("""COMPUTED_VALUE"""),"Yes")</f>
        <v>Yes</v>
      </c>
      <c r="I1046" s="1" t="str">
        <f ca="1">IFERROR(__xludf.DUMMYFUNCTION("""COMPUTED_VALUE"""),"Will NOT work for them")</f>
        <v>Will NOT work for them</v>
      </c>
      <c r="J1046" s="1">
        <f ca="1">IFERROR(__xludf.DUMMYFUNCTION("""COMPUTED_VALUE"""),6)</f>
        <v>6</v>
      </c>
      <c r="K1046" s="1" t="str">
        <f ca="1">IFERROR(__xludf.DUMMYFUNCTION("""COMPUTED_VALUE"""),"Every Day Office Environment")</f>
        <v>Every Day Office Environment</v>
      </c>
      <c r="L1046" s="1" t="str">
        <f ca="1">IFERROR(__xludf.DUMMYFUNCTION("""COMPUTED_VALUE"""),"Employer who pushes your limits by enabling an learning environment, and rewards you at the end")</f>
        <v>Employer who pushes your limits by enabling an learning environment, and rewards you at the end</v>
      </c>
      <c r="M1046"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N1046" s="1"/>
      <c r="O1046" s="1" t="str">
        <f ca="1">IFERROR(__xludf.DUMMYFUNCTION("""COMPUTED_VALUE"""),"Manager who explains what is expected, sets a goal and helps achieve it")</f>
        <v>Manager who explains what is expected, sets a goal and helps achieve it</v>
      </c>
      <c r="P1046" s="1" t="str">
        <f ca="1">IFERROR(__xludf.DUMMYFUNCTION("""COMPUTED_VALUE"""),"Work Alone, &lt;=6 in team")</f>
        <v>Work Alone, &lt;=6 in team</v>
      </c>
      <c r="Q1046" s="1" t="s">
        <v>42</v>
      </c>
      <c r="R1046" s="1"/>
    </row>
    <row r="1047" spans="1:18" x14ac:dyDescent="0.25">
      <c r="A1047" s="2">
        <f ca="1">IFERROR(__xludf.DUMMYFUNCTION("""COMPUTED_VALUE"""),45043.9274724421)</f>
        <v>45043.927472442097</v>
      </c>
      <c r="B1047" s="1" t="str">
        <f ca="1">IFERROR(__xludf.DUMMYFUNCTION("""COMPUTED_VALUE"""),"India")</f>
        <v>India</v>
      </c>
      <c r="C1047" s="1">
        <f ca="1">IFERROR(__xludf.DUMMYFUNCTION("""COMPUTED_VALUE"""),503201)</f>
        <v>503201</v>
      </c>
      <c r="D1047" s="1" t="str">
        <f ca="1">IFERROR(__xludf.DUMMYFUNCTION("""COMPUTED_VALUE"""),"Male")</f>
        <v>Male</v>
      </c>
      <c r="E1047" s="1" t="str">
        <f ca="1">IFERROR(__xludf.DUMMYFUNCTION("""COMPUTED_VALUE"""),"People who have changed the world for better")</f>
        <v>People who have changed the world for better</v>
      </c>
      <c r="F1047" s="1" t="str">
        <f ca="1">IFERROR(__xludf.DUMMYFUNCTION("""COMPUTED_VALUE"""),"No, But if someone could bare the cost I will")</f>
        <v>No, But if someone could bare the cost I will</v>
      </c>
      <c r="G1047" s="1" t="str">
        <f ca="1">IFERROR(__xludf.DUMMYFUNCTION("""COMPUTED_VALUE"""),"This will be hard to do, but if it is the right company I would try")</f>
        <v>This will be hard to do, but if it is the right company I would try</v>
      </c>
      <c r="H1047" s="1" t="str">
        <f ca="1">IFERROR(__xludf.DUMMYFUNCTION("""COMPUTED_VALUE"""),"Yes")</f>
        <v>Yes</v>
      </c>
      <c r="I1047" s="1" t="str">
        <f ca="1">IFERROR(__xludf.DUMMYFUNCTION("""COMPUTED_VALUE"""),"Will NOT work for them")</f>
        <v>Will NOT work for them</v>
      </c>
      <c r="J1047" s="1">
        <f ca="1">IFERROR(__xludf.DUMMYFUNCTION("""COMPUTED_VALUE"""),8)</f>
        <v>8</v>
      </c>
      <c r="K1047" s="1" t="str">
        <f ca="1">IFERROR(__xludf.DUMMYFUNCTION("""COMPUTED_VALUE"""),"Fully Remote with Options to travel as and when needed")</f>
        <v>Fully Remote with Options to travel as and when needed</v>
      </c>
      <c r="L1047" s="1" t="str">
        <f ca="1">IFERROR(__xludf.DUMMYFUNCTION("""COMPUTED_VALUE"""),"Employer who pushes your limits by enabling an learning environment, and rewards you at the end")</f>
        <v>Employer who pushes your limits by enabling an learning environment, and rewards you at the end</v>
      </c>
      <c r="M1047"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N1047" s="1"/>
      <c r="O1047" s="1" t="str">
        <f ca="1">IFERROR(__xludf.DUMMYFUNCTION("""COMPUTED_VALUE"""),"Manager who explains what is expected, sets a goal and helps achieve it")</f>
        <v>Manager who explains what is expected, sets a goal and helps achieve it</v>
      </c>
      <c r="P1047" s="1" t="str">
        <f ca="1">IFERROR(__xludf.DUMMYFUNCTION("""COMPUTED_VALUE"""),"Work &gt;10 people in Team")</f>
        <v>Work &gt;10 people in Team</v>
      </c>
      <c r="Q1047" s="1" t="s">
        <v>43</v>
      </c>
      <c r="R1047" s="1"/>
    </row>
    <row r="1048" spans="1:18" x14ac:dyDescent="0.25">
      <c r="A1048" s="2">
        <f ca="1">IFERROR(__xludf.DUMMYFUNCTION("""COMPUTED_VALUE"""),45043.9277236805)</f>
        <v>45043.927723680499</v>
      </c>
      <c r="B1048" s="1" t="str">
        <f ca="1">IFERROR(__xludf.DUMMYFUNCTION("""COMPUTED_VALUE"""),"India")</f>
        <v>India</v>
      </c>
      <c r="C1048" s="1">
        <f ca="1">IFERROR(__xludf.DUMMYFUNCTION("""COMPUTED_VALUE"""),500074)</f>
        <v>500074</v>
      </c>
      <c r="D1048" s="1" t="str">
        <f ca="1">IFERROR(__xludf.DUMMYFUNCTION("""COMPUTED_VALUE"""),"Female")</f>
        <v>Female</v>
      </c>
      <c r="E1048" s="1" t="str">
        <f ca="1">IFERROR(__xludf.DUMMYFUNCTION("""COMPUTED_VALUE"""),"My Parents")</f>
        <v>My Parents</v>
      </c>
      <c r="F1048" s="1" t="str">
        <f ca="1">IFERROR(__xludf.DUMMYFUNCTION("""COMPUTED_VALUE"""),"Yes, I will earn and do that")</f>
        <v>Yes, I will earn and do that</v>
      </c>
      <c r="G1048" s="1" t="str">
        <f ca="1">IFERROR(__xludf.DUMMYFUNCTION("""COMPUTED_VALUE"""),"Will work for 3 years or more")</f>
        <v>Will work for 3 years or more</v>
      </c>
      <c r="H1048" s="1" t="str">
        <f ca="1">IFERROR(__xludf.DUMMYFUNCTION("""COMPUTED_VALUE"""),"No")</f>
        <v>No</v>
      </c>
      <c r="I1048" s="1" t="str">
        <f ca="1">IFERROR(__xludf.DUMMYFUNCTION("""COMPUTED_VALUE"""),"Will work for them")</f>
        <v>Will work for them</v>
      </c>
      <c r="J1048" s="1">
        <f ca="1">IFERROR(__xludf.DUMMYFUNCTION("""COMPUTED_VALUE"""),1)</f>
        <v>1</v>
      </c>
      <c r="K1048" s="1" t="str">
        <f ca="1">IFERROR(__xludf.DUMMYFUNCTION("""COMPUTED_VALUE"""),"Fully Remote with Options to travel as and when needed")</f>
        <v>Fully Remote with Options to travel as and when needed</v>
      </c>
      <c r="L1048" s="1" t="str">
        <f ca="1">IFERROR(__xludf.DUMMYFUNCTION("""COMPUTED_VALUE"""),"Employer who pushes your limits by enabling an learning environment, and rewards you at the end")</f>
        <v>Employer who pushes your limits by enabling an learning environment, and rewards you at the end</v>
      </c>
      <c r="M104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048" s="1"/>
      <c r="O1048" s="1" t="str">
        <f ca="1">IFERROR(__xludf.DUMMYFUNCTION("""COMPUTED_VALUE"""),"Manager who clearly describes what she/he needs")</f>
        <v>Manager who clearly describes what she/he needs</v>
      </c>
      <c r="P1048" s="1" t="str">
        <f ca="1">IFERROR(__xludf.DUMMYFUNCTION("""COMPUTED_VALUE"""),"Work &gt;10 people in Team")</f>
        <v>Work &gt;10 people in Team</v>
      </c>
      <c r="Q1048" s="1" t="s">
        <v>43</v>
      </c>
      <c r="R1048" s="1"/>
    </row>
    <row r="1049" spans="1:18" x14ac:dyDescent="0.25">
      <c r="A1049" s="2">
        <f ca="1">IFERROR(__xludf.DUMMYFUNCTION("""COMPUTED_VALUE"""),45043.9278896296)</f>
        <v>45043.927889629602</v>
      </c>
      <c r="B1049" s="1" t="str">
        <f ca="1">IFERROR(__xludf.DUMMYFUNCTION("""COMPUTED_VALUE"""),"India")</f>
        <v>India</v>
      </c>
      <c r="C1049" s="1">
        <f ca="1">IFERROR(__xludf.DUMMYFUNCTION("""COMPUTED_VALUE"""),600044)</f>
        <v>600044</v>
      </c>
      <c r="D1049" s="1" t="str">
        <f ca="1">IFERROR(__xludf.DUMMYFUNCTION("""COMPUTED_VALUE"""),"Male")</f>
        <v>Male</v>
      </c>
      <c r="E1049" s="1" t="str">
        <f ca="1">IFERROR(__xludf.DUMMYFUNCTION("""COMPUTED_VALUE"""),"Social Media like LinkedIn")</f>
        <v>Social Media like LinkedIn</v>
      </c>
      <c r="F1049" s="1" t="str">
        <f ca="1">IFERROR(__xludf.DUMMYFUNCTION("""COMPUTED_VALUE"""),"No, But if someone could bare the cost I will")</f>
        <v>No, But if someone could bare the cost I will</v>
      </c>
      <c r="G1049" s="1" t="str">
        <f ca="1">IFERROR(__xludf.DUMMYFUNCTION("""COMPUTED_VALUE"""),"This will be hard to do, but if it is the right company I would try")</f>
        <v>This will be hard to do, but if it is the right company I would try</v>
      </c>
      <c r="H1049" s="1" t="str">
        <f ca="1">IFERROR(__xludf.DUMMYFUNCTION("""COMPUTED_VALUE"""),"Yes")</f>
        <v>Yes</v>
      </c>
      <c r="I1049" s="1" t="str">
        <f ca="1">IFERROR(__xludf.DUMMYFUNCTION("""COMPUTED_VALUE"""),"Will NOT work for them")</f>
        <v>Will NOT work for them</v>
      </c>
      <c r="J1049" s="1">
        <f ca="1">IFERROR(__xludf.DUMMYFUNCTION("""COMPUTED_VALUE"""),8)</f>
        <v>8</v>
      </c>
      <c r="K1049" s="1" t="str">
        <f ca="1">IFERROR(__xludf.DUMMYFUNCTION("""COMPUTED_VALUE"""),"Hybrid Working Environment with less than 3 days a month at office")</f>
        <v>Hybrid Working Environment with less than 3 days a month at office</v>
      </c>
      <c r="L1049" s="1" t="str">
        <f ca="1">IFERROR(__xludf.DUMMYFUNCTION("""COMPUTED_VALUE"""),"Employer who appreciates learning and enables that environment")</f>
        <v>Employer who appreciates learning and enables that environment</v>
      </c>
      <c r="M104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N1049" s="1"/>
      <c r="O1049" s="1" t="str">
        <f ca="1">IFERROR(__xludf.DUMMYFUNCTION("""COMPUTED_VALUE"""),"Manager who explains what is expected, sets a goal and helps achieve it")</f>
        <v>Manager who explains what is expected, sets a goal and helps achieve it</v>
      </c>
      <c r="P1049" s="1" t="str">
        <f ca="1">IFERROR(__xludf.DUMMYFUNCTION("""COMPUTED_VALUE"""),"Work &lt;=6 People in the Team")</f>
        <v>Work &lt;=6 People in the Team</v>
      </c>
      <c r="Q1049" s="1" t="s">
        <v>40</v>
      </c>
      <c r="R1049" s="1"/>
    </row>
    <row r="1050" spans="1:18" x14ac:dyDescent="0.25">
      <c r="A1050" s="2">
        <f ca="1">IFERROR(__xludf.DUMMYFUNCTION("""COMPUTED_VALUE"""),45043.9280240162)</f>
        <v>45043.928024016197</v>
      </c>
      <c r="B1050" s="1" t="str">
        <f ca="1">IFERROR(__xludf.DUMMYFUNCTION("""COMPUTED_VALUE"""),"India")</f>
        <v>India</v>
      </c>
      <c r="C1050" s="1">
        <f ca="1">IFERROR(__xludf.DUMMYFUNCTION("""COMPUTED_VALUE"""),759107)</f>
        <v>759107</v>
      </c>
      <c r="D1050" s="1" t="str">
        <f ca="1">IFERROR(__xludf.DUMMYFUNCTION("""COMPUTED_VALUE"""),"Female")</f>
        <v>Female</v>
      </c>
      <c r="E1050" s="1" t="str">
        <f ca="1">IFERROR(__xludf.DUMMYFUNCTION("""COMPUTED_VALUE"""),"People from my circle, but not family members")</f>
        <v>People from my circle, but not family members</v>
      </c>
      <c r="F1050" s="1" t="str">
        <f ca="1">IFERROR(__xludf.DUMMYFUNCTION("""COMPUTED_VALUE"""),"No I would not be pursuing Higher Education outside of India")</f>
        <v>No I would not be pursuing Higher Education outside of India</v>
      </c>
      <c r="G1050" s="1" t="str">
        <f ca="1">IFERROR(__xludf.DUMMYFUNCTION("""COMPUTED_VALUE"""),"No way")</f>
        <v>No way</v>
      </c>
      <c r="H1050" s="1" t="str">
        <f ca="1">IFERROR(__xludf.DUMMYFUNCTION("""COMPUTED_VALUE"""),"No")</f>
        <v>No</v>
      </c>
      <c r="I1050" s="1" t="str">
        <f ca="1">IFERROR(__xludf.DUMMYFUNCTION("""COMPUTED_VALUE"""),"Will NOT work for them")</f>
        <v>Will NOT work for them</v>
      </c>
      <c r="J1050" s="1">
        <f ca="1">IFERROR(__xludf.DUMMYFUNCTION("""COMPUTED_VALUE"""),2)</f>
        <v>2</v>
      </c>
      <c r="K1050" s="1" t="str">
        <f ca="1">IFERROR(__xludf.DUMMYFUNCTION("""COMPUTED_VALUE"""),"Fully Remote with Options to travel as and when needed")</f>
        <v>Fully Remote with Options to travel as and when needed</v>
      </c>
      <c r="L1050" s="1" t="str">
        <f ca="1">IFERROR(__xludf.DUMMYFUNCTION("""COMPUTED_VALUE"""),"Employer who appreciates learning and enables that environment")</f>
        <v>Employer who appreciates learning and enables that environment</v>
      </c>
      <c r="M1050"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N1050" s="1"/>
      <c r="O1050" s="1" t="str">
        <f ca="1">IFERROR(__xludf.DUMMYFUNCTION("""COMPUTED_VALUE"""),"Manager who explains what is expected, sets a goal and helps achieve it")</f>
        <v>Manager who explains what is expected, sets a goal and helps achieve it</v>
      </c>
      <c r="P1050" s="1" t="str">
        <f ca="1">IFERROR(__xludf.DUMMYFUNCTION("""COMPUTED_VALUE"""),"Work &lt;=6 People in the Team")</f>
        <v>Work &lt;=6 People in the Team</v>
      </c>
      <c r="Q1050" s="1" t="s">
        <v>43</v>
      </c>
      <c r="R1050" s="1"/>
    </row>
    <row r="1051" spans="1:18" x14ac:dyDescent="0.25">
      <c r="A1051" s="2">
        <f ca="1">IFERROR(__xludf.DUMMYFUNCTION("""COMPUTED_VALUE"""),45043.9282011226)</f>
        <v>45043.928201122602</v>
      </c>
      <c r="B1051" s="1" t="str">
        <f ca="1">IFERROR(__xludf.DUMMYFUNCTION("""COMPUTED_VALUE"""),"India")</f>
        <v>India</v>
      </c>
      <c r="C1051" s="1">
        <f ca="1">IFERROR(__xludf.DUMMYFUNCTION("""COMPUTED_VALUE"""),201002)</f>
        <v>201002</v>
      </c>
      <c r="D1051" s="1" t="str">
        <f ca="1">IFERROR(__xludf.DUMMYFUNCTION("""COMPUTED_VALUE"""),"Female")</f>
        <v>Female</v>
      </c>
      <c r="E1051" s="1" t="str">
        <f ca="1">IFERROR(__xludf.DUMMYFUNCTION("""COMPUTED_VALUE"""),"Social Media like LinkedIn")</f>
        <v>Social Media like LinkedIn</v>
      </c>
      <c r="F1051" s="1" t="str">
        <f ca="1">IFERROR(__xludf.DUMMYFUNCTION("""COMPUTED_VALUE"""),"No I would not be pursuing Higher Education outside of India")</f>
        <v>No I would not be pursuing Higher Education outside of India</v>
      </c>
      <c r="G1051" s="1" t="str">
        <f ca="1">IFERROR(__xludf.DUMMYFUNCTION("""COMPUTED_VALUE"""),"Will work for 3 years or more")</f>
        <v>Will work for 3 years or more</v>
      </c>
      <c r="H1051" s="1" t="str">
        <f ca="1">IFERROR(__xludf.DUMMYFUNCTION("""COMPUTED_VALUE"""),"No")</f>
        <v>No</v>
      </c>
      <c r="I1051" s="1" t="str">
        <f ca="1">IFERROR(__xludf.DUMMYFUNCTION("""COMPUTED_VALUE"""),"Will NOT work for them")</f>
        <v>Will NOT work for them</v>
      </c>
      <c r="J1051" s="1">
        <f ca="1">IFERROR(__xludf.DUMMYFUNCTION("""COMPUTED_VALUE"""),7)</f>
        <v>7</v>
      </c>
      <c r="K1051" s="1" t="str">
        <f ca="1">IFERROR(__xludf.DUMMYFUNCTION("""COMPUTED_VALUE"""),"Hybrid Working Environment with more than 15 days a month at office")</f>
        <v>Hybrid Working Environment with more than 15 days a month at office</v>
      </c>
      <c r="L1051" s="1" t="str">
        <f ca="1">IFERROR(__xludf.DUMMYFUNCTION("""COMPUTED_VALUE"""),"Employer who pushes your limits by enabling an learning environment, and rewards you at the end")</f>
        <v>Employer who pushes your limits by enabling an learning environment, and rewards you at the end</v>
      </c>
      <c r="M1051"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N1051" s="1"/>
      <c r="O1051" s="1" t="str">
        <f ca="1">IFERROR(__xludf.DUMMYFUNCTION("""COMPUTED_VALUE"""),"Manager who explains what is expected, sets a goal and helps achieve it")</f>
        <v>Manager who explains what is expected, sets a goal and helps achieve it</v>
      </c>
      <c r="P1051" s="1" t="str">
        <f ca="1">IFERROR(__xludf.DUMMYFUNCTION("""COMPUTED_VALUE"""),"Work &gt;=7 People in the Team")</f>
        <v>Work &gt;=7 People in the Team</v>
      </c>
      <c r="Q1051" s="1" t="s">
        <v>43</v>
      </c>
      <c r="R1051" s="1"/>
    </row>
    <row r="1052" spans="1:18" x14ac:dyDescent="0.25">
      <c r="A1052" s="2">
        <f ca="1">IFERROR(__xludf.DUMMYFUNCTION("""COMPUTED_VALUE"""),45043.9306859259)</f>
        <v>45043.930685925901</v>
      </c>
      <c r="B1052" s="1" t="str">
        <f ca="1">IFERROR(__xludf.DUMMYFUNCTION("""COMPUTED_VALUE"""),"India")</f>
        <v>India</v>
      </c>
      <c r="C1052" s="1">
        <f ca="1">IFERROR(__xludf.DUMMYFUNCTION("""COMPUTED_VALUE"""),560091)</f>
        <v>560091</v>
      </c>
      <c r="D1052" s="1" t="str">
        <f ca="1">IFERROR(__xludf.DUMMYFUNCTION("""COMPUTED_VALUE"""),"Male")</f>
        <v>Male</v>
      </c>
      <c r="E1052" s="1" t="str">
        <f ca="1">IFERROR(__xludf.DUMMYFUNCTION("""COMPUTED_VALUE"""),"People from my circle, but not family members")</f>
        <v>People from my circle, but not family members</v>
      </c>
      <c r="F1052" s="1" t="str">
        <f ca="1">IFERROR(__xludf.DUMMYFUNCTION("""COMPUTED_VALUE"""),"Yes, I will earn and do that")</f>
        <v>Yes, I will earn and do that</v>
      </c>
      <c r="G1052" s="1" t="str">
        <f ca="1">IFERROR(__xludf.DUMMYFUNCTION("""COMPUTED_VALUE"""),"This will be hard to do, but if it is the right company I would try")</f>
        <v>This will be hard to do, but if it is the right company I would try</v>
      </c>
      <c r="H1052" s="1" t="str">
        <f ca="1">IFERROR(__xludf.DUMMYFUNCTION("""COMPUTED_VALUE"""),"No")</f>
        <v>No</v>
      </c>
      <c r="I1052" s="1" t="str">
        <f ca="1">IFERROR(__xludf.DUMMYFUNCTION("""COMPUTED_VALUE"""),"Will work for them")</f>
        <v>Will work for them</v>
      </c>
      <c r="J1052" s="1">
        <f ca="1">IFERROR(__xludf.DUMMYFUNCTION("""COMPUTED_VALUE"""),10)</f>
        <v>10</v>
      </c>
      <c r="K1052" s="1" t="str">
        <f ca="1">IFERROR(__xludf.DUMMYFUNCTION("""COMPUTED_VALUE"""),"Hybrid Working Environment with less than 3 days a month at office")</f>
        <v>Hybrid Working Environment with less than 3 days a month at office</v>
      </c>
      <c r="L1052" s="1" t="str">
        <f ca="1">IFERROR(__xludf.DUMMYFUNCTION("""COMPUTED_VALUE"""),"Employer who pushes your limits by enabling an learning environment, and rewards you at the end")</f>
        <v>Employer who pushes your limits by enabling an learning environment, and rewards you at the end</v>
      </c>
      <c r="M1052"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1052" s="1"/>
      <c r="O1052" s="1" t="str">
        <f ca="1">IFERROR(__xludf.DUMMYFUNCTION("""COMPUTED_VALUE"""),"Manager who clearly describes what she/he needs")</f>
        <v>Manager who clearly describes what she/he needs</v>
      </c>
      <c r="P1052" s="1" t="str">
        <f ca="1">IFERROR(__xludf.DUMMYFUNCTION("""COMPUTED_VALUE"""),"Work &lt;=6 People in the Team")</f>
        <v>Work &lt;=6 People in the Team</v>
      </c>
      <c r="Q1052" s="1" t="s">
        <v>40</v>
      </c>
      <c r="R1052" s="1"/>
    </row>
    <row r="1053" spans="1:18" x14ac:dyDescent="0.25">
      <c r="A1053" s="2">
        <f ca="1">IFERROR(__xludf.DUMMYFUNCTION("""COMPUTED_VALUE"""),45043.9311880208)</f>
        <v>45043.931188020797</v>
      </c>
      <c r="B1053" s="1" t="str">
        <f ca="1">IFERROR(__xludf.DUMMYFUNCTION("""COMPUTED_VALUE"""),"India")</f>
        <v>India</v>
      </c>
      <c r="C1053" s="1">
        <f ca="1">IFERROR(__xludf.DUMMYFUNCTION("""COMPUTED_VALUE"""),425310)</f>
        <v>425310</v>
      </c>
      <c r="D1053" s="1" t="str">
        <f ca="1">IFERROR(__xludf.DUMMYFUNCTION("""COMPUTED_VALUE"""),"Female")</f>
        <v>Female</v>
      </c>
      <c r="E1053" s="1" t="str">
        <f ca="1">IFERROR(__xludf.DUMMYFUNCTION("""COMPUTED_VALUE"""),"Influencers who had successful careers")</f>
        <v>Influencers who had successful careers</v>
      </c>
      <c r="F1053" s="1" t="str">
        <f ca="1">IFERROR(__xludf.DUMMYFUNCTION("""COMPUTED_VALUE"""),"Yes, I will earn and do that")</f>
        <v>Yes, I will earn and do that</v>
      </c>
      <c r="G1053" s="1" t="str">
        <f ca="1">IFERROR(__xludf.DUMMYFUNCTION("""COMPUTED_VALUE"""),"This will be hard to do, but if it is the right company I would try")</f>
        <v>This will be hard to do, but if it is the right company I would try</v>
      </c>
      <c r="H1053" s="1" t="str">
        <f ca="1">IFERROR(__xludf.DUMMYFUNCTION("""COMPUTED_VALUE"""),"No")</f>
        <v>No</v>
      </c>
      <c r="I1053" s="1" t="str">
        <f ca="1">IFERROR(__xludf.DUMMYFUNCTION("""COMPUTED_VALUE"""),"Will NOT work for them")</f>
        <v>Will NOT work for them</v>
      </c>
      <c r="J1053" s="1">
        <f ca="1">IFERROR(__xludf.DUMMYFUNCTION("""COMPUTED_VALUE"""),5)</f>
        <v>5</v>
      </c>
      <c r="K1053" s="1" t="str">
        <f ca="1">IFERROR(__xludf.DUMMYFUNCTION("""COMPUTED_VALUE"""),"Hybrid Working Environment with more than 15 days a month at office")</f>
        <v>Hybrid Working Environment with more than 15 days a month at office</v>
      </c>
      <c r="L1053" s="1" t="str">
        <f ca="1">IFERROR(__xludf.DUMMYFUNCTION("""COMPUTED_VALUE"""),"Employer who appreciates learning and enables that environment")</f>
        <v>Employer who appreciates learning and enables that environment</v>
      </c>
      <c r="M105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N1053" s="1"/>
      <c r="O1053" s="1" t="str">
        <f ca="1">IFERROR(__xludf.DUMMYFUNCTION("""COMPUTED_VALUE"""),"Manager who explains what is expected, sets a goal and helps achieve it")</f>
        <v>Manager who explains what is expected, sets a goal and helps achieve it</v>
      </c>
      <c r="P1053" s="1" t="str">
        <f ca="1">IFERROR(__xludf.DUMMYFUNCTION("""COMPUTED_VALUE"""),"Work alone")</f>
        <v>Work alone</v>
      </c>
      <c r="Q1053" s="1" t="s">
        <v>43</v>
      </c>
      <c r="R1053" s="1"/>
    </row>
    <row r="1054" spans="1:18" x14ac:dyDescent="0.25">
      <c r="A1054" s="2">
        <f ca="1">IFERROR(__xludf.DUMMYFUNCTION("""COMPUTED_VALUE"""),45043.9312067592)</f>
        <v>45043.931206759204</v>
      </c>
      <c r="B1054" s="1" t="str">
        <f ca="1">IFERROR(__xludf.DUMMYFUNCTION("""COMPUTED_VALUE"""),"India")</f>
        <v>India</v>
      </c>
      <c r="C1054" s="1">
        <f ca="1">IFERROR(__xludf.DUMMYFUNCTION("""COMPUTED_VALUE"""),251201)</f>
        <v>251201</v>
      </c>
      <c r="D1054" s="1" t="str">
        <f ca="1">IFERROR(__xludf.DUMMYFUNCTION("""COMPUTED_VALUE"""),"Female")</f>
        <v>Female</v>
      </c>
      <c r="E1054" s="1" t="str">
        <f ca="1">IFERROR(__xludf.DUMMYFUNCTION("""COMPUTED_VALUE"""),"People who have changed the world for better")</f>
        <v>People who have changed the world for better</v>
      </c>
      <c r="F1054" s="1" t="str">
        <f ca="1">IFERROR(__xludf.DUMMYFUNCTION("""COMPUTED_VALUE"""),"No I would not be pursuing Higher Education outside of India")</f>
        <v>No I would not be pursuing Higher Education outside of India</v>
      </c>
      <c r="G1054" s="1" t="str">
        <f ca="1">IFERROR(__xludf.DUMMYFUNCTION("""COMPUTED_VALUE"""),"This will be hard to do, but if it is the right company I would try")</f>
        <v>This will be hard to do, but if it is the right company I would try</v>
      </c>
      <c r="H1054" s="1" t="str">
        <f ca="1">IFERROR(__xludf.DUMMYFUNCTION("""COMPUTED_VALUE"""),"No")</f>
        <v>No</v>
      </c>
      <c r="I1054" s="1" t="str">
        <f ca="1">IFERROR(__xludf.DUMMYFUNCTION("""COMPUTED_VALUE"""),"Will NOT work for them")</f>
        <v>Will NOT work for them</v>
      </c>
      <c r="J1054" s="1">
        <f ca="1">IFERROR(__xludf.DUMMYFUNCTION("""COMPUTED_VALUE"""),1)</f>
        <v>1</v>
      </c>
      <c r="K1054" s="1" t="str">
        <f ca="1">IFERROR(__xludf.DUMMYFUNCTION("""COMPUTED_VALUE"""),"Fully Remote with Options to travel as and when needed")</f>
        <v>Fully Remote with Options to travel as and when needed</v>
      </c>
      <c r="L1054" s="1" t="str">
        <f ca="1">IFERROR(__xludf.DUMMYFUNCTION("""COMPUTED_VALUE"""),"Employer who pushes your limits by enabling an learning environment, and rewards you at the end")</f>
        <v>Employer who pushes your limits by enabling an learning environment, and rewards you at the end</v>
      </c>
      <c r="M105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N1054" s="1"/>
      <c r="O1054" s="1" t="str">
        <f ca="1">IFERROR(__xludf.DUMMYFUNCTION("""COMPUTED_VALUE"""),"Manager who explains what is expected, sets a goal and helps achieve it")</f>
        <v>Manager who explains what is expected, sets a goal and helps achieve it</v>
      </c>
      <c r="P1054" s="1" t="str">
        <f ca="1">IFERROR(__xludf.DUMMYFUNCTION("""COMPUTED_VALUE"""),"Work &lt;=6 People in the Team")</f>
        <v>Work &lt;=6 People in the Team</v>
      </c>
      <c r="Q1054" s="1" t="s">
        <v>40</v>
      </c>
      <c r="R1054" s="1"/>
    </row>
    <row r="1055" spans="1:18" x14ac:dyDescent="0.25">
      <c r="A1055" s="2">
        <f ca="1">IFERROR(__xludf.DUMMYFUNCTION("""COMPUTED_VALUE"""),45043.9321820023)</f>
        <v>45043.932182002303</v>
      </c>
      <c r="B1055" s="1" t="str">
        <f ca="1">IFERROR(__xludf.DUMMYFUNCTION("""COMPUTED_VALUE"""),"India")</f>
        <v>India</v>
      </c>
      <c r="C1055" s="1">
        <f ca="1">IFERROR(__xludf.DUMMYFUNCTION("""COMPUTED_VALUE"""),600025)</f>
        <v>600025</v>
      </c>
      <c r="D1055" s="1" t="str">
        <f ca="1">IFERROR(__xludf.DUMMYFUNCTION("""COMPUTED_VALUE"""),"Male")</f>
        <v>Male</v>
      </c>
      <c r="E1055" s="1" t="str">
        <f ca="1">IFERROR(__xludf.DUMMYFUNCTION("""COMPUTED_VALUE"""),"My Parents")</f>
        <v>My Parents</v>
      </c>
      <c r="F1055" s="1" t="str">
        <f ca="1">IFERROR(__xludf.DUMMYFUNCTION("""COMPUTED_VALUE"""),"Yes, I will earn and do that")</f>
        <v>Yes, I will earn and do that</v>
      </c>
      <c r="G1055" s="1" t="str">
        <f ca="1">IFERROR(__xludf.DUMMYFUNCTION("""COMPUTED_VALUE"""),"This will be hard to do, but if it is the right company I would try")</f>
        <v>This will be hard to do, but if it is the right company I would try</v>
      </c>
      <c r="H1055" s="1" t="str">
        <f ca="1">IFERROR(__xludf.DUMMYFUNCTION("""COMPUTED_VALUE"""),"Yes")</f>
        <v>Yes</v>
      </c>
      <c r="I1055" s="1" t="str">
        <f ca="1">IFERROR(__xludf.DUMMYFUNCTION("""COMPUTED_VALUE"""),"Will work for them")</f>
        <v>Will work for them</v>
      </c>
      <c r="J1055" s="1">
        <f ca="1">IFERROR(__xludf.DUMMYFUNCTION("""COMPUTED_VALUE"""),5)</f>
        <v>5</v>
      </c>
      <c r="K1055" s="1" t="str">
        <f ca="1">IFERROR(__xludf.DUMMYFUNCTION("""COMPUTED_VALUE"""),"Every Day Office Environment")</f>
        <v>Every Day Office Environment</v>
      </c>
      <c r="L1055" s="1" t="str">
        <f ca="1">IFERROR(__xludf.DUMMYFUNCTION("""COMPUTED_VALUE"""),"Employer who pushes your limits by enabling an learning environment, and rewards you at the end")</f>
        <v>Employer who pushes your limits by enabling an learning environment, and rewards you at the end</v>
      </c>
      <c r="M10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055" s="1"/>
      <c r="O1055" s="1" t="str">
        <f ca="1">IFERROR(__xludf.DUMMYFUNCTION("""COMPUTED_VALUE"""),"Manager who clearly describes what she/he needs")</f>
        <v>Manager who clearly describes what she/he needs</v>
      </c>
      <c r="P1055" s="1" t="str">
        <f ca="1">IFERROR(__xludf.DUMMYFUNCTION("""COMPUTED_VALUE"""),"Work alone")</f>
        <v>Work alone</v>
      </c>
      <c r="Q1055" s="1" t="s">
        <v>43</v>
      </c>
      <c r="R1055" s="1"/>
    </row>
    <row r="1056" spans="1:18" x14ac:dyDescent="0.25">
      <c r="A1056" s="2">
        <f ca="1">IFERROR(__xludf.DUMMYFUNCTION("""COMPUTED_VALUE"""),45043.9326134838)</f>
        <v>45043.932613483797</v>
      </c>
      <c r="B1056" s="1" t="str">
        <f ca="1">IFERROR(__xludf.DUMMYFUNCTION("""COMPUTED_VALUE"""),"India")</f>
        <v>India</v>
      </c>
      <c r="C1056" s="1">
        <f ca="1">IFERROR(__xludf.DUMMYFUNCTION("""COMPUTED_VALUE"""),500076)</f>
        <v>500076</v>
      </c>
      <c r="D1056" s="1" t="str">
        <f ca="1">IFERROR(__xludf.DUMMYFUNCTION("""COMPUTED_VALUE"""),"Female")</f>
        <v>Female</v>
      </c>
      <c r="E1056" s="1" t="str">
        <f ca="1">IFERROR(__xludf.DUMMYFUNCTION("""COMPUTED_VALUE"""),"People who have changed the world for better")</f>
        <v>People who have changed the world for better</v>
      </c>
      <c r="F1056" s="1" t="str">
        <f ca="1">IFERROR(__xludf.DUMMYFUNCTION("""COMPUTED_VALUE"""),"Yes, I will earn and do that")</f>
        <v>Yes, I will earn and do that</v>
      </c>
      <c r="G1056" s="1" t="str">
        <f ca="1">IFERROR(__xludf.DUMMYFUNCTION("""COMPUTED_VALUE"""),"Will work for 3 years or more")</f>
        <v>Will work for 3 years or more</v>
      </c>
      <c r="H1056" s="1" t="str">
        <f ca="1">IFERROR(__xludf.DUMMYFUNCTION("""COMPUTED_VALUE"""),"No")</f>
        <v>No</v>
      </c>
      <c r="I1056" s="1" t="str">
        <f ca="1">IFERROR(__xludf.DUMMYFUNCTION("""COMPUTED_VALUE"""),"Will NOT work for them")</f>
        <v>Will NOT work for them</v>
      </c>
      <c r="J1056" s="1">
        <f ca="1">IFERROR(__xludf.DUMMYFUNCTION("""COMPUTED_VALUE"""),5)</f>
        <v>5</v>
      </c>
      <c r="K1056" s="1" t="str">
        <f ca="1">IFERROR(__xludf.DUMMYFUNCTION("""COMPUTED_VALUE"""),"Fully Remote with Options to travel as and when needed")</f>
        <v>Fully Remote with Options to travel as and when needed</v>
      </c>
      <c r="L1056" s="1" t="str">
        <f ca="1">IFERROR(__xludf.DUMMYFUNCTION("""COMPUTED_VALUE"""),"Employer who pushes your limits by enabling an learning environment, and rewards you at the end")</f>
        <v>Employer who pushes your limits by enabling an learning environment, and rewards you at the end</v>
      </c>
      <c r="M1056"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056" s="1"/>
      <c r="O1056" s="1" t="str">
        <f ca="1">IFERROR(__xludf.DUMMYFUNCTION("""COMPUTED_VALUE"""),"Manager who explains what is expected, sets a goal and helps achieve it")</f>
        <v>Manager who explains what is expected, sets a goal and helps achieve it</v>
      </c>
      <c r="P1056" s="1" t="str">
        <f ca="1">IFERROR(__xludf.DUMMYFUNCTION("""COMPUTED_VALUE"""),"Work &gt;=7 People in the Team")</f>
        <v>Work &gt;=7 People in the Team</v>
      </c>
      <c r="Q1056" s="1" t="s">
        <v>43</v>
      </c>
      <c r="R1056" s="1"/>
    </row>
    <row r="1057" spans="1:18" x14ac:dyDescent="0.25">
      <c r="A1057" s="2">
        <f ca="1">IFERROR(__xludf.DUMMYFUNCTION("""COMPUTED_VALUE"""),45043.9326739351)</f>
        <v>45043.932673935102</v>
      </c>
      <c r="B1057" s="1" t="str">
        <f ca="1">IFERROR(__xludf.DUMMYFUNCTION("""COMPUTED_VALUE"""),"India")</f>
        <v>India</v>
      </c>
      <c r="C1057" s="1">
        <f ca="1">IFERROR(__xludf.DUMMYFUNCTION("""COMPUTED_VALUE"""),263139)</f>
        <v>263139</v>
      </c>
      <c r="D1057" s="1" t="str">
        <f ca="1">IFERROR(__xludf.DUMMYFUNCTION("""COMPUTED_VALUE"""),"Male")</f>
        <v>Male</v>
      </c>
      <c r="E1057" s="1" t="str">
        <f ca="1">IFERROR(__xludf.DUMMYFUNCTION("""COMPUTED_VALUE"""),"Social Media like LinkedIn")</f>
        <v>Social Media like LinkedIn</v>
      </c>
      <c r="F1057" s="1" t="str">
        <f ca="1">IFERROR(__xludf.DUMMYFUNCTION("""COMPUTED_VALUE"""),"No I would not be pursuing Higher Education outside of India")</f>
        <v>No I would not be pursuing Higher Education outside of India</v>
      </c>
      <c r="G1057" s="1" t="str">
        <f ca="1">IFERROR(__xludf.DUMMYFUNCTION("""COMPUTED_VALUE"""),"This will be hard to do, but if it is the right company I would try")</f>
        <v>This will be hard to do, but if it is the right company I would try</v>
      </c>
      <c r="H1057" s="1" t="str">
        <f ca="1">IFERROR(__xludf.DUMMYFUNCTION("""COMPUTED_VALUE"""),"No")</f>
        <v>No</v>
      </c>
      <c r="I1057" s="1" t="str">
        <f ca="1">IFERROR(__xludf.DUMMYFUNCTION("""COMPUTED_VALUE"""),"Will NOT work for them")</f>
        <v>Will NOT work for them</v>
      </c>
      <c r="J1057" s="1">
        <f ca="1">IFERROR(__xludf.DUMMYFUNCTION("""COMPUTED_VALUE"""),8)</f>
        <v>8</v>
      </c>
      <c r="K1057" s="1" t="str">
        <f ca="1">IFERROR(__xludf.DUMMYFUNCTION("""COMPUTED_VALUE"""),"Fully Remote with Options to travel as and when needed")</f>
        <v>Fully Remote with Options to travel as and when needed</v>
      </c>
      <c r="L1057" s="1" t="str">
        <f ca="1">IFERROR(__xludf.DUMMYFUNCTION("""COMPUTED_VALUE"""),"Employer who pushes your limits by enabling an learning environment, and rewards you at the end")</f>
        <v>Employer who pushes your limits by enabling an learning environment, and rewards you at the end</v>
      </c>
      <c r="M105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057" s="1"/>
      <c r="O1057" s="1" t="str">
        <f ca="1">IFERROR(__xludf.DUMMYFUNCTION("""COMPUTED_VALUE"""),"Manager who explains what is expected, sets a goal and helps achieve it")</f>
        <v>Manager who explains what is expected, sets a goal and helps achieve it</v>
      </c>
      <c r="P1057" s="1" t="str">
        <f ca="1">IFERROR(__xludf.DUMMYFUNCTION("""COMPUTED_VALUE"""),"Work &lt;=6 People in the Team")</f>
        <v>Work &lt;=6 People in the Team</v>
      </c>
      <c r="Q1057" s="1" t="s">
        <v>43</v>
      </c>
      <c r="R1057" s="1"/>
    </row>
    <row r="1058" spans="1:18" x14ac:dyDescent="0.25">
      <c r="A1058" s="2">
        <f ca="1">IFERROR(__xludf.DUMMYFUNCTION("""COMPUTED_VALUE"""),45043.9338199768)</f>
        <v>45043.933819976803</v>
      </c>
      <c r="B1058" s="1" t="str">
        <f ca="1">IFERROR(__xludf.DUMMYFUNCTION("""COMPUTED_VALUE"""),"India")</f>
        <v>India</v>
      </c>
      <c r="C1058" s="1">
        <f ca="1">IFERROR(__xludf.DUMMYFUNCTION("""COMPUTED_VALUE"""),600107)</f>
        <v>600107</v>
      </c>
      <c r="D1058" s="1" t="str">
        <f ca="1">IFERROR(__xludf.DUMMYFUNCTION("""COMPUTED_VALUE"""),"Female")</f>
        <v>Female</v>
      </c>
      <c r="E1058" s="1" t="str">
        <f ca="1">IFERROR(__xludf.DUMMYFUNCTION("""COMPUTED_VALUE"""),"My Parents")</f>
        <v>My Parents</v>
      </c>
      <c r="F1058" s="1" t="str">
        <f ca="1">IFERROR(__xludf.DUMMYFUNCTION("""COMPUTED_VALUE"""),"Yes, I will earn and do that")</f>
        <v>Yes, I will earn and do that</v>
      </c>
      <c r="G1058" s="1" t="str">
        <f ca="1">IFERROR(__xludf.DUMMYFUNCTION("""COMPUTED_VALUE"""),"Will work for 3 years or more")</f>
        <v>Will work for 3 years or more</v>
      </c>
      <c r="H1058" s="1" t="str">
        <f ca="1">IFERROR(__xludf.DUMMYFUNCTION("""COMPUTED_VALUE"""),"No")</f>
        <v>No</v>
      </c>
      <c r="I1058" s="1" t="str">
        <f ca="1">IFERROR(__xludf.DUMMYFUNCTION("""COMPUTED_VALUE"""),"Will NOT work for them")</f>
        <v>Will NOT work for them</v>
      </c>
      <c r="J1058" s="1">
        <f ca="1">IFERROR(__xludf.DUMMYFUNCTION("""COMPUTED_VALUE"""),10)</f>
        <v>10</v>
      </c>
      <c r="K1058" s="1" t="str">
        <f ca="1">IFERROR(__xludf.DUMMYFUNCTION("""COMPUTED_VALUE"""),"Every Day Office Environment")</f>
        <v>Every Day Office Environment</v>
      </c>
      <c r="L1058" s="1" t="str">
        <f ca="1">IFERROR(__xludf.DUMMYFUNCTION("""COMPUTED_VALUE"""),"Employer who appreciates learning and enables that environment")</f>
        <v>Employer who appreciates learning and enables that environment</v>
      </c>
      <c r="M105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058" s="1"/>
      <c r="O1058" s="1" t="str">
        <f ca="1">IFERROR(__xludf.DUMMYFUNCTION("""COMPUTED_VALUE"""),"Manager who clearly describes what she/he needs")</f>
        <v>Manager who clearly describes what she/he needs</v>
      </c>
      <c r="P1058" s="1" t="str">
        <f ca="1">IFERROR(__xludf.DUMMYFUNCTION("""COMPUTED_VALUE"""),"Work &lt;=6 People in the Team")</f>
        <v>Work &lt;=6 People in the Team</v>
      </c>
      <c r="Q1058" s="1" t="s">
        <v>43</v>
      </c>
      <c r="R1058" s="1"/>
    </row>
    <row r="1059" spans="1:18" x14ac:dyDescent="0.25">
      <c r="A1059" s="2">
        <f ca="1">IFERROR(__xludf.DUMMYFUNCTION("""COMPUTED_VALUE"""),45043.9346025)</f>
        <v>45043.934602499998</v>
      </c>
      <c r="B1059" s="1" t="str">
        <f ca="1">IFERROR(__xludf.DUMMYFUNCTION("""COMPUTED_VALUE"""),"India")</f>
        <v>India</v>
      </c>
      <c r="C1059" s="1">
        <f ca="1">IFERROR(__xludf.DUMMYFUNCTION("""COMPUTED_VALUE"""),600056)</f>
        <v>600056</v>
      </c>
      <c r="D1059" s="1" t="str">
        <f ca="1">IFERROR(__xludf.DUMMYFUNCTION("""COMPUTED_VALUE"""),"Female")</f>
        <v>Female</v>
      </c>
      <c r="E1059" s="1" t="str">
        <f ca="1">IFERROR(__xludf.DUMMYFUNCTION("""COMPUTED_VALUE"""),"People who have changed the world for better")</f>
        <v>People who have changed the world for better</v>
      </c>
      <c r="F1059" s="1" t="str">
        <f ca="1">IFERROR(__xludf.DUMMYFUNCTION("""COMPUTED_VALUE"""),"No, But if someone could bare the cost I will")</f>
        <v>No, But if someone could bare the cost I will</v>
      </c>
      <c r="G1059" s="1" t="str">
        <f ca="1">IFERROR(__xludf.DUMMYFUNCTION("""COMPUTED_VALUE"""),"This will be hard to do, but if it is the right company I would try")</f>
        <v>This will be hard to do, but if it is the right company I would try</v>
      </c>
      <c r="H1059" s="1" t="str">
        <f ca="1">IFERROR(__xludf.DUMMYFUNCTION("""COMPUTED_VALUE"""),"No")</f>
        <v>No</v>
      </c>
      <c r="I1059" s="1" t="str">
        <f ca="1">IFERROR(__xludf.DUMMYFUNCTION("""COMPUTED_VALUE"""),"Will NOT work for them")</f>
        <v>Will NOT work for them</v>
      </c>
      <c r="J1059" s="1">
        <f ca="1">IFERROR(__xludf.DUMMYFUNCTION("""COMPUTED_VALUE"""),2)</f>
        <v>2</v>
      </c>
      <c r="K1059" s="1" t="str">
        <f ca="1">IFERROR(__xludf.DUMMYFUNCTION("""COMPUTED_VALUE"""),"Fully Remote with Options to travel as and when needed")</f>
        <v>Fully Remote with Options to travel as and when needed</v>
      </c>
      <c r="L1059" s="1" t="str">
        <f ca="1">IFERROR(__xludf.DUMMYFUNCTION("""COMPUTED_VALUE"""),"Employer who pushes your limits by enabling an learning environment, and rewards you at the end")</f>
        <v>Employer who pushes your limits by enabling an learning environment, and rewards you at the end</v>
      </c>
      <c r="M105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1059" s="1"/>
      <c r="O1059" s="1" t="str">
        <f ca="1">IFERROR(__xludf.DUMMYFUNCTION("""COMPUTED_VALUE"""),"Manager who clearly describes what she/he needs")</f>
        <v>Manager who clearly describes what she/he needs</v>
      </c>
      <c r="P1059" s="1" t="str">
        <f ca="1">IFERROR(__xludf.DUMMYFUNCTION("""COMPUTED_VALUE"""),"Work &lt;=6 People in the Team")</f>
        <v>Work &lt;=6 People in the Team</v>
      </c>
      <c r="Q1059" s="1" t="s">
        <v>40</v>
      </c>
      <c r="R1059" s="1"/>
    </row>
    <row r="1060" spans="1:18" x14ac:dyDescent="0.25">
      <c r="A1060" s="2">
        <f ca="1">IFERROR(__xludf.DUMMYFUNCTION("""COMPUTED_VALUE"""),45043.9376346527)</f>
        <v>45043.937634652699</v>
      </c>
      <c r="B1060" s="1" t="str">
        <f ca="1">IFERROR(__xludf.DUMMYFUNCTION("""COMPUTED_VALUE"""),"India")</f>
        <v>India</v>
      </c>
      <c r="C1060" s="1">
        <f ca="1">IFERROR(__xludf.DUMMYFUNCTION("""COMPUTED_VALUE"""),831013)</f>
        <v>831013</v>
      </c>
      <c r="D1060" s="1" t="str">
        <f ca="1">IFERROR(__xludf.DUMMYFUNCTION("""COMPUTED_VALUE"""),"Female")</f>
        <v>Female</v>
      </c>
      <c r="E1060" s="1" t="str">
        <f ca="1">IFERROR(__xludf.DUMMYFUNCTION("""COMPUTED_VALUE"""),"My Parents")</f>
        <v>My Parents</v>
      </c>
      <c r="F1060" s="1" t="str">
        <f ca="1">IFERROR(__xludf.DUMMYFUNCTION("""COMPUTED_VALUE"""),"Yes, I will earn and do that")</f>
        <v>Yes, I will earn and do that</v>
      </c>
      <c r="G1060" s="1" t="str">
        <f ca="1">IFERROR(__xludf.DUMMYFUNCTION("""COMPUTED_VALUE"""),"This will be hard to do, but if it is the right company I would try")</f>
        <v>This will be hard to do, but if it is the right company I would try</v>
      </c>
      <c r="H1060" s="1" t="str">
        <f ca="1">IFERROR(__xludf.DUMMYFUNCTION("""COMPUTED_VALUE"""),"No")</f>
        <v>No</v>
      </c>
      <c r="I1060" s="1" t="str">
        <f ca="1">IFERROR(__xludf.DUMMYFUNCTION("""COMPUTED_VALUE"""),"Will NOT work for them")</f>
        <v>Will NOT work for them</v>
      </c>
      <c r="J1060" s="1">
        <f ca="1">IFERROR(__xludf.DUMMYFUNCTION("""COMPUTED_VALUE"""),4)</f>
        <v>4</v>
      </c>
      <c r="K1060" s="1" t="str">
        <f ca="1">IFERROR(__xludf.DUMMYFUNCTION("""COMPUTED_VALUE"""),"Fully Remote with Options to travel as and when needed")</f>
        <v>Fully Remote with Options to travel as and when needed</v>
      </c>
      <c r="L1060" s="1" t="str">
        <f ca="1">IFERROR(__xludf.DUMMYFUNCTION("""COMPUTED_VALUE"""),"Employer who rewards learning and enables that environment")</f>
        <v>Employer who rewards learning and enables that environment</v>
      </c>
      <c r="M1060"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N1060" s="1"/>
      <c r="O1060" s="1" t="str">
        <f ca="1">IFERROR(__xludf.DUMMYFUNCTION("""COMPUTED_VALUE"""),"Manager who sets goal and helps me achieve it")</f>
        <v>Manager who sets goal and helps me achieve it</v>
      </c>
      <c r="P1060" s="1" t="str">
        <f ca="1">IFERROR(__xludf.DUMMYFUNCTION("""COMPUTED_VALUE"""),"Work &lt;67 People in the Team")</f>
        <v>Work &lt;67 People in the Team</v>
      </c>
      <c r="Q1060" s="1" t="s">
        <v>43</v>
      </c>
      <c r="R1060" s="1"/>
    </row>
    <row r="1061" spans="1:18" x14ac:dyDescent="0.25">
      <c r="A1061" s="2">
        <f ca="1">IFERROR(__xludf.DUMMYFUNCTION("""COMPUTED_VALUE"""),45043.9389921296)</f>
        <v>45043.938992129602</v>
      </c>
      <c r="B1061" s="1" t="str">
        <f ca="1">IFERROR(__xludf.DUMMYFUNCTION("""COMPUTED_VALUE"""),"India")</f>
        <v>India</v>
      </c>
      <c r="C1061" s="1">
        <f ca="1">IFERROR(__xludf.DUMMYFUNCTION("""COMPUTED_VALUE"""),462030)</f>
        <v>462030</v>
      </c>
      <c r="D1061" s="1" t="str">
        <f ca="1">IFERROR(__xludf.DUMMYFUNCTION("""COMPUTED_VALUE"""),"Female")</f>
        <v>Female</v>
      </c>
      <c r="E1061" s="1" t="str">
        <f ca="1">IFERROR(__xludf.DUMMYFUNCTION("""COMPUTED_VALUE"""),"People who have changed the world for better")</f>
        <v>People who have changed the world for better</v>
      </c>
      <c r="F1061" s="1" t="str">
        <f ca="1">IFERROR(__xludf.DUMMYFUNCTION("""COMPUTED_VALUE"""),"No, But if someone could bare the cost I will")</f>
        <v>No, But if someone could bare the cost I will</v>
      </c>
      <c r="G1061" s="1" t="str">
        <f ca="1">IFERROR(__xludf.DUMMYFUNCTION("""COMPUTED_VALUE"""),"Will work for 3 years or more")</f>
        <v>Will work for 3 years or more</v>
      </c>
      <c r="H1061" s="1" t="str">
        <f ca="1">IFERROR(__xludf.DUMMYFUNCTION("""COMPUTED_VALUE"""),"No")</f>
        <v>No</v>
      </c>
      <c r="I1061" s="1" t="str">
        <f ca="1">IFERROR(__xludf.DUMMYFUNCTION("""COMPUTED_VALUE"""),"Will NOT work for them")</f>
        <v>Will NOT work for them</v>
      </c>
      <c r="J1061" s="1">
        <f ca="1">IFERROR(__xludf.DUMMYFUNCTION("""COMPUTED_VALUE"""),6)</f>
        <v>6</v>
      </c>
      <c r="K1061" s="1" t="str">
        <f ca="1">IFERROR(__xludf.DUMMYFUNCTION("""COMPUTED_VALUE"""),"Hybrid Working Environment with less than 3 days a month at office")</f>
        <v>Hybrid Working Environment with less than 3 days a month at office</v>
      </c>
      <c r="L1061" s="1" t="str">
        <f ca="1">IFERROR(__xludf.DUMMYFUNCTION("""COMPUTED_VALUE"""),"Employer who pushes your limits by enabling an learning environment, and rewards you at the end")</f>
        <v>Employer who pushes your limits by enabling an learning environment, and rewards you at the end</v>
      </c>
      <c r="M106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N1061" s="1"/>
      <c r="O1061" s="1" t="str">
        <f ca="1">IFERROR(__xludf.DUMMYFUNCTION("""COMPUTED_VALUE"""),"Manager who explains what is expected, sets a goal and helps achieve it")</f>
        <v>Manager who explains what is expected, sets a goal and helps achieve it</v>
      </c>
      <c r="P1061" s="1" t="str">
        <f ca="1">IFERROR(__xludf.DUMMYFUNCTION("""COMPUTED_VALUE"""),"Work &lt;=6 People in the Team")</f>
        <v>Work &lt;=6 People in the Team</v>
      </c>
      <c r="Q1061" s="1" t="s">
        <v>40</v>
      </c>
      <c r="R1061" s="1"/>
    </row>
    <row r="1062" spans="1:18" x14ac:dyDescent="0.25">
      <c r="A1062" s="2">
        <f ca="1">IFERROR(__xludf.DUMMYFUNCTION("""COMPUTED_VALUE"""),45043.9390910763)</f>
        <v>45043.939091076303</v>
      </c>
      <c r="B1062" s="1" t="str">
        <f ca="1">IFERROR(__xludf.DUMMYFUNCTION("""COMPUTED_VALUE"""),"India")</f>
        <v>India</v>
      </c>
      <c r="C1062" s="1">
        <f ca="1">IFERROR(__xludf.DUMMYFUNCTION("""COMPUTED_VALUE"""),492008)</f>
        <v>492008</v>
      </c>
      <c r="D1062" s="1" t="str">
        <f ca="1">IFERROR(__xludf.DUMMYFUNCTION("""COMPUTED_VALUE"""),"Male")</f>
        <v>Male</v>
      </c>
      <c r="E1062" s="1" t="str">
        <f ca="1">IFERROR(__xludf.DUMMYFUNCTION("""COMPUTED_VALUE"""),"Influencers who had successful careers")</f>
        <v>Influencers who had successful careers</v>
      </c>
      <c r="F1062" s="1" t="str">
        <f ca="1">IFERROR(__xludf.DUMMYFUNCTION("""COMPUTED_VALUE"""),"Yes, I will earn and do that")</f>
        <v>Yes, I will earn and do that</v>
      </c>
      <c r="G1062" s="1" t="str">
        <f ca="1">IFERROR(__xludf.DUMMYFUNCTION("""COMPUTED_VALUE"""),"This will be hard to do, but if it is the right company I would try")</f>
        <v>This will be hard to do, but if it is the right company I would try</v>
      </c>
      <c r="H1062" s="1" t="str">
        <f ca="1">IFERROR(__xludf.DUMMYFUNCTION("""COMPUTED_VALUE"""),"Yes")</f>
        <v>Yes</v>
      </c>
      <c r="I1062" s="1" t="str">
        <f ca="1">IFERROR(__xludf.DUMMYFUNCTION("""COMPUTED_VALUE"""),"Will work for them")</f>
        <v>Will work for them</v>
      </c>
      <c r="J1062" s="1">
        <f ca="1">IFERROR(__xludf.DUMMYFUNCTION("""COMPUTED_VALUE"""),6)</f>
        <v>6</v>
      </c>
      <c r="K1062" s="1" t="str">
        <f ca="1">IFERROR(__xludf.DUMMYFUNCTION("""COMPUTED_VALUE"""),"Every Day Office Environment")</f>
        <v>Every Day Office Environment</v>
      </c>
      <c r="L1062" s="1" t="str">
        <f ca="1">IFERROR(__xludf.DUMMYFUNCTION("""COMPUTED_VALUE"""),"Employer who pushes your limits by enabling an learning environment, and rewards you at the end")</f>
        <v>Employer who pushes your limits by enabling an learning environment, and rewards you at the end</v>
      </c>
      <c r="M106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1062" s="1"/>
      <c r="O1062" s="1" t="str">
        <f ca="1">IFERROR(__xludf.DUMMYFUNCTION("""COMPUTED_VALUE"""),"Manager who sets goal and helps me achieve it")</f>
        <v>Manager who sets goal and helps me achieve it</v>
      </c>
      <c r="P1062" s="1" t="str">
        <f ca="1">IFERROR(__xludf.DUMMYFUNCTION("""COMPUTED_VALUE"""),"Work &gt;10 people in Team")</f>
        <v>Work &gt;10 people in Team</v>
      </c>
      <c r="Q1062" s="1" t="s">
        <v>43</v>
      </c>
      <c r="R1062" s="1"/>
    </row>
    <row r="1063" spans="1:18" x14ac:dyDescent="0.25">
      <c r="A1063" s="2">
        <f ca="1">IFERROR(__xludf.DUMMYFUNCTION("""COMPUTED_VALUE"""),45043.9426491666)</f>
        <v>45043.942649166602</v>
      </c>
      <c r="B1063" s="1" t="str">
        <f ca="1">IFERROR(__xludf.DUMMYFUNCTION("""COMPUTED_VALUE"""),"India")</f>
        <v>India</v>
      </c>
      <c r="C1063" s="1">
        <f ca="1">IFERROR(__xludf.DUMMYFUNCTION("""COMPUTED_VALUE"""),530051)</f>
        <v>530051</v>
      </c>
      <c r="D1063" s="1" t="str">
        <f ca="1">IFERROR(__xludf.DUMMYFUNCTION("""COMPUTED_VALUE"""),"Female")</f>
        <v>Female</v>
      </c>
      <c r="E1063" s="1" t="str">
        <f ca="1">IFERROR(__xludf.DUMMYFUNCTION("""COMPUTED_VALUE"""),"My Parents")</f>
        <v>My Parents</v>
      </c>
      <c r="F1063" s="1" t="str">
        <f ca="1">IFERROR(__xludf.DUMMYFUNCTION("""COMPUTED_VALUE"""),"Yes, I will earn and do that")</f>
        <v>Yes, I will earn and do that</v>
      </c>
      <c r="G1063" s="1" t="str">
        <f ca="1">IFERROR(__xludf.DUMMYFUNCTION("""COMPUTED_VALUE"""),"Will work for 3 years or more")</f>
        <v>Will work for 3 years or more</v>
      </c>
      <c r="H1063" s="1" t="str">
        <f ca="1">IFERROR(__xludf.DUMMYFUNCTION("""COMPUTED_VALUE"""),"No")</f>
        <v>No</v>
      </c>
      <c r="I1063" s="1" t="str">
        <f ca="1">IFERROR(__xludf.DUMMYFUNCTION("""COMPUTED_VALUE"""),"Will NOT work for them")</f>
        <v>Will NOT work for them</v>
      </c>
      <c r="J1063" s="1">
        <f ca="1">IFERROR(__xludf.DUMMYFUNCTION("""COMPUTED_VALUE"""),5)</f>
        <v>5</v>
      </c>
      <c r="K1063" s="1" t="str">
        <f ca="1">IFERROR(__xludf.DUMMYFUNCTION("""COMPUTED_VALUE"""),"Fully Remote with Options to travel as and when needed")</f>
        <v>Fully Remote with Options to travel as and when needed</v>
      </c>
      <c r="L1063" s="1" t="str">
        <f ca="1">IFERROR(__xludf.DUMMYFUNCTION("""COMPUTED_VALUE"""),"Employer who pushes your limits by enabling an learning environment, and rewards you at the end")</f>
        <v>Employer who pushes your limits by enabling an learning environment, and rewards you at the end</v>
      </c>
      <c r="M106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N1063" s="1"/>
      <c r="O1063" s="1" t="str">
        <f ca="1">IFERROR(__xludf.DUMMYFUNCTION("""COMPUTED_VALUE"""),"Manager who explains what is expected, sets a goal and helps achieve it")</f>
        <v>Manager who explains what is expected, sets a goal and helps achieve it</v>
      </c>
      <c r="P1063" s="1" t="str">
        <f ca="1">IFERROR(__xludf.DUMMYFUNCTION("""COMPUTED_VALUE"""),"Work Alone, &lt;=6 in team")</f>
        <v>Work Alone, &lt;=6 in team</v>
      </c>
      <c r="Q1063" s="1" t="s">
        <v>43</v>
      </c>
      <c r="R1063" s="1"/>
    </row>
    <row r="1064" spans="1:18" x14ac:dyDescent="0.25">
      <c r="A1064" s="2">
        <f ca="1">IFERROR(__xludf.DUMMYFUNCTION("""COMPUTED_VALUE"""),45043.943020081)</f>
        <v>45043.943020081002</v>
      </c>
      <c r="B1064" s="1" t="str">
        <f ca="1">IFERROR(__xludf.DUMMYFUNCTION("""COMPUTED_VALUE"""),"India")</f>
        <v>India</v>
      </c>
      <c r="C1064" s="1">
        <f ca="1">IFERROR(__xludf.DUMMYFUNCTION("""COMPUTED_VALUE"""),500097)</f>
        <v>500097</v>
      </c>
      <c r="D1064" s="1" t="str">
        <f ca="1">IFERROR(__xludf.DUMMYFUNCTION("""COMPUTED_VALUE"""),"Female")</f>
        <v>Female</v>
      </c>
      <c r="E1064" s="1" t="str">
        <f ca="1">IFERROR(__xludf.DUMMYFUNCTION("""COMPUTED_VALUE"""),"My Parents")</f>
        <v>My Parents</v>
      </c>
      <c r="F1064" s="1" t="str">
        <f ca="1">IFERROR(__xludf.DUMMYFUNCTION("""COMPUTED_VALUE"""),"Yes, I will earn and do that")</f>
        <v>Yes, I will earn and do that</v>
      </c>
      <c r="G1064" s="1" t="str">
        <f ca="1">IFERROR(__xludf.DUMMYFUNCTION("""COMPUTED_VALUE"""),"This will be hard to do, but if it is the right company I would try")</f>
        <v>This will be hard to do, but if it is the right company I would try</v>
      </c>
      <c r="H1064" s="1" t="str">
        <f ca="1">IFERROR(__xludf.DUMMYFUNCTION("""COMPUTED_VALUE"""),"No")</f>
        <v>No</v>
      </c>
      <c r="I1064" s="1" t="str">
        <f ca="1">IFERROR(__xludf.DUMMYFUNCTION("""COMPUTED_VALUE"""),"Will NOT work for them")</f>
        <v>Will NOT work for them</v>
      </c>
      <c r="J1064" s="1">
        <f ca="1">IFERROR(__xludf.DUMMYFUNCTION("""COMPUTED_VALUE"""),7)</f>
        <v>7</v>
      </c>
      <c r="K1064" s="1" t="str">
        <f ca="1">IFERROR(__xludf.DUMMYFUNCTION("""COMPUTED_VALUE"""),"Every Day Office Environment")</f>
        <v>Every Day Office Environment</v>
      </c>
      <c r="L1064" s="1" t="str">
        <f ca="1">IFERROR(__xludf.DUMMYFUNCTION("""COMPUTED_VALUE"""),"Employer who appreciates learning and enables that environment")</f>
        <v>Employer who appreciates learning and enables that environment</v>
      </c>
      <c r="M1064"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N1064" s="1"/>
      <c r="O1064" s="1" t="str">
        <f ca="1">IFERROR(__xludf.DUMMYFUNCTION("""COMPUTED_VALUE"""),"Manager who explains what is expected, sets a goal and helps achieve it")</f>
        <v>Manager who explains what is expected, sets a goal and helps achieve it</v>
      </c>
      <c r="P1064" s="1" t="str">
        <f ca="1">IFERROR(__xludf.DUMMYFUNCTION("""COMPUTED_VALUE"""),"Work &lt;=6 People in the Team")</f>
        <v>Work &lt;=6 People in the Team</v>
      </c>
      <c r="Q1064" s="1" t="s">
        <v>43</v>
      </c>
      <c r="R1064" s="1"/>
    </row>
    <row r="1065" spans="1:18" x14ac:dyDescent="0.25">
      <c r="A1065" s="2">
        <f ca="1">IFERROR(__xludf.DUMMYFUNCTION("""COMPUTED_VALUE"""),45043.9439383449)</f>
        <v>45043.943938344899</v>
      </c>
      <c r="B1065" s="1" t="str">
        <f ca="1">IFERROR(__xludf.DUMMYFUNCTION("""COMPUTED_VALUE"""),"India")</f>
        <v>India</v>
      </c>
      <c r="C1065" s="1">
        <f ca="1">IFERROR(__xludf.DUMMYFUNCTION("""COMPUTED_VALUE"""),411027)</f>
        <v>411027</v>
      </c>
      <c r="D1065" s="1" t="str">
        <f ca="1">IFERROR(__xludf.DUMMYFUNCTION("""COMPUTED_VALUE"""),"Male")</f>
        <v>Male</v>
      </c>
      <c r="E1065" s="1" t="str">
        <f ca="1">IFERROR(__xludf.DUMMYFUNCTION("""COMPUTED_VALUE"""),"Social Media like LinkedIn")</f>
        <v>Social Media like LinkedIn</v>
      </c>
      <c r="F1065" s="1" t="str">
        <f ca="1">IFERROR(__xludf.DUMMYFUNCTION("""COMPUTED_VALUE"""),"Yes, I will earn and do that")</f>
        <v>Yes, I will earn and do that</v>
      </c>
      <c r="G1065" s="1" t="str">
        <f ca="1">IFERROR(__xludf.DUMMYFUNCTION("""COMPUTED_VALUE"""),"Will work for 3 years or more")</f>
        <v>Will work for 3 years or more</v>
      </c>
      <c r="H1065" s="1" t="str">
        <f ca="1">IFERROR(__xludf.DUMMYFUNCTION("""COMPUTED_VALUE"""),"No")</f>
        <v>No</v>
      </c>
      <c r="I1065" s="1" t="str">
        <f ca="1">IFERROR(__xludf.DUMMYFUNCTION("""COMPUTED_VALUE"""),"Will NOT work for them")</f>
        <v>Will NOT work for them</v>
      </c>
      <c r="J1065" s="1">
        <f ca="1">IFERROR(__xludf.DUMMYFUNCTION("""COMPUTED_VALUE"""),10)</f>
        <v>10</v>
      </c>
      <c r="K1065" s="1" t="str">
        <f ca="1">IFERROR(__xludf.DUMMYFUNCTION("""COMPUTED_VALUE"""),"Every Day Office Environment")</f>
        <v>Every Day Office Environment</v>
      </c>
      <c r="L1065" s="1" t="str">
        <f ca="1">IFERROR(__xludf.DUMMYFUNCTION("""COMPUTED_VALUE"""),"Employer who pushes your limits by enabling an learning environment, and rewards you at the end")</f>
        <v>Employer who pushes your limits by enabling an learning environment, and rewards you at the end</v>
      </c>
      <c r="M1065"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N1065" s="1"/>
      <c r="O1065" s="1" t="str">
        <f ca="1">IFERROR(__xludf.DUMMYFUNCTION("""COMPUTED_VALUE"""),"Manager who explains what is expected, sets a goal and helps achieve it")</f>
        <v>Manager who explains what is expected, sets a goal and helps achieve it</v>
      </c>
      <c r="P1065" s="1" t="str">
        <f ca="1">IFERROR(__xludf.DUMMYFUNCTION("""COMPUTED_VALUE"""),"Work &gt;10 people in Team")</f>
        <v>Work &gt;10 people in Team</v>
      </c>
      <c r="Q1065" s="1" t="s">
        <v>40</v>
      </c>
      <c r="R1065" s="1"/>
    </row>
    <row r="1066" spans="1:18" x14ac:dyDescent="0.25">
      <c r="A1066" s="2">
        <f ca="1">IFERROR(__xludf.DUMMYFUNCTION("""COMPUTED_VALUE"""),45043.9440781018)</f>
        <v>45043.944078101798</v>
      </c>
      <c r="B1066" s="1" t="str">
        <f ca="1">IFERROR(__xludf.DUMMYFUNCTION("""COMPUTED_VALUE"""),"India")</f>
        <v>India</v>
      </c>
      <c r="C1066" s="1">
        <f ca="1">IFERROR(__xludf.DUMMYFUNCTION("""COMPUTED_VALUE"""),492001)</f>
        <v>492001</v>
      </c>
      <c r="D1066" s="1" t="str">
        <f ca="1">IFERROR(__xludf.DUMMYFUNCTION("""COMPUTED_VALUE"""),"Female")</f>
        <v>Female</v>
      </c>
      <c r="E1066" s="1" t="str">
        <f ca="1">IFERROR(__xludf.DUMMYFUNCTION("""COMPUTED_VALUE"""),"My Parents")</f>
        <v>My Parents</v>
      </c>
      <c r="F1066" s="1" t="str">
        <f ca="1">IFERROR(__xludf.DUMMYFUNCTION("""COMPUTED_VALUE"""),"No, But if someone could bare the cost I will")</f>
        <v>No, But if someone could bare the cost I will</v>
      </c>
      <c r="G1066" s="1" t="str">
        <f ca="1">IFERROR(__xludf.DUMMYFUNCTION("""COMPUTED_VALUE"""),"This will be hard to do, but if it is the right company I would try")</f>
        <v>This will be hard to do, but if it is the right company I would try</v>
      </c>
      <c r="H1066" s="1" t="str">
        <f ca="1">IFERROR(__xludf.DUMMYFUNCTION("""COMPUTED_VALUE"""),"No")</f>
        <v>No</v>
      </c>
      <c r="I1066" s="1" t="str">
        <f ca="1">IFERROR(__xludf.DUMMYFUNCTION("""COMPUTED_VALUE"""),"Will work for them")</f>
        <v>Will work for them</v>
      </c>
      <c r="J1066" s="1">
        <f ca="1">IFERROR(__xludf.DUMMYFUNCTION("""COMPUTED_VALUE"""),7)</f>
        <v>7</v>
      </c>
      <c r="K1066" s="1" t="str">
        <f ca="1">IFERROR(__xludf.DUMMYFUNCTION("""COMPUTED_VALUE"""),"Fully Remote with Options to travel as and when needed")</f>
        <v>Fully Remote with Options to travel as and when needed</v>
      </c>
      <c r="L1066" s="1" t="str">
        <f ca="1">IFERROR(__xludf.DUMMYFUNCTION("""COMPUTED_VALUE"""),"Employer who pushes your limits by enabling an learning environment, and rewards you at the end")</f>
        <v>Employer who pushes your limits by enabling an learning environment, and rewards you at the end</v>
      </c>
      <c r="M1066"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N1066" s="1"/>
      <c r="O1066" s="1" t="str">
        <f ca="1">IFERROR(__xludf.DUMMYFUNCTION("""COMPUTED_VALUE"""),"Manager who clearly describes what she/he needs")</f>
        <v>Manager who clearly describes what she/he needs</v>
      </c>
      <c r="P1066" s="1" t="str">
        <f ca="1">IFERROR(__xludf.DUMMYFUNCTION("""COMPUTED_VALUE"""),"Work Alone, &lt;=6 in team")</f>
        <v>Work Alone, &lt;=6 in team</v>
      </c>
      <c r="Q1066" s="1" t="s">
        <v>43</v>
      </c>
      <c r="R1066" s="1"/>
    </row>
    <row r="1067" spans="1:18" x14ac:dyDescent="0.25">
      <c r="A1067" s="2">
        <f ca="1">IFERROR(__xludf.DUMMYFUNCTION("""COMPUTED_VALUE"""),45043.9441305671)</f>
        <v>45043.944130567099</v>
      </c>
      <c r="B1067" s="1" t="str">
        <f ca="1">IFERROR(__xludf.DUMMYFUNCTION("""COMPUTED_VALUE"""),"India")</f>
        <v>India</v>
      </c>
      <c r="C1067" s="1">
        <f ca="1">IFERROR(__xludf.DUMMYFUNCTION("""COMPUTED_VALUE"""),411027)</f>
        <v>411027</v>
      </c>
      <c r="D1067" s="1" t="str">
        <f ca="1">IFERROR(__xludf.DUMMYFUNCTION("""COMPUTED_VALUE"""),"Male")</f>
        <v>Male</v>
      </c>
      <c r="E1067" s="1" t="str">
        <f ca="1">IFERROR(__xludf.DUMMYFUNCTION("""COMPUTED_VALUE"""),"People who have changed the world for better")</f>
        <v>People who have changed the world for better</v>
      </c>
      <c r="F1067" s="1" t="str">
        <f ca="1">IFERROR(__xludf.DUMMYFUNCTION("""COMPUTED_VALUE"""),"No I would not be pursuing Higher Education outside of India")</f>
        <v>No I would not be pursuing Higher Education outside of India</v>
      </c>
      <c r="G1067" s="1" t="str">
        <f ca="1">IFERROR(__xludf.DUMMYFUNCTION("""COMPUTED_VALUE"""),"This will be hard to do, but if it is the right company I would try")</f>
        <v>This will be hard to do, but if it is the right company I would try</v>
      </c>
      <c r="H1067" s="1" t="str">
        <f ca="1">IFERROR(__xludf.DUMMYFUNCTION("""COMPUTED_VALUE"""),"Yes")</f>
        <v>Yes</v>
      </c>
      <c r="I1067" s="1" t="str">
        <f ca="1">IFERROR(__xludf.DUMMYFUNCTION("""COMPUTED_VALUE"""),"Will NOT work for them")</f>
        <v>Will NOT work for them</v>
      </c>
      <c r="J1067" s="1">
        <f ca="1">IFERROR(__xludf.DUMMYFUNCTION("""COMPUTED_VALUE"""),8)</f>
        <v>8</v>
      </c>
      <c r="K1067" s="1" t="str">
        <f ca="1">IFERROR(__xludf.DUMMYFUNCTION("""COMPUTED_VALUE"""),"Fully Remote with Options to travel as and when needed")</f>
        <v>Fully Remote with Options to travel as and when needed</v>
      </c>
      <c r="L1067" s="1" t="str">
        <f ca="1">IFERROR(__xludf.DUMMYFUNCTION("""COMPUTED_VALUE"""),"Employer who pushes your limits by enabling an learning environment, and rewards you at the end")</f>
        <v>Employer who pushes your limits by enabling an learning environment, and rewards you at the end</v>
      </c>
      <c r="M1067"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N1067" s="1"/>
      <c r="O1067" s="1" t="str">
        <f ca="1">IFERROR(__xludf.DUMMYFUNCTION("""COMPUTED_VALUE"""),"Manager who explains what is expected, sets a goal and helps achieve it")</f>
        <v>Manager who explains what is expected, sets a goal and helps achieve it</v>
      </c>
      <c r="P1067" s="1" t="str">
        <f ca="1">IFERROR(__xludf.DUMMYFUNCTION("""COMPUTED_VALUE"""),"Work &lt;=6 People in the Team")</f>
        <v>Work &lt;=6 People in the Team</v>
      </c>
      <c r="Q1067" s="1" t="s">
        <v>43</v>
      </c>
      <c r="R1067" s="1"/>
    </row>
    <row r="1068" spans="1:18" x14ac:dyDescent="0.25">
      <c r="A1068" s="2">
        <f ca="1">IFERROR(__xludf.DUMMYFUNCTION("""COMPUTED_VALUE"""),45043.9458601041)</f>
        <v>45043.945860104097</v>
      </c>
      <c r="B1068" s="1" t="str">
        <f ca="1">IFERROR(__xludf.DUMMYFUNCTION("""COMPUTED_VALUE"""),"India")</f>
        <v>India</v>
      </c>
      <c r="C1068" s="1">
        <f ca="1">IFERROR(__xludf.DUMMYFUNCTION("""COMPUTED_VALUE"""),191103)</f>
        <v>191103</v>
      </c>
      <c r="D1068" s="1" t="str">
        <f ca="1">IFERROR(__xludf.DUMMYFUNCTION("""COMPUTED_VALUE"""),"Male")</f>
        <v>Male</v>
      </c>
      <c r="E1068" s="1" t="str">
        <f ca="1">IFERROR(__xludf.DUMMYFUNCTION("""COMPUTED_VALUE"""),"My Parents")</f>
        <v>My Parents</v>
      </c>
      <c r="F1068" s="1" t="str">
        <f ca="1">IFERROR(__xludf.DUMMYFUNCTION("""COMPUTED_VALUE"""),"No I would not be pursuing Higher Education outside of India")</f>
        <v>No I would not be pursuing Higher Education outside of India</v>
      </c>
      <c r="G1068" s="1" t="str">
        <f ca="1">IFERROR(__xludf.DUMMYFUNCTION("""COMPUTED_VALUE"""),"This will be hard to do, but if it is the right company I would try")</f>
        <v>This will be hard to do, but if it is the right company I would try</v>
      </c>
      <c r="H1068" s="1" t="str">
        <f ca="1">IFERROR(__xludf.DUMMYFUNCTION("""COMPUTED_VALUE"""),"No")</f>
        <v>No</v>
      </c>
      <c r="I1068" s="1" t="str">
        <f ca="1">IFERROR(__xludf.DUMMYFUNCTION("""COMPUTED_VALUE"""),"Will NOT work for them")</f>
        <v>Will NOT work for them</v>
      </c>
      <c r="J1068" s="1">
        <f ca="1">IFERROR(__xludf.DUMMYFUNCTION("""COMPUTED_VALUE"""),7)</f>
        <v>7</v>
      </c>
      <c r="K1068" s="1" t="str">
        <f ca="1">IFERROR(__xludf.DUMMYFUNCTION("""COMPUTED_VALUE"""),"Fully Remote with Options to travel as and when needed")</f>
        <v>Fully Remote with Options to travel as and when needed</v>
      </c>
      <c r="L1068" s="1" t="str">
        <f ca="1">IFERROR(__xludf.DUMMYFUNCTION("""COMPUTED_VALUE"""),"Employer who pushes your limits by enabling an learning environment, and rewards you at the end")</f>
        <v>Employer who pushes your limits by enabling an learning environment, and rewards you at the end</v>
      </c>
      <c r="M1068"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N1068" s="1"/>
      <c r="O1068" s="1" t="str">
        <f ca="1">IFERROR(__xludf.DUMMYFUNCTION("""COMPUTED_VALUE"""),"Manager who explains what is expected, sets a goal and helps achieve it")</f>
        <v>Manager who explains what is expected, sets a goal and helps achieve it</v>
      </c>
      <c r="P1068" s="1" t="str">
        <f ca="1">IFERROR(__xludf.DUMMYFUNCTION("""COMPUTED_VALUE"""),"Work alone")</f>
        <v>Work alone</v>
      </c>
      <c r="Q1068" s="1" t="s">
        <v>43</v>
      </c>
      <c r="R1068" s="1"/>
    </row>
    <row r="1069" spans="1:18" x14ac:dyDescent="0.25">
      <c r="A1069" s="2">
        <f ca="1">IFERROR(__xludf.DUMMYFUNCTION("""COMPUTED_VALUE"""),45043.946103368)</f>
        <v>45043.946103367998</v>
      </c>
      <c r="B1069" s="1" t="str">
        <f ca="1">IFERROR(__xludf.DUMMYFUNCTION("""COMPUTED_VALUE"""),"India")</f>
        <v>India</v>
      </c>
      <c r="C1069" s="1">
        <f ca="1">IFERROR(__xludf.DUMMYFUNCTION("""COMPUTED_VALUE"""),201002)</f>
        <v>201002</v>
      </c>
      <c r="D1069" s="1" t="str">
        <f ca="1">IFERROR(__xludf.DUMMYFUNCTION("""COMPUTED_VALUE"""),"Male")</f>
        <v>Male</v>
      </c>
      <c r="E1069" s="1" t="str">
        <f ca="1">IFERROR(__xludf.DUMMYFUNCTION("""COMPUTED_VALUE"""),"People who have changed the world for better")</f>
        <v>People who have changed the world for better</v>
      </c>
      <c r="F1069" s="1" t="str">
        <f ca="1">IFERROR(__xludf.DUMMYFUNCTION("""COMPUTED_VALUE"""),"Yes, I will earn and do that")</f>
        <v>Yes, I will earn and do that</v>
      </c>
      <c r="G1069" s="1" t="str">
        <f ca="1">IFERROR(__xludf.DUMMYFUNCTION("""COMPUTED_VALUE"""),"This will be hard to do, but if it is the right company I would try")</f>
        <v>This will be hard to do, but if it is the right company I would try</v>
      </c>
      <c r="H1069" s="1" t="str">
        <f ca="1">IFERROR(__xludf.DUMMYFUNCTION("""COMPUTED_VALUE"""),"No")</f>
        <v>No</v>
      </c>
      <c r="I1069" s="1" t="str">
        <f ca="1">IFERROR(__xludf.DUMMYFUNCTION("""COMPUTED_VALUE"""),"Will NOT work for them")</f>
        <v>Will NOT work for them</v>
      </c>
      <c r="J1069" s="1">
        <f ca="1">IFERROR(__xludf.DUMMYFUNCTION("""COMPUTED_VALUE"""),1)</f>
        <v>1</v>
      </c>
      <c r="K1069" s="1" t="str">
        <f ca="1">IFERROR(__xludf.DUMMYFUNCTION("""COMPUTED_VALUE"""),"Fully Remote with Options to travel as and when needed")</f>
        <v>Fully Remote with Options to travel as and when needed</v>
      </c>
      <c r="L1069" s="1" t="str">
        <f ca="1">IFERROR(__xludf.DUMMYFUNCTION("""COMPUTED_VALUE"""),"Employer who appreciates learning and enables that environment")</f>
        <v>Employer who appreciates learning and enables that environment</v>
      </c>
      <c r="M1069"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N1069" s="1"/>
      <c r="O1069" s="1" t="str">
        <f ca="1">IFERROR(__xludf.DUMMYFUNCTION("""COMPUTED_VALUE"""),"Manager who explains what is expected, sets a goal and helps achieve it")</f>
        <v>Manager who explains what is expected, sets a goal and helps achieve it</v>
      </c>
      <c r="P1069" s="1" t="str">
        <f ca="1">IFERROR(__xludf.DUMMYFUNCTION("""COMPUTED_VALUE"""),"Work &gt;=7 People in the Team")</f>
        <v>Work &gt;=7 People in the Team</v>
      </c>
      <c r="Q1069" s="1" t="s">
        <v>43</v>
      </c>
      <c r="R1069" s="1"/>
    </row>
    <row r="1070" spans="1:18" x14ac:dyDescent="0.25">
      <c r="A1070" s="2">
        <f ca="1">IFERROR(__xludf.DUMMYFUNCTION("""COMPUTED_VALUE"""),45043.9509361342)</f>
        <v>45043.950936134199</v>
      </c>
      <c r="B1070" s="1" t="str">
        <f ca="1">IFERROR(__xludf.DUMMYFUNCTION("""COMPUTED_VALUE"""),"India")</f>
        <v>India</v>
      </c>
      <c r="C1070" s="1">
        <f ca="1">IFERROR(__xludf.DUMMYFUNCTION("""COMPUTED_VALUE"""),530028)</f>
        <v>530028</v>
      </c>
      <c r="D1070" s="1" t="str">
        <f ca="1">IFERROR(__xludf.DUMMYFUNCTION("""COMPUTED_VALUE"""),"Male")</f>
        <v>Male</v>
      </c>
      <c r="E1070" s="1" t="str">
        <f ca="1">IFERROR(__xludf.DUMMYFUNCTION("""COMPUTED_VALUE"""),"Influencers who had successful careers")</f>
        <v>Influencers who had successful careers</v>
      </c>
      <c r="F1070" s="1" t="str">
        <f ca="1">IFERROR(__xludf.DUMMYFUNCTION("""COMPUTED_VALUE"""),"No I would not be pursuing Higher Education outside of India")</f>
        <v>No I would not be pursuing Higher Education outside of India</v>
      </c>
      <c r="G1070" s="1" t="str">
        <f ca="1">IFERROR(__xludf.DUMMYFUNCTION("""COMPUTED_VALUE"""),"Will work for 3 years or more")</f>
        <v>Will work for 3 years or more</v>
      </c>
      <c r="H1070" s="1" t="str">
        <f ca="1">IFERROR(__xludf.DUMMYFUNCTION("""COMPUTED_VALUE"""),"No")</f>
        <v>No</v>
      </c>
      <c r="I1070" s="1" t="str">
        <f ca="1">IFERROR(__xludf.DUMMYFUNCTION("""COMPUTED_VALUE"""),"Will NOT work for them")</f>
        <v>Will NOT work for them</v>
      </c>
      <c r="J1070" s="1">
        <f ca="1">IFERROR(__xludf.DUMMYFUNCTION("""COMPUTED_VALUE"""),5)</f>
        <v>5</v>
      </c>
      <c r="K1070" s="1" t="str">
        <f ca="1">IFERROR(__xludf.DUMMYFUNCTION("""COMPUTED_VALUE"""),"Fully Remote with Options to travel as and when needed")</f>
        <v>Fully Remote with Options to travel as and when needed</v>
      </c>
      <c r="L1070" s="1" t="str">
        <f ca="1">IFERROR(__xludf.DUMMYFUNCTION("""COMPUTED_VALUE"""),"Employer who appreciates learning and enables that environment")</f>
        <v>Employer who appreciates learning and enables that environment</v>
      </c>
      <c r="M107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1070" s="1"/>
      <c r="O1070" s="1" t="str">
        <f ca="1">IFERROR(__xludf.DUMMYFUNCTION("""COMPUTED_VALUE"""),"Manager who clearly describes what she/he needs")</f>
        <v>Manager who clearly describes what she/he needs</v>
      </c>
      <c r="P1070" s="1" t="str">
        <f ca="1">IFERROR(__xludf.DUMMYFUNCTION("""COMPUTED_VALUE"""),"Work &lt;=6 People in the Team")</f>
        <v>Work &lt;=6 People in the Team</v>
      </c>
      <c r="Q1070" s="1" t="s">
        <v>43</v>
      </c>
      <c r="R1070" s="1"/>
    </row>
    <row r="1071" spans="1:18" x14ac:dyDescent="0.25">
      <c r="A1071" s="2">
        <f ca="1">IFERROR(__xludf.DUMMYFUNCTION("""COMPUTED_VALUE"""),45043.9513848611)</f>
        <v>45043.951384861102</v>
      </c>
      <c r="B1071" s="1" t="str">
        <f ca="1">IFERROR(__xludf.DUMMYFUNCTION("""COMPUTED_VALUE"""),"India")</f>
        <v>India</v>
      </c>
      <c r="C1071" s="1">
        <f ca="1">IFERROR(__xludf.DUMMYFUNCTION("""COMPUTED_VALUE"""),533201)</f>
        <v>533201</v>
      </c>
      <c r="D1071" s="1" t="str">
        <f ca="1">IFERROR(__xludf.DUMMYFUNCTION("""COMPUTED_VALUE"""),"Male")</f>
        <v>Male</v>
      </c>
      <c r="E1071" s="1" t="str">
        <f ca="1">IFERROR(__xludf.DUMMYFUNCTION("""COMPUTED_VALUE"""),"People from my circle, but not family members")</f>
        <v>People from my circle, but not family members</v>
      </c>
      <c r="F1071" s="1" t="str">
        <f ca="1">IFERROR(__xludf.DUMMYFUNCTION("""COMPUTED_VALUE"""),"No I would not be pursuing Higher Education outside of India")</f>
        <v>No I would not be pursuing Higher Education outside of India</v>
      </c>
      <c r="G1071" s="1" t="str">
        <f ca="1">IFERROR(__xludf.DUMMYFUNCTION("""COMPUTED_VALUE"""),"Will work for 3 years or more")</f>
        <v>Will work for 3 years or more</v>
      </c>
      <c r="H1071" s="1" t="str">
        <f ca="1">IFERROR(__xludf.DUMMYFUNCTION("""COMPUTED_VALUE"""),"No")</f>
        <v>No</v>
      </c>
      <c r="I1071" s="1" t="str">
        <f ca="1">IFERROR(__xludf.DUMMYFUNCTION("""COMPUTED_VALUE"""),"Will NOT work for them")</f>
        <v>Will NOT work for them</v>
      </c>
      <c r="J1071" s="1">
        <f ca="1">IFERROR(__xludf.DUMMYFUNCTION("""COMPUTED_VALUE"""),7)</f>
        <v>7</v>
      </c>
      <c r="K1071" s="1" t="str">
        <f ca="1">IFERROR(__xludf.DUMMYFUNCTION("""COMPUTED_VALUE"""),"Fully Remote with Options to travel as and when needed")</f>
        <v>Fully Remote with Options to travel as and when needed</v>
      </c>
      <c r="L1071" s="1" t="str">
        <f ca="1">IFERROR(__xludf.DUMMYFUNCTION("""COMPUTED_VALUE"""),"Employer who pushes your limits by enabling an learning environment, and rewards you at the end")</f>
        <v>Employer who pushes your limits by enabling an learning environment, and rewards you at the end</v>
      </c>
      <c r="M107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1071" s="1"/>
      <c r="O1071" s="1" t="str">
        <f ca="1">IFERROR(__xludf.DUMMYFUNCTION("""COMPUTED_VALUE"""),"Manager who explains what is expected, sets a goal and helps achieve it")</f>
        <v>Manager who explains what is expected, sets a goal and helps achieve it</v>
      </c>
      <c r="P1071" s="1" t="str">
        <f ca="1">IFERROR(__xludf.DUMMYFUNCTION("""COMPUTED_VALUE"""),"Work &lt;=6 People in the Team")</f>
        <v>Work &lt;=6 People in the Team</v>
      </c>
      <c r="Q1071" s="1" t="s">
        <v>40</v>
      </c>
      <c r="R1071" s="1"/>
    </row>
    <row r="1072" spans="1:18" x14ac:dyDescent="0.25">
      <c r="A1072" s="2">
        <f ca="1">IFERROR(__xludf.DUMMYFUNCTION("""COMPUTED_VALUE"""),45043.9517117245)</f>
        <v>45043.951711724498</v>
      </c>
      <c r="B1072" s="1" t="str">
        <f ca="1">IFERROR(__xludf.DUMMYFUNCTION("""COMPUTED_VALUE"""),"India")</f>
        <v>India</v>
      </c>
      <c r="C1072" s="1">
        <f ca="1">IFERROR(__xludf.DUMMYFUNCTION("""COMPUTED_VALUE"""),500060)</f>
        <v>500060</v>
      </c>
      <c r="D1072" s="1" t="str">
        <f ca="1">IFERROR(__xludf.DUMMYFUNCTION("""COMPUTED_VALUE"""),"Male")</f>
        <v>Male</v>
      </c>
      <c r="E1072" s="1" t="str">
        <f ca="1">IFERROR(__xludf.DUMMYFUNCTION("""COMPUTED_VALUE"""),"People who have changed the world for better")</f>
        <v>People who have changed the world for better</v>
      </c>
      <c r="F1072" s="1" t="str">
        <f ca="1">IFERROR(__xludf.DUMMYFUNCTION("""COMPUTED_VALUE"""),"Yes, I will earn and do that")</f>
        <v>Yes, I will earn and do that</v>
      </c>
      <c r="G1072" s="1" t="str">
        <f ca="1">IFERROR(__xludf.DUMMYFUNCTION("""COMPUTED_VALUE"""),"This will be hard to do, but if it is the right company I would try")</f>
        <v>This will be hard to do, but if it is the right company I would try</v>
      </c>
      <c r="H1072" s="1" t="str">
        <f ca="1">IFERROR(__xludf.DUMMYFUNCTION("""COMPUTED_VALUE"""),"No")</f>
        <v>No</v>
      </c>
      <c r="I1072" s="1" t="str">
        <f ca="1">IFERROR(__xludf.DUMMYFUNCTION("""COMPUTED_VALUE"""),"Will NOT work for them")</f>
        <v>Will NOT work for them</v>
      </c>
      <c r="J1072" s="1">
        <f ca="1">IFERROR(__xludf.DUMMYFUNCTION("""COMPUTED_VALUE"""),6)</f>
        <v>6</v>
      </c>
      <c r="K1072" s="1" t="str">
        <f ca="1">IFERROR(__xludf.DUMMYFUNCTION("""COMPUTED_VALUE"""),"Every Day Office Environment")</f>
        <v>Every Day Office Environment</v>
      </c>
      <c r="L1072" s="1" t="str">
        <f ca="1">IFERROR(__xludf.DUMMYFUNCTION("""COMPUTED_VALUE"""),"Employer who appreciates learning and enables that environment")</f>
        <v>Employer who appreciates learning and enables that environment</v>
      </c>
      <c r="M107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072" s="1"/>
      <c r="O1072" s="1" t="str">
        <f ca="1">IFERROR(__xludf.DUMMYFUNCTION("""COMPUTED_VALUE"""),"Manager who clearly describes what she/he needs")</f>
        <v>Manager who clearly describes what she/he needs</v>
      </c>
      <c r="P1072" s="1" t="str">
        <f ca="1">IFERROR(__xludf.DUMMYFUNCTION("""COMPUTED_VALUE"""),"Work &lt;=6 People in the Team")</f>
        <v>Work &lt;=6 People in the Team</v>
      </c>
      <c r="Q1072" s="1" t="s">
        <v>43</v>
      </c>
      <c r="R1072" s="1"/>
    </row>
    <row r="1073" spans="1:18" x14ac:dyDescent="0.25">
      <c r="A1073" s="2">
        <f ca="1">IFERROR(__xludf.DUMMYFUNCTION("""COMPUTED_VALUE"""),45043.9521828819)</f>
        <v>45043.952182881898</v>
      </c>
      <c r="B1073" s="1" t="str">
        <f ca="1">IFERROR(__xludf.DUMMYFUNCTION("""COMPUTED_VALUE"""),"India")</f>
        <v>India</v>
      </c>
      <c r="C1073" s="1">
        <f ca="1">IFERROR(__xludf.DUMMYFUNCTION("""COMPUTED_VALUE"""),500053)</f>
        <v>500053</v>
      </c>
      <c r="D1073" s="1" t="str">
        <f ca="1">IFERROR(__xludf.DUMMYFUNCTION("""COMPUTED_VALUE"""),"Male")</f>
        <v>Male</v>
      </c>
      <c r="E1073" s="1" t="str">
        <f ca="1">IFERROR(__xludf.DUMMYFUNCTION("""COMPUTED_VALUE"""),"Influencers who had successful careers")</f>
        <v>Influencers who had successful careers</v>
      </c>
      <c r="F1073" s="1" t="str">
        <f ca="1">IFERROR(__xludf.DUMMYFUNCTION("""COMPUTED_VALUE"""),"Yes, I will earn and do that")</f>
        <v>Yes, I will earn and do that</v>
      </c>
      <c r="G1073" s="1" t="str">
        <f ca="1">IFERROR(__xludf.DUMMYFUNCTION("""COMPUTED_VALUE"""),"Will work for 3 years or more")</f>
        <v>Will work for 3 years or more</v>
      </c>
      <c r="H1073" s="1" t="str">
        <f ca="1">IFERROR(__xludf.DUMMYFUNCTION("""COMPUTED_VALUE"""),"No")</f>
        <v>No</v>
      </c>
      <c r="I1073" s="1" t="str">
        <f ca="1">IFERROR(__xludf.DUMMYFUNCTION("""COMPUTED_VALUE"""),"Will work for them")</f>
        <v>Will work for them</v>
      </c>
      <c r="J1073" s="1">
        <f ca="1">IFERROR(__xludf.DUMMYFUNCTION("""COMPUTED_VALUE"""),8)</f>
        <v>8</v>
      </c>
      <c r="K1073" s="1" t="str">
        <f ca="1">IFERROR(__xludf.DUMMYFUNCTION("""COMPUTED_VALUE"""),"Hybrid Working Environment with less than 3 days a month at office")</f>
        <v>Hybrid Working Environment with less than 3 days a month at office</v>
      </c>
      <c r="L1073" s="1" t="str">
        <f ca="1">IFERROR(__xludf.DUMMYFUNCTION("""COMPUTED_VALUE"""),"Employer who appreciates learning and enables that environment")</f>
        <v>Employer who appreciates learning and enables that environment</v>
      </c>
      <c r="M10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073" s="1"/>
      <c r="O1073" s="1" t="str">
        <f ca="1">IFERROR(__xludf.DUMMYFUNCTION("""COMPUTED_VALUE"""),"Manager who sets goal and helps me achieve it")</f>
        <v>Manager who sets goal and helps me achieve it</v>
      </c>
      <c r="P1073" s="1" t="str">
        <f ca="1">IFERROR(__xludf.DUMMYFUNCTION("""COMPUTED_VALUE"""),"Work &lt;=6 People in the Team")</f>
        <v>Work &lt;=6 People in the Team</v>
      </c>
      <c r="Q1073" s="1" t="s">
        <v>43</v>
      </c>
      <c r="R1073" s="1"/>
    </row>
    <row r="1074" spans="1:18" x14ac:dyDescent="0.25">
      <c r="A1074" s="2">
        <f ca="1">IFERROR(__xludf.DUMMYFUNCTION("""COMPUTED_VALUE"""),45043.9535406713)</f>
        <v>45043.953540671297</v>
      </c>
      <c r="B1074" s="1" t="str">
        <f ca="1">IFERROR(__xludf.DUMMYFUNCTION("""COMPUTED_VALUE"""),"India")</f>
        <v>India</v>
      </c>
      <c r="C1074" s="1">
        <f ca="1">IFERROR(__xludf.DUMMYFUNCTION("""COMPUTED_VALUE"""),500081)</f>
        <v>500081</v>
      </c>
      <c r="D1074" s="1" t="str">
        <f ca="1">IFERROR(__xludf.DUMMYFUNCTION("""COMPUTED_VALUE"""),"Male")</f>
        <v>Male</v>
      </c>
      <c r="E1074" s="1" t="str">
        <f ca="1">IFERROR(__xludf.DUMMYFUNCTION("""COMPUTED_VALUE"""),"My Parents")</f>
        <v>My Parents</v>
      </c>
      <c r="F1074" s="1" t="str">
        <f ca="1">IFERROR(__xludf.DUMMYFUNCTION("""COMPUTED_VALUE"""),"No I would not be pursuing Higher Education outside of India")</f>
        <v>No I would not be pursuing Higher Education outside of India</v>
      </c>
      <c r="G1074" s="1" t="str">
        <f ca="1">IFERROR(__xludf.DUMMYFUNCTION("""COMPUTED_VALUE"""),"This will be hard to do, but if it is the right company I would try")</f>
        <v>This will be hard to do, but if it is the right company I would try</v>
      </c>
      <c r="H1074" s="1" t="str">
        <f ca="1">IFERROR(__xludf.DUMMYFUNCTION("""COMPUTED_VALUE"""),"Yes")</f>
        <v>Yes</v>
      </c>
      <c r="I1074" s="1" t="str">
        <f ca="1">IFERROR(__xludf.DUMMYFUNCTION("""COMPUTED_VALUE"""),"Will NOT work for them")</f>
        <v>Will NOT work for them</v>
      </c>
      <c r="J1074" s="1">
        <f ca="1">IFERROR(__xludf.DUMMYFUNCTION("""COMPUTED_VALUE"""),3)</f>
        <v>3</v>
      </c>
      <c r="K1074" s="1" t="str">
        <f ca="1">IFERROR(__xludf.DUMMYFUNCTION("""COMPUTED_VALUE"""),"Every Day Office Environment")</f>
        <v>Every Day Office Environment</v>
      </c>
      <c r="L1074" s="1" t="str">
        <f ca="1">IFERROR(__xludf.DUMMYFUNCTION("""COMPUTED_VALUE"""),"Employer who appreciates learning and enables that environment")</f>
        <v>Employer who appreciates learning and enables that environment</v>
      </c>
      <c r="M1074"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N1074" s="1"/>
      <c r="O1074" s="1" t="str">
        <f ca="1">IFERROR(__xludf.DUMMYFUNCTION("""COMPUTED_VALUE"""),"Manager who sets targets and expects me to achieve it")</f>
        <v>Manager who sets targets and expects me to achieve it</v>
      </c>
      <c r="P1074" s="1" t="str">
        <f ca="1">IFERROR(__xludf.DUMMYFUNCTION("""COMPUTED_VALUE"""),"Work Alone, &lt;67 people in team")</f>
        <v>Work Alone, &lt;67 people in team</v>
      </c>
      <c r="Q1074" s="1" t="s">
        <v>43</v>
      </c>
      <c r="R1074" s="1"/>
    </row>
    <row r="1075" spans="1:18" x14ac:dyDescent="0.25">
      <c r="A1075" s="2">
        <f ca="1">IFERROR(__xludf.DUMMYFUNCTION("""COMPUTED_VALUE"""),45043.9535597453)</f>
        <v>45043.9535597453</v>
      </c>
      <c r="B1075" s="1" t="str">
        <f ca="1">IFERROR(__xludf.DUMMYFUNCTION("""COMPUTED_VALUE"""),"India")</f>
        <v>India</v>
      </c>
      <c r="C1075" s="1">
        <f ca="1">IFERROR(__xludf.DUMMYFUNCTION("""COMPUTED_VALUE"""),500034)</f>
        <v>500034</v>
      </c>
      <c r="D1075" s="1" t="str">
        <f ca="1">IFERROR(__xludf.DUMMYFUNCTION("""COMPUTED_VALUE"""),"Male")</f>
        <v>Male</v>
      </c>
      <c r="E1075" s="1" t="str">
        <f ca="1">IFERROR(__xludf.DUMMYFUNCTION("""COMPUTED_VALUE"""),"Influencers who had successful careers")</f>
        <v>Influencers who had successful careers</v>
      </c>
      <c r="F1075" s="1" t="str">
        <f ca="1">IFERROR(__xludf.DUMMYFUNCTION("""COMPUTED_VALUE"""),"No, But if someone could bare the cost I will")</f>
        <v>No, But if someone could bare the cost I will</v>
      </c>
      <c r="G1075" s="1" t="str">
        <f ca="1">IFERROR(__xludf.DUMMYFUNCTION("""COMPUTED_VALUE"""),"This will be hard to do, but if it is the right company I would try")</f>
        <v>This will be hard to do, but if it is the right company I would try</v>
      </c>
      <c r="H1075" s="1" t="str">
        <f ca="1">IFERROR(__xludf.DUMMYFUNCTION("""COMPUTED_VALUE"""),"Yes")</f>
        <v>Yes</v>
      </c>
      <c r="I1075" s="1" t="str">
        <f ca="1">IFERROR(__xludf.DUMMYFUNCTION("""COMPUTED_VALUE"""),"Will work for them")</f>
        <v>Will work for them</v>
      </c>
      <c r="J1075" s="1">
        <f ca="1">IFERROR(__xludf.DUMMYFUNCTION("""COMPUTED_VALUE"""),9)</f>
        <v>9</v>
      </c>
      <c r="K1075" s="1" t="str">
        <f ca="1">IFERROR(__xludf.DUMMYFUNCTION("""COMPUTED_VALUE"""),"Fully Remote with Options to travel as and when needed")</f>
        <v>Fully Remote with Options to travel as and when needed</v>
      </c>
      <c r="L1075" s="1" t="str">
        <f ca="1">IFERROR(__xludf.DUMMYFUNCTION("""COMPUTED_VALUE"""),"Employer who appreciates learning and enables that environment")</f>
        <v>Employer who appreciates learning and enables that environment</v>
      </c>
      <c r="M107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N1075" s="1"/>
      <c r="O1075" s="1" t="str">
        <f ca="1">IFERROR(__xludf.DUMMYFUNCTION("""COMPUTED_VALUE"""),"Manager who explains what is expected, sets a goal and helps achieve it")</f>
        <v>Manager who explains what is expected, sets a goal and helps achieve it</v>
      </c>
      <c r="P1075" s="1" t="str">
        <f ca="1">IFERROR(__xludf.DUMMYFUNCTION("""COMPUTED_VALUE"""),"Work &lt;=6 People in the Team")</f>
        <v>Work &lt;=6 People in the Team</v>
      </c>
      <c r="Q1075" s="1" t="s">
        <v>40</v>
      </c>
      <c r="R1075" s="1"/>
    </row>
    <row r="1076" spans="1:18" x14ac:dyDescent="0.25">
      <c r="A1076" s="2">
        <f ca="1">IFERROR(__xludf.DUMMYFUNCTION("""COMPUTED_VALUE"""),45043.9537238194)</f>
        <v>45043.953723819403</v>
      </c>
      <c r="B1076" s="1" t="str">
        <f ca="1">IFERROR(__xludf.DUMMYFUNCTION("""COMPUTED_VALUE"""),"India")</f>
        <v>India</v>
      </c>
      <c r="C1076" s="1">
        <f ca="1">IFERROR(__xludf.DUMMYFUNCTION("""COMPUTED_VALUE"""),600107)</f>
        <v>600107</v>
      </c>
      <c r="D1076" s="1" t="str">
        <f ca="1">IFERROR(__xludf.DUMMYFUNCTION("""COMPUTED_VALUE"""),"Female")</f>
        <v>Female</v>
      </c>
      <c r="E1076" s="1" t="str">
        <f ca="1">IFERROR(__xludf.DUMMYFUNCTION("""COMPUTED_VALUE"""),"My Parents")</f>
        <v>My Parents</v>
      </c>
      <c r="F1076" s="1" t="str">
        <f ca="1">IFERROR(__xludf.DUMMYFUNCTION("""COMPUTED_VALUE"""),"Yes, I will earn and do that")</f>
        <v>Yes, I will earn and do that</v>
      </c>
      <c r="G1076" s="1" t="str">
        <f ca="1">IFERROR(__xludf.DUMMYFUNCTION("""COMPUTED_VALUE"""),"This will be hard to do, but if it is the right company I would try")</f>
        <v>This will be hard to do, but if it is the right company I would try</v>
      </c>
      <c r="H1076" s="1" t="str">
        <f ca="1">IFERROR(__xludf.DUMMYFUNCTION("""COMPUTED_VALUE"""),"No")</f>
        <v>No</v>
      </c>
      <c r="I1076" s="1" t="str">
        <f ca="1">IFERROR(__xludf.DUMMYFUNCTION("""COMPUTED_VALUE"""),"Will NOT work for them")</f>
        <v>Will NOT work for them</v>
      </c>
      <c r="J1076" s="1">
        <f ca="1">IFERROR(__xludf.DUMMYFUNCTION("""COMPUTED_VALUE"""),9)</f>
        <v>9</v>
      </c>
      <c r="K1076" s="1" t="str">
        <f ca="1">IFERROR(__xludf.DUMMYFUNCTION("""COMPUTED_VALUE"""),"Hybrid Working Environment with more than 15 days a month at office")</f>
        <v>Hybrid Working Environment with more than 15 days a month at office</v>
      </c>
      <c r="L1076" s="1" t="str">
        <f ca="1">IFERROR(__xludf.DUMMYFUNCTION("""COMPUTED_VALUE"""),"Employer who appreciates learning and enables that environment")</f>
        <v>Employer who appreciates learning and enables that environment</v>
      </c>
      <c r="M107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076" s="1"/>
      <c r="O1076" s="1" t="str">
        <f ca="1">IFERROR(__xludf.DUMMYFUNCTION("""COMPUTED_VALUE"""),"Manager who explains what is expected, sets a goal and helps achieve it")</f>
        <v>Manager who explains what is expected, sets a goal and helps achieve it</v>
      </c>
      <c r="P1076" s="1" t="str">
        <f ca="1">IFERROR(__xludf.DUMMYFUNCTION("""COMPUTED_VALUE"""),"Work &lt;=6 People in the Team")</f>
        <v>Work &lt;=6 People in the Team</v>
      </c>
      <c r="Q1076" s="1" t="s">
        <v>43</v>
      </c>
      <c r="R1076" s="1"/>
    </row>
    <row r="1077" spans="1:18" x14ac:dyDescent="0.25">
      <c r="A1077" s="2">
        <f ca="1">IFERROR(__xludf.DUMMYFUNCTION("""COMPUTED_VALUE"""),45043.9546244791)</f>
        <v>45043.954624479098</v>
      </c>
      <c r="B1077" s="1" t="str">
        <f ca="1">IFERROR(__xludf.DUMMYFUNCTION("""COMPUTED_VALUE"""),"India")</f>
        <v>India</v>
      </c>
      <c r="C1077" s="1">
        <f ca="1">IFERROR(__xludf.DUMMYFUNCTION("""COMPUTED_VALUE"""),440026)</f>
        <v>440026</v>
      </c>
      <c r="D1077" s="1" t="str">
        <f ca="1">IFERROR(__xludf.DUMMYFUNCTION("""COMPUTED_VALUE"""),"Female")</f>
        <v>Female</v>
      </c>
      <c r="E1077" s="1" t="str">
        <f ca="1">IFERROR(__xludf.DUMMYFUNCTION("""COMPUTED_VALUE"""),"My Parents")</f>
        <v>My Parents</v>
      </c>
      <c r="F1077" s="1" t="str">
        <f ca="1">IFERROR(__xludf.DUMMYFUNCTION("""COMPUTED_VALUE"""),"No, But if someone could bare the cost I will")</f>
        <v>No, But if someone could bare the cost I will</v>
      </c>
      <c r="G1077" s="1" t="str">
        <f ca="1">IFERROR(__xludf.DUMMYFUNCTION("""COMPUTED_VALUE"""),"This will be hard to do, but if it is the right company I would try")</f>
        <v>This will be hard to do, but if it is the right company I would try</v>
      </c>
      <c r="H1077" s="1" t="str">
        <f ca="1">IFERROR(__xludf.DUMMYFUNCTION("""COMPUTED_VALUE"""),"No")</f>
        <v>No</v>
      </c>
      <c r="I1077" s="1" t="str">
        <f ca="1">IFERROR(__xludf.DUMMYFUNCTION("""COMPUTED_VALUE"""),"Will NOT work for them")</f>
        <v>Will NOT work for them</v>
      </c>
      <c r="J1077" s="1">
        <f ca="1">IFERROR(__xludf.DUMMYFUNCTION("""COMPUTED_VALUE"""),1)</f>
        <v>1</v>
      </c>
      <c r="K1077" s="1" t="str">
        <f ca="1">IFERROR(__xludf.DUMMYFUNCTION("""COMPUTED_VALUE"""),"Fully Remote with Options to travel as and when needed")</f>
        <v>Fully Remote with Options to travel as and when needed</v>
      </c>
      <c r="L1077" s="1" t="str">
        <f ca="1">IFERROR(__xludf.DUMMYFUNCTION("""COMPUTED_VALUE"""),"Employer who appreciates learning and enables that environment")</f>
        <v>Employer who appreciates learning and enables that environment</v>
      </c>
      <c r="M1077"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N1077" s="1"/>
      <c r="O1077" s="1" t="str">
        <f ca="1">IFERROR(__xludf.DUMMYFUNCTION("""COMPUTED_VALUE"""),"Manager who clearly describes what she/he needs")</f>
        <v>Manager who clearly describes what she/he needs</v>
      </c>
      <c r="P1077" s="1" t="str">
        <f ca="1">IFERROR(__xludf.DUMMYFUNCTION("""COMPUTED_VALUE"""),"Work &lt;=6 People in the Team")</f>
        <v>Work &lt;=6 People in the Team</v>
      </c>
      <c r="Q1077" s="1" t="s">
        <v>40</v>
      </c>
      <c r="R1077" s="1"/>
    </row>
    <row r="1078" spans="1:18" x14ac:dyDescent="0.25">
      <c r="A1078" s="2">
        <f ca="1">IFERROR(__xludf.DUMMYFUNCTION("""COMPUTED_VALUE"""),45043.9604955902)</f>
        <v>45043.960495590203</v>
      </c>
      <c r="B1078" s="1" t="str">
        <f ca="1">IFERROR(__xludf.DUMMYFUNCTION("""COMPUTED_VALUE"""),"India")</f>
        <v>India</v>
      </c>
      <c r="C1078" s="1">
        <f ca="1">IFERROR(__xludf.DUMMYFUNCTION("""COMPUTED_VALUE"""),412207)</f>
        <v>412207</v>
      </c>
      <c r="D1078" s="1" t="str">
        <f ca="1">IFERROR(__xludf.DUMMYFUNCTION("""COMPUTED_VALUE"""),"Male")</f>
        <v>Male</v>
      </c>
      <c r="E1078" s="1" t="str">
        <f ca="1">IFERROR(__xludf.DUMMYFUNCTION("""COMPUTED_VALUE"""),"Social Media like LinkedIn")</f>
        <v>Social Media like LinkedIn</v>
      </c>
      <c r="F1078" s="1" t="str">
        <f ca="1">IFERROR(__xludf.DUMMYFUNCTION("""COMPUTED_VALUE"""),"No I would not be pursuing Higher Education outside of India")</f>
        <v>No I would not be pursuing Higher Education outside of India</v>
      </c>
      <c r="G1078" s="1" t="str">
        <f ca="1">IFERROR(__xludf.DUMMYFUNCTION("""COMPUTED_VALUE"""),"Will work for 3 years or more")</f>
        <v>Will work for 3 years or more</v>
      </c>
      <c r="H1078" s="1" t="str">
        <f ca="1">IFERROR(__xludf.DUMMYFUNCTION("""COMPUTED_VALUE"""),"No")</f>
        <v>No</v>
      </c>
      <c r="I1078" s="1" t="str">
        <f ca="1">IFERROR(__xludf.DUMMYFUNCTION("""COMPUTED_VALUE"""),"Will NOT work for them")</f>
        <v>Will NOT work for them</v>
      </c>
      <c r="J1078" s="1">
        <f ca="1">IFERROR(__xludf.DUMMYFUNCTION("""COMPUTED_VALUE"""),5)</f>
        <v>5</v>
      </c>
      <c r="K1078" s="1" t="str">
        <f ca="1">IFERROR(__xludf.DUMMYFUNCTION("""COMPUTED_VALUE"""),"Hybrid Working Environment with more than 15 days a month at office")</f>
        <v>Hybrid Working Environment with more than 15 days a month at office</v>
      </c>
      <c r="L1078" s="1" t="str">
        <f ca="1">IFERROR(__xludf.DUMMYFUNCTION("""COMPUTED_VALUE"""),"Employer who appreciates learning and enables that environment")</f>
        <v>Employer who appreciates learning and enables that environment</v>
      </c>
      <c r="M1078"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N1078" s="1"/>
      <c r="O1078" s="1" t="str">
        <f ca="1">IFERROR(__xludf.DUMMYFUNCTION("""COMPUTED_VALUE"""),"Manager who explains what is expected, sets a goal and helps achieve it")</f>
        <v>Manager who explains what is expected, sets a goal and helps achieve it</v>
      </c>
      <c r="P1078" s="1" t="str">
        <f ca="1">IFERROR(__xludf.DUMMYFUNCTION("""COMPUTED_VALUE"""),"Work &lt;=6 People in the Team")</f>
        <v>Work &lt;=6 People in the Team</v>
      </c>
      <c r="Q1078" s="1" t="s">
        <v>43</v>
      </c>
      <c r="R1078" s="1"/>
    </row>
    <row r="1079" spans="1:18" x14ac:dyDescent="0.25">
      <c r="A1079" s="2">
        <f ca="1">IFERROR(__xludf.DUMMYFUNCTION("""COMPUTED_VALUE"""),45043.9615465856)</f>
        <v>45043.961546585597</v>
      </c>
      <c r="B1079" s="1" t="str">
        <f ca="1">IFERROR(__xludf.DUMMYFUNCTION("""COMPUTED_VALUE"""),"India")</f>
        <v>India</v>
      </c>
      <c r="C1079" s="1">
        <f ca="1">IFERROR(__xludf.DUMMYFUNCTION("""COMPUTED_VALUE"""),500085)</f>
        <v>500085</v>
      </c>
      <c r="D1079" s="1" t="str">
        <f ca="1">IFERROR(__xludf.DUMMYFUNCTION("""COMPUTED_VALUE"""),"Male")</f>
        <v>Male</v>
      </c>
      <c r="E1079" s="1" t="str">
        <f ca="1">IFERROR(__xludf.DUMMYFUNCTION("""COMPUTED_VALUE"""),"People from my circle, but not family members")</f>
        <v>People from my circle, but not family members</v>
      </c>
      <c r="F1079" s="1" t="str">
        <f ca="1">IFERROR(__xludf.DUMMYFUNCTION("""COMPUTED_VALUE"""),"No I would not be pursuing Higher Education outside of India")</f>
        <v>No I would not be pursuing Higher Education outside of India</v>
      </c>
      <c r="G1079" s="1" t="str">
        <f ca="1">IFERROR(__xludf.DUMMYFUNCTION("""COMPUTED_VALUE"""),"This will be hard to do, but if it is the right company I would try")</f>
        <v>This will be hard to do, but if it is the right company I would try</v>
      </c>
      <c r="H1079" s="1" t="str">
        <f ca="1">IFERROR(__xludf.DUMMYFUNCTION("""COMPUTED_VALUE"""),"No")</f>
        <v>No</v>
      </c>
      <c r="I1079" s="1" t="str">
        <f ca="1">IFERROR(__xludf.DUMMYFUNCTION("""COMPUTED_VALUE"""),"Will NOT work for them")</f>
        <v>Will NOT work for them</v>
      </c>
      <c r="J1079" s="1">
        <f ca="1">IFERROR(__xludf.DUMMYFUNCTION("""COMPUTED_VALUE"""),4)</f>
        <v>4</v>
      </c>
      <c r="K1079" s="1" t="str">
        <f ca="1">IFERROR(__xludf.DUMMYFUNCTION("""COMPUTED_VALUE"""),"Fully Remote with Options to travel as and when needed")</f>
        <v>Fully Remote with Options to travel as and when needed</v>
      </c>
      <c r="L1079" s="1" t="str">
        <f ca="1">IFERROR(__xludf.DUMMYFUNCTION("""COMPUTED_VALUE"""),"Employer who appreciates learning and enables that environment")</f>
        <v>Employer who appreciates learning and enables that environment</v>
      </c>
      <c r="M10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1079" s="1"/>
      <c r="O1079" s="1" t="str">
        <f ca="1">IFERROR(__xludf.DUMMYFUNCTION("""COMPUTED_VALUE"""),"Manager who explains what is expected, sets a goal and helps achieve it")</f>
        <v>Manager who explains what is expected, sets a goal and helps achieve it</v>
      </c>
      <c r="P1079" s="1" t="str">
        <f ca="1">IFERROR(__xludf.DUMMYFUNCTION("""COMPUTED_VALUE"""),"Work &lt;67 People in the Team")</f>
        <v>Work &lt;67 People in the Team</v>
      </c>
      <c r="Q1079" s="1" t="s">
        <v>43</v>
      </c>
      <c r="R1079" s="1"/>
    </row>
    <row r="1080" spans="1:18" x14ac:dyDescent="0.25">
      <c r="A1080" s="2">
        <f ca="1">IFERROR(__xludf.DUMMYFUNCTION("""COMPUTED_VALUE"""),45043.9662882291)</f>
        <v>45043.966288229101</v>
      </c>
      <c r="B1080" s="1" t="str">
        <f ca="1">IFERROR(__xludf.DUMMYFUNCTION("""COMPUTED_VALUE"""),"India")</f>
        <v>India</v>
      </c>
      <c r="C1080" s="1">
        <f ca="1">IFERROR(__xludf.DUMMYFUNCTION("""COMPUTED_VALUE"""),466001)</f>
        <v>466001</v>
      </c>
      <c r="D1080" s="1" t="str">
        <f ca="1">IFERROR(__xludf.DUMMYFUNCTION("""COMPUTED_VALUE"""),"Female")</f>
        <v>Female</v>
      </c>
      <c r="E1080" s="1" t="str">
        <f ca="1">IFERROR(__xludf.DUMMYFUNCTION("""COMPUTED_VALUE"""),"My Parents")</f>
        <v>My Parents</v>
      </c>
      <c r="F1080" s="1" t="str">
        <f ca="1">IFERROR(__xludf.DUMMYFUNCTION("""COMPUTED_VALUE"""),"No, But if someone could bare the cost I will")</f>
        <v>No, But if someone could bare the cost I will</v>
      </c>
      <c r="G1080" s="1" t="str">
        <f ca="1">IFERROR(__xludf.DUMMYFUNCTION("""COMPUTED_VALUE"""),"Will work for 3 years or more")</f>
        <v>Will work for 3 years or more</v>
      </c>
      <c r="H1080" s="1" t="str">
        <f ca="1">IFERROR(__xludf.DUMMYFUNCTION("""COMPUTED_VALUE"""),"Yes")</f>
        <v>Yes</v>
      </c>
      <c r="I1080" s="1" t="str">
        <f ca="1">IFERROR(__xludf.DUMMYFUNCTION("""COMPUTED_VALUE"""),"Will work for them")</f>
        <v>Will work for them</v>
      </c>
      <c r="J1080" s="1">
        <f ca="1">IFERROR(__xludf.DUMMYFUNCTION("""COMPUTED_VALUE"""),10)</f>
        <v>10</v>
      </c>
      <c r="K1080" s="1" t="str">
        <f ca="1">IFERROR(__xludf.DUMMYFUNCTION("""COMPUTED_VALUE"""),"Fully Remote with Options to travel as and when needed")</f>
        <v>Fully Remote with Options to travel as and when needed</v>
      </c>
      <c r="L1080" s="1" t="str">
        <f ca="1">IFERROR(__xludf.DUMMYFUNCTION("""COMPUTED_VALUE"""),"Employer who appreciates learning and enables that environment")</f>
        <v>Employer who appreciates learning and enables that environment</v>
      </c>
      <c r="M1080"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N1080" s="1"/>
      <c r="O1080" s="1" t="str">
        <f ca="1">IFERROR(__xludf.DUMMYFUNCTION("""COMPUTED_VALUE"""),"Manager who sets goal and helps me achieve it")</f>
        <v>Manager who sets goal and helps me achieve it</v>
      </c>
      <c r="P1080" s="1" t="str">
        <f ca="1">IFERROR(__xludf.DUMMYFUNCTION("""COMPUTED_VALUE"""),"Work &lt;=6 People in the Team")</f>
        <v>Work &lt;=6 People in the Team</v>
      </c>
      <c r="Q1080" s="1" t="s">
        <v>43</v>
      </c>
      <c r="R1080" s="1"/>
    </row>
    <row r="1081" spans="1:18" x14ac:dyDescent="0.25">
      <c r="A1081" s="2">
        <f ca="1">IFERROR(__xludf.DUMMYFUNCTION("""COMPUTED_VALUE"""),45043.9665542361)</f>
        <v>45043.966554236104</v>
      </c>
      <c r="B1081" s="1" t="str">
        <f ca="1">IFERROR(__xludf.DUMMYFUNCTION("""COMPUTED_VALUE"""),"India")</f>
        <v>India</v>
      </c>
      <c r="C1081" s="1">
        <f ca="1">IFERROR(__xludf.DUMMYFUNCTION("""COMPUTED_VALUE"""),533210)</f>
        <v>533210</v>
      </c>
      <c r="D1081" s="1" t="str">
        <f ca="1">IFERROR(__xludf.DUMMYFUNCTION("""COMPUTED_VALUE"""),"Male")</f>
        <v>Male</v>
      </c>
      <c r="E1081" s="1" t="str">
        <f ca="1">IFERROR(__xludf.DUMMYFUNCTION("""COMPUTED_VALUE"""),"People from my circle, but not family members")</f>
        <v>People from my circle, but not family members</v>
      </c>
      <c r="F1081" s="1" t="str">
        <f ca="1">IFERROR(__xludf.DUMMYFUNCTION("""COMPUTED_VALUE"""),"No I would not be pursuing Higher Education outside of India")</f>
        <v>No I would not be pursuing Higher Education outside of India</v>
      </c>
      <c r="G1081" s="1" t="str">
        <f ca="1">IFERROR(__xludf.DUMMYFUNCTION("""COMPUTED_VALUE"""),"Will work for 3 years or more")</f>
        <v>Will work for 3 years or more</v>
      </c>
      <c r="H1081" s="1" t="str">
        <f ca="1">IFERROR(__xludf.DUMMYFUNCTION("""COMPUTED_VALUE"""),"Yes")</f>
        <v>Yes</v>
      </c>
      <c r="I1081" s="1" t="str">
        <f ca="1">IFERROR(__xludf.DUMMYFUNCTION("""COMPUTED_VALUE"""),"Will work for them")</f>
        <v>Will work for them</v>
      </c>
      <c r="J1081" s="1">
        <f ca="1">IFERROR(__xludf.DUMMYFUNCTION("""COMPUTED_VALUE"""),7)</f>
        <v>7</v>
      </c>
      <c r="K1081" s="1" t="str">
        <f ca="1">IFERROR(__xludf.DUMMYFUNCTION("""COMPUTED_VALUE"""),"Fully Remote with Options to travel as and when needed")</f>
        <v>Fully Remote with Options to travel as and when needed</v>
      </c>
      <c r="L1081" s="1" t="str">
        <f ca="1">IFERROR(__xludf.DUMMYFUNCTION("""COMPUTED_VALUE"""),"Employer who pushes your limits by enabling an learning environment, and rewards you at the end")</f>
        <v>Employer who pushes your limits by enabling an learning environment, and rewards you at the end</v>
      </c>
      <c r="M108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081" s="1"/>
      <c r="O1081" s="1" t="str">
        <f ca="1">IFERROR(__xludf.DUMMYFUNCTION("""COMPUTED_VALUE"""),"Manager who explains what is expected, sets a goal and helps achieve it")</f>
        <v>Manager who explains what is expected, sets a goal and helps achieve it</v>
      </c>
      <c r="P1081" s="1" t="str">
        <f ca="1">IFERROR(__xludf.DUMMYFUNCTION("""COMPUTED_VALUE"""),"Work &gt;=7 People in the Team")</f>
        <v>Work &gt;=7 People in the Team</v>
      </c>
      <c r="Q1081" s="1" t="s">
        <v>43</v>
      </c>
      <c r="R1081" s="1"/>
    </row>
    <row r="1082" spans="1:18" x14ac:dyDescent="0.25">
      <c r="A1082" s="2">
        <f ca="1">IFERROR(__xludf.DUMMYFUNCTION("""COMPUTED_VALUE"""),45043.967546956)</f>
        <v>45043.967546956002</v>
      </c>
      <c r="B1082" s="1" t="str">
        <f ca="1">IFERROR(__xludf.DUMMYFUNCTION("""COMPUTED_VALUE"""),"India")</f>
        <v>India</v>
      </c>
      <c r="C1082" s="1">
        <f ca="1">IFERROR(__xludf.DUMMYFUNCTION("""COMPUTED_VALUE"""),496661)</f>
        <v>496661</v>
      </c>
      <c r="D1082" s="1" t="str">
        <f ca="1">IFERROR(__xludf.DUMMYFUNCTION("""COMPUTED_VALUE"""),"Male")</f>
        <v>Male</v>
      </c>
      <c r="E1082" s="1" t="str">
        <f ca="1">IFERROR(__xludf.DUMMYFUNCTION("""COMPUTED_VALUE"""),"People who have changed the world for better")</f>
        <v>People who have changed the world for better</v>
      </c>
      <c r="F1082" s="1" t="str">
        <f ca="1">IFERROR(__xludf.DUMMYFUNCTION("""COMPUTED_VALUE"""),"Yes, I will earn and do that")</f>
        <v>Yes, I will earn and do that</v>
      </c>
      <c r="G1082" s="1" t="str">
        <f ca="1">IFERROR(__xludf.DUMMYFUNCTION("""COMPUTED_VALUE"""),"This will be hard to do, but if it is the right company I would try")</f>
        <v>This will be hard to do, but if it is the right company I would try</v>
      </c>
      <c r="H1082" s="1" t="str">
        <f ca="1">IFERROR(__xludf.DUMMYFUNCTION("""COMPUTED_VALUE"""),"Yes")</f>
        <v>Yes</v>
      </c>
      <c r="I1082" s="1" t="str">
        <f ca="1">IFERROR(__xludf.DUMMYFUNCTION("""COMPUTED_VALUE"""),"Will NOT work for them")</f>
        <v>Will NOT work for them</v>
      </c>
      <c r="J1082" s="1">
        <f ca="1">IFERROR(__xludf.DUMMYFUNCTION("""COMPUTED_VALUE"""),5)</f>
        <v>5</v>
      </c>
      <c r="K1082" s="1" t="str">
        <f ca="1">IFERROR(__xludf.DUMMYFUNCTION("""COMPUTED_VALUE"""),"Fully Remote with Options to travel as and when needed")</f>
        <v>Fully Remote with Options to travel as and when needed</v>
      </c>
      <c r="L1082" s="1" t="str">
        <f ca="1">IFERROR(__xludf.DUMMYFUNCTION("""COMPUTED_VALUE"""),"Employer who pushes your limits by enabling an learning environment, and rewards you at the end")</f>
        <v>Employer who pushes your limits by enabling an learning environment, and rewards you at the end</v>
      </c>
      <c r="M1082"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N1082" s="1"/>
      <c r="O1082" s="1" t="str">
        <f ca="1">IFERROR(__xludf.DUMMYFUNCTION("""COMPUTED_VALUE"""),"Manager who explains what is expected, sets a goal and helps achieve it")</f>
        <v>Manager who explains what is expected, sets a goal and helps achieve it</v>
      </c>
      <c r="P1082" s="1" t="str">
        <f ca="1">IFERROR(__xludf.DUMMYFUNCTION("""COMPUTED_VALUE"""),"Work &lt;67 People in the Team")</f>
        <v>Work &lt;67 People in the Team</v>
      </c>
      <c r="Q1082" s="1" t="s">
        <v>43</v>
      </c>
      <c r="R1082" s="1"/>
    </row>
    <row r="1083" spans="1:18" x14ac:dyDescent="0.25">
      <c r="A1083" s="2">
        <f ca="1">IFERROR(__xludf.DUMMYFUNCTION("""COMPUTED_VALUE"""),45043.9680245023)</f>
        <v>45043.968024502297</v>
      </c>
      <c r="B1083" s="1" t="str">
        <f ca="1">IFERROR(__xludf.DUMMYFUNCTION("""COMPUTED_VALUE"""),"India")</f>
        <v>India</v>
      </c>
      <c r="C1083" s="1">
        <f ca="1">IFERROR(__xludf.DUMMYFUNCTION("""COMPUTED_VALUE"""),500085)</f>
        <v>500085</v>
      </c>
      <c r="D1083" s="1" t="str">
        <f ca="1">IFERROR(__xludf.DUMMYFUNCTION("""COMPUTED_VALUE"""),"Male")</f>
        <v>Male</v>
      </c>
      <c r="E1083" s="1" t="str">
        <f ca="1">IFERROR(__xludf.DUMMYFUNCTION("""COMPUTED_VALUE"""),"People from my circle, but not family members")</f>
        <v>People from my circle, but not family members</v>
      </c>
      <c r="F1083" s="1" t="str">
        <f ca="1">IFERROR(__xludf.DUMMYFUNCTION("""COMPUTED_VALUE"""),"No I would not be pursuing Higher Education outside of India")</f>
        <v>No I would not be pursuing Higher Education outside of India</v>
      </c>
      <c r="G1083" s="1" t="str">
        <f ca="1">IFERROR(__xludf.DUMMYFUNCTION("""COMPUTED_VALUE"""),"This will be hard to do, but if it is the right company I would try")</f>
        <v>This will be hard to do, but if it is the right company I would try</v>
      </c>
      <c r="H1083" s="1" t="str">
        <f ca="1">IFERROR(__xludf.DUMMYFUNCTION("""COMPUTED_VALUE"""),"No")</f>
        <v>No</v>
      </c>
      <c r="I1083" s="1" t="str">
        <f ca="1">IFERROR(__xludf.DUMMYFUNCTION("""COMPUTED_VALUE"""),"Will NOT work for them")</f>
        <v>Will NOT work for them</v>
      </c>
      <c r="J1083" s="1">
        <f ca="1">IFERROR(__xludf.DUMMYFUNCTION("""COMPUTED_VALUE"""),8)</f>
        <v>8</v>
      </c>
      <c r="K1083" s="1" t="str">
        <f ca="1">IFERROR(__xludf.DUMMYFUNCTION("""COMPUTED_VALUE"""),"Fully Remote with Options to travel as and when needed")</f>
        <v>Fully Remote with Options to travel as and when needed</v>
      </c>
      <c r="L1083" s="1" t="str">
        <f ca="1">IFERROR(__xludf.DUMMYFUNCTION("""COMPUTED_VALUE"""),"Employer who pushes your limits by enabling an learning environment, and rewards you at the end")</f>
        <v>Employer who pushes your limits by enabling an learning environment, and rewards you at the end</v>
      </c>
      <c r="M1083"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N1083" s="1"/>
      <c r="O1083" s="1" t="str">
        <f ca="1">IFERROR(__xludf.DUMMYFUNCTION("""COMPUTED_VALUE"""),"Manager who explains what is expected, sets a goal and helps achieve it")</f>
        <v>Manager who explains what is expected, sets a goal and helps achieve it</v>
      </c>
      <c r="P1083" s="1" t="str">
        <f ca="1">IFERROR(__xludf.DUMMYFUNCTION("""COMPUTED_VALUE"""),"Work &lt;=6 People in the Team")</f>
        <v>Work &lt;=6 People in the Team</v>
      </c>
      <c r="Q1083" s="1" t="s">
        <v>40</v>
      </c>
      <c r="R1083" s="1"/>
    </row>
    <row r="1084" spans="1:18" x14ac:dyDescent="0.25">
      <c r="A1084" s="2">
        <f ca="1">IFERROR(__xludf.DUMMYFUNCTION("""COMPUTED_VALUE"""),45043.9685923263)</f>
        <v>45043.968592326302</v>
      </c>
      <c r="B1084" s="1" t="str">
        <f ca="1">IFERROR(__xludf.DUMMYFUNCTION("""COMPUTED_VALUE"""),"India")</f>
        <v>India</v>
      </c>
      <c r="C1084" s="1">
        <f ca="1">IFERROR(__xludf.DUMMYFUNCTION("""COMPUTED_VALUE"""),492001)</f>
        <v>492001</v>
      </c>
      <c r="D1084" s="1" t="str">
        <f ca="1">IFERROR(__xludf.DUMMYFUNCTION("""COMPUTED_VALUE"""),"Female")</f>
        <v>Female</v>
      </c>
      <c r="E1084" s="1" t="str">
        <f ca="1">IFERROR(__xludf.DUMMYFUNCTION("""COMPUTED_VALUE"""),"People from my circle, but not family members")</f>
        <v>People from my circle, but not family members</v>
      </c>
      <c r="F1084" s="1" t="str">
        <f ca="1">IFERROR(__xludf.DUMMYFUNCTION("""COMPUTED_VALUE"""),"Yes, I will earn and do that")</f>
        <v>Yes, I will earn and do that</v>
      </c>
      <c r="G1084" s="1" t="str">
        <f ca="1">IFERROR(__xludf.DUMMYFUNCTION("""COMPUTED_VALUE"""),"This will be hard to do, but if it is the right company I would try")</f>
        <v>This will be hard to do, but if it is the right company I would try</v>
      </c>
      <c r="H1084" s="1" t="str">
        <f ca="1">IFERROR(__xludf.DUMMYFUNCTION("""COMPUTED_VALUE"""),"Yes")</f>
        <v>Yes</v>
      </c>
      <c r="I1084" s="1" t="str">
        <f ca="1">IFERROR(__xludf.DUMMYFUNCTION("""COMPUTED_VALUE"""),"Will NOT work for them")</f>
        <v>Will NOT work for them</v>
      </c>
      <c r="J1084" s="1">
        <f ca="1">IFERROR(__xludf.DUMMYFUNCTION("""COMPUTED_VALUE"""),7)</f>
        <v>7</v>
      </c>
      <c r="K1084" s="1" t="str">
        <f ca="1">IFERROR(__xludf.DUMMYFUNCTION("""COMPUTED_VALUE"""),"Fully Remote with Options to travel as and when needed")</f>
        <v>Fully Remote with Options to travel as and when needed</v>
      </c>
      <c r="L1084" s="1" t="str">
        <f ca="1">IFERROR(__xludf.DUMMYFUNCTION("""COMPUTED_VALUE"""),"Employer who rewards learning and enables that environment")</f>
        <v>Employer who rewards learning and enables that environment</v>
      </c>
      <c r="M1084" s="1" t="str">
        <f ca="1">IFERROR(__xludf.DUMMYFUNCTION("""COMPUTED_VALUE"""),"Work as a freelancer and do my thing my way, Become a content Creator in some platform, Entrepreneur or Start Up, An Artificial Intelligence Specialist / Talking to Robots")</f>
        <v>Work as a freelancer and do my thing my way, Become a content Creator in some platform, Entrepreneur or Start Up, An Artificial Intelligence Specialist / Talking to Robots</v>
      </c>
      <c r="N1084" s="1"/>
      <c r="O1084" s="1" t="str">
        <f ca="1">IFERROR(__xludf.DUMMYFUNCTION("""COMPUTED_VALUE"""),"Manager who explains what is expected, sets a goal and helps achieve it")</f>
        <v>Manager who explains what is expected, sets a goal and helps achieve it</v>
      </c>
      <c r="P1084" s="1" t="str">
        <f ca="1">IFERROR(__xludf.DUMMYFUNCTION("""COMPUTED_VALUE"""),"Work &lt;=6 People in the Team")</f>
        <v>Work &lt;=6 People in the Team</v>
      </c>
      <c r="Q1084" s="1" t="s">
        <v>40</v>
      </c>
      <c r="R1084" s="1"/>
    </row>
    <row r="1085" spans="1:18" x14ac:dyDescent="0.25">
      <c r="A1085" s="2">
        <f ca="1">IFERROR(__xludf.DUMMYFUNCTION("""COMPUTED_VALUE"""),45043.9689180671)</f>
        <v>45043.968918067098</v>
      </c>
      <c r="B1085" s="1" t="str">
        <f ca="1">IFERROR(__xludf.DUMMYFUNCTION("""COMPUTED_VALUE"""),"India")</f>
        <v>India</v>
      </c>
      <c r="C1085" s="1">
        <f ca="1">IFERROR(__xludf.DUMMYFUNCTION("""COMPUTED_VALUE"""),493221)</f>
        <v>493221</v>
      </c>
      <c r="D1085" s="1" t="str">
        <f ca="1">IFERROR(__xludf.DUMMYFUNCTION("""COMPUTED_VALUE"""),"Male")</f>
        <v>Male</v>
      </c>
      <c r="E1085" s="1" t="str">
        <f ca="1">IFERROR(__xludf.DUMMYFUNCTION("""COMPUTED_VALUE"""),"People who have changed the world for better")</f>
        <v>People who have changed the world for better</v>
      </c>
      <c r="F1085" s="1" t="str">
        <f ca="1">IFERROR(__xludf.DUMMYFUNCTION("""COMPUTED_VALUE"""),"No, But if someone could bare the cost I will")</f>
        <v>No, But if someone could bare the cost I will</v>
      </c>
      <c r="G1085" s="1" t="str">
        <f ca="1">IFERROR(__xludf.DUMMYFUNCTION("""COMPUTED_VALUE"""),"This will be hard to do, but if it is the right company I would try")</f>
        <v>This will be hard to do, but if it is the right company I would try</v>
      </c>
      <c r="H1085" s="1" t="str">
        <f ca="1">IFERROR(__xludf.DUMMYFUNCTION("""COMPUTED_VALUE"""),"No")</f>
        <v>No</v>
      </c>
      <c r="I1085" s="1" t="str">
        <f ca="1">IFERROR(__xludf.DUMMYFUNCTION("""COMPUTED_VALUE"""),"Will NOT work for them")</f>
        <v>Will NOT work for them</v>
      </c>
      <c r="J1085" s="1">
        <f ca="1">IFERROR(__xludf.DUMMYFUNCTION("""COMPUTED_VALUE"""),3)</f>
        <v>3</v>
      </c>
      <c r="K1085" s="1" t="str">
        <f ca="1">IFERROR(__xludf.DUMMYFUNCTION("""COMPUTED_VALUE"""),"Fully Remote with Options to travel as and when needed")</f>
        <v>Fully Remote with Options to travel as and when needed</v>
      </c>
      <c r="L1085" s="1" t="str">
        <f ca="1">IFERROR(__xludf.DUMMYFUNCTION("""COMPUTED_VALUE"""),"Employer who pushes your limits by enabling an learning environment, and rewards you at the end")</f>
        <v>Employer who pushes your limits by enabling an learning environment, and rewards you at the end</v>
      </c>
      <c r="M1085"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085" s="1"/>
      <c r="O1085" s="1" t="str">
        <f ca="1">IFERROR(__xludf.DUMMYFUNCTION("""COMPUTED_VALUE"""),"Manager who clearly describes what she/he needs")</f>
        <v>Manager who clearly describes what she/he needs</v>
      </c>
      <c r="P1085" s="1" t="str">
        <f ca="1">IFERROR(__xludf.DUMMYFUNCTION("""COMPUTED_VALUE"""),"Work &lt;=6 People in the Team")</f>
        <v>Work &lt;=6 People in the Team</v>
      </c>
      <c r="Q1085" s="1" t="s">
        <v>40</v>
      </c>
      <c r="R1085" s="1"/>
    </row>
    <row r="1086" spans="1:18" x14ac:dyDescent="0.25">
      <c r="A1086" s="2">
        <f ca="1">IFERROR(__xludf.DUMMYFUNCTION("""COMPUTED_VALUE"""),45043.9697812963)</f>
        <v>45043.969781296299</v>
      </c>
      <c r="B1086" s="1" t="str">
        <f ca="1">IFERROR(__xludf.DUMMYFUNCTION("""COMPUTED_VALUE"""),"India")</f>
        <v>India</v>
      </c>
      <c r="C1086" s="1">
        <f ca="1">IFERROR(__xludf.DUMMYFUNCTION("""COMPUTED_VALUE"""),520003)</f>
        <v>520003</v>
      </c>
      <c r="D1086" s="1" t="str">
        <f ca="1">IFERROR(__xludf.DUMMYFUNCTION("""COMPUTED_VALUE"""),"Male")</f>
        <v>Male</v>
      </c>
      <c r="E1086" s="1" t="str">
        <f ca="1">IFERROR(__xludf.DUMMYFUNCTION("""COMPUTED_VALUE"""),"Influencers who had successful careers")</f>
        <v>Influencers who had successful careers</v>
      </c>
      <c r="F1086" s="1" t="str">
        <f ca="1">IFERROR(__xludf.DUMMYFUNCTION("""COMPUTED_VALUE"""),"No, But if someone could bare the cost I will")</f>
        <v>No, But if someone could bare the cost I will</v>
      </c>
      <c r="G1086" s="1" t="str">
        <f ca="1">IFERROR(__xludf.DUMMYFUNCTION("""COMPUTED_VALUE"""),"This will be hard to do, but if it is the right company I would try")</f>
        <v>This will be hard to do, but if it is the right company I would try</v>
      </c>
      <c r="H1086" s="1" t="str">
        <f ca="1">IFERROR(__xludf.DUMMYFUNCTION("""COMPUTED_VALUE"""),"No")</f>
        <v>No</v>
      </c>
      <c r="I1086" s="1" t="str">
        <f ca="1">IFERROR(__xludf.DUMMYFUNCTION("""COMPUTED_VALUE"""),"Will NOT work for them")</f>
        <v>Will NOT work for them</v>
      </c>
      <c r="J1086" s="1">
        <f ca="1">IFERROR(__xludf.DUMMYFUNCTION("""COMPUTED_VALUE"""),8)</f>
        <v>8</v>
      </c>
      <c r="K1086" s="1" t="str">
        <f ca="1">IFERROR(__xludf.DUMMYFUNCTION("""COMPUTED_VALUE"""),"Hybrid Working Environment with more than 15 days a month at office")</f>
        <v>Hybrid Working Environment with more than 15 days a month at office</v>
      </c>
      <c r="L1086" s="1" t="str">
        <f ca="1">IFERROR(__xludf.DUMMYFUNCTION("""COMPUTED_VALUE"""),"Employer who appreciates learning and enables that environment")</f>
        <v>Employer who appreciates learning and enables that environment</v>
      </c>
      <c r="M108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N1086" s="1"/>
      <c r="O1086" s="1" t="str">
        <f ca="1">IFERROR(__xludf.DUMMYFUNCTION("""COMPUTED_VALUE"""),"Manager who sets goal and helps me achieve it")</f>
        <v>Manager who sets goal and helps me achieve it</v>
      </c>
      <c r="P1086" s="1" t="str">
        <f ca="1">IFERROR(__xludf.DUMMYFUNCTION("""COMPUTED_VALUE"""),"Work Alone, &lt;67 people in team")</f>
        <v>Work Alone, &lt;67 people in team</v>
      </c>
      <c r="Q1086" s="1" t="s">
        <v>42</v>
      </c>
      <c r="R1086" s="1"/>
    </row>
    <row r="1087" spans="1:18" x14ac:dyDescent="0.25">
      <c r="A1087" s="2">
        <f ca="1">IFERROR(__xludf.DUMMYFUNCTION("""COMPUTED_VALUE"""),45043.970007905)</f>
        <v>45043.970007905002</v>
      </c>
      <c r="B1087" s="1" t="str">
        <f ca="1">IFERROR(__xludf.DUMMYFUNCTION("""COMPUTED_VALUE"""),"India")</f>
        <v>India</v>
      </c>
      <c r="C1087" s="1">
        <f ca="1">IFERROR(__xludf.DUMMYFUNCTION("""COMPUTED_VALUE"""),560103)</f>
        <v>560103</v>
      </c>
      <c r="D1087" s="1" t="str">
        <f ca="1">IFERROR(__xludf.DUMMYFUNCTION("""COMPUTED_VALUE"""),"Male")</f>
        <v>Male</v>
      </c>
      <c r="E1087" s="1" t="str">
        <f ca="1">IFERROR(__xludf.DUMMYFUNCTION("""COMPUTED_VALUE"""),"People who have changed the world for better")</f>
        <v>People who have changed the world for better</v>
      </c>
      <c r="F1087" s="1" t="str">
        <f ca="1">IFERROR(__xludf.DUMMYFUNCTION("""COMPUTED_VALUE"""),"No, But if someone could bare the cost I will")</f>
        <v>No, But if someone could bare the cost I will</v>
      </c>
      <c r="G1087" s="1" t="str">
        <f ca="1">IFERROR(__xludf.DUMMYFUNCTION("""COMPUTED_VALUE"""),"Will work for 3 years or more")</f>
        <v>Will work for 3 years or more</v>
      </c>
      <c r="H1087" s="1" t="str">
        <f ca="1">IFERROR(__xludf.DUMMYFUNCTION("""COMPUTED_VALUE"""),"No")</f>
        <v>No</v>
      </c>
      <c r="I1087" s="1" t="str">
        <f ca="1">IFERROR(__xludf.DUMMYFUNCTION("""COMPUTED_VALUE"""),"Will NOT work for them")</f>
        <v>Will NOT work for them</v>
      </c>
      <c r="J1087" s="1">
        <f ca="1">IFERROR(__xludf.DUMMYFUNCTION("""COMPUTED_VALUE"""),1)</f>
        <v>1</v>
      </c>
      <c r="K1087" s="1" t="str">
        <f ca="1">IFERROR(__xludf.DUMMYFUNCTION("""COMPUTED_VALUE"""),"Fully Remote with Options to travel as and when needed")</f>
        <v>Fully Remote with Options to travel as and when needed</v>
      </c>
      <c r="L1087" s="1" t="str">
        <f ca="1">IFERROR(__xludf.DUMMYFUNCTION("""COMPUTED_VALUE"""),"Employer who pushes your limits by enabling an learning environment, and rewards you at the end")</f>
        <v>Employer who pushes your limits by enabling an learning environment, and rewards you at the end</v>
      </c>
      <c r="M108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087" s="1"/>
      <c r="O1087" s="1" t="str">
        <f ca="1">IFERROR(__xludf.DUMMYFUNCTION("""COMPUTED_VALUE"""),"Manager who explains what is expected, sets a goal and helps achieve it")</f>
        <v>Manager who explains what is expected, sets a goal and helps achieve it</v>
      </c>
      <c r="P1087" s="1" t="str">
        <f ca="1">IFERROR(__xludf.DUMMYFUNCTION("""COMPUTED_VALUE"""),"Work &gt;10 people in Team")</f>
        <v>Work &gt;10 people in Team</v>
      </c>
      <c r="Q1087" s="1" t="s">
        <v>40</v>
      </c>
      <c r="R1087" s="1"/>
    </row>
    <row r="1088" spans="1:18" x14ac:dyDescent="0.25">
      <c r="A1088" s="2">
        <f ca="1">IFERROR(__xludf.DUMMYFUNCTION("""COMPUTED_VALUE"""),45043.9701072222)</f>
        <v>45043.970107222201</v>
      </c>
      <c r="B1088" s="1" t="str">
        <f ca="1">IFERROR(__xludf.DUMMYFUNCTION("""COMPUTED_VALUE"""),"India")</f>
        <v>India</v>
      </c>
      <c r="C1088" s="1">
        <f ca="1">IFERROR(__xludf.DUMMYFUNCTION("""COMPUTED_VALUE"""),176215)</f>
        <v>176215</v>
      </c>
      <c r="D1088" s="1" t="str">
        <f ca="1">IFERROR(__xludf.DUMMYFUNCTION("""COMPUTED_VALUE"""),"Female")</f>
        <v>Female</v>
      </c>
      <c r="E1088" s="1" t="str">
        <f ca="1">IFERROR(__xludf.DUMMYFUNCTION("""COMPUTED_VALUE"""),"My Parents")</f>
        <v>My Parents</v>
      </c>
      <c r="F1088" s="1" t="str">
        <f ca="1">IFERROR(__xludf.DUMMYFUNCTION("""COMPUTED_VALUE"""),"Yes, I will earn and do that")</f>
        <v>Yes, I will earn and do that</v>
      </c>
      <c r="G1088" s="1" t="str">
        <f ca="1">IFERROR(__xludf.DUMMYFUNCTION("""COMPUTED_VALUE"""),"This will be hard to do, but if it is the right company I would try")</f>
        <v>This will be hard to do, but if it is the right company I would try</v>
      </c>
      <c r="H1088" s="1" t="str">
        <f ca="1">IFERROR(__xludf.DUMMYFUNCTION("""COMPUTED_VALUE"""),"No")</f>
        <v>No</v>
      </c>
      <c r="I1088" s="1" t="str">
        <f ca="1">IFERROR(__xludf.DUMMYFUNCTION("""COMPUTED_VALUE"""),"Will work for them")</f>
        <v>Will work for them</v>
      </c>
      <c r="J1088" s="1">
        <f ca="1">IFERROR(__xludf.DUMMYFUNCTION("""COMPUTED_VALUE"""),5)</f>
        <v>5</v>
      </c>
      <c r="K1088" s="1" t="str">
        <f ca="1">IFERROR(__xludf.DUMMYFUNCTION("""COMPUTED_VALUE"""),"Hybrid Working Environment with more than 15 days a month at office")</f>
        <v>Hybrid Working Environment with more than 15 days a month at office</v>
      </c>
      <c r="L1088" s="1" t="str">
        <f ca="1">IFERROR(__xludf.DUMMYFUNCTION("""COMPUTED_VALUE"""),"Employer who appreciates learning and enables that environment")</f>
        <v>Employer who appreciates learning and enables that environment</v>
      </c>
      <c r="M1088"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N1088" s="1"/>
      <c r="O1088" s="1" t="str">
        <f ca="1">IFERROR(__xludf.DUMMYFUNCTION("""COMPUTED_VALUE"""),"Manager who clearly describes what she/he needs")</f>
        <v>Manager who clearly describes what she/he needs</v>
      </c>
      <c r="P1088" s="1" t="str">
        <f ca="1">IFERROR(__xludf.DUMMYFUNCTION("""COMPUTED_VALUE"""),"Work &lt;=6 People in the Team")</f>
        <v>Work &lt;=6 People in the Team</v>
      </c>
      <c r="Q1088" s="1" t="s">
        <v>40</v>
      </c>
      <c r="R1088" s="1"/>
    </row>
    <row r="1089" spans="1:18" x14ac:dyDescent="0.25">
      <c r="A1089" s="2">
        <f ca="1">IFERROR(__xludf.DUMMYFUNCTION("""COMPUTED_VALUE"""),45043.9709004166)</f>
        <v>45043.9709004166</v>
      </c>
      <c r="B1089" s="1" t="str">
        <f ca="1">IFERROR(__xludf.DUMMYFUNCTION("""COMPUTED_VALUE"""),"India")</f>
        <v>India</v>
      </c>
      <c r="C1089" s="1">
        <f ca="1">IFERROR(__xludf.DUMMYFUNCTION("""COMPUTED_VALUE"""),611001)</f>
        <v>611001</v>
      </c>
      <c r="D1089" s="1" t="str">
        <f ca="1">IFERROR(__xludf.DUMMYFUNCTION("""COMPUTED_VALUE"""),"Male")</f>
        <v>Male</v>
      </c>
      <c r="E1089" s="1" t="str">
        <f ca="1">IFERROR(__xludf.DUMMYFUNCTION("""COMPUTED_VALUE"""),"My Parents")</f>
        <v>My Parents</v>
      </c>
      <c r="F1089" s="1" t="str">
        <f ca="1">IFERROR(__xludf.DUMMYFUNCTION("""COMPUTED_VALUE"""),"Yes, I will earn and do that")</f>
        <v>Yes, I will earn and do that</v>
      </c>
      <c r="G1089" s="1" t="str">
        <f ca="1">IFERROR(__xludf.DUMMYFUNCTION("""COMPUTED_VALUE"""),"Will work for 3 years or more")</f>
        <v>Will work for 3 years or more</v>
      </c>
      <c r="H1089" s="1" t="str">
        <f ca="1">IFERROR(__xludf.DUMMYFUNCTION("""COMPUTED_VALUE"""),"No")</f>
        <v>No</v>
      </c>
      <c r="I1089" s="1" t="str">
        <f ca="1">IFERROR(__xludf.DUMMYFUNCTION("""COMPUTED_VALUE"""),"Will NOT work for them")</f>
        <v>Will NOT work for them</v>
      </c>
      <c r="J1089" s="1">
        <f ca="1">IFERROR(__xludf.DUMMYFUNCTION("""COMPUTED_VALUE"""),1)</f>
        <v>1</v>
      </c>
      <c r="K1089" s="1" t="str">
        <f ca="1">IFERROR(__xludf.DUMMYFUNCTION("""COMPUTED_VALUE"""),"Every Day Office Environment")</f>
        <v>Every Day Office Environment</v>
      </c>
      <c r="L1089" s="1" t="str">
        <f ca="1">IFERROR(__xludf.DUMMYFUNCTION("""COMPUTED_VALUE"""),"Employer who rewards learning and enables that environment")</f>
        <v>Employer who rewards learning and enables that environment</v>
      </c>
      <c r="M1089"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1089" s="1"/>
      <c r="O1089" s="1" t="str">
        <f ca="1">IFERROR(__xludf.DUMMYFUNCTION("""COMPUTED_VALUE"""),"Manager who explains what is expected, sets a goal and helps achieve it")</f>
        <v>Manager who explains what is expected, sets a goal and helps achieve it</v>
      </c>
      <c r="P1089" s="1" t="str">
        <f ca="1">IFERROR(__xludf.DUMMYFUNCTION("""COMPUTED_VALUE"""),"Work &gt;10 people in Team")</f>
        <v>Work &gt;10 people in Team</v>
      </c>
      <c r="Q1089" s="1" t="s">
        <v>43</v>
      </c>
      <c r="R1089" s="1"/>
    </row>
    <row r="1090" spans="1:18" x14ac:dyDescent="0.25">
      <c r="A1090" s="2">
        <f ca="1">IFERROR(__xludf.DUMMYFUNCTION("""COMPUTED_VALUE"""),45043.971775625)</f>
        <v>45043.971775625003</v>
      </c>
      <c r="B1090" s="1" t="str">
        <f ca="1">IFERROR(__xludf.DUMMYFUNCTION("""COMPUTED_VALUE"""),"India")</f>
        <v>India</v>
      </c>
      <c r="C1090" s="1">
        <f ca="1">IFERROR(__xludf.DUMMYFUNCTION("""COMPUTED_VALUE"""),603103)</f>
        <v>603103</v>
      </c>
      <c r="D1090" s="1" t="str">
        <f ca="1">IFERROR(__xludf.DUMMYFUNCTION("""COMPUTED_VALUE"""),"Female")</f>
        <v>Female</v>
      </c>
      <c r="E1090" s="1" t="str">
        <f ca="1">IFERROR(__xludf.DUMMYFUNCTION("""COMPUTED_VALUE"""),"People who have changed the world for better")</f>
        <v>People who have changed the world for better</v>
      </c>
      <c r="F1090" s="1" t="str">
        <f ca="1">IFERROR(__xludf.DUMMYFUNCTION("""COMPUTED_VALUE"""),"Yes, I will earn and do that")</f>
        <v>Yes, I will earn and do that</v>
      </c>
      <c r="G1090" s="1" t="str">
        <f ca="1">IFERROR(__xludf.DUMMYFUNCTION("""COMPUTED_VALUE"""),"Will work for 3 years or more")</f>
        <v>Will work for 3 years or more</v>
      </c>
      <c r="H1090" s="1" t="str">
        <f ca="1">IFERROR(__xludf.DUMMYFUNCTION("""COMPUTED_VALUE"""),"No")</f>
        <v>No</v>
      </c>
      <c r="I1090" s="1" t="str">
        <f ca="1">IFERROR(__xludf.DUMMYFUNCTION("""COMPUTED_VALUE"""),"Will NOT work for them")</f>
        <v>Will NOT work for them</v>
      </c>
      <c r="J1090" s="1">
        <f ca="1">IFERROR(__xludf.DUMMYFUNCTION("""COMPUTED_VALUE"""),5)</f>
        <v>5</v>
      </c>
      <c r="K1090" s="1" t="str">
        <f ca="1">IFERROR(__xludf.DUMMYFUNCTION("""COMPUTED_VALUE"""),"Fully Remote with Options to travel as and when needed")</f>
        <v>Fully Remote with Options to travel as and when needed</v>
      </c>
      <c r="L1090" s="1" t="str">
        <f ca="1">IFERROR(__xludf.DUMMYFUNCTION("""COMPUTED_VALUE"""),"Employer who pushes your limits by enabling an learning environment, and rewards you at the end")</f>
        <v>Employer who pushes your limits by enabling an learning environment, and rewards you at the end</v>
      </c>
      <c r="M1090"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N1090" s="1"/>
      <c r="O1090" s="1" t="str">
        <f ca="1">IFERROR(__xludf.DUMMYFUNCTION("""COMPUTED_VALUE"""),"Manager who sets goal and helps me achieve it")</f>
        <v>Manager who sets goal and helps me achieve it</v>
      </c>
      <c r="P1090" s="1" t="str">
        <f ca="1">IFERROR(__xludf.DUMMYFUNCTION("""COMPUTED_VALUE"""),"Work &lt;=6 People in the Team")</f>
        <v>Work &lt;=6 People in the Team</v>
      </c>
      <c r="Q1090" s="1" t="s">
        <v>43</v>
      </c>
      <c r="R1090" s="1"/>
    </row>
    <row r="1091" spans="1:18" x14ac:dyDescent="0.25">
      <c r="A1091" s="2">
        <f ca="1">IFERROR(__xludf.DUMMYFUNCTION("""COMPUTED_VALUE"""),45043.9723964699)</f>
        <v>45043.972396469901</v>
      </c>
      <c r="B1091" s="1" t="str">
        <f ca="1">IFERROR(__xludf.DUMMYFUNCTION("""COMPUTED_VALUE"""),"India")</f>
        <v>India</v>
      </c>
      <c r="C1091" s="1">
        <f ca="1">IFERROR(__xludf.DUMMYFUNCTION("""COMPUTED_VALUE"""),492008)</f>
        <v>492008</v>
      </c>
      <c r="D1091" s="1" t="str">
        <f ca="1">IFERROR(__xludf.DUMMYFUNCTION("""COMPUTED_VALUE"""),"Female")</f>
        <v>Female</v>
      </c>
      <c r="E1091" s="1" t="str">
        <f ca="1">IFERROR(__xludf.DUMMYFUNCTION("""COMPUTED_VALUE"""),"Influencers who had successful careers")</f>
        <v>Influencers who had successful careers</v>
      </c>
      <c r="F1091" s="1" t="str">
        <f ca="1">IFERROR(__xludf.DUMMYFUNCTION("""COMPUTED_VALUE"""),"No I would not be pursuing Higher Education outside of India")</f>
        <v>No I would not be pursuing Higher Education outside of India</v>
      </c>
      <c r="G1091" s="1" t="str">
        <f ca="1">IFERROR(__xludf.DUMMYFUNCTION("""COMPUTED_VALUE"""),"This will be hard to do, but if it is the right company I would try")</f>
        <v>This will be hard to do, but if it is the right company I would try</v>
      </c>
      <c r="H1091" s="1" t="str">
        <f ca="1">IFERROR(__xludf.DUMMYFUNCTION("""COMPUTED_VALUE"""),"No")</f>
        <v>No</v>
      </c>
      <c r="I1091" s="1" t="str">
        <f ca="1">IFERROR(__xludf.DUMMYFUNCTION("""COMPUTED_VALUE"""),"Will NOT work for them")</f>
        <v>Will NOT work for them</v>
      </c>
      <c r="J1091" s="1">
        <f ca="1">IFERROR(__xludf.DUMMYFUNCTION("""COMPUTED_VALUE"""),7)</f>
        <v>7</v>
      </c>
      <c r="K1091" s="1" t="str">
        <f ca="1">IFERROR(__xludf.DUMMYFUNCTION("""COMPUTED_VALUE"""),"Hybrid Working Environment with less than 3 days a month at office")</f>
        <v>Hybrid Working Environment with less than 3 days a month at office</v>
      </c>
      <c r="L1091" s="1" t="str">
        <f ca="1">IFERROR(__xludf.DUMMYFUNCTION("""COMPUTED_VALUE"""),"Employer who pushes your limits by enabling an learning environment, and rewards you at the end")</f>
        <v>Employer who pushes your limits by enabling an learning environment, and rewards you at the end</v>
      </c>
      <c r="M109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N1091" s="1"/>
      <c r="O1091" s="1" t="str">
        <f ca="1">IFERROR(__xludf.DUMMYFUNCTION("""COMPUTED_VALUE"""),"Manager who clearly describes what she/he needs")</f>
        <v>Manager who clearly describes what she/he needs</v>
      </c>
      <c r="P1091" s="1" t="str">
        <f ca="1">IFERROR(__xludf.DUMMYFUNCTION("""COMPUTED_VALUE"""),"Work alone")</f>
        <v>Work alone</v>
      </c>
      <c r="Q1091" s="1" t="s">
        <v>43</v>
      </c>
      <c r="R1091" s="1"/>
    </row>
    <row r="1092" spans="1:18" x14ac:dyDescent="0.25">
      <c r="A1092" s="2">
        <f ca="1">IFERROR(__xludf.DUMMYFUNCTION("""COMPUTED_VALUE"""),45043.9795642592)</f>
        <v>45043.9795642592</v>
      </c>
      <c r="B1092" s="1" t="str">
        <f ca="1">IFERROR(__xludf.DUMMYFUNCTION("""COMPUTED_VALUE"""),"India")</f>
        <v>India</v>
      </c>
      <c r="C1092" s="1">
        <f ca="1">IFERROR(__xludf.DUMMYFUNCTION("""COMPUTED_VALUE"""),535145)</f>
        <v>535145</v>
      </c>
      <c r="D1092" s="1" t="str">
        <f ca="1">IFERROR(__xludf.DUMMYFUNCTION("""COMPUTED_VALUE"""),"Male")</f>
        <v>Male</v>
      </c>
      <c r="E1092" s="1" t="str">
        <f ca="1">IFERROR(__xludf.DUMMYFUNCTION("""COMPUTED_VALUE"""),"My Parents")</f>
        <v>My Parents</v>
      </c>
      <c r="F1092" s="1" t="str">
        <f ca="1">IFERROR(__xludf.DUMMYFUNCTION("""COMPUTED_VALUE"""),"No I would not be pursuing Higher Education outside of India")</f>
        <v>No I would not be pursuing Higher Education outside of India</v>
      </c>
      <c r="G1092" s="1" t="str">
        <f ca="1">IFERROR(__xludf.DUMMYFUNCTION("""COMPUTED_VALUE"""),"Will work for 3 years or more")</f>
        <v>Will work for 3 years or more</v>
      </c>
      <c r="H1092" s="1" t="str">
        <f ca="1">IFERROR(__xludf.DUMMYFUNCTION("""COMPUTED_VALUE"""),"No")</f>
        <v>No</v>
      </c>
      <c r="I1092" s="1" t="str">
        <f ca="1">IFERROR(__xludf.DUMMYFUNCTION("""COMPUTED_VALUE"""),"Will NOT work for them")</f>
        <v>Will NOT work for them</v>
      </c>
      <c r="J1092" s="1">
        <f ca="1">IFERROR(__xludf.DUMMYFUNCTION("""COMPUTED_VALUE"""),7)</f>
        <v>7</v>
      </c>
      <c r="K1092" s="1" t="str">
        <f ca="1">IFERROR(__xludf.DUMMYFUNCTION("""COMPUTED_VALUE"""),"Hybrid Working Environment with more than 15 days a month at office")</f>
        <v>Hybrid Working Environment with more than 15 days a month at office</v>
      </c>
      <c r="L1092" s="1" t="str">
        <f ca="1">IFERROR(__xludf.DUMMYFUNCTION("""COMPUTED_VALUE"""),"Employer who appreciates learning and enables that environment")</f>
        <v>Employer who appreciates learning and enables that environment</v>
      </c>
      <c r="M1092" s="1" t="str">
        <f ca="1">IFERROR(__xludf.DUMMYFUNCTION("""COMPUTED_VALUE"""),"Design and Creative strategy in any company, Build and develop a Team, Design and Develop amazing software, I Want to sell things/Sales")</f>
        <v>Design and Creative strategy in any company, Build and develop a Team, Design and Develop amazing software, I Want to sell things/Sales</v>
      </c>
      <c r="N1092" s="1"/>
      <c r="O1092" s="1" t="str">
        <f ca="1">IFERROR(__xludf.DUMMYFUNCTION("""COMPUTED_VALUE"""),"Manager who sets targets and expects me to achieve it")</f>
        <v>Manager who sets targets and expects me to achieve it</v>
      </c>
      <c r="P1092" s="1" t="str">
        <f ca="1">IFERROR(__xludf.DUMMYFUNCTION("""COMPUTED_VALUE"""),"Work &lt;=6 People in the Team")</f>
        <v>Work &lt;=6 People in the Team</v>
      </c>
      <c r="Q1092" s="1" t="s">
        <v>43</v>
      </c>
      <c r="R1092" s="1"/>
    </row>
    <row r="1093" spans="1:18" x14ac:dyDescent="0.25">
      <c r="A1093" s="2">
        <f ca="1">IFERROR(__xludf.DUMMYFUNCTION("""COMPUTED_VALUE"""),45043.9799024768)</f>
        <v>45043.9799024768</v>
      </c>
      <c r="B1093" s="1" t="str">
        <f ca="1">IFERROR(__xludf.DUMMYFUNCTION("""COMPUTED_VALUE"""),"India")</f>
        <v>India</v>
      </c>
      <c r="C1093" s="1">
        <f ca="1">IFERROR(__xludf.DUMMYFUNCTION("""COMPUTED_VALUE"""),535003)</f>
        <v>535003</v>
      </c>
      <c r="D1093" s="1" t="str">
        <f ca="1">IFERROR(__xludf.DUMMYFUNCTION("""COMPUTED_VALUE"""),"Female")</f>
        <v>Female</v>
      </c>
      <c r="E1093" s="1" t="str">
        <f ca="1">IFERROR(__xludf.DUMMYFUNCTION("""COMPUTED_VALUE"""),"People who have changed the world for better")</f>
        <v>People who have changed the world for better</v>
      </c>
      <c r="F1093" s="1" t="str">
        <f ca="1">IFERROR(__xludf.DUMMYFUNCTION("""COMPUTED_VALUE"""),"No I would not be pursuing Higher Education outside of India")</f>
        <v>No I would not be pursuing Higher Education outside of India</v>
      </c>
      <c r="G1093" s="1" t="str">
        <f ca="1">IFERROR(__xludf.DUMMYFUNCTION("""COMPUTED_VALUE"""),"This will be hard to do, but if it is the right company I would try")</f>
        <v>This will be hard to do, but if it is the right company I would try</v>
      </c>
      <c r="H1093" s="1" t="str">
        <f ca="1">IFERROR(__xludf.DUMMYFUNCTION("""COMPUTED_VALUE"""),"Yes")</f>
        <v>Yes</v>
      </c>
      <c r="I1093" s="1" t="str">
        <f ca="1">IFERROR(__xludf.DUMMYFUNCTION("""COMPUTED_VALUE"""),"Will work for them")</f>
        <v>Will work for them</v>
      </c>
      <c r="J1093" s="1">
        <f ca="1">IFERROR(__xludf.DUMMYFUNCTION("""COMPUTED_VALUE"""),5)</f>
        <v>5</v>
      </c>
      <c r="K1093" s="1" t="str">
        <f ca="1">IFERROR(__xludf.DUMMYFUNCTION("""COMPUTED_VALUE"""),"Fully Remote with Options to travel as and when needed")</f>
        <v>Fully Remote with Options to travel as and when needed</v>
      </c>
      <c r="L1093" s="1" t="str">
        <f ca="1">IFERROR(__xludf.DUMMYFUNCTION("""COMPUTED_VALUE"""),"Employer who pushes your limits by enabling an learning environment, and rewards you at the end")</f>
        <v>Employer who pushes your limits by enabling an learning environment, and rewards you at the end</v>
      </c>
      <c r="M1093"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1093" s="1"/>
      <c r="O1093" s="1" t="str">
        <f ca="1">IFERROR(__xludf.DUMMYFUNCTION("""COMPUTED_VALUE"""),"Manager who explains what is expected, sets a goal and helps achieve it")</f>
        <v>Manager who explains what is expected, sets a goal and helps achieve it</v>
      </c>
      <c r="P1093" s="1" t="str">
        <f ca="1">IFERROR(__xludf.DUMMYFUNCTION("""COMPUTED_VALUE"""),"Work &gt;10 people in Team")</f>
        <v>Work &gt;10 people in Team</v>
      </c>
      <c r="Q1093" s="1" t="s">
        <v>40</v>
      </c>
      <c r="R1093" s="1"/>
    </row>
    <row r="1094" spans="1:18" x14ac:dyDescent="0.25">
      <c r="A1094" s="2">
        <f ca="1">IFERROR(__xludf.DUMMYFUNCTION("""COMPUTED_VALUE"""),45043.980799699)</f>
        <v>45043.980799698998</v>
      </c>
      <c r="B1094" s="1" t="str">
        <f ca="1">IFERROR(__xludf.DUMMYFUNCTION("""COMPUTED_VALUE"""),"India")</f>
        <v>India</v>
      </c>
      <c r="C1094" s="1">
        <f ca="1">IFERROR(__xludf.DUMMYFUNCTION("""COMPUTED_VALUE"""),502279)</f>
        <v>502279</v>
      </c>
      <c r="D1094" s="1" t="str">
        <f ca="1">IFERROR(__xludf.DUMMYFUNCTION("""COMPUTED_VALUE"""),"Female")</f>
        <v>Female</v>
      </c>
      <c r="E1094" s="1" t="str">
        <f ca="1">IFERROR(__xludf.DUMMYFUNCTION("""COMPUTED_VALUE"""),"People who have changed the world for better")</f>
        <v>People who have changed the world for better</v>
      </c>
      <c r="F1094" s="1" t="str">
        <f ca="1">IFERROR(__xludf.DUMMYFUNCTION("""COMPUTED_VALUE"""),"Yes, I will earn and do that")</f>
        <v>Yes, I will earn and do that</v>
      </c>
      <c r="G1094" s="1" t="str">
        <f ca="1">IFERROR(__xludf.DUMMYFUNCTION("""COMPUTED_VALUE"""),"Will work for 3 years or more")</f>
        <v>Will work for 3 years or more</v>
      </c>
      <c r="H1094" s="1" t="str">
        <f ca="1">IFERROR(__xludf.DUMMYFUNCTION("""COMPUTED_VALUE"""),"No")</f>
        <v>No</v>
      </c>
      <c r="I1094" s="1" t="str">
        <f ca="1">IFERROR(__xludf.DUMMYFUNCTION("""COMPUTED_VALUE"""),"Will NOT work for them")</f>
        <v>Will NOT work for them</v>
      </c>
      <c r="J1094" s="1">
        <f ca="1">IFERROR(__xludf.DUMMYFUNCTION("""COMPUTED_VALUE"""),7)</f>
        <v>7</v>
      </c>
      <c r="K1094" s="1" t="str">
        <f ca="1">IFERROR(__xludf.DUMMYFUNCTION("""COMPUTED_VALUE"""),"Hybrid Working Environment with more than 15 days a month at office")</f>
        <v>Hybrid Working Environment with more than 15 days a month at office</v>
      </c>
      <c r="L1094" s="1" t="str">
        <f ca="1">IFERROR(__xludf.DUMMYFUNCTION("""COMPUTED_VALUE"""),"Employer who pushes your limits by enabling an learning environment, and rewards you at the end")</f>
        <v>Employer who pushes your limits by enabling an learning environment, and rewards you at the end</v>
      </c>
      <c r="M1094"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N1094" s="1"/>
      <c r="O1094" s="1" t="str">
        <f ca="1">IFERROR(__xludf.DUMMYFUNCTION("""COMPUTED_VALUE"""),"Manager who sets goal and helps me achieve it")</f>
        <v>Manager who sets goal and helps me achieve it</v>
      </c>
      <c r="P1094" s="1" t="str">
        <f ca="1">IFERROR(__xludf.DUMMYFUNCTION("""COMPUTED_VALUE"""),"Work &gt;=7 People in the Team")</f>
        <v>Work &gt;=7 People in the Team</v>
      </c>
      <c r="Q1094" s="1" t="s">
        <v>43</v>
      </c>
      <c r="R1094" s="1"/>
    </row>
    <row r="1095" spans="1:18" x14ac:dyDescent="0.25">
      <c r="A1095" s="2">
        <f ca="1">IFERROR(__xludf.DUMMYFUNCTION("""COMPUTED_VALUE"""),45043.9808260069)</f>
        <v>45043.980826006897</v>
      </c>
      <c r="B1095" s="1" t="str">
        <f ca="1">IFERROR(__xludf.DUMMYFUNCTION("""COMPUTED_VALUE"""),"India")</f>
        <v>India</v>
      </c>
      <c r="C1095" s="1">
        <f ca="1">IFERROR(__xludf.DUMMYFUNCTION("""COMPUTED_VALUE"""),500075)</f>
        <v>500075</v>
      </c>
      <c r="D1095" s="1" t="str">
        <f ca="1">IFERROR(__xludf.DUMMYFUNCTION("""COMPUTED_VALUE"""),"Female")</f>
        <v>Female</v>
      </c>
      <c r="E1095" s="1" t="str">
        <f ca="1">IFERROR(__xludf.DUMMYFUNCTION("""COMPUTED_VALUE"""),"Influencers who had successful careers")</f>
        <v>Influencers who had successful careers</v>
      </c>
      <c r="F1095" s="1" t="str">
        <f ca="1">IFERROR(__xludf.DUMMYFUNCTION("""COMPUTED_VALUE"""),"No I would not be pursuing Higher Education outside of India")</f>
        <v>No I would not be pursuing Higher Education outside of India</v>
      </c>
      <c r="G1095" s="1" t="str">
        <f ca="1">IFERROR(__xludf.DUMMYFUNCTION("""COMPUTED_VALUE"""),"This will be hard to do, but if it is the right company I would try")</f>
        <v>This will be hard to do, but if it is the right company I would try</v>
      </c>
      <c r="H1095" s="1" t="str">
        <f ca="1">IFERROR(__xludf.DUMMYFUNCTION("""COMPUTED_VALUE"""),"Yes")</f>
        <v>Yes</v>
      </c>
      <c r="I1095" s="1" t="str">
        <f ca="1">IFERROR(__xludf.DUMMYFUNCTION("""COMPUTED_VALUE"""),"Will work for them")</f>
        <v>Will work for them</v>
      </c>
      <c r="J1095" s="1">
        <f ca="1">IFERROR(__xludf.DUMMYFUNCTION("""COMPUTED_VALUE"""),3)</f>
        <v>3</v>
      </c>
      <c r="K1095" s="1" t="str">
        <f ca="1">IFERROR(__xludf.DUMMYFUNCTION("""COMPUTED_VALUE"""),"Hybrid Working Environment with less than 3 days a month at office")</f>
        <v>Hybrid Working Environment with less than 3 days a month at office</v>
      </c>
      <c r="L1095" s="1" t="str">
        <f ca="1">IFERROR(__xludf.DUMMYFUNCTION("""COMPUTED_VALUE"""),"Employer who appreciates learning and enables that environment")</f>
        <v>Employer who appreciates learning and enables that environment</v>
      </c>
      <c r="M109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095" s="1"/>
      <c r="O1095" s="1" t="str">
        <f ca="1">IFERROR(__xludf.DUMMYFUNCTION("""COMPUTED_VALUE"""),"Manager who sets targets and expects me to achieve it")</f>
        <v>Manager who sets targets and expects me to achieve it</v>
      </c>
      <c r="P1095" s="1" t="str">
        <f ca="1">IFERROR(__xludf.DUMMYFUNCTION("""COMPUTED_VALUE"""),"Work &gt;10 people in Team")</f>
        <v>Work &gt;10 people in Team</v>
      </c>
      <c r="Q1095" s="1" t="s">
        <v>40</v>
      </c>
      <c r="R1095" s="1"/>
    </row>
    <row r="1096" spans="1:18" x14ac:dyDescent="0.25">
      <c r="A1096" s="2">
        <f ca="1">IFERROR(__xludf.DUMMYFUNCTION("""COMPUTED_VALUE"""),45043.9810652893)</f>
        <v>45043.981065289299</v>
      </c>
      <c r="B1096" s="1" t="str">
        <f ca="1">IFERROR(__xludf.DUMMYFUNCTION("""COMPUTED_VALUE"""),"India")</f>
        <v>India</v>
      </c>
      <c r="C1096" s="1">
        <f ca="1">IFERROR(__xludf.DUMMYFUNCTION("""COMPUTED_VALUE"""),679102)</f>
        <v>679102</v>
      </c>
      <c r="D1096" s="1" t="str">
        <f ca="1">IFERROR(__xludf.DUMMYFUNCTION("""COMPUTED_VALUE"""),"Female")</f>
        <v>Female</v>
      </c>
      <c r="E1096" s="1" t="str">
        <f ca="1">IFERROR(__xludf.DUMMYFUNCTION("""COMPUTED_VALUE"""),"People who have changed the world for better")</f>
        <v>People who have changed the world for better</v>
      </c>
      <c r="F1096" s="1" t="str">
        <f ca="1">IFERROR(__xludf.DUMMYFUNCTION("""COMPUTED_VALUE"""),"No I would not be pursuing Higher Education outside of India")</f>
        <v>No I would not be pursuing Higher Education outside of India</v>
      </c>
      <c r="G1096" s="1" t="str">
        <f ca="1">IFERROR(__xludf.DUMMYFUNCTION("""COMPUTED_VALUE"""),"This will be hard to do, but if it is the right company I would try")</f>
        <v>This will be hard to do, but if it is the right company I would try</v>
      </c>
      <c r="H1096" s="1" t="str">
        <f ca="1">IFERROR(__xludf.DUMMYFUNCTION("""COMPUTED_VALUE"""),"No")</f>
        <v>No</v>
      </c>
      <c r="I1096" s="1" t="str">
        <f ca="1">IFERROR(__xludf.DUMMYFUNCTION("""COMPUTED_VALUE"""),"Will NOT work for them")</f>
        <v>Will NOT work for them</v>
      </c>
      <c r="J1096" s="1">
        <f ca="1">IFERROR(__xludf.DUMMYFUNCTION("""COMPUTED_VALUE"""),1)</f>
        <v>1</v>
      </c>
      <c r="K1096" s="1" t="str">
        <f ca="1">IFERROR(__xludf.DUMMYFUNCTION("""COMPUTED_VALUE"""),"Hybrid Working Environment with less than 3 days a month at office")</f>
        <v>Hybrid Working Environment with less than 3 days a month at office</v>
      </c>
      <c r="L1096" s="1" t="str">
        <f ca="1">IFERROR(__xludf.DUMMYFUNCTION("""COMPUTED_VALUE"""),"Employer who pushes your limits by enabling an learning environment, and rewards you at the end")</f>
        <v>Employer who pushes your limits by enabling an learning environment, and rewards you at the end</v>
      </c>
      <c r="M1096"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N1096" s="1"/>
      <c r="O1096" s="1" t="str">
        <f ca="1">IFERROR(__xludf.DUMMYFUNCTION("""COMPUTED_VALUE"""),"Manager who explains what is expected, sets a goal and helps achieve it")</f>
        <v>Manager who explains what is expected, sets a goal and helps achieve it</v>
      </c>
      <c r="P1096" s="1" t="str">
        <f ca="1">IFERROR(__xludf.DUMMYFUNCTION("""COMPUTED_VALUE"""),"Work &lt;=6 People in the Team")</f>
        <v>Work &lt;=6 People in the Team</v>
      </c>
      <c r="Q1096" s="1" t="s">
        <v>43</v>
      </c>
      <c r="R1096" s="1"/>
    </row>
    <row r="1097" spans="1:18" x14ac:dyDescent="0.25">
      <c r="A1097" s="2">
        <f ca="1">IFERROR(__xludf.DUMMYFUNCTION("""COMPUTED_VALUE"""),45043.9810679745)</f>
        <v>45043.981067974499</v>
      </c>
      <c r="B1097" s="1" t="str">
        <f ca="1">IFERROR(__xludf.DUMMYFUNCTION("""COMPUTED_VALUE"""),"India")</f>
        <v>India</v>
      </c>
      <c r="C1097" s="1">
        <f ca="1">IFERROR(__xludf.DUMMYFUNCTION("""COMPUTED_VALUE"""),533222)</f>
        <v>533222</v>
      </c>
      <c r="D1097" s="1" t="str">
        <f ca="1">IFERROR(__xludf.DUMMYFUNCTION("""COMPUTED_VALUE"""),"Female")</f>
        <v>Female</v>
      </c>
      <c r="E1097" s="1" t="str">
        <f ca="1">IFERROR(__xludf.DUMMYFUNCTION("""COMPUTED_VALUE"""),"My Parents")</f>
        <v>My Parents</v>
      </c>
      <c r="F1097" s="1" t="str">
        <f ca="1">IFERROR(__xludf.DUMMYFUNCTION("""COMPUTED_VALUE"""),"No, But if someone could bare the cost I will")</f>
        <v>No, But if someone could bare the cost I will</v>
      </c>
      <c r="G1097" s="1" t="str">
        <f ca="1">IFERROR(__xludf.DUMMYFUNCTION("""COMPUTED_VALUE"""),"Will work for 3 years or more")</f>
        <v>Will work for 3 years or more</v>
      </c>
      <c r="H1097" s="1" t="str">
        <f ca="1">IFERROR(__xludf.DUMMYFUNCTION("""COMPUTED_VALUE"""),"Yes")</f>
        <v>Yes</v>
      </c>
      <c r="I1097" s="1" t="str">
        <f ca="1">IFERROR(__xludf.DUMMYFUNCTION("""COMPUTED_VALUE"""),"Will NOT work for them")</f>
        <v>Will NOT work for them</v>
      </c>
      <c r="J1097" s="1">
        <f ca="1">IFERROR(__xludf.DUMMYFUNCTION("""COMPUTED_VALUE"""),8)</f>
        <v>8</v>
      </c>
      <c r="K1097" s="1" t="str">
        <f ca="1">IFERROR(__xludf.DUMMYFUNCTION("""COMPUTED_VALUE"""),"Fully Remote with Options to travel as and when needed")</f>
        <v>Fully Remote with Options to travel as and when needed</v>
      </c>
      <c r="L1097" s="1" t="str">
        <f ca="1">IFERROR(__xludf.DUMMYFUNCTION("""COMPUTED_VALUE"""),"Employer who rewards learning and enables that environment")</f>
        <v>Employer who rewards learning and enables that environment</v>
      </c>
      <c r="M1097" s="1" t="str">
        <f ca="1">IFERROR(__xludf.DUMMYFUNCTION("""COMPUTED_VALUE"""),"Design and Creative strategy in any company, Build and develop a Team, Work as a freelancer and do my thing my way, An Artificial Intelligence Specialist / Talking to Robots")</f>
        <v>Design and Creative strategy in any company, Build and develop a Team, Work as a freelancer and do my thing my way, An Artificial Intelligence Specialist / Talking to Robots</v>
      </c>
      <c r="N1097" s="1"/>
      <c r="O1097" s="1" t="str">
        <f ca="1">IFERROR(__xludf.DUMMYFUNCTION("""COMPUTED_VALUE"""),"Manager who explains what is expected, sets a goal and helps achieve it")</f>
        <v>Manager who explains what is expected, sets a goal and helps achieve it</v>
      </c>
      <c r="P1097" s="1" t="str">
        <f ca="1">IFERROR(__xludf.DUMMYFUNCTION("""COMPUTED_VALUE"""),"Work &lt;67 People in the Team")</f>
        <v>Work &lt;67 People in the Team</v>
      </c>
      <c r="Q1097" s="1" t="s">
        <v>40</v>
      </c>
      <c r="R1097" s="1"/>
    </row>
    <row r="1098" spans="1:18" x14ac:dyDescent="0.25">
      <c r="A1098" s="2">
        <f ca="1">IFERROR(__xludf.DUMMYFUNCTION("""COMPUTED_VALUE"""),45043.9814858449)</f>
        <v>45043.981485844903</v>
      </c>
      <c r="B1098" s="1" t="str">
        <f ca="1">IFERROR(__xludf.DUMMYFUNCTION("""COMPUTED_VALUE"""),"India")</f>
        <v>India</v>
      </c>
      <c r="C1098" s="1">
        <f ca="1">IFERROR(__xludf.DUMMYFUNCTION("""COMPUTED_VALUE"""),768017)</f>
        <v>768017</v>
      </c>
      <c r="D1098" s="1" t="str">
        <f ca="1">IFERROR(__xludf.DUMMYFUNCTION("""COMPUTED_VALUE"""),"Male")</f>
        <v>Male</v>
      </c>
      <c r="E1098" s="1" t="str">
        <f ca="1">IFERROR(__xludf.DUMMYFUNCTION("""COMPUTED_VALUE"""),"People from my circle, but not family members")</f>
        <v>People from my circle, but not family members</v>
      </c>
      <c r="F1098" s="1" t="str">
        <f ca="1">IFERROR(__xludf.DUMMYFUNCTION("""COMPUTED_VALUE"""),"Yes, I will earn and do that")</f>
        <v>Yes, I will earn and do that</v>
      </c>
      <c r="G1098" s="1" t="str">
        <f ca="1">IFERROR(__xludf.DUMMYFUNCTION("""COMPUTED_VALUE"""),"Will work for 3 years or more")</f>
        <v>Will work for 3 years or more</v>
      </c>
      <c r="H1098" s="1" t="str">
        <f ca="1">IFERROR(__xludf.DUMMYFUNCTION("""COMPUTED_VALUE"""),"No")</f>
        <v>No</v>
      </c>
      <c r="I1098" s="1" t="str">
        <f ca="1">IFERROR(__xludf.DUMMYFUNCTION("""COMPUTED_VALUE"""),"Will NOT work for them")</f>
        <v>Will NOT work for them</v>
      </c>
      <c r="J1098" s="1">
        <f ca="1">IFERROR(__xludf.DUMMYFUNCTION("""COMPUTED_VALUE"""),5)</f>
        <v>5</v>
      </c>
      <c r="K1098" s="1" t="str">
        <f ca="1">IFERROR(__xludf.DUMMYFUNCTION("""COMPUTED_VALUE"""),"Fully Remote with Options to travel as and when needed")</f>
        <v>Fully Remote with Options to travel as and when needed</v>
      </c>
      <c r="L1098" s="1" t="str">
        <f ca="1">IFERROR(__xludf.DUMMYFUNCTION("""COMPUTED_VALUE"""),"Employer who rewards learning and enables that environment")</f>
        <v>Employer who rewards learning and enables that environment</v>
      </c>
      <c r="M1098"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N1098" s="1"/>
      <c r="O1098" s="1" t="str">
        <f ca="1">IFERROR(__xludf.DUMMYFUNCTION("""COMPUTED_VALUE"""),"Manager who explains what is expected, sets a goal and helps achieve it")</f>
        <v>Manager who explains what is expected, sets a goal and helps achieve it</v>
      </c>
      <c r="P1098" s="1" t="str">
        <f ca="1">IFERROR(__xludf.DUMMYFUNCTION("""COMPUTED_VALUE"""),"Work &lt;=6 People in the Team")</f>
        <v>Work &lt;=6 People in the Team</v>
      </c>
      <c r="Q1098" s="1" t="s">
        <v>43</v>
      </c>
      <c r="R1098" s="1"/>
    </row>
    <row r="1099" spans="1:18" x14ac:dyDescent="0.25">
      <c r="A1099" s="2">
        <f ca="1">IFERROR(__xludf.DUMMYFUNCTION("""COMPUTED_VALUE"""),45043.9840046759)</f>
        <v>45043.984004675898</v>
      </c>
      <c r="B1099" s="1" t="str">
        <f ca="1">IFERROR(__xludf.DUMMYFUNCTION("""COMPUTED_VALUE"""),"India")</f>
        <v>India</v>
      </c>
      <c r="C1099" s="1">
        <f ca="1">IFERROR(__xludf.DUMMYFUNCTION("""COMPUTED_VALUE"""),500006)</f>
        <v>500006</v>
      </c>
      <c r="D1099" s="1" t="str">
        <f ca="1">IFERROR(__xludf.DUMMYFUNCTION("""COMPUTED_VALUE"""),"Female")</f>
        <v>Female</v>
      </c>
      <c r="E1099" s="1" t="str">
        <f ca="1">IFERROR(__xludf.DUMMYFUNCTION("""COMPUTED_VALUE"""),"My Parents")</f>
        <v>My Parents</v>
      </c>
      <c r="F1099" s="1" t="str">
        <f ca="1">IFERROR(__xludf.DUMMYFUNCTION("""COMPUTED_VALUE"""),"No I would not be pursuing Higher Education outside of India")</f>
        <v>No I would not be pursuing Higher Education outside of India</v>
      </c>
      <c r="G1099" s="1" t="str">
        <f ca="1">IFERROR(__xludf.DUMMYFUNCTION("""COMPUTED_VALUE"""),"Will work for 3 years or more")</f>
        <v>Will work for 3 years or more</v>
      </c>
      <c r="H1099" s="1" t="str">
        <f ca="1">IFERROR(__xludf.DUMMYFUNCTION("""COMPUTED_VALUE"""),"Yes")</f>
        <v>Yes</v>
      </c>
      <c r="I1099" s="1" t="str">
        <f ca="1">IFERROR(__xludf.DUMMYFUNCTION("""COMPUTED_VALUE"""),"Will NOT work for them")</f>
        <v>Will NOT work for them</v>
      </c>
      <c r="J1099" s="1">
        <f ca="1">IFERROR(__xludf.DUMMYFUNCTION("""COMPUTED_VALUE"""),6)</f>
        <v>6</v>
      </c>
      <c r="K1099" s="1" t="str">
        <f ca="1">IFERROR(__xludf.DUMMYFUNCTION("""COMPUTED_VALUE"""),"Fully Remote with Options to travel as and when needed")</f>
        <v>Fully Remote with Options to travel as and when needed</v>
      </c>
      <c r="L1099" s="1" t="str">
        <f ca="1">IFERROR(__xludf.DUMMYFUNCTION("""COMPUTED_VALUE"""),"Employer who pushes your limits by enabling an learning environment, and rewards you at the end")</f>
        <v>Employer who pushes your limits by enabling an learning environment, and rewards you at the end</v>
      </c>
      <c r="M1099"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N1099" s="1"/>
      <c r="O1099" s="1" t="str">
        <f ca="1">IFERROR(__xludf.DUMMYFUNCTION("""COMPUTED_VALUE"""),"Manager who explains what is expected, sets a goal and helps achieve it")</f>
        <v>Manager who explains what is expected, sets a goal and helps achieve it</v>
      </c>
      <c r="P1099" s="1" t="str">
        <f ca="1">IFERROR(__xludf.DUMMYFUNCTION("""COMPUTED_VALUE"""),"Work &lt;=6 People in the Team")</f>
        <v>Work &lt;=6 People in the Team</v>
      </c>
      <c r="Q1099" s="1" t="s">
        <v>40</v>
      </c>
      <c r="R1099" s="1"/>
    </row>
    <row r="1100" spans="1:18" x14ac:dyDescent="0.25">
      <c r="A1100" s="2">
        <f ca="1">IFERROR(__xludf.DUMMYFUNCTION("""COMPUTED_VALUE"""),45043.9889055902)</f>
        <v>45043.988905590202</v>
      </c>
      <c r="B1100" s="1" t="str">
        <f ca="1">IFERROR(__xludf.DUMMYFUNCTION("""COMPUTED_VALUE"""),"India")</f>
        <v>India</v>
      </c>
      <c r="C1100" s="1">
        <f ca="1">IFERROR(__xludf.DUMMYFUNCTION("""COMPUTED_VALUE"""),440035)</f>
        <v>440035</v>
      </c>
      <c r="D1100" s="1" t="str">
        <f ca="1">IFERROR(__xludf.DUMMYFUNCTION("""COMPUTED_VALUE"""),"Female")</f>
        <v>Female</v>
      </c>
      <c r="E1100" s="1" t="str">
        <f ca="1">IFERROR(__xludf.DUMMYFUNCTION("""COMPUTED_VALUE"""),"Social Media like LinkedIn")</f>
        <v>Social Media like LinkedIn</v>
      </c>
      <c r="F1100" s="1" t="str">
        <f ca="1">IFERROR(__xludf.DUMMYFUNCTION("""COMPUTED_VALUE"""),"No, But if someone could bare the cost I will")</f>
        <v>No, But if someone could bare the cost I will</v>
      </c>
      <c r="G1100" s="1" t="str">
        <f ca="1">IFERROR(__xludf.DUMMYFUNCTION("""COMPUTED_VALUE"""),"This will be hard to do, but if it is the right company I would try")</f>
        <v>This will be hard to do, but if it is the right company I would try</v>
      </c>
      <c r="H1100" s="1" t="str">
        <f ca="1">IFERROR(__xludf.DUMMYFUNCTION("""COMPUTED_VALUE"""),"No")</f>
        <v>No</v>
      </c>
      <c r="I1100" s="1" t="str">
        <f ca="1">IFERROR(__xludf.DUMMYFUNCTION("""COMPUTED_VALUE"""),"Will NOT work for them")</f>
        <v>Will NOT work for them</v>
      </c>
      <c r="J1100" s="1">
        <f ca="1">IFERROR(__xludf.DUMMYFUNCTION("""COMPUTED_VALUE"""),8)</f>
        <v>8</v>
      </c>
      <c r="K1100" s="1" t="str">
        <f ca="1">IFERROR(__xludf.DUMMYFUNCTION("""COMPUTED_VALUE"""),"Hybrid Working Environment with less than 3 days a month at office")</f>
        <v>Hybrid Working Environment with less than 3 days a month at office</v>
      </c>
      <c r="L1100" s="1" t="str">
        <f ca="1">IFERROR(__xludf.DUMMYFUNCTION("""COMPUTED_VALUE"""),"Employer who pushes your limits by enabling an learning environment, and rewards you at the end")</f>
        <v>Employer who pushes your limits by enabling an learning environment, and rewards you at the end</v>
      </c>
      <c r="M110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100" s="1"/>
      <c r="O1100" s="1" t="str">
        <f ca="1">IFERROR(__xludf.DUMMYFUNCTION("""COMPUTED_VALUE"""),"Manager who explains what is expected, sets a goal and helps achieve it")</f>
        <v>Manager who explains what is expected, sets a goal and helps achieve it</v>
      </c>
      <c r="P1100" s="1" t="str">
        <f ca="1">IFERROR(__xludf.DUMMYFUNCTION("""COMPUTED_VALUE"""),"Work &lt;=6 People in the Team")</f>
        <v>Work &lt;=6 People in the Team</v>
      </c>
      <c r="Q1100" s="1" t="s">
        <v>43</v>
      </c>
      <c r="R1100" s="1"/>
    </row>
    <row r="1101" spans="1:18" x14ac:dyDescent="0.25">
      <c r="A1101" s="2">
        <f ca="1">IFERROR(__xludf.DUMMYFUNCTION("""COMPUTED_VALUE"""),45043.9896493981)</f>
        <v>45043.9896493981</v>
      </c>
      <c r="B1101" s="1" t="str">
        <f ca="1">IFERROR(__xludf.DUMMYFUNCTION("""COMPUTED_VALUE"""),"India")</f>
        <v>India</v>
      </c>
      <c r="C1101" s="1">
        <f ca="1">IFERROR(__xludf.DUMMYFUNCTION("""COMPUTED_VALUE"""),390023)</f>
        <v>390023</v>
      </c>
      <c r="D1101" s="1" t="str">
        <f ca="1">IFERROR(__xludf.DUMMYFUNCTION("""COMPUTED_VALUE"""),"Male")</f>
        <v>Male</v>
      </c>
      <c r="E1101" s="1" t="str">
        <f ca="1">IFERROR(__xludf.DUMMYFUNCTION("""COMPUTED_VALUE"""),"Influencers who had successful careers")</f>
        <v>Influencers who had successful careers</v>
      </c>
      <c r="F1101" s="1" t="str">
        <f ca="1">IFERROR(__xludf.DUMMYFUNCTION("""COMPUTED_VALUE"""),"No I would not be pursuing Higher Education outside of India")</f>
        <v>No I would not be pursuing Higher Education outside of India</v>
      </c>
      <c r="G1101" s="1" t="str">
        <f ca="1">IFERROR(__xludf.DUMMYFUNCTION("""COMPUTED_VALUE"""),"This will be hard to do, but if it is the right company I would try")</f>
        <v>This will be hard to do, but if it is the right company I would try</v>
      </c>
      <c r="H1101" s="1" t="str">
        <f ca="1">IFERROR(__xludf.DUMMYFUNCTION("""COMPUTED_VALUE"""),"Yes")</f>
        <v>Yes</v>
      </c>
      <c r="I1101" s="1" t="str">
        <f ca="1">IFERROR(__xludf.DUMMYFUNCTION("""COMPUTED_VALUE"""),"Will work for them")</f>
        <v>Will work for them</v>
      </c>
      <c r="J1101" s="1">
        <f ca="1">IFERROR(__xludf.DUMMYFUNCTION("""COMPUTED_VALUE"""),8)</f>
        <v>8</v>
      </c>
      <c r="K1101" s="1" t="str">
        <f ca="1">IFERROR(__xludf.DUMMYFUNCTION("""COMPUTED_VALUE"""),"Hybrid Working Environment with more than 15 days a month at office")</f>
        <v>Hybrid Working Environment with more than 15 days a month at office</v>
      </c>
      <c r="L1101" s="1" t="str">
        <f ca="1">IFERROR(__xludf.DUMMYFUNCTION("""COMPUTED_VALUE"""),"Employer who pushes your limits by enabling an learning environment, and rewards you at the end")</f>
        <v>Employer who pushes your limits by enabling an learning environment, and rewards you at the end</v>
      </c>
      <c r="M1101"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N1101" s="1"/>
      <c r="O1101" s="1" t="str">
        <f ca="1">IFERROR(__xludf.DUMMYFUNCTION("""COMPUTED_VALUE"""),"Manager who explains what is expected, sets a goal and helps achieve it")</f>
        <v>Manager who explains what is expected, sets a goal and helps achieve it</v>
      </c>
      <c r="P1101" s="1" t="str">
        <f ca="1">IFERROR(__xludf.DUMMYFUNCTION("""COMPUTED_VALUE"""),"Work Alone, &lt;=6 in team")</f>
        <v>Work Alone, &lt;=6 in team</v>
      </c>
      <c r="Q1101" s="1" t="s">
        <v>43</v>
      </c>
      <c r="R1101" s="1"/>
    </row>
    <row r="1102" spans="1:18" x14ac:dyDescent="0.25">
      <c r="A1102" s="2">
        <f ca="1">IFERROR(__xludf.DUMMYFUNCTION("""COMPUTED_VALUE"""),45043.992150081)</f>
        <v>45043.992150081001</v>
      </c>
      <c r="B1102" s="1" t="str">
        <f ca="1">IFERROR(__xludf.DUMMYFUNCTION("""COMPUTED_VALUE"""),"India")</f>
        <v>India</v>
      </c>
      <c r="C1102" s="1">
        <f ca="1">IFERROR(__xludf.DUMMYFUNCTION("""COMPUTED_VALUE"""),440024)</f>
        <v>440024</v>
      </c>
      <c r="D1102" s="1" t="str">
        <f ca="1">IFERROR(__xludf.DUMMYFUNCTION("""COMPUTED_VALUE"""),"Male")</f>
        <v>Male</v>
      </c>
      <c r="E1102" s="1" t="str">
        <f ca="1">IFERROR(__xludf.DUMMYFUNCTION("""COMPUTED_VALUE"""),"Social Media like LinkedIn")</f>
        <v>Social Media like LinkedIn</v>
      </c>
      <c r="F1102" s="1" t="str">
        <f ca="1">IFERROR(__xludf.DUMMYFUNCTION("""COMPUTED_VALUE"""),"No I would not be pursuing Higher Education outside of India")</f>
        <v>No I would not be pursuing Higher Education outside of India</v>
      </c>
      <c r="G1102" s="1" t="str">
        <f ca="1">IFERROR(__xludf.DUMMYFUNCTION("""COMPUTED_VALUE"""),"Will work for 3 years or more")</f>
        <v>Will work for 3 years or more</v>
      </c>
      <c r="H1102" s="1" t="str">
        <f ca="1">IFERROR(__xludf.DUMMYFUNCTION("""COMPUTED_VALUE"""),"No")</f>
        <v>No</v>
      </c>
      <c r="I1102" s="1" t="str">
        <f ca="1">IFERROR(__xludf.DUMMYFUNCTION("""COMPUTED_VALUE"""),"Will NOT work for them")</f>
        <v>Will NOT work for them</v>
      </c>
      <c r="J1102" s="1">
        <f ca="1">IFERROR(__xludf.DUMMYFUNCTION("""COMPUTED_VALUE"""),5)</f>
        <v>5</v>
      </c>
      <c r="K1102" s="1" t="str">
        <f ca="1">IFERROR(__xludf.DUMMYFUNCTION("""COMPUTED_VALUE"""),"Fully Remote with Options to travel as and when needed")</f>
        <v>Fully Remote with Options to travel as and when needed</v>
      </c>
      <c r="L1102" s="1" t="str">
        <f ca="1">IFERROR(__xludf.DUMMYFUNCTION("""COMPUTED_VALUE"""),"Employer who rewards learning and enables that environment")</f>
        <v>Employer who rewards learning and enables that environment</v>
      </c>
      <c r="M1102"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N1102" s="1"/>
      <c r="O1102" s="1" t="str">
        <f ca="1">IFERROR(__xludf.DUMMYFUNCTION("""COMPUTED_VALUE"""),"Manager who explains what is expected, sets a goal and helps achieve it")</f>
        <v>Manager who explains what is expected, sets a goal and helps achieve it</v>
      </c>
      <c r="P1102" s="1" t="str">
        <f ca="1">IFERROR(__xludf.DUMMYFUNCTION("""COMPUTED_VALUE"""),"Work &lt;=6 People in the Team")</f>
        <v>Work &lt;=6 People in the Team</v>
      </c>
      <c r="Q1102" s="1" t="s">
        <v>43</v>
      </c>
      <c r="R1102" s="1"/>
    </row>
    <row r="1103" spans="1:18" x14ac:dyDescent="0.25">
      <c r="A1103" s="2">
        <f ca="1">IFERROR(__xludf.DUMMYFUNCTION("""COMPUTED_VALUE"""),45043.9933065625)</f>
        <v>45043.993306562501</v>
      </c>
      <c r="B1103" s="1" t="str">
        <f ca="1">IFERROR(__xludf.DUMMYFUNCTION("""COMPUTED_VALUE"""),"India")</f>
        <v>India</v>
      </c>
      <c r="C1103" s="1">
        <f ca="1">IFERROR(__xludf.DUMMYFUNCTION("""COMPUTED_VALUE"""),509110)</f>
        <v>509110</v>
      </c>
      <c r="D1103" s="1" t="str">
        <f ca="1">IFERROR(__xludf.DUMMYFUNCTION("""COMPUTED_VALUE"""),"Female")</f>
        <v>Female</v>
      </c>
      <c r="E1103" s="1" t="str">
        <f ca="1">IFERROR(__xludf.DUMMYFUNCTION("""COMPUTED_VALUE"""),"My Parents")</f>
        <v>My Parents</v>
      </c>
      <c r="F1103" s="1" t="str">
        <f ca="1">IFERROR(__xludf.DUMMYFUNCTION("""COMPUTED_VALUE"""),"Yes, I will earn and do that")</f>
        <v>Yes, I will earn and do that</v>
      </c>
      <c r="G1103" s="1" t="str">
        <f ca="1">IFERROR(__xludf.DUMMYFUNCTION("""COMPUTED_VALUE"""),"Will work for 3 years or more")</f>
        <v>Will work for 3 years or more</v>
      </c>
      <c r="H1103" s="1" t="str">
        <f ca="1">IFERROR(__xludf.DUMMYFUNCTION("""COMPUTED_VALUE"""),"Yes")</f>
        <v>Yes</v>
      </c>
      <c r="I1103" s="1" t="str">
        <f ca="1">IFERROR(__xludf.DUMMYFUNCTION("""COMPUTED_VALUE"""),"Will work for them")</f>
        <v>Will work for them</v>
      </c>
      <c r="J1103" s="1">
        <f ca="1">IFERROR(__xludf.DUMMYFUNCTION("""COMPUTED_VALUE"""),10)</f>
        <v>10</v>
      </c>
      <c r="K1103" s="1" t="str">
        <f ca="1">IFERROR(__xludf.DUMMYFUNCTION("""COMPUTED_VALUE"""),"Fully Remote with No option to visit offices")</f>
        <v>Fully Remote with No option to visit offices</v>
      </c>
      <c r="L1103" s="1" t="str">
        <f ca="1">IFERROR(__xludf.DUMMYFUNCTION("""COMPUTED_VALUE"""),"Employer who appreciates learning and enables that environment")</f>
        <v>Employer who appreciates learning and enables that environment</v>
      </c>
      <c r="M1103"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N1103" s="1"/>
      <c r="O1103" s="1" t="str">
        <f ca="1">IFERROR(__xludf.DUMMYFUNCTION("""COMPUTED_VALUE"""),"Manager who clearly describes what she/he needs")</f>
        <v>Manager who clearly describes what she/he needs</v>
      </c>
      <c r="P1103" s="1" t="str">
        <f ca="1">IFERROR(__xludf.DUMMYFUNCTION("""COMPUTED_VALUE"""),"Work alone")</f>
        <v>Work alone</v>
      </c>
      <c r="Q1103" s="1" t="s">
        <v>43</v>
      </c>
      <c r="R1103" s="1"/>
    </row>
    <row r="1104" spans="1:18" x14ac:dyDescent="0.25">
      <c r="A1104" s="2">
        <f ca="1">IFERROR(__xludf.DUMMYFUNCTION("""COMPUTED_VALUE"""),45043.9933990856)</f>
        <v>45043.993399085601</v>
      </c>
      <c r="B1104" s="1" t="str">
        <f ca="1">IFERROR(__xludf.DUMMYFUNCTION("""COMPUTED_VALUE"""),"India")</f>
        <v>India</v>
      </c>
      <c r="C1104" s="1">
        <f ca="1">IFERROR(__xludf.DUMMYFUNCTION("""COMPUTED_VALUE"""),679101)</f>
        <v>679101</v>
      </c>
      <c r="D1104" s="1" t="str">
        <f ca="1">IFERROR(__xludf.DUMMYFUNCTION("""COMPUTED_VALUE"""),"Male")</f>
        <v>Male</v>
      </c>
      <c r="E1104" s="1" t="str">
        <f ca="1">IFERROR(__xludf.DUMMYFUNCTION("""COMPUTED_VALUE"""),"People from my circle, but not family members")</f>
        <v>People from my circle, but not family members</v>
      </c>
      <c r="F1104" s="1" t="str">
        <f ca="1">IFERROR(__xludf.DUMMYFUNCTION("""COMPUTED_VALUE"""),"No, But if someone could bare the cost I will")</f>
        <v>No, But if someone could bare the cost I will</v>
      </c>
      <c r="G1104" s="1" t="str">
        <f ca="1">IFERROR(__xludf.DUMMYFUNCTION("""COMPUTED_VALUE"""),"This will be hard to do, but if it is the right company I would try")</f>
        <v>This will be hard to do, but if it is the right company I would try</v>
      </c>
      <c r="H1104" s="1" t="str">
        <f ca="1">IFERROR(__xludf.DUMMYFUNCTION("""COMPUTED_VALUE"""),"No")</f>
        <v>No</v>
      </c>
      <c r="I1104" s="1" t="str">
        <f ca="1">IFERROR(__xludf.DUMMYFUNCTION("""COMPUTED_VALUE"""),"Will NOT work for them")</f>
        <v>Will NOT work for them</v>
      </c>
      <c r="J1104" s="1">
        <f ca="1">IFERROR(__xludf.DUMMYFUNCTION("""COMPUTED_VALUE"""),5)</f>
        <v>5</v>
      </c>
      <c r="K1104" s="1" t="str">
        <f ca="1">IFERROR(__xludf.DUMMYFUNCTION("""COMPUTED_VALUE"""),"Hybrid Working Environment with more than 15 days a month at office")</f>
        <v>Hybrid Working Environment with more than 15 days a month at office</v>
      </c>
      <c r="L1104" s="1" t="str">
        <f ca="1">IFERROR(__xludf.DUMMYFUNCTION("""COMPUTED_VALUE"""),"Employer who rewards learning and enables that environment")</f>
        <v>Employer who rewards learning and enables that environment</v>
      </c>
      <c r="M1104"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N1104" s="1"/>
      <c r="O1104" s="1" t="str">
        <f ca="1">IFERROR(__xludf.DUMMYFUNCTION("""COMPUTED_VALUE"""),"Manager who explains what is expected, sets a goal and helps achieve it")</f>
        <v>Manager who explains what is expected, sets a goal and helps achieve it</v>
      </c>
      <c r="P1104" s="1" t="str">
        <f ca="1">IFERROR(__xludf.DUMMYFUNCTION("""COMPUTED_VALUE"""),"Work &lt;=6 People in the Team")</f>
        <v>Work &lt;=6 People in the Team</v>
      </c>
      <c r="Q1104" s="1" t="s">
        <v>43</v>
      </c>
      <c r="R1104" s="1"/>
    </row>
    <row r="1105" spans="1:18" x14ac:dyDescent="0.25">
      <c r="A1105" s="2">
        <f ca="1">IFERROR(__xludf.DUMMYFUNCTION("""COMPUTED_VALUE"""),45043.9935000925)</f>
        <v>45043.993500092503</v>
      </c>
      <c r="B1105" s="1" t="str">
        <f ca="1">IFERROR(__xludf.DUMMYFUNCTION("""COMPUTED_VALUE"""),"India")</f>
        <v>India</v>
      </c>
      <c r="C1105" s="1">
        <f ca="1">IFERROR(__xludf.DUMMYFUNCTION("""COMPUTED_VALUE"""),535145)</f>
        <v>535145</v>
      </c>
      <c r="D1105" s="1" t="str">
        <f ca="1">IFERROR(__xludf.DUMMYFUNCTION("""COMPUTED_VALUE"""),"Male")</f>
        <v>Male</v>
      </c>
      <c r="E1105" s="1" t="str">
        <f ca="1">IFERROR(__xludf.DUMMYFUNCTION("""COMPUTED_VALUE"""),"My Parents")</f>
        <v>My Parents</v>
      </c>
      <c r="F1105" s="1" t="str">
        <f ca="1">IFERROR(__xludf.DUMMYFUNCTION("""COMPUTED_VALUE"""),"No I would not be pursuing Higher Education outside of India")</f>
        <v>No I would not be pursuing Higher Education outside of India</v>
      </c>
      <c r="G1105" s="1" t="str">
        <f ca="1">IFERROR(__xludf.DUMMYFUNCTION("""COMPUTED_VALUE"""),"Will work for 3 years or more")</f>
        <v>Will work for 3 years or more</v>
      </c>
      <c r="H1105" s="1" t="str">
        <f ca="1">IFERROR(__xludf.DUMMYFUNCTION("""COMPUTED_VALUE"""),"No")</f>
        <v>No</v>
      </c>
      <c r="I1105" s="1" t="str">
        <f ca="1">IFERROR(__xludf.DUMMYFUNCTION("""COMPUTED_VALUE"""),"Will NOT work for them")</f>
        <v>Will NOT work for them</v>
      </c>
      <c r="J1105" s="1">
        <f ca="1">IFERROR(__xludf.DUMMYFUNCTION("""COMPUTED_VALUE"""),8)</f>
        <v>8</v>
      </c>
      <c r="K1105" s="1" t="str">
        <f ca="1">IFERROR(__xludf.DUMMYFUNCTION("""COMPUTED_VALUE"""),"Hybrid Working Environment with less than 3 days a month at office")</f>
        <v>Hybrid Working Environment with less than 3 days a month at office</v>
      </c>
      <c r="L1105" s="1" t="str">
        <f ca="1">IFERROR(__xludf.DUMMYFUNCTION("""COMPUTED_VALUE"""),"Employer who pushes your limits by enabling an learning environment, and rewards you at the end")</f>
        <v>Employer who pushes your limits by enabling an learning environment, and rewards you at the end</v>
      </c>
      <c r="M110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N1105" s="1"/>
      <c r="O1105" s="1" t="str">
        <f ca="1">IFERROR(__xludf.DUMMYFUNCTION("""COMPUTED_VALUE"""),"Manager who clearly describes what she/he needs")</f>
        <v>Manager who clearly describes what she/he needs</v>
      </c>
      <c r="P1105" s="1" t="str">
        <f ca="1">IFERROR(__xludf.DUMMYFUNCTION("""COMPUTED_VALUE"""),"Work &lt;=6 People in the Team")</f>
        <v>Work &lt;=6 People in the Team</v>
      </c>
      <c r="Q1105" s="1" t="s">
        <v>43</v>
      </c>
      <c r="R1105" s="1"/>
    </row>
    <row r="1106" spans="1:18" x14ac:dyDescent="0.25">
      <c r="A1106" s="2">
        <f ca="1">IFERROR(__xludf.DUMMYFUNCTION("""COMPUTED_VALUE"""),45043.9983019444)</f>
        <v>45043.998301944397</v>
      </c>
      <c r="B1106" s="1" t="str">
        <f ca="1">IFERROR(__xludf.DUMMYFUNCTION("""COMPUTED_VALUE"""),"India")</f>
        <v>India</v>
      </c>
      <c r="C1106" s="1">
        <f ca="1">IFERROR(__xludf.DUMMYFUNCTION("""COMPUTED_VALUE"""),440008)</f>
        <v>440008</v>
      </c>
      <c r="D1106" s="1" t="str">
        <f ca="1">IFERROR(__xludf.DUMMYFUNCTION("""COMPUTED_VALUE"""),"Female")</f>
        <v>Female</v>
      </c>
      <c r="E1106" s="1" t="str">
        <f ca="1">IFERROR(__xludf.DUMMYFUNCTION("""COMPUTED_VALUE"""),"People who have changed the world for better")</f>
        <v>People who have changed the world for better</v>
      </c>
      <c r="F1106" s="1" t="str">
        <f ca="1">IFERROR(__xludf.DUMMYFUNCTION("""COMPUTED_VALUE"""),"No I would not be pursuing Higher Education outside of India")</f>
        <v>No I would not be pursuing Higher Education outside of India</v>
      </c>
      <c r="G1106" s="1" t="str">
        <f ca="1">IFERROR(__xludf.DUMMYFUNCTION("""COMPUTED_VALUE"""),"This will be hard to do, but if it is the right company I would try")</f>
        <v>This will be hard to do, but if it is the right company I would try</v>
      </c>
      <c r="H1106" s="1" t="str">
        <f ca="1">IFERROR(__xludf.DUMMYFUNCTION("""COMPUTED_VALUE"""),"No")</f>
        <v>No</v>
      </c>
      <c r="I1106" s="1" t="str">
        <f ca="1">IFERROR(__xludf.DUMMYFUNCTION("""COMPUTED_VALUE"""),"Will NOT work for them")</f>
        <v>Will NOT work for them</v>
      </c>
      <c r="J1106" s="1">
        <f ca="1">IFERROR(__xludf.DUMMYFUNCTION("""COMPUTED_VALUE"""),1)</f>
        <v>1</v>
      </c>
      <c r="K1106" s="1" t="str">
        <f ca="1">IFERROR(__xludf.DUMMYFUNCTION("""COMPUTED_VALUE"""),"Fully Remote with Options to travel as and when needed")</f>
        <v>Fully Remote with Options to travel as and when needed</v>
      </c>
      <c r="L1106" s="1" t="str">
        <f ca="1">IFERROR(__xludf.DUMMYFUNCTION("""COMPUTED_VALUE"""),"Employer who pushes your limits by enabling an learning environment, and rewards you at the end")</f>
        <v>Employer who pushes your limits by enabling an learning environment, and rewards you at the end</v>
      </c>
      <c r="M1106" s="1" t="str">
        <f ca="1">IFERROR(__xludf.DUMMYFUNCTION("""COMPUTED_VALUE"""),"Teaching in any of the institutes/colleges/online or offline, Work in a BPO setup for some well known client, Work as a freelancer and do my thing my way, Entrepreneur or Start Up")</f>
        <v>Teaching in any of the institutes/colleges/online or offline, Work in a BPO setup for some well known client, Work as a freelancer and do my thing my way, Entrepreneur or Start Up</v>
      </c>
      <c r="N1106" s="1"/>
      <c r="O1106" s="1" t="str">
        <f ca="1">IFERROR(__xludf.DUMMYFUNCTION("""COMPUTED_VALUE"""),"Manager who explains what is expected, sets a goal and helps achieve it")</f>
        <v>Manager who explains what is expected, sets a goal and helps achieve it</v>
      </c>
      <c r="P1106" s="1" t="str">
        <f ca="1">IFERROR(__xludf.DUMMYFUNCTION("""COMPUTED_VALUE"""),"Work &lt;=6 People in the Team")</f>
        <v>Work &lt;=6 People in the Team</v>
      </c>
      <c r="Q1106" s="1" t="s">
        <v>43</v>
      </c>
      <c r="R1106" s="1"/>
    </row>
    <row r="1107" spans="1:18" x14ac:dyDescent="0.25">
      <c r="A1107" s="2">
        <f ca="1">IFERROR(__xludf.DUMMYFUNCTION("""COMPUTED_VALUE"""),45043.998483206)</f>
        <v>45043.998483206</v>
      </c>
      <c r="B1107" s="1" t="str">
        <f ca="1">IFERROR(__xludf.DUMMYFUNCTION("""COMPUTED_VALUE"""),"India")</f>
        <v>India</v>
      </c>
      <c r="C1107" s="1">
        <f ca="1">IFERROR(__xludf.DUMMYFUNCTION("""COMPUTED_VALUE"""),500062)</f>
        <v>500062</v>
      </c>
      <c r="D1107" s="1" t="str">
        <f ca="1">IFERROR(__xludf.DUMMYFUNCTION("""COMPUTED_VALUE"""),"Male")</f>
        <v>Male</v>
      </c>
      <c r="E1107" s="1" t="str">
        <f ca="1">IFERROR(__xludf.DUMMYFUNCTION("""COMPUTED_VALUE"""),"My Parents")</f>
        <v>My Parents</v>
      </c>
      <c r="F1107" s="1" t="str">
        <f ca="1">IFERROR(__xludf.DUMMYFUNCTION("""COMPUTED_VALUE"""),"No I would not be pursuing Higher Education outside of India")</f>
        <v>No I would not be pursuing Higher Education outside of India</v>
      </c>
      <c r="G1107" s="1" t="str">
        <f ca="1">IFERROR(__xludf.DUMMYFUNCTION("""COMPUTED_VALUE"""),"Will work for 3 years or more")</f>
        <v>Will work for 3 years or more</v>
      </c>
      <c r="H1107" s="1" t="str">
        <f ca="1">IFERROR(__xludf.DUMMYFUNCTION("""COMPUTED_VALUE"""),"No")</f>
        <v>No</v>
      </c>
      <c r="I1107" s="1" t="str">
        <f ca="1">IFERROR(__xludf.DUMMYFUNCTION("""COMPUTED_VALUE"""),"Will NOT work for them")</f>
        <v>Will NOT work for them</v>
      </c>
      <c r="J1107" s="1">
        <f ca="1">IFERROR(__xludf.DUMMYFUNCTION("""COMPUTED_VALUE"""),1)</f>
        <v>1</v>
      </c>
      <c r="K1107" s="1" t="str">
        <f ca="1">IFERROR(__xludf.DUMMYFUNCTION("""COMPUTED_VALUE"""),"Hybrid Working Environment with more than 15 days a month at office")</f>
        <v>Hybrid Working Environment with more than 15 days a month at office</v>
      </c>
      <c r="L1107" s="1" t="str">
        <f ca="1">IFERROR(__xludf.DUMMYFUNCTION("""COMPUTED_VALUE"""),"Employer who pushes your limits by enabling an learning environment, and rewards you at the end")</f>
        <v>Employer who pushes your limits by enabling an learning environment, and rewards you at the end</v>
      </c>
      <c r="M1107"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N1107" s="1"/>
      <c r="O1107" s="1" t="str">
        <f ca="1">IFERROR(__xludf.DUMMYFUNCTION("""COMPUTED_VALUE"""),"Manager who explains what is expected, sets a goal and helps achieve it")</f>
        <v>Manager who explains what is expected, sets a goal and helps achieve it</v>
      </c>
      <c r="P1107" s="1" t="str">
        <f ca="1">IFERROR(__xludf.DUMMYFUNCTION("""COMPUTED_VALUE"""),"Work &gt;10 people in Team")</f>
        <v>Work &gt;10 people in Team</v>
      </c>
      <c r="Q1107" s="1" t="s">
        <v>43</v>
      </c>
      <c r="R1107" s="1"/>
    </row>
    <row r="1108" spans="1:18" x14ac:dyDescent="0.25">
      <c r="A1108" s="2">
        <f ca="1">IFERROR(__xludf.DUMMYFUNCTION("""COMPUTED_VALUE"""),45044.0014722569)</f>
        <v>45044.001472256903</v>
      </c>
      <c r="B1108" s="1" t="str">
        <f ca="1">IFERROR(__xludf.DUMMYFUNCTION("""COMPUTED_VALUE"""),"India")</f>
        <v>India</v>
      </c>
      <c r="C1108" s="1">
        <f ca="1">IFERROR(__xludf.DUMMYFUNCTION("""COMPUTED_VALUE"""),679103)</f>
        <v>679103</v>
      </c>
      <c r="D1108" s="1" t="str">
        <f ca="1">IFERROR(__xludf.DUMMYFUNCTION("""COMPUTED_VALUE"""),"Female")</f>
        <v>Female</v>
      </c>
      <c r="E1108" s="1" t="str">
        <f ca="1">IFERROR(__xludf.DUMMYFUNCTION("""COMPUTED_VALUE"""),"Influencers who had successful careers")</f>
        <v>Influencers who had successful careers</v>
      </c>
      <c r="F1108" s="1" t="str">
        <f ca="1">IFERROR(__xludf.DUMMYFUNCTION("""COMPUTED_VALUE"""),"Yes, I will earn and do that")</f>
        <v>Yes, I will earn and do that</v>
      </c>
      <c r="G1108" s="1" t="str">
        <f ca="1">IFERROR(__xludf.DUMMYFUNCTION("""COMPUTED_VALUE"""),"This will be hard to do, but if it is the right company I would try")</f>
        <v>This will be hard to do, but if it is the right company I would try</v>
      </c>
      <c r="H1108" s="1" t="str">
        <f ca="1">IFERROR(__xludf.DUMMYFUNCTION("""COMPUTED_VALUE"""),"No")</f>
        <v>No</v>
      </c>
      <c r="I1108" s="1" t="str">
        <f ca="1">IFERROR(__xludf.DUMMYFUNCTION("""COMPUTED_VALUE"""),"Will NOT work for them")</f>
        <v>Will NOT work for them</v>
      </c>
      <c r="J1108" s="1">
        <f ca="1">IFERROR(__xludf.DUMMYFUNCTION("""COMPUTED_VALUE"""),1)</f>
        <v>1</v>
      </c>
      <c r="K1108" s="1" t="str">
        <f ca="1">IFERROR(__xludf.DUMMYFUNCTION("""COMPUTED_VALUE"""),"Every Day Office Environment")</f>
        <v>Every Day Office Environment</v>
      </c>
      <c r="L1108" s="1" t="str">
        <f ca="1">IFERROR(__xludf.DUMMYFUNCTION("""COMPUTED_VALUE"""),"Employer who appreciates learning and enables that environment")</f>
        <v>Employer who appreciates learning and enables that environment</v>
      </c>
      <c r="M1108"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N1108" s="1"/>
      <c r="O1108" s="1" t="str">
        <f ca="1">IFERROR(__xludf.DUMMYFUNCTION("""COMPUTED_VALUE"""),"Manager who clearly describes what she/he needs")</f>
        <v>Manager who clearly describes what she/he needs</v>
      </c>
      <c r="P1108" s="1" t="str">
        <f ca="1">IFERROR(__xludf.DUMMYFUNCTION("""COMPUTED_VALUE"""),"Work &gt;=7 People in the Team")</f>
        <v>Work &gt;=7 People in the Team</v>
      </c>
      <c r="Q1108" s="1" t="s">
        <v>43</v>
      </c>
      <c r="R1108" s="1"/>
    </row>
    <row r="1109" spans="1:18" x14ac:dyDescent="0.25">
      <c r="A1109" s="2">
        <f ca="1">IFERROR(__xludf.DUMMYFUNCTION("""COMPUTED_VALUE"""),45044.0021423032)</f>
        <v>45044.002142303201</v>
      </c>
      <c r="B1109" s="1" t="str">
        <f ca="1">IFERROR(__xludf.DUMMYFUNCTION("""COMPUTED_VALUE"""),"India")</f>
        <v>India</v>
      </c>
      <c r="C1109" s="1">
        <f ca="1">IFERROR(__xludf.DUMMYFUNCTION("""COMPUTED_VALUE"""),500007)</f>
        <v>500007</v>
      </c>
      <c r="D1109" s="1" t="str">
        <f ca="1">IFERROR(__xludf.DUMMYFUNCTION("""COMPUTED_VALUE"""),"Male")</f>
        <v>Male</v>
      </c>
      <c r="E1109" s="1" t="str">
        <f ca="1">IFERROR(__xludf.DUMMYFUNCTION("""COMPUTED_VALUE"""),"Influencers who had successful careers")</f>
        <v>Influencers who had successful careers</v>
      </c>
      <c r="F1109" s="1" t="str">
        <f ca="1">IFERROR(__xludf.DUMMYFUNCTION("""COMPUTED_VALUE"""),"Yes, I will earn and do that")</f>
        <v>Yes, I will earn and do that</v>
      </c>
      <c r="G1109" s="1" t="str">
        <f ca="1">IFERROR(__xludf.DUMMYFUNCTION("""COMPUTED_VALUE"""),"Will work for 3 years or more")</f>
        <v>Will work for 3 years or more</v>
      </c>
      <c r="H1109" s="1" t="str">
        <f ca="1">IFERROR(__xludf.DUMMYFUNCTION("""COMPUTED_VALUE"""),"No")</f>
        <v>No</v>
      </c>
      <c r="I1109" s="1" t="str">
        <f ca="1">IFERROR(__xludf.DUMMYFUNCTION("""COMPUTED_VALUE"""),"Will NOT work for them")</f>
        <v>Will NOT work for them</v>
      </c>
      <c r="J1109" s="1">
        <f ca="1">IFERROR(__xludf.DUMMYFUNCTION("""COMPUTED_VALUE"""),8)</f>
        <v>8</v>
      </c>
      <c r="K1109" s="1" t="str">
        <f ca="1">IFERROR(__xludf.DUMMYFUNCTION("""COMPUTED_VALUE"""),"Every Day Office Environment")</f>
        <v>Every Day Office Environment</v>
      </c>
      <c r="L1109" s="1" t="str">
        <f ca="1">IFERROR(__xludf.DUMMYFUNCTION("""COMPUTED_VALUE"""),"Employer who pushes your limits and doesn't enables learning environment and never rewards you")</f>
        <v>Employer who pushes your limits and doesn't enables learning environment and never rewards you</v>
      </c>
      <c r="M110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1109" s="1"/>
      <c r="O1109" s="1" t="str">
        <f ca="1">IFERROR(__xludf.DUMMYFUNCTION("""COMPUTED_VALUE"""),"Manager who sets goal and helps me achieve it")</f>
        <v>Manager who sets goal and helps me achieve it</v>
      </c>
      <c r="P1109" s="1" t="str">
        <f ca="1">IFERROR(__xludf.DUMMYFUNCTION("""COMPUTED_VALUE"""),"Work alone")</f>
        <v>Work alone</v>
      </c>
      <c r="Q1109" s="1" t="s">
        <v>43</v>
      </c>
      <c r="R1109" s="1"/>
    </row>
    <row r="1110" spans="1:18" x14ac:dyDescent="0.25">
      <c r="A1110" s="2">
        <f ca="1">IFERROR(__xludf.DUMMYFUNCTION("""COMPUTED_VALUE"""),45044.0063875578)</f>
        <v>45044.006387557798</v>
      </c>
      <c r="B1110" s="1" t="str">
        <f ca="1">IFERROR(__xludf.DUMMYFUNCTION("""COMPUTED_VALUE"""),"India")</f>
        <v>India</v>
      </c>
      <c r="C1110" s="1">
        <f ca="1">IFERROR(__xludf.DUMMYFUNCTION("""COMPUTED_VALUE"""),440008)</f>
        <v>440008</v>
      </c>
      <c r="D1110" s="1" t="str">
        <f ca="1">IFERROR(__xludf.DUMMYFUNCTION("""COMPUTED_VALUE"""),"Female")</f>
        <v>Female</v>
      </c>
      <c r="E1110" s="1" t="str">
        <f ca="1">IFERROR(__xludf.DUMMYFUNCTION("""COMPUTED_VALUE"""),"Social Media like LinkedIn")</f>
        <v>Social Media like LinkedIn</v>
      </c>
      <c r="F1110" s="1" t="str">
        <f ca="1">IFERROR(__xludf.DUMMYFUNCTION("""COMPUTED_VALUE"""),"Yes, I will earn and do that")</f>
        <v>Yes, I will earn and do that</v>
      </c>
      <c r="G1110" s="1" t="str">
        <f ca="1">IFERROR(__xludf.DUMMYFUNCTION("""COMPUTED_VALUE"""),"Will work for 3 years or more")</f>
        <v>Will work for 3 years or more</v>
      </c>
      <c r="H1110" s="1" t="str">
        <f ca="1">IFERROR(__xludf.DUMMYFUNCTION("""COMPUTED_VALUE"""),"No")</f>
        <v>No</v>
      </c>
      <c r="I1110" s="1" t="str">
        <f ca="1">IFERROR(__xludf.DUMMYFUNCTION("""COMPUTED_VALUE"""),"Will NOT work for them")</f>
        <v>Will NOT work for them</v>
      </c>
      <c r="J1110" s="1">
        <f ca="1">IFERROR(__xludf.DUMMYFUNCTION("""COMPUTED_VALUE"""),5)</f>
        <v>5</v>
      </c>
      <c r="K1110" s="1" t="str">
        <f ca="1">IFERROR(__xludf.DUMMYFUNCTION("""COMPUTED_VALUE"""),"Fully Remote with Options to travel as and when needed")</f>
        <v>Fully Remote with Options to travel as and when needed</v>
      </c>
      <c r="L1110" s="1" t="str">
        <f ca="1">IFERROR(__xludf.DUMMYFUNCTION("""COMPUTED_VALUE"""),"Employers who appreciates learning but doesn't enables an learning environment")</f>
        <v>Employers who appreciates learning but doesn't enables an learning environment</v>
      </c>
      <c r="M1110"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N1110" s="1"/>
      <c r="O1110" s="1" t="str">
        <f ca="1">IFERROR(__xludf.DUMMYFUNCTION("""COMPUTED_VALUE"""),"Manager who explains what is expected, sets a goal and helps achieve it")</f>
        <v>Manager who explains what is expected, sets a goal and helps achieve it</v>
      </c>
      <c r="P1110" s="1" t="str">
        <f ca="1">IFERROR(__xludf.DUMMYFUNCTION("""COMPUTED_VALUE"""),"Work &lt;=6 People in the Team")</f>
        <v>Work &lt;=6 People in the Team</v>
      </c>
      <c r="Q1110" s="1" t="s">
        <v>43</v>
      </c>
      <c r="R1110" s="1"/>
    </row>
    <row r="1111" spans="1:18" x14ac:dyDescent="0.25">
      <c r="A1111" s="2">
        <f ca="1">IFERROR(__xludf.DUMMYFUNCTION("""COMPUTED_VALUE"""),45044.0077854513)</f>
        <v>45044.0077854513</v>
      </c>
      <c r="B1111" s="1" t="str">
        <f ca="1">IFERROR(__xludf.DUMMYFUNCTION("""COMPUTED_VALUE"""),"India")</f>
        <v>India</v>
      </c>
      <c r="C1111" s="1">
        <f ca="1">IFERROR(__xludf.DUMMYFUNCTION("""COMPUTED_VALUE"""),803110)</f>
        <v>803110</v>
      </c>
      <c r="D1111" s="1" t="str">
        <f ca="1">IFERROR(__xludf.DUMMYFUNCTION("""COMPUTED_VALUE"""),"Male")</f>
        <v>Male</v>
      </c>
      <c r="E1111" s="1" t="str">
        <f ca="1">IFERROR(__xludf.DUMMYFUNCTION("""COMPUTED_VALUE"""),"People who have changed the world for better")</f>
        <v>People who have changed the world for better</v>
      </c>
      <c r="F1111" s="1" t="str">
        <f ca="1">IFERROR(__xludf.DUMMYFUNCTION("""COMPUTED_VALUE"""),"No, But if someone could bare the cost I will")</f>
        <v>No, But if someone could bare the cost I will</v>
      </c>
      <c r="G1111" s="1" t="str">
        <f ca="1">IFERROR(__xludf.DUMMYFUNCTION("""COMPUTED_VALUE"""),"No way")</f>
        <v>No way</v>
      </c>
      <c r="H1111" s="1" t="str">
        <f ca="1">IFERROR(__xludf.DUMMYFUNCTION("""COMPUTED_VALUE"""),"Yes")</f>
        <v>Yes</v>
      </c>
      <c r="I1111" s="1" t="str">
        <f ca="1">IFERROR(__xludf.DUMMYFUNCTION("""COMPUTED_VALUE"""),"Will work for them")</f>
        <v>Will work for them</v>
      </c>
      <c r="J1111" s="1">
        <f ca="1">IFERROR(__xludf.DUMMYFUNCTION("""COMPUTED_VALUE"""),7)</f>
        <v>7</v>
      </c>
      <c r="K1111" s="1" t="str">
        <f ca="1">IFERROR(__xludf.DUMMYFUNCTION("""COMPUTED_VALUE"""),"Hybrid Working Environment with more than 15 days a month at office")</f>
        <v>Hybrid Working Environment with more than 15 days a month at office</v>
      </c>
      <c r="L1111" s="1" t="str">
        <f ca="1">IFERROR(__xludf.DUMMYFUNCTION("""COMPUTED_VALUE"""),"Employer who pushes your limits by enabling an learning environment, and rewards you at the end")</f>
        <v>Employer who pushes your limits by enabling an learning environment, and rewards you at the end</v>
      </c>
      <c r="M1111" s="1" t="str">
        <f ca="1">IFERROR(__xludf.DUMMYFUNCTION("""COMPUTED_VALUE"""),"Teaching in any of the institutes/colleges/online or offline, Design and Develop amazing software, Entrepreneur or Start Up, I Want to sell things/Sales")</f>
        <v>Teaching in any of the institutes/colleges/online or offline, Design and Develop amazing software, Entrepreneur or Start Up, I Want to sell things/Sales</v>
      </c>
      <c r="N1111" s="1"/>
      <c r="O1111" s="1" t="str">
        <f ca="1">IFERROR(__xludf.DUMMYFUNCTION("""COMPUTED_VALUE"""),"Manager who sets targets and expects me to achieve it")</f>
        <v>Manager who sets targets and expects me to achieve it</v>
      </c>
      <c r="P1111" s="1" t="str">
        <f ca="1">IFERROR(__xludf.DUMMYFUNCTION("""COMPUTED_VALUE"""),"Work &lt;=6 People in the Team")</f>
        <v>Work &lt;=6 People in the Team</v>
      </c>
      <c r="Q1111" s="1" t="s">
        <v>42</v>
      </c>
      <c r="R1111" s="1"/>
    </row>
    <row r="1112" spans="1:18" x14ac:dyDescent="0.25">
      <c r="A1112" s="2">
        <f ca="1">IFERROR(__xludf.DUMMYFUNCTION("""COMPUTED_VALUE"""),45044.010195949)</f>
        <v>45044.010195948998</v>
      </c>
      <c r="B1112" s="1" t="str">
        <f ca="1">IFERROR(__xludf.DUMMYFUNCTION("""COMPUTED_VALUE"""),"India")</f>
        <v>India</v>
      </c>
      <c r="C1112" s="1">
        <f ca="1">IFERROR(__xludf.DUMMYFUNCTION("""COMPUTED_VALUE"""),401303)</f>
        <v>401303</v>
      </c>
      <c r="D1112" s="1" t="str">
        <f ca="1">IFERROR(__xludf.DUMMYFUNCTION("""COMPUTED_VALUE"""),"Male")</f>
        <v>Male</v>
      </c>
      <c r="E1112" s="1" t="str">
        <f ca="1">IFERROR(__xludf.DUMMYFUNCTION("""COMPUTED_VALUE"""),"Influencers who had successful careers")</f>
        <v>Influencers who had successful careers</v>
      </c>
      <c r="F1112" s="1" t="str">
        <f ca="1">IFERROR(__xludf.DUMMYFUNCTION("""COMPUTED_VALUE"""),"No I would not be pursuing Higher Education outside of India")</f>
        <v>No I would not be pursuing Higher Education outside of India</v>
      </c>
      <c r="G1112" s="1" t="str">
        <f ca="1">IFERROR(__xludf.DUMMYFUNCTION("""COMPUTED_VALUE"""),"Will work for 3 years or more")</f>
        <v>Will work for 3 years or more</v>
      </c>
      <c r="H1112" s="1" t="str">
        <f ca="1">IFERROR(__xludf.DUMMYFUNCTION("""COMPUTED_VALUE"""),"Yes")</f>
        <v>Yes</v>
      </c>
      <c r="I1112" s="1" t="str">
        <f ca="1">IFERROR(__xludf.DUMMYFUNCTION("""COMPUTED_VALUE"""),"Will NOT work for them")</f>
        <v>Will NOT work for them</v>
      </c>
      <c r="J1112" s="1">
        <f ca="1">IFERROR(__xludf.DUMMYFUNCTION("""COMPUTED_VALUE"""),7)</f>
        <v>7</v>
      </c>
      <c r="K1112" s="1" t="str">
        <f ca="1">IFERROR(__xludf.DUMMYFUNCTION("""COMPUTED_VALUE"""),"Every Day Office Environment")</f>
        <v>Every Day Office Environment</v>
      </c>
      <c r="L1112" s="1" t="str">
        <f ca="1">IFERROR(__xludf.DUMMYFUNCTION("""COMPUTED_VALUE"""),"Employer who pushes your limits by enabling an learning environment, and rewards you at the end")</f>
        <v>Employer who pushes your limits by enabling an learning environment, and rewards you at the end</v>
      </c>
      <c r="M1112"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1112" s="1"/>
      <c r="O1112" s="1" t="str">
        <f ca="1">IFERROR(__xludf.DUMMYFUNCTION("""COMPUTED_VALUE"""),"Manager who explains what is expected, sets a goal and helps achieve it")</f>
        <v>Manager who explains what is expected, sets a goal and helps achieve it</v>
      </c>
      <c r="P1112" s="1" t="str">
        <f ca="1">IFERROR(__xludf.DUMMYFUNCTION("""COMPUTED_VALUE"""),"Work Alone, &lt;=6 in team")</f>
        <v>Work Alone, &lt;=6 in team</v>
      </c>
      <c r="Q1112" s="1" t="s">
        <v>42</v>
      </c>
      <c r="R1112" s="1"/>
    </row>
    <row r="1113" spans="1:18" x14ac:dyDescent="0.25">
      <c r="A1113" s="2">
        <f ca="1">IFERROR(__xludf.DUMMYFUNCTION("""COMPUTED_VALUE"""),45044.0104529745)</f>
        <v>45044.0104529745</v>
      </c>
      <c r="B1113" s="1" t="str">
        <f ca="1">IFERROR(__xludf.DUMMYFUNCTION("""COMPUTED_VALUE"""),"United States of America")</f>
        <v>United States of America</v>
      </c>
      <c r="C1113" s="1">
        <f ca="1">IFERROR(__xludf.DUMMYFUNCTION("""COMPUTED_VALUE"""),90001)</f>
        <v>90001</v>
      </c>
      <c r="D1113" s="1" t="str">
        <f ca="1">IFERROR(__xludf.DUMMYFUNCTION("""COMPUTED_VALUE"""),"Male")</f>
        <v>Male</v>
      </c>
      <c r="E1113" s="1" t="str">
        <f ca="1">IFERROR(__xludf.DUMMYFUNCTION("""COMPUTED_VALUE"""),"Influencers who had successful careers")</f>
        <v>Influencers who had successful careers</v>
      </c>
      <c r="F1113" s="1" t="str">
        <f ca="1">IFERROR(__xludf.DUMMYFUNCTION("""COMPUTED_VALUE"""),"No I would not be pursuing Higher Education outside of India")</f>
        <v>No I would not be pursuing Higher Education outside of India</v>
      </c>
      <c r="G1113" s="1" t="str">
        <f ca="1">IFERROR(__xludf.DUMMYFUNCTION("""COMPUTED_VALUE"""),"This will be hard to do, but if it is the right company I would try")</f>
        <v>This will be hard to do, but if it is the right company I would try</v>
      </c>
      <c r="H1113" s="1" t="str">
        <f ca="1">IFERROR(__xludf.DUMMYFUNCTION("""COMPUTED_VALUE"""),"No")</f>
        <v>No</v>
      </c>
      <c r="I1113" s="1" t="str">
        <f ca="1">IFERROR(__xludf.DUMMYFUNCTION("""COMPUTED_VALUE"""),"Will NOT work for them")</f>
        <v>Will NOT work for them</v>
      </c>
      <c r="J1113" s="1">
        <f ca="1">IFERROR(__xludf.DUMMYFUNCTION("""COMPUTED_VALUE"""),9)</f>
        <v>9</v>
      </c>
      <c r="K1113" s="1" t="str">
        <f ca="1">IFERROR(__xludf.DUMMYFUNCTION("""COMPUTED_VALUE"""),"Every Day Office Environment")</f>
        <v>Every Day Office Environment</v>
      </c>
      <c r="L1113" s="1" t="str">
        <f ca="1">IFERROR(__xludf.DUMMYFUNCTION("""COMPUTED_VALUE"""),"Employer who appreciates learning and enables that environment")</f>
        <v>Employer who appreciates learning and enables that environment</v>
      </c>
      <c r="M1113"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N1113" s="1"/>
      <c r="O1113" s="1" t="str">
        <f ca="1">IFERROR(__xludf.DUMMYFUNCTION("""COMPUTED_VALUE"""),"Manager who explains what is expected, sets a goal and helps achieve it")</f>
        <v>Manager who explains what is expected, sets a goal and helps achieve it</v>
      </c>
      <c r="P1113" s="1" t="str">
        <f ca="1">IFERROR(__xludf.DUMMYFUNCTION("""COMPUTED_VALUE"""),"Work &gt;=7 People in the Team")</f>
        <v>Work &gt;=7 People in the Team</v>
      </c>
      <c r="Q1113" s="1" t="s">
        <v>43</v>
      </c>
      <c r="R1113" s="1"/>
    </row>
    <row r="1114" spans="1:18" x14ac:dyDescent="0.25">
      <c r="A1114" s="2">
        <f ca="1">IFERROR(__xludf.DUMMYFUNCTION("""COMPUTED_VALUE"""),45044.0107488078)</f>
        <v>45044.010748807799</v>
      </c>
      <c r="B1114" s="1" t="str">
        <f ca="1">IFERROR(__xludf.DUMMYFUNCTION("""COMPUTED_VALUE"""),"India")</f>
        <v>India</v>
      </c>
      <c r="C1114" s="1">
        <f ca="1">IFERROR(__xludf.DUMMYFUNCTION("""COMPUTED_VALUE"""),281001)</f>
        <v>281001</v>
      </c>
      <c r="D1114" s="1" t="str">
        <f ca="1">IFERROR(__xludf.DUMMYFUNCTION("""COMPUTED_VALUE"""),"Male")</f>
        <v>Male</v>
      </c>
      <c r="E1114" s="1" t="str">
        <f ca="1">IFERROR(__xludf.DUMMYFUNCTION("""COMPUTED_VALUE"""),"People from my circle, but not family members")</f>
        <v>People from my circle, but not family members</v>
      </c>
      <c r="F1114" s="1" t="str">
        <f ca="1">IFERROR(__xludf.DUMMYFUNCTION("""COMPUTED_VALUE"""),"No I would not be pursuing Higher Education outside of India")</f>
        <v>No I would not be pursuing Higher Education outside of India</v>
      </c>
      <c r="G1114" s="1" t="str">
        <f ca="1">IFERROR(__xludf.DUMMYFUNCTION("""COMPUTED_VALUE"""),"This will be hard to do, but if it is the right company I would try")</f>
        <v>This will be hard to do, but if it is the right company I would try</v>
      </c>
      <c r="H1114" s="1" t="str">
        <f ca="1">IFERROR(__xludf.DUMMYFUNCTION("""COMPUTED_VALUE"""),"No")</f>
        <v>No</v>
      </c>
      <c r="I1114" s="1" t="str">
        <f ca="1">IFERROR(__xludf.DUMMYFUNCTION("""COMPUTED_VALUE"""),"Will NOT work for them")</f>
        <v>Will NOT work for them</v>
      </c>
      <c r="J1114" s="1">
        <f ca="1">IFERROR(__xludf.DUMMYFUNCTION("""COMPUTED_VALUE"""),8)</f>
        <v>8</v>
      </c>
      <c r="K1114" s="1" t="str">
        <f ca="1">IFERROR(__xludf.DUMMYFUNCTION("""COMPUTED_VALUE"""),"Fully Remote with Options to travel as and when needed")</f>
        <v>Fully Remote with Options to travel as and when needed</v>
      </c>
      <c r="L1114" s="1" t="str">
        <f ca="1">IFERROR(__xludf.DUMMYFUNCTION("""COMPUTED_VALUE"""),"Employer who appreciates learning and enables that environment")</f>
        <v>Employer who appreciates learning and enables that environment</v>
      </c>
      <c r="M1114"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N1114" s="1"/>
      <c r="O1114" s="1" t="str">
        <f ca="1">IFERROR(__xludf.DUMMYFUNCTION("""COMPUTED_VALUE"""),"Manager who explains what is expected, sets a goal and helps achieve it")</f>
        <v>Manager who explains what is expected, sets a goal and helps achieve it</v>
      </c>
      <c r="P1114" s="1" t="str">
        <f ca="1">IFERROR(__xludf.DUMMYFUNCTION("""COMPUTED_VALUE"""),"Work &lt;=6 People in the Team")</f>
        <v>Work &lt;=6 People in the Team</v>
      </c>
      <c r="Q1114" s="1" t="s">
        <v>43</v>
      </c>
      <c r="R1114" s="1"/>
    </row>
    <row r="1115" spans="1:18" x14ac:dyDescent="0.25">
      <c r="A1115" s="2">
        <f ca="1">IFERROR(__xludf.DUMMYFUNCTION("""COMPUTED_VALUE"""),45044.0117111689)</f>
        <v>45044.011711168903</v>
      </c>
      <c r="B1115" s="1" t="str">
        <f ca="1">IFERROR(__xludf.DUMMYFUNCTION("""COMPUTED_VALUE"""),"India")</f>
        <v>India</v>
      </c>
      <c r="C1115" s="1">
        <f ca="1">IFERROR(__xludf.DUMMYFUNCTION("""COMPUTED_VALUE"""),440018)</f>
        <v>440018</v>
      </c>
      <c r="D1115" s="1" t="str">
        <f ca="1">IFERROR(__xludf.DUMMYFUNCTION("""COMPUTED_VALUE"""),"Male")</f>
        <v>Male</v>
      </c>
      <c r="E1115" s="1" t="str">
        <f ca="1">IFERROR(__xludf.DUMMYFUNCTION("""COMPUTED_VALUE"""),"Influencers who had successful careers")</f>
        <v>Influencers who had successful careers</v>
      </c>
      <c r="F1115" s="1" t="str">
        <f ca="1">IFERROR(__xludf.DUMMYFUNCTION("""COMPUTED_VALUE"""),"Yes, I will earn and do that")</f>
        <v>Yes, I will earn and do that</v>
      </c>
      <c r="G1115" s="1" t="str">
        <f ca="1">IFERROR(__xludf.DUMMYFUNCTION("""COMPUTED_VALUE"""),"This will be hard to do, but if it is the right company I would try")</f>
        <v>This will be hard to do, but if it is the right company I would try</v>
      </c>
      <c r="H1115" s="1" t="str">
        <f ca="1">IFERROR(__xludf.DUMMYFUNCTION("""COMPUTED_VALUE"""),"Yes")</f>
        <v>Yes</v>
      </c>
      <c r="I1115" s="1" t="str">
        <f ca="1">IFERROR(__xludf.DUMMYFUNCTION("""COMPUTED_VALUE"""),"Will NOT work for them")</f>
        <v>Will NOT work for them</v>
      </c>
      <c r="J1115" s="1">
        <f ca="1">IFERROR(__xludf.DUMMYFUNCTION("""COMPUTED_VALUE"""),2)</f>
        <v>2</v>
      </c>
      <c r="K1115" s="1" t="str">
        <f ca="1">IFERROR(__xludf.DUMMYFUNCTION("""COMPUTED_VALUE"""),"Hybrid Working Environment with more than 15 days a month at office")</f>
        <v>Hybrid Working Environment with more than 15 days a month at office</v>
      </c>
      <c r="L1115" s="1" t="str">
        <f ca="1">IFERROR(__xludf.DUMMYFUNCTION("""COMPUTED_VALUE"""),"Employer who pushes your limits by enabling an learning environment, and rewards you at the end")</f>
        <v>Employer who pushes your limits by enabling an learning environment, and rewards you at the end</v>
      </c>
      <c r="M111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115" s="1"/>
      <c r="O1115" s="1" t="str">
        <f ca="1">IFERROR(__xludf.DUMMYFUNCTION("""COMPUTED_VALUE"""),"Manager who explains what is expected, sets a goal and helps achieve it")</f>
        <v>Manager who explains what is expected, sets a goal and helps achieve it</v>
      </c>
      <c r="P1115" s="1" t="str">
        <f ca="1">IFERROR(__xludf.DUMMYFUNCTION("""COMPUTED_VALUE"""),"Work &gt;10 people in Team")</f>
        <v>Work &gt;10 people in Team</v>
      </c>
      <c r="Q1115" s="1" t="s">
        <v>43</v>
      </c>
      <c r="R1115" s="1"/>
    </row>
    <row r="1116" spans="1:18" x14ac:dyDescent="0.25">
      <c r="A1116" s="2">
        <f ca="1">IFERROR(__xludf.DUMMYFUNCTION("""COMPUTED_VALUE"""),45044.0163620486)</f>
        <v>45044.016362048598</v>
      </c>
      <c r="B1116" s="1" t="str">
        <f ca="1">IFERROR(__xludf.DUMMYFUNCTION("""COMPUTED_VALUE"""),"India")</f>
        <v>India</v>
      </c>
      <c r="C1116" s="1">
        <f ca="1">IFERROR(__xludf.DUMMYFUNCTION("""COMPUTED_VALUE"""),760004)</f>
        <v>760004</v>
      </c>
      <c r="D1116" s="1" t="str">
        <f ca="1">IFERROR(__xludf.DUMMYFUNCTION("""COMPUTED_VALUE"""),"Male")</f>
        <v>Male</v>
      </c>
      <c r="E1116" s="1" t="str">
        <f ca="1">IFERROR(__xludf.DUMMYFUNCTION("""COMPUTED_VALUE"""),"My Parents")</f>
        <v>My Parents</v>
      </c>
      <c r="F1116" s="1" t="str">
        <f ca="1">IFERROR(__xludf.DUMMYFUNCTION("""COMPUTED_VALUE"""),"No, But if someone could bare the cost I will")</f>
        <v>No, But if someone could bare the cost I will</v>
      </c>
      <c r="G1116" s="1" t="str">
        <f ca="1">IFERROR(__xludf.DUMMYFUNCTION("""COMPUTED_VALUE"""),"This will be hard to do, but if it is the right company I would try")</f>
        <v>This will be hard to do, but if it is the right company I would try</v>
      </c>
      <c r="H1116" s="1" t="str">
        <f ca="1">IFERROR(__xludf.DUMMYFUNCTION("""COMPUTED_VALUE"""),"No")</f>
        <v>No</v>
      </c>
      <c r="I1116" s="1" t="str">
        <f ca="1">IFERROR(__xludf.DUMMYFUNCTION("""COMPUTED_VALUE"""),"Will NOT work for them")</f>
        <v>Will NOT work for them</v>
      </c>
      <c r="J1116" s="1">
        <f ca="1">IFERROR(__xludf.DUMMYFUNCTION("""COMPUTED_VALUE"""),1)</f>
        <v>1</v>
      </c>
      <c r="K1116" s="1" t="str">
        <f ca="1">IFERROR(__xludf.DUMMYFUNCTION("""COMPUTED_VALUE"""),"Hybrid Working Environment with more than 15 days a month at office")</f>
        <v>Hybrid Working Environment with more than 15 days a month at office</v>
      </c>
      <c r="L1116" s="1" t="str">
        <f ca="1">IFERROR(__xludf.DUMMYFUNCTION("""COMPUTED_VALUE"""),"Employer who pushes your limits by enabling an learning environment, and rewards you at the end")</f>
        <v>Employer who pushes your limits by enabling an learning environment, and rewards you at the end</v>
      </c>
      <c r="M1116"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N1116" s="1"/>
      <c r="O1116" s="1" t="str">
        <f ca="1">IFERROR(__xludf.DUMMYFUNCTION("""COMPUTED_VALUE"""),"Manager who explains what is expected, sets a goal and helps achieve it")</f>
        <v>Manager who explains what is expected, sets a goal and helps achieve it</v>
      </c>
      <c r="P1116" s="1" t="str">
        <f ca="1">IFERROR(__xludf.DUMMYFUNCTION("""COMPUTED_VALUE"""),"Work alone")</f>
        <v>Work alone</v>
      </c>
      <c r="Q1116" s="1" t="s">
        <v>43</v>
      </c>
      <c r="R1116" s="1"/>
    </row>
    <row r="1117" spans="1:18" x14ac:dyDescent="0.25">
      <c r="A1117" s="2">
        <f ca="1">IFERROR(__xludf.DUMMYFUNCTION("""COMPUTED_VALUE"""),45044.0201141666)</f>
        <v>45044.020114166597</v>
      </c>
      <c r="B1117" s="1" t="str">
        <f ca="1">IFERROR(__xludf.DUMMYFUNCTION("""COMPUTED_VALUE"""),"India")</f>
        <v>India</v>
      </c>
      <c r="C1117" s="1">
        <f ca="1">IFERROR(__xludf.DUMMYFUNCTION("""COMPUTED_VALUE"""),440008)</f>
        <v>440008</v>
      </c>
      <c r="D1117" s="1" t="str">
        <f ca="1">IFERROR(__xludf.DUMMYFUNCTION("""COMPUTED_VALUE"""),"Female")</f>
        <v>Female</v>
      </c>
      <c r="E1117" s="1" t="str">
        <f ca="1">IFERROR(__xludf.DUMMYFUNCTION("""COMPUTED_VALUE"""),"My Parents")</f>
        <v>My Parents</v>
      </c>
      <c r="F1117" s="1" t="str">
        <f ca="1">IFERROR(__xludf.DUMMYFUNCTION("""COMPUTED_VALUE"""),"No, But if someone could bare the cost I will")</f>
        <v>No, But if someone could bare the cost I will</v>
      </c>
      <c r="G1117" s="1" t="str">
        <f ca="1">IFERROR(__xludf.DUMMYFUNCTION("""COMPUTED_VALUE"""),"This will be hard to do, but if it is the right company I would try")</f>
        <v>This will be hard to do, but if it is the right company I would try</v>
      </c>
      <c r="H1117" s="1" t="str">
        <f ca="1">IFERROR(__xludf.DUMMYFUNCTION("""COMPUTED_VALUE"""),"Yes")</f>
        <v>Yes</v>
      </c>
      <c r="I1117" s="1" t="str">
        <f ca="1">IFERROR(__xludf.DUMMYFUNCTION("""COMPUTED_VALUE"""),"Will NOT work for them")</f>
        <v>Will NOT work for them</v>
      </c>
      <c r="J1117" s="1">
        <f ca="1">IFERROR(__xludf.DUMMYFUNCTION("""COMPUTED_VALUE"""),7)</f>
        <v>7</v>
      </c>
      <c r="K1117" s="1" t="str">
        <f ca="1">IFERROR(__xludf.DUMMYFUNCTION("""COMPUTED_VALUE"""),"Fully Remote with Options to travel as and when needed")</f>
        <v>Fully Remote with Options to travel as and when needed</v>
      </c>
      <c r="L1117" s="1" t="str">
        <f ca="1">IFERROR(__xludf.DUMMYFUNCTION("""COMPUTED_VALUE"""),"Employer who pushes your limits by enabling an learning environment, and rewards you at the end")</f>
        <v>Employer who pushes your limits by enabling an learning environment, and rewards you at the end</v>
      </c>
      <c r="M1117"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N1117" s="1"/>
      <c r="O1117" s="1" t="str">
        <f ca="1">IFERROR(__xludf.DUMMYFUNCTION("""COMPUTED_VALUE"""),"Manager who sets goal and helps me achieve it")</f>
        <v>Manager who sets goal and helps me achieve it</v>
      </c>
      <c r="P1117" s="1" t="str">
        <f ca="1">IFERROR(__xludf.DUMMYFUNCTION("""COMPUTED_VALUE"""),"Work &lt;=6 People in the Team")</f>
        <v>Work &lt;=6 People in the Team</v>
      </c>
      <c r="Q1117" s="1" t="s">
        <v>43</v>
      </c>
      <c r="R1117" s="1"/>
    </row>
    <row r="1118" spans="1:18" x14ac:dyDescent="0.25">
      <c r="A1118" s="2">
        <f ca="1">IFERROR(__xludf.DUMMYFUNCTION("""COMPUTED_VALUE"""),45044.0318261458)</f>
        <v>45044.031826145801</v>
      </c>
      <c r="B1118" s="1" t="str">
        <f ca="1">IFERROR(__xludf.DUMMYFUNCTION("""COMPUTED_VALUE"""),"India")</f>
        <v>India</v>
      </c>
      <c r="C1118" s="1">
        <f ca="1">IFERROR(__xludf.DUMMYFUNCTION("""COMPUTED_VALUE"""),560100)</f>
        <v>560100</v>
      </c>
      <c r="D1118" s="1" t="str">
        <f ca="1">IFERROR(__xludf.DUMMYFUNCTION("""COMPUTED_VALUE"""),"Female")</f>
        <v>Female</v>
      </c>
      <c r="E1118" s="1" t="str">
        <f ca="1">IFERROR(__xludf.DUMMYFUNCTION("""COMPUTED_VALUE"""),"Influencers who had successful careers")</f>
        <v>Influencers who had successful careers</v>
      </c>
      <c r="F1118" s="1" t="str">
        <f ca="1">IFERROR(__xludf.DUMMYFUNCTION("""COMPUTED_VALUE"""),"Yes, I will earn and do that")</f>
        <v>Yes, I will earn and do that</v>
      </c>
      <c r="G1118" s="1" t="str">
        <f ca="1">IFERROR(__xludf.DUMMYFUNCTION("""COMPUTED_VALUE"""),"Will work for 3 years or more")</f>
        <v>Will work for 3 years or more</v>
      </c>
      <c r="H1118" s="1" t="str">
        <f ca="1">IFERROR(__xludf.DUMMYFUNCTION("""COMPUTED_VALUE"""),"Yes")</f>
        <v>Yes</v>
      </c>
      <c r="I1118" s="1" t="str">
        <f ca="1">IFERROR(__xludf.DUMMYFUNCTION("""COMPUTED_VALUE"""),"Will work for them")</f>
        <v>Will work for them</v>
      </c>
      <c r="J1118" s="1">
        <f ca="1">IFERROR(__xludf.DUMMYFUNCTION("""COMPUTED_VALUE"""),5)</f>
        <v>5</v>
      </c>
      <c r="K1118" s="1" t="str">
        <f ca="1">IFERROR(__xludf.DUMMYFUNCTION("""COMPUTED_VALUE"""),"Hybrid Working Environment with less than 3 days a month at office")</f>
        <v>Hybrid Working Environment with less than 3 days a month at office</v>
      </c>
      <c r="L1118" s="1" t="str">
        <f ca="1">IFERROR(__xludf.DUMMYFUNCTION("""COMPUTED_VALUE"""),"Employer who appreciates learning and enables that environment")</f>
        <v>Employer who appreciates learning and enables that environment</v>
      </c>
      <c r="M11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118" s="1"/>
      <c r="O1118" s="1" t="str">
        <f ca="1">IFERROR(__xludf.DUMMYFUNCTION("""COMPUTED_VALUE"""),"Manager who explains what is expected, sets a goal and helps achieve it")</f>
        <v>Manager who explains what is expected, sets a goal and helps achieve it</v>
      </c>
      <c r="P1118" s="1" t="str">
        <f ca="1">IFERROR(__xludf.DUMMYFUNCTION("""COMPUTED_VALUE"""),"Work &lt;=6 People in the Team")</f>
        <v>Work &lt;=6 People in the Team</v>
      </c>
      <c r="Q1118" s="1" t="s">
        <v>43</v>
      </c>
      <c r="R1118" s="1"/>
    </row>
    <row r="1119" spans="1:18" x14ac:dyDescent="0.25">
      <c r="A1119" s="2">
        <f ca="1">IFERROR(__xludf.DUMMYFUNCTION("""COMPUTED_VALUE"""),45044.0319816088)</f>
        <v>45044.031981608801</v>
      </c>
      <c r="B1119" s="1" t="str">
        <f ca="1">IFERROR(__xludf.DUMMYFUNCTION("""COMPUTED_VALUE"""),"India")</f>
        <v>India</v>
      </c>
      <c r="C1119" s="1">
        <f ca="1">IFERROR(__xludf.DUMMYFUNCTION("""COMPUTED_VALUE"""),440024)</f>
        <v>440024</v>
      </c>
      <c r="D1119" s="1" t="str">
        <f ca="1">IFERROR(__xludf.DUMMYFUNCTION("""COMPUTED_VALUE"""),"Female")</f>
        <v>Female</v>
      </c>
      <c r="E1119" s="1" t="str">
        <f ca="1">IFERROR(__xludf.DUMMYFUNCTION("""COMPUTED_VALUE"""),"Influencers who had successful careers")</f>
        <v>Influencers who had successful careers</v>
      </c>
      <c r="F1119" s="1" t="str">
        <f ca="1">IFERROR(__xludf.DUMMYFUNCTION("""COMPUTED_VALUE"""),"Yes, I will earn and do that")</f>
        <v>Yes, I will earn and do that</v>
      </c>
      <c r="G1119" s="1" t="str">
        <f ca="1">IFERROR(__xludf.DUMMYFUNCTION("""COMPUTED_VALUE"""),"This will be hard to do, but if it is the right company I would try")</f>
        <v>This will be hard to do, but if it is the right company I would try</v>
      </c>
      <c r="H1119" s="1" t="str">
        <f ca="1">IFERROR(__xludf.DUMMYFUNCTION("""COMPUTED_VALUE"""),"No")</f>
        <v>No</v>
      </c>
      <c r="I1119" s="1" t="str">
        <f ca="1">IFERROR(__xludf.DUMMYFUNCTION("""COMPUTED_VALUE"""),"Will NOT work for them")</f>
        <v>Will NOT work for them</v>
      </c>
      <c r="J1119" s="1">
        <f ca="1">IFERROR(__xludf.DUMMYFUNCTION("""COMPUTED_VALUE"""),6)</f>
        <v>6</v>
      </c>
      <c r="K1119" s="1" t="str">
        <f ca="1">IFERROR(__xludf.DUMMYFUNCTION("""COMPUTED_VALUE"""),"Hybrid Working Environment with more than 15 days a month at office")</f>
        <v>Hybrid Working Environment with more than 15 days a month at office</v>
      </c>
      <c r="L1119" s="1" t="str">
        <f ca="1">IFERROR(__xludf.DUMMYFUNCTION("""COMPUTED_VALUE"""),"Employer who rewards learning and enables that environment")</f>
        <v>Employer who rewards learning and enables that environment</v>
      </c>
      <c r="M1119"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N1119" s="1"/>
      <c r="O1119" s="1" t="str">
        <f ca="1">IFERROR(__xludf.DUMMYFUNCTION("""COMPUTED_VALUE"""),"Manager who explains what is expected, sets a goal and helps achieve it")</f>
        <v>Manager who explains what is expected, sets a goal and helps achieve it</v>
      </c>
      <c r="P1119" s="1" t="str">
        <f ca="1">IFERROR(__xludf.DUMMYFUNCTION("""COMPUTED_VALUE"""),"Work &lt;=6 People in the Team")</f>
        <v>Work &lt;=6 People in the Team</v>
      </c>
      <c r="Q1119" s="1" t="s">
        <v>40</v>
      </c>
      <c r="R1119" s="1"/>
    </row>
    <row r="1120" spans="1:18" x14ac:dyDescent="0.25">
      <c r="A1120" s="2">
        <f ca="1">IFERROR(__xludf.DUMMYFUNCTION("""COMPUTED_VALUE"""),45044.0439959953)</f>
        <v>45044.0439959953</v>
      </c>
      <c r="B1120" s="1" t="str">
        <f ca="1">IFERROR(__xludf.DUMMYFUNCTION("""COMPUTED_VALUE"""),"India")</f>
        <v>India</v>
      </c>
      <c r="C1120" s="1">
        <f ca="1">IFERROR(__xludf.DUMMYFUNCTION("""COMPUTED_VALUE"""),121009)</f>
        <v>121009</v>
      </c>
      <c r="D1120" s="1" t="str">
        <f ca="1">IFERROR(__xludf.DUMMYFUNCTION("""COMPUTED_VALUE"""),"Female")</f>
        <v>Female</v>
      </c>
      <c r="E1120" s="1" t="str">
        <f ca="1">IFERROR(__xludf.DUMMYFUNCTION("""COMPUTED_VALUE"""),"My Parents")</f>
        <v>My Parents</v>
      </c>
      <c r="F1120" s="1" t="str">
        <f ca="1">IFERROR(__xludf.DUMMYFUNCTION("""COMPUTED_VALUE"""),"Yes, I will earn and do that")</f>
        <v>Yes, I will earn and do that</v>
      </c>
      <c r="G1120" s="1" t="str">
        <f ca="1">IFERROR(__xludf.DUMMYFUNCTION("""COMPUTED_VALUE"""),"This will be hard to do, but if it is the right company I would try")</f>
        <v>This will be hard to do, but if it is the right company I would try</v>
      </c>
      <c r="H1120" s="1" t="str">
        <f ca="1">IFERROR(__xludf.DUMMYFUNCTION("""COMPUTED_VALUE"""),"No")</f>
        <v>No</v>
      </c>
      <c r="I1120" s="1" t="str">
        <f ca="1">IFERROR(__xludf.DUMMYFUNCTION("""COMPUTED_VALUE"""),"Will NOT work for them")</f>
        <v>Will NOT work for them</v>
      </c>
      <c r="J1120" s="1">
        <f ca="1">IFERROR(__xludf.DUMMYFUNCTION("""COMPUTED_VALUE"""),2)</f>
        <v>2</v>
      </c>
      <c r="K1120" s="1" t="str">
        <f ca="1">IFERROR(__xludf.DUMMYFUNCTION("""COMPUTED_VALUE"""),"Every Day Office Environment")</f>
        <v>Every Day Office Environment</v>
      </c>
      <c r="L1120" s="1" t="str">
        <f ca="1">IFERROR(__xludf.DUMMYFUNCTION("""COMPUTED_VALUE"""),"Employer who appreciates learning and enables that environment")</f>
        <v>Employer who appreciates learning and enables that environment</v>
      </c>
      <c r="M1120"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N1120" s="1"/>
      <c r="O1120" s="1" t="str">
        <f ca="1">IFERROR(__xludf.DUMMYFUNCTION("""COMPUTED_VALUE"""),"Manager who explains what is expected, sets a goal and helps achieve it")</f>
        <v>Manager who explains what is expected, sets a goal and helps achieve it</v>
      </c>
      <c r="P1120" s="1" t="str">
        <f ca="1">IFERROR(__xludf.DUMMYFUNCTION("""COMPUTED_VALUE"""),"Work &lt;=6 People in the Team")</f>
        <v>Work &lt;=6 People in the Team</v>
      </c>
      <c r="Q1120" s="1" t="s">
        <v>40</v>
      </c>
      <c r="R1120" s="1"/>
    </row>
    <row r="1121" spans="1:18" x14ac:dyDescent="0.25">
      <c r="A1121" s="2">
        <f ca="1">IFERROR(__xludf.DUMMYFUNCTION("""COMPUTED_VALUE"""),45044.0488197453)</f>
        <v>45044.048819745301</v>
      </c>
      <c r="B1121" s="1" t="str">
        <f ca="1">IFERROR(__xludf.DUMMYFUNCTION("""COMPUTED_VALUE"""),"India")</f>
        <v>India</v>
      </c>
      <c r="C1121" s="1">
        <f ca="1">IFERROR(__xludf.DUMMYFUNCTION("""COMPUTED_VALUE"""),490023)</f>
        <v>490023</v>
      </c>
      <c r="D1121" s="1" t="str">
        <f ca="1">IFERROR(__xludf.DUMMYFUNCTION("""COMPUTED_VALUE"""),"Male")</f>
        <v>Male</v>
      </c>
      <c r="E1121" s="1" t="str">
        <f ca="1">IFERROR(__xludf.DUMMYFUNCTION("""COMPUTED_VALUE"""),"People who have changed the world for better")</f>
        <v>People who have changed the world for better</v>
      </c>
      <c r="F1121" s="1" t="str">
        <f ca="1">IFERROR(__xludf.DUMMYFUNCTION("""COMPUTED_VALUE"""),"No I would not be pursuing Higher Education outside of India")</f>
        <v>No I would not be pursuing Higher Education outside of India</v>
      </c>
      <c r="G1121" s="1" t="str">
        <f ca="1">IFERROR(__xludf.DUMMYFUNCTION("""COMPUTED_VALUE"""),"Will work for 3 years or more")</f>
        <v>Will work for 3 years or more</v>
      </c>
      <c r="H1121" s="1" t="str">
        <f ca="1">IFERROR(__xludf.DUMMYFUNCTION("""COMPUTED_VALUE"""),"No")</f>
        <v>No</v>
      </c>
      <c r="I1121" s="1" t="str">
        <f ca="1">IFERROR(__xludf.DUMMYFUNCTION("""COMPUTED_VALUE"""),"Will work for them")</f>
        <v>Will work for them</v>
      </c>
      <c r="J1121" s="1">
        <f ca="1">IFERROR(__xludf.DUMMYFUNCTION("""COMPUTED_VALUE"""),8)</f>
        <v>8</v>
      </c>
      <c r="K1121" s="1" t="str">
        <f ca="1">IFERROR(__xludf.DUMMYFUNCTION("""COMPUTED_VALUE"""),"Hybrid Working Environment with more than 15 days a month at office")</f>
        <v>Hybrid Working Environment with more than 15 days a month at office</v>
      </c>
      <c r="L1121" s="1" t="str">
        <f ca="1">IFERROR(__xludf.DUMMYFUNCTION("""COMPUTED_VALUE"""),"Employer who pushes your limits by enabling an learning environment, and rewards you at the end")</f>
        <v>Employer who pushes your limits by enabling an learning environment, and rewards you at the end</v>
      </c>
      <c r="M1121"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1121" s="1"/>
      <c r="O1121" s="1" t="str">
        <f ca="1">IFERROR(__xludf.DUMMYFUNCTION("""COMPUTED_VALUE"""),"Manager who explains what is expected, sets a goal and helps achieve it")</f>
        <v>Manager who explains what is expected, sets a goal and helps achieve it</v>
      </c>
      <c r="P1121" s="1" t="str">
        <f ca="1">IFERROR(__xludf.DUMMYFUNCTION("""COMPUTED_VALUE"""),"Work &lt;=6 People in the Team")</f>
        <v>Work &lt;=6 People in the Team</v>
      </c>
      <c r="Q1121" s="1" t="s">
        <v>40</v>
      </c>
      <c r="R1121" s="1"/>
    </row>
    <row r="1122" spans="1:18" x14ac:dyDescent="0.25">
      <c r="A1122" s="2">
        <f ca="1">IFERROR(__xludf.DUMMYFUNCTION("""COMPUTED_VALUE"""),45044.0499119675)</f>
        <v>45044.049911967501</v>
      </c>
      <c r="B1122" s="1" t="str">
        <f ca="1">IFERROR(__xludf.DUMMYFUNCTION("""COMPUTED_VALUE"""),"India")</f>
        <v>India</v>
      </c>
      <c r="C1122" s="1">
        <f ca="1">IFERROR(__xludf.DUMMYFUNCTION("""COMPUTED_VALUE"""),500062)</f>
        <v>500062</v>
      </c>
      <c r="D1122" s="1" t="str">
        <f ca="1">IFERROR(__xludf.DUMMYFUNCTION("""COMPUTED_VALUE"""),"Female")</f>
        <v>Female</v>
      </c>
      <c r="E1122" s="1" t="str">
        <f ca="1">IFERROR(__xludf.DUMMYFUNCTION("""COMPUTED_VALUE"""),"My Parents")</f>
        <v>My Parents</v>
      </c>
      <c r="F1122" s="1" t="str">
        <f ca="1">IFERROR(__xludf.DUMMYFUNCTION("""COMPUTED_VALUE"""),"Yes, I will earn and do that")</f>
        <v>Yes, I will earn and do that</v>
      </c>
      <c r="G1122" s="1" t="str">
        <f ca="1">IFERROR(__xludf.DUMMYFUNCTION("""COMPUTED_VALUE"""),"This will be hard to do, but if it is the right company I would try")</f>
        <v>This will be hard to do, but if it is the right company I would try</v>
      </c>
      <c r="H1122" s="1" t="str">
        <f ca="1">IFERROR(__xludf.DUMMYFUNCTION("""COMPUTED_VALUE"""),"No")</f>
        <v>No</v>
      </c>
      <c r="I1122" s="1" t="str">
        <f ca="1">IFERROR(__xludf.DUMMYFUNCTION("""COMPUTED_VALUE"""),"Will NOT work for them")</f>
        <v>Will NOT work for them</v>
      </c>
      <c r="J1122" s="1">
        <f ca="1">IFERROR(__xludf.DUMMYFUNCTION("""COMPUTED_VALUE"""),5)</f>
        <v>5</v>
      </c>
      <c r="K1122" s="1" t="str">
        <f ca="1">IFERROR(__xludf.DUMMYFUNCTION("""COMPUTED_VALUE"""),"Hybrid Working Environment with less than 3 days a month at office")</f>
        <v>Hybrid Working Environment with less than 3 days a month at office</v>
      </c>
      <c r="L1122" s="1" t="str">
        <f ca="1">IFERROR(__xludf.DUMMYFUNCTION("""COMPUTED_VALUE"""),"Employer who appreciates learning and enables that environment")</f>
        <v>Employer who appreciates learning and enables that environment</v>
      </c>
      <c r="M112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122" s="1"/>
      <c r="O1122" s="1" t="str">
        <f ca="1">IFERROR(__xludf.DUMMYFUNCTION("""COMPUTED_VALUE"""),"Manager who clearly describes what she/he needs")</f>
        <v>Manager who clearly describes what she/he needs</v>
      </c>
      <c r="P1122" s="1" t="str">
        <f ca="1">IFERROR(__xludf.DUMMYFUNCTION("""COMPUTED_VALUE"""),"Work &lt;67 People in the Team")</f>
        <v>Work &lt;67 People in the Team</v>
      </c>
      <c r="Q1122" s="1" t="s">
        <v>43</v>
      </c>
      <c r="R1122" s="1"/>
    </row>
    <row r="1123" spans="1:18" x14ac:dyDescent="0.25">
      <c r="A1123" s="2">
        <f ca="1">IFERROR(__xludf.DUMMYFUNCTION("""COMPUTED_VALUE"""),45044.0536814004)</f>
        <v>45044.053681400401</v>
      </c>
      <c r="B1123" s="1" t="str">
        <f ca="1">IFERROR(__xludf.DUMMYFUNCTION("""COMPUTED_VALUE"""),"India")</f>
        <v>India</v>
      </c>
      <c r="C1123" s="1">
        <f ca="1">IFERROR(__xludf.DUMMYFUNCTION("""COMPUTED_VALUE"""),524001)</f>
        <v>524001</v>
      </c>
      <c r="D1123" s="1" t="str">
        <f ca="1">IFERROR(__xludf.DUMMYFUNCTION("""COMPUTED_VALUE"""),"Female")</f>
        <v>Female</v>
      </c>
      <c r="E1123" s="1" t="str">
        <f ca="1">IFERROR(__xludf.DUMMYFUNCTION("""COMPUTED_VALUE"""),"Influencers who had successful careers")</f>
        <v>Influencers who had successful careers</v>
      </c>
      <c r="F1123" s="1" t="str">
        <f ca="1">IFERROR(__xludf.DUMMYFUNCTION("""COMPUTED_VALUE"""),"No I would not be pursuing Higher Education outside of India")</f>
        <v>No I would not be pursuing Higher Education outside of India</v>
      </c>
      <c r="G1123" s="1" t="str">
        <f ca="1">IFERROR(__xludf.DUMMYFUNCTION("""COMPUTED_VALUE"""),"This will be hard to do, but if it is the right company I would try")</f>
        <v>This will be hard to do, but if it is the right company I would try</v>
      </c>
      <c r="H1123" s="1" t="str">
        <f ca="1">IFERROR(__xludf.DUMMYFUNCTION("""COMPUTED_VALUE"""),"No")</f>
        <v>No</v>
      </c>
      <c r="I1123" s="1" t="str">
        <f ca="1">IFERROR(__xludf.DUMMYFUNCTION("""COMPUTED_VALUE"""),"Will work for them")</f>
        <v>Will work for them</v>
      </c>
      <c r="J1123" s="1">
        <f ca="1">IFERROR(__xludf.DUMMYFUNCTION("""COMPUTED_VALUE"""),6)</f>
        <v>6</v>
      </c>
      <c r="K1123" s="1" t="str">
        <f ca="1">IFERROR(__xludf.DUMMYFUNCTION("""COMPUTED_VALUE"""),"Fully Remote with Options to travel as and when needed")</f>
        <v>Fully Remote with Options to travel as and when needed</v>
      </c>
      <c r="L1123" s="1" t="str">
        <f ca="1">IFERROR(__xludf.DUMMYFUNCTION("""COMPUTED_VALUE"""),"Employer who rewards learning and enables that environment")</f>
        <v>Employer who rewards learning and enables that environment</v>
      </c>
      <c r="M1123"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N1123" s="1"/>
      <c r="O1123" s="1" t="str">
        <f ca="1">IFERROR(__xludf.DUMMYFUNCTION("""COMPUTED_VALUE"""),"Manager who explains what is expected, sets a goal and helps achieve it")</f>
        <v>Manager who explains what is expected, sets a goal and helps achieve it</v>
      </c>
      <c r="P1123" s="1" t="str">
        <f ca="1">IFERROR(__xludf.DUMMYFUNCTION("""COMPUTED_VALUE"""),"Work &lt;=6 People in the Team")</f>
        <v>Work &lt;=6 People in the Team</v>
      </c>
      <c r="Q1123" s="1" t="s">
        <v>40</v>
      </c>
      <c r="R1123" s="1"/>
    </row>
    <row r="1124" spans="1:18" x14ac:dyDescent="0.25">
      <c r="A1124" s="2">
        <f ca="1">IFERROR(__xludf.DUMMYFUNCTION("""COMPUTED_VALUE"""),45044.0588253125)</f>
        <v>45044.058825312502</v>
      </c>
      <c r="B1124" s="1" t="str">
        <f ca="1">IFERROR(__xludf.DUMMYFUNCTION("""COMPUTED_VALUE"""),"India")</f>
        <v>India</v>
      </c>
      <c r="C1124" s="1">
        <f ca="1">IFERROR(__xludf.DUMMYFUNCTION("""COMPUTED_VALUE"""),500097)</f>
        <v>500097</v>
      </c>
      <c r="D1124" s="1" t="str">
        <f ca="1">IFERROR(__xludf.DUMMYFUNCTION("""COMPUTED_VALUE"""),"Female")</f>
        <v>Female</v>
      </c>
      <c r="E1124" s="1" t="str">
        <f ca="1">IFERROR(__xludf.DUMMYFUNCTION("""COMPUTED_VALUE"""),"Influencers who had successful careers")</f>
        <v>Influencers who had successful careers</v>
      </c>
      <c r="F1124" s="1" t="str">
        <f ca="1">IFERROR(__xludf.DUMMYFUNCTION("""COMPUTED_VALUE"""),"No, But if someone could bare the cost I will")</f>
        <v>No, But if someone could bare the cost I will</v>
      </c>
      <c r="G1124" s="1" t="str">
        <f ca="1">IFERROR(__xludf.DUMMYFUNCTION("""COMPUTED_VALUE"""),"Will work for 3 years or more")</f>
        <v>Will work for 3 years or more</v>
      </c>
      <c r="H1124" s="1" t="str">
        <f ca="1">IFERROR(__xludf.DUMMYFUNCTION("""COMPUTED_VALUE"""),"No")</f>
        <v>No</v>
      </c>
      <c r="I1124" s="1" t="str">
        <f ca="1">IFERROR(__xludf.DUMMYFUNCTION("""COMPUTED_VALUE"""),"Will NOT work for them")</f>
        <v>Will NOT work for them</v>
      </c>
      <c r="J1124" s="1">
        <f ca="1">IFERROR(__xludf.DUMMYFUNCTION("""COMPUTED_VALUE"""),1)</f>
        <v>1</v>
      </c>
      <c r="K1124" s="1" t="str">
        <f ca="1">IFERROR(__xludf.DUMMYFUNCTION("""COMPUTED_VALUE"""),"Hybrid Working Environment with less than 3 days a month at office")</f>
        <v>Hybrid Working Environment with less than 3 days a month at office</v>
      </c>
      <c r="L1124" s="1" t="str">
        <f ca="1">IFERROR(__xludf.DUMMYFUNCTION("""COMPUTED_VALUE"""),"Employer who rewards learning and enables that environment")</f>
        <v>Employer who rewards learning and enables that environment</v>
      </c>
      <c r="M112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124" s="1"/>
      <c r="O1124" s="1" t="str">
        <f ca="1">IFERROR(__xludf.DUMMYFUNCTION("""COMPUTED_VALUE"""),"Manager who sets goal and helps me achieve it")</f>
        <v>Manager who sets goal and helps me achieve it</v>
      </c>
      <c r="P1124" s="1" t="str">
        <f ca="1">IFERROR(__xludf.DUMMYFUNCTION("""COMPUTED_VALUE"""),"Work &lt;=6 People in the Team")</f>
        <v>Work &lt;=6 People in the Team</v>
      </c>
      <c r="Q1124" s="1" t="s">
        <v>43</v>
      </c>
      <c r="R1124" s="1"/>
    </row>
    <row r="1125" spans="1:18" x14ac:dyDescent="0.25">
      <c r="A1125" s="2">
        <f ca="1">IFERROR(__xludf.DUMMYFUNCTION("""COMPUTED_VALUE"""),45044.1029188425)</f>
        <v>45044.102918842502</v>
      </c>
      <c r="B1125" s="1" t="str">
        <f ca="1">IFERROR(__xludf.DUMMYFUNCTION("""COMPUTED_VALUE"""),"India")</f>
        <v>India</v>
      </c>
      <c r="C1125" s="1">
        <f ca="1">IFERROR(__xludf.DUMMYFUNCTION("""COMPUTED_VALUE"""),600122)</f>
        <v>600122</v>
      </c>
      <c r="D1125" s="1" t="str">
        <f ca="1">IFERROR(__xludf.DUMMYFUNCTION("""COMPUTED_VALUE"""),"Female")</f>
        <v>Female</v>
      </c>
      <c r="E1125" s="1" t="str">
        <f ca="1">IFERROR(__xludf.DUMMYFUNCTION("""COMPUTED_VALUE"""),"People from my circle, but not family members")</f>
        <v>People from my circle, but not family members</v>
      </c>
      <c r="F1125" s="1" t="str">
        <f ca="1">IFERROR(__xludf.DUMMYFUNCTION("""COMPUTED_VALUE"""),"Yes, I will earn and do that")</f>
        <v>Yes, I will earn and do that</v>
      </c>
      <c r="G1125" s="1" t="str">
        <f ca="1">IFERROR(__xludf.DUMMYFUNCTION("""COMPUTED_VALUE"""),"This will be hard to do, but if it is the right company I would try")</f>
        <v>This will be hard to do, but if it is the right company I would try</v>
      </c>
      <c r="H1125" s="1" t="str">
        <f ca="1">IFERROR(__xludf.DUMMYFUNCTION("""COMPUTED_VALUE"""),"No")</f>
        <v>No</v>
      </c>
      <c r="I1125" s="1" t="str">
        <f ca="1">IFERROR(__xludf.DUMMYFUNCTION("""COMPUTED_VALUE"""),"Will NOT work for them")</f>
        <v>Will NOT work for them</v>
      </c>
      <c r="J1125" s="1">
        <f ca="1">IFERROR(__xludf.DUMMYFUNCTION("""COMPUTED_VALUE"""),1)</f>
        <v>1</v>
      </c>
      <c r="K1125" s="1" t="str">
        <f ca="1">IFERROR(__xludf.DUMMYFUNCTION("""COMPUTED_VALUE"""),"Every Day Office Environment")</f>
        <v>Every Day Office Environment</v>
      </c>
      <c r="L1125" s="1" t="str">
        <f ca="1">IFERROR(__xludf.DUMMYFUNCTION("""COMPUTED_VALUE"""),"Employer who appreciates learning and enables that environment")</f>
        <v>Employer who appreciates learning and enables that environment</v>
      </c>
      <c r="M112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N1125" s="1"/>
      <c r="O1125" s="1" t="str">
        <f ca="1">IFERROR(__xludf.DUMMYFUNCTION("""COMPUTED_VALUE"""),"Manager who explains what is expected, sets a goal and helps achieve it")</f>
        <v>Manager who explains what is expected, sets a goal and helps achieve it</v>
      </c>
      <c r="P1125" s="1" t="str">
        <f ca="1">IFERROR(__xludf.DUMMYFUNCTION("""COMPUTED_VALUE"""),"Work &gt;=7 People in the Team")</f>
        <v>Work &gt;=7 People in the Team</v>
      </c>
      <c r="Q1125" s="1" t="s">
        <v>43</v>
      </c>
      <c r="R1125" s="1"/>
    </row>
    <row r="1126" spans="1:18" x14ac:dyDescent="0.25">
      <c r="A1126" s="2">
        <f ca="1">IFERROR(__xludf.DUMMYFUNCTION("""COMPUTED_VALUE"""),45044.1578602314)</f>
        <v>45044.157860231397</v>
      </c>
      <c r="B1126" s="1" t="str">
        <f ca="1">IFERROR(__xludf.DUMMYFUNCTION("""COMPUTED_VALUE"""),"India")</f>
        <v>India</v>
      </c>
      <c r="C1126" s="1">
        <f ca="1">IFERROR(__xludf.DUMMYFUNCTION("""COMPUTED_VALUE"""),600049)</f>
        <v>600049</v>
      </c>
      <c r="D1126" s="1" t="str">
        <f ca="1">IFERROR(__xludf.DUMMYFUNCTION("""COMPUTED_VALUE"""),"Female")</f>
        <v>Female</v>
      </c>
      <c r="E1126" s="1" t="str">
        <f ca="1">IFERROR(__xludf.DUMMYFUNCTION("""COMPUTED_VALUE"""),"People from my circle, but not family members")</f>
        <v>People from my circle, but not family members</v>
      </c>
      <c r="F1126" s="1" t="str">
        <f ca="1">IFERROR(__xludf.DUMMYFUNCTION("""COMPUTED_VALUE"""),"No, But if someone could bare the cost I will")</f>
        <v>No, But if someone could bare the cost I will</v>
      </c>
      <c r="G1126" s="1" t="str">
        <f ca="1">IFERROR(__xludf.DUMMYFUNCTION("""COMPUTED_VALUE"""),"Will work for 3 years or more")</f>
        <v>Will work for 3 years or more</v>
      </c>
      <c r="H1126" s="1" t="str">
        <f ca="1">IFERROR(__xludf.DUMMYFUNCTION("""COMPUTED_VALUE"""),"No")</f>
        <v>No</v>
      </c>
      <c r="I1126" s="1" t="str">
        <f ca="1">IFERROR(__xludf.DUMMYFUNCTION("""COMPUTED_VALUE"""),"Will work for them")</f>
        <v>Will work for them</v>
      </c>
      <c r="J1126" s="1">
        <f ca="1">IFERROR(__xludf.DUMMYFUNCTION("""COMPUTED_VALUE"""),8)</f>
        <v>8</v>
      </c>
      <c r="K1126" s="1" t="str">
        <f ca="1">IFERROR(__xludf.DUMMYFUNCTION("""COMPUTED_VALUE"""),"Hybrid Working Environment with more than 15 days a month at office")</f>
        <v>Hybrid Working Environment with more than 15 days a month at office</v>
      </c>
      <c r="L1126" s="1" t="str">
        <f ca="1">IFERROR(__xludf.DUMMYFUNCTION("""COMPUTED_VALUE"""),"Employer who pushes your limits by enabling an learning environment, and rewards you at the end")</f>
        <v>Employer who pushes your limits by enabling an learning environment, and rewards you at the end</v>
      </c>
      <c r="M1126"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N1126" s="1"/>
      <c r="O1126" s="1" t="str">
        <f ca="1">IFERROR(__xludf.DUMMYFUNCTION("""COMPUTED_VALUE"""),"Manager who explains what is expected, sets a goal and helps achieve it")</f>
        <v>Manager who explains what is expected, sets a goal and helps achieve it</v>
      </c>
      <c r="P1126" s="1" t="str">
        <f ca="1">IFERROR(__xludf.DUMMYFUNCTION("""COMPUTED_VALUE"""),"Work Alone, &lt;=6 in team")</f>
        <v>Work Alone, &lt;=6 in team</v>
      </c>
      <c r="Q1126" s="1" t="s">
        <v>43</v>
      </c>
      <c r="R1126" s="1"/>
    </row>
    <row r="1127" spans="1:18" x14ac:dyDescent="0.25">
      <c r="A1127" s="2">
        <f ca="1">IFERROR(__xludf.DUMMYFUNCTION("""COMPUTED_VALUE"""),45044.1989993287)</f>
        <v>45044.198999328699</v>
      </c>
      <c r="B1127" s="1" t="str">
        <f ca="1">IFERROR(__xludf.DUMMYFUNCTION("""COMPUTED_VALUE"""),"India")</f>
        <v>India</v>
      </c>
      <c r="C1127" s="1">
        <f ca="1">IFERROR(__xludf.DUMMYFUNCTION("""COMPUTED_VALUE"""),500047)</f>
        <v>500047</v>
      </c>
      <c r="D1127" s="1" t="str">
        <f ca="1">IFERROR(__xludf.DUMMYFUNCTION("""COMPUTED_VALUE"""),"Male")</f>
        <v>Male</v>
      </c>
      <c r="E1127" s="1" t="str">
        <f ca="1">IFERROR(__xludf.DUMMYFUNCTION("""COMPUTED_VALUE"""),"People who have changed the world for better")</f>
        <v>People who have changed the world for better</v>
      </c>
      <c r="F1127" s="1" t="str">
        <f ca="1">IFERROR(__xludf.DUMMYFUNCTION("""COMPUTED_VALUE"""),"No I would not be pursuing Higher Education outside of India")</f>
        <v>No I would not be pursuing Higher Education outside of India</v>
      </c>
      <c r="G1127" s="1" t="str">
        <f ca="1">IFERROR(__xludf.DUMMYFUNCTION("""COMPUTED_VALUE"""),"Will work for 3 years or more")</f>
        <v>Will work for 3 years or more</v>
      </c>
      <c r="H1127" s="1" t="str">
        <f ca="1">IFERROR(__xludf.DUMMYFUNCTION("""COMPUTED_VALUE"""),"No")</f>
        <v>No</v>
      </c>
      <c r="I1127" s="1" t="str">
        <f ca="1">IFERROR(__xludf.DUMMYFUNCTION("""COMPUTED_VALUE"""),"Will NOT work for them")</f>
        <v>Will NOT work for them</v>
      </c>
      <c r="J1127" s="1">
        <f ca="1">IFERROR(__xludf.DUMMYFUNCTION("""COMPUTED_VALUE"""),6)</f>
        <v>6</v>
      </c>
      <c r="K1127" s="1" t="str">
        <f ca="1">IFERROR(__xludf.DUMMYFUNCTION("""COMPUTED_VALUE"""),"Fully Remote with No option to visit offices")</f>
        <v>Fully Remote with No option to visit offices</v>
      </c>
      <c r="L1127" s="1" t="str">
        <f ca="1">IFERROR(__xludf.DUMMYFUNCTION("""COMPUTED_VALUE"""),"Employer who appreciates learning and enables that environment")</f>
        <v>Employer who appreciates learning and enables that environment</v>
      </c>
      <c r="M112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127" s="1"/>
      <c r="O1127" s="1" t="str">
        <f ca="1">IFERROR(__xludf.DUMMYFUNCTION("""COMPUTED_VALUE"""),"Manager who explains what is expected, sets a goal and helps achieve it")</f>
        <v>Manager who explains what is expected, sets a goal and helps achieve it</v>
      </c>
      <c r="P1127" s="1" t="str">
        <f ca="1">IFERROR(__xludf.DUMMYFUNCTION("""COMPUTED_VALUE"""),"Work &lt;=6 People in the Team")</f>
        <v>Work &lt;=6 People in the Team</v>
      </c>
      <c r="Q1127" s="1" t="s">
        <v>43</v>
      </c>
      <c r="R1127" s="1"/>
    </row>
    <row r="1128" spans="1:18" x14ac:dyDescent="0.25">
      <c r="A1128" s="2">
        <f ca="1">IFERROR(__xludf.DUMMYFUNCTION("""COMPUTED_VALUE"""),45044.204183206)</f>
        <v>45044.204183205999</v>
      </c>
      <c r="B1128" s="1" t="str">
        <f ca="1">IFERROR(__xludf.DUMMYFUNCTION("""COMPUTED_VALUE"""),"Others")</f>
        <v>Others</v>
      </c>
      <c r="C1128" s="1" t="str">
        <f ca="1">IFERROR(__xludf.DUMMYFUNCTION("""COMPUTED_VALUE"""),"GL50")</f>
        <v>GL50</v>
      </c>
      <c r="D1128" s="1" t="str">
        <f ca="1">IFERROR(__xludf.DUMMYFUNCTION("""COMPUTED_VALUE"""),"Female")</f>
        <v>Female</v>
      </c>
      <c r="E1128" s="1" t="str">
        <f ca="1">IFERROR(__xludf.DUMMYFUNCTION("""COMPUTED_VALUE"""),"People who have changed the world for better")</f>
        <v>People who have changed the world for better</v>
      </c>
      <c r="F1128" s="1" t="str">
        <f ca="1">IFERROR(__xludf.DUMMYFUNCTION("""COMPUTED_VALUE"""),"Yes, I will earn and do that")</f>
        <v>Yes, I will earn and do that</v>
      </c>
      <c r="G1128" s="1" t="str">
        <f ca="1">IFERROR(__xludf.DUMMYFUNCTION("""COMPUTED_VALUE"""),"Will work for 3 years or more")</f>
        <v>Will work for 3 years or more</v>
      </c>
      <c r="H1128" s="1" t="str">
        <f ca="1">IFERROR(__xludf.DUMMYFUNCTION("""COMPUTED_VALUE"""),"No")</f>
        <v>No</v>
      </c>
      <c r="I1128" s="1" t="str">
        <f ca="1">IFERROR(__xludf.DUMMYFUNCTION("""COMPUTED_VALUE"""),"Will NOT work for them")</f>
        <v>Will NOT work for them</v>
      </c>
      <c r="J1128" s="1">
        <f ca="1">IFERROR(__xludf.DUMMYFUNCTION("""COMPUTED_VALUE"""),8)</f>
        <v>8</v>
      </c>
      <c r="K1128" s="1" t="str">
        <f ca="1">IFERROR(__xludf.DUMMYFUNCTION("""COMPUTED_VALUE"""),"Fully Remote with Options to travel as and when needed")</f>
        <v>Fully Remote with Options to travel as and when needed</v>
      </c>
      <c r="L1128" s="1" t="str">
        <f ca="1">IFERROR(__xludf.DUMMYFUNCTION("""COMPUTED_VALUE"""),"Employer who pushes your limits by enabling an learning environment, and rewards you at the end")</f>
        <v>Employer who pushes your limits by enabling an learning environment, and rewards you at the end</v>
      </c>
      <c r="M1128"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N1128" s="1"/>
      <c r="O1128" s="1" t="str">
        <f ca="1">IFERROR(__xludf.DUMMYFUNCTION("""COMPUTED_VALUE"""),"Manager who explains what is expected, sets a goal and helps achieve it")</f>
        <v>Manager who explains what is expected, sets a goal and helps achieve it</v>
      </c>
      <c r="P1128" s="1" t="str">
        <f ca="1">IFERROR(__xludf.DUMMYFUNCTION("""COMPUTED_VALUE"""),"Work &gt;=7 People in the Team")</f>
        <v>Work &gt;=7 People in the Team</v>
      </c>
      <c r="Q1128" s="1" t="s">
        <v>43</v>
      </c>
      <c r="R1128" s="1"/>
    </row>
    <row r="1129" spans="1:18" x14ac:dyDescent="0.25">
      <c r="A1129" s="2">
        <f ca="1">IFERROR(__xludf.DUMMYFUNCTION("""COMPUTED_VALUE"""),45044.2162216319)</f>
        <v>45044.216221631897</v>
      </c>
      <c r="B1129" s="1" t="str">
        <f ca="1">IFERROR(__xludf.DUMMYFUNCTION("""COMPUTED_VALUE"""),"India")</f>
        <v>India</v>
      </c>
      <c r="C1129" s="1">
        <f ca="1">IFERROR(__xludf.DUMMYFUNCTION("""COMPUTED_VALUE"""),500037)</f>
        <v>500037</v>
      </c>
      <c r="D1129" s="1" t="str">
        <f ca="1">IFERROR(__xludf.DUMMYFUNCTION("""COMPUTED_VALUE"""),"Male")</f>
        <v>Male</v>
      </c>
      <c r="E1129" s="1" t="str">
        <f ca="1">IFERROR(__xludf.DUMMYFUNCTION("""COMPUTED_VALUE"""),"People who have changed the world for better")</f>
        <v>People who have changed the world for better</v>
      </c>
      <c r="F1129" s="1" t="str">
        <f ca="1">IFERROR(__xludf.DUMMYFUNCTION("""COMPUTED_VALUE"""),"No, But if someone could bare the cost I will")</f>
        <v>No, But if someone could bare the cost I will</v>
      </c>
      <c r="G1129" s="1" t="str">
        <f ca="1">IFERROR(__xludf.DUMMYFUNCTION("""COMPUTED_VALUE"""),"Will work for 3 years or more")</f>
        <v>Will work for 3 years or more</v>
      </c>
      <c r="H1129" s="1" t="str">
        <f ca="1">IFERROR(__xludf.DUMMYFUNCTION("""COMPUTED_VALUE"""),"Yes")</f>
        <v>Yes</v>
      </c>
      <c r="I1129" s="1" t="str">
        <f ca="1">IFERROR(__xludf.DUMMYFUNCTION("""COMPUTED_VALUE"""),"Will work for them")</f>
        <v>Will work for them</v>
      </c>
      <c r="J1129" s="1">
        <f ca="1">IFERROR(__xludf.DUMMYFUNCTION("""COMPUTED_VALUE"""),5)</f>
        <v>5</v>
      </c>
      <c r="K1129" s="1" t="str">
        <f ca="1">IFERROR(__xludf.DUMMYFUNCTION("""COMPUTED_VALUE"""),"Every Day Office Environment")</f>
        <v>Every Day Office Environment</v>
      </c>
      <c r="L1129" s="1" t="str">
        <f ca="1">IFERROR(__xludf.DUMMYFUNCTION("""COMPUTED_VALUE"""),"Employer who rewards learning and enables that environment")</f>
        <v>Employer who rewards learning and enables that environment</v>
      </c>
      <c r="M1129"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N1129" s="1"/>
      <c r="O1129" s="1" t="str">
        <f ca="1">IFERROR(__xludf.DUMMYFUNCTION("""COMPUTED_VALUE"""),"Manager who explains what is expected, sets a goal and helps achieve it")</f>
        <v>Manager who explains what is expected, sets a goal and helps achieve it</v>
      </c>
      <c r="P1129" s="1" t="str">
        <f ca="1">IFERROR(__xludf.DUMMYFUNCTION("""COMPUTED_VALUE"""),"Work &lt;=6 People in the Team")</f>
        <v>Work &lt;=6 People in the Team</v>
      </c>
      <c r="Q1129" s="1" t="s">
        <v>43</v>
      </c>
      <c r="R1129" s="1"/>
    </row>
    <row r="1130" spans="1:18" x14ac:dyDescent="0.25">
      <c r="A1130" s="2">
        <f ca="1">IFERROR(__xludf.DUMMYFUNCTION("""COMPUTED_VALUE"""),45044.2212982291)</f>
        <v>45044.221298229102</v>
      </c>
      <c r="B1130" s="1" t="str">
        <f ca="1">IFERROR(__xludf.DUMMYFUNCTION("""COMPUTED_VALUE"""),"India")</f>
        <v>India</v>
      </c>
      <c r="C1130" s="1">
        <f ca="1">IFERROR(__xludf.DUMMYFUNCTION("""COMPUTED_VALUE"""),501218)</f>
        <v>501218</v>
      </c>
      <c r="D1130" s="1" t="str">
        <f ca="1">IFERROR(__xludf.DUMMYFUNCTION("""COMPUTED_VALUE"""),"Female")</f>
        <v>Female</v>
      </c>
      <c r="E1130" s="1" t="str">
        <f ca="1">IFERROR(__xludf.DUMMYFUNCTION("""COMPUTED_VALUE"""),"My Parents")</f>
        <v>My Parents</v>
      </c>
      <c r="F1130" s="1" t="str">
        <f ca="1">IFERROR(__xludf.DUMMYFUNCTION("""COMPUTED_VALUE"""),"No, But if someone could bare the cost I will")</f>
        <v>No, But if someone could bare the cost I will</v>
      </c>
      <c r="G1130" s="1" t="str">
        <f ca="1">IFERROR(__xludf.DUMMYFUNCTION("""COMPUTED_VALUE"""),"This will be hard to do, but if it is the right company I would try")</f>
        <v>This will be hard to do, but if it is the right company I would try</v>
      </c>
      <c r="H1130" s="1" t="str">
        <f ca="1">IFERROR(__xludf.DUMMYFUNCTION("""COMPUTED_VALUE"""),"Yes")</f>
        <v>Yes</v>
      </c>
      <c r="I1130" s="1" t="str">
        <f ca="1">IFERROR(__xludf.DUMMYFUNCTION("""COMPUTED_VALUE"""),"Will NOT work for them")</f>
        <v>Will NOT work for them</v>
      </c>
      <c r="J1130" s="1">
        <f ca="1">IFERROR(__xludf.DUMMYFUNCTION("""COMPUTED_VALUE"""),8)</f>
        <v>8</v>
      </c>
      <c r="K1130" s="1" t="str">
        <f ca="1">IFERROR(__xludf.DUMMYFUNCTION("""COMPUTED_VALUE"""),"Hybrid Working Environment with less than 3 days a month at office")</f>
        <v>Hybrid Working Environment with less than 3 days a month at office</v>
      </c>
      <c r="L1130" s="1" t="str">
        <f ca="1">IFERROR(__xludf.DUMMYFUNCTION("""COMPUTED_VALUE"""),"Employer who pushes your limits by enabling an learning environment, and rewards you at the end")</f>
        <v>Employer who pushes your limits by enabling an learning environment, and rewards you at the end</v>
      </c>
      <c r="M1130"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N1130" s="1"/>
      <c r="O1130" s="1" t="str">
        <f ca="1">IFERROR(__xludf.DUMMYFUNCTION("""COMPUTED_VALUE"""),"Manager who explains what is expected, sets a goal and helps achieve it")</f>
        <v>Manager who explains what is expected, sets a goal and helps achieve it</v>
      </c>
      <c r="P1130" s="1" t="str">
        <f ca="1">IFERROR(__xludf.DUMMYFUNCTION("""COMPUTED_VALUE"""),"Work &lt;=6 People in the Team")</f>
        <v>Work &lt;=6 People in the Team</v>
      </c>
      <c r="Q1130" s="1" t="s">
        <v>43</v>
      </c>
      <c r="R1130" s="1"/>
    </row>
    <row r="1131" spans="1:18" x14ac:dyDescent="0.25">
      <c r="A1131" s="2">
        <f ca="1">IFERROR(__xludf.DUMMYFUNCTION("""COMPUTED_VALUE"""),45044.2248980671)</f>
        <v>45044.224898067099</v>
      </c>
      <c r="B1131" s="1" t="str">
        <f ca="1">IFERROR(__xludf.DUMMYFUNCTION("""COMPUTED_VALUE"""),"India")</f>
        <v>India</v>
      </c>
      <c r="C1131" s="1">
        <f ca="1">IFERROR(__xludf.DUMMYFUNCTION("""COMPUTED_VALUE"""),530046)</f>
        <v>530046</v>
      </c>
      <c r="D1131" s="1" t="str">
        <f ca="1">IFERROR(__xludf.DUMMYFUNCTION("""COMPUTED_VALUE"""),"Female")</f>
        <v>Female</v>
      </c>
      <c r="E1131" s="1" t="str">
        <f ca="1">IFERROR(__xludf.DUMMYFUNCTION("""COMPUTED_VALUE"""),"My Parents")</f>
        <v>My Parents</v>
      </c>
      <c r="F1131" s="1" t="str">
        <f ca="1">IFERROR(__xludf.DUMMYFUNCTION("""COMPUTED_VALUE"""),"No I would not be pursuing Higher Education outside of India")</f>
        <v>No I would not be pursuing Higher Education outside of India</v>
      </c>
      <c r="G1131" s="1" t="str">
        <f ca="1">IFERROR(__xludf.DUMMYFUNCTION("""COMPUTED_VALUE"""),"This will be hard to do, but if it is the right company I would try")</f>
        <v>This will be hard to do, but if it is the right company I would try</v>
      </c>
      <c r="H1131" s="1" t="str">
        <f ca="1">IFERROR(__xludf.DUMMYFUNCTION("""COMPUTED_VALUE"""),"No")</f>
        <v>No</v>
      </c>
      <c r="I1131" s="1" t="str">
        <f ca="1">IFERROR(__xludf.DUMMYFUNCTION("""COMPUTED_VALUE"""),"Will NOT work for them")</f>
        <v>Will NOT work for them</v>
      </c>
      <c r="J1131" s="1">
        <f ca="1">IFERROR(__xludf.DUMMYFUNCTION("""COMPUTED_VALUE"""),3)</f>
        <v>3</v>
      </c>
      <c r="K1131" s="1" t="str">
        <f ca="1">IFERROR(__xludf.DUMMYFUNCTION("""COMPUTED_VALUE"""),"Every Day Office Environment")</f>
        <v>Every Day Office Environment</v>
      </c>
      <c r="L1131" s="1" t="str">
        <f ca="1">IFERROR(__xludf.DUMMYFUNCTION("""COMPUTED_VALUE"""),"Employer who pushes your limits by enabling an learning environment, and rewards you at the end")</f>
        <v>Employer who pushes your limits by enabling an learning environment, and rewards you at the end</v>
      </c>
      <c r="M1131"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N1131" s="1"/>
      <c r="O1131" s="1" t="str">
        <f ca="1">IFERROR(__xludf.DUMMYFUNCTION("""COMPUTED_VALUE"""),"Manager who explains what is expected, sets a goal and helps achieve it")</f>
        <v>Manager who explains what is expected, sets a goal and helps achieve it</v>
      </c>
      <c r="P1131" s="1" t="str">
        <f ca="1">IFERROR(__xludf.DUMMYFUNCTION("""COMPUTED_VALUE"""),"Work &lt;=6 People in the Team")</f>
        <v>Work &lt;=6 People in the Team</v>
      </c>
      <c r="Q1131" s="1" t="s">
        <v>43</v>
      </c>
      <c r="R1131" s="1"/>
    </row>
    <row r="1132" spans="1:18" x14ac:dyDescent="0.25">
      <c r="A1132" s="2">
        <f ca="1">IFERROR(__xludf.DUMMYFUNCTION("""COMPUTED_VALUE"""),45044.2525910532)</f>
        <v>45044.252591053199</v>
      </c>
      <c r="B1132" s="1" t="str">
        <f ca="1">IFERROR(__xludf.DUMMYFUNCTION("""COMPUTED_VALUE"""),"India")</f>
        <v>India</v>
      </c>
      <c r="C1132" s="1">
        <f ca="1">IFERROR(__xludf.DUMMYFUNCTION("""COMPUTED_VALUE"""),530051)</f>
        <v>530051</v>
      </c>
      <c r="D1132" s="1" t="str">
        <f ca="1">IFERROR(__xludf.DUMMYFUNCTION("""COMPUTED_VALUE"""),"Male")</f>
        <v>Male</v>
      </c>
      <c r="E1132" s="1" t="str">
        <f ca="1">IFERROR(__xludf.DUMMYFUNCTION("""COMPUTED_VALUE"""),"Influencers who had successful careers")</f>
        <v>Influencers who had successful careers</v>
      </c>
      <c r="F1132" s="1" t="str">
        <f ca="1">IFERROR(__xludf.DUMMYFUNCTION("""COMPUTED_VALUE"""),"No I would not be pursuing Higher Education outside of India")</f>
        <v>No I would not be pursuing Higher Education outside of India</v>
      </c>
      <c r="G1132" s="1" t="str">
        <f ca="1">IFERROR(__xludf.DUMMYFUNCTION("""COMPUTED_VALUE"""),"This will be hard to do, but if it is the right company I would try")</f>
        <v>This will be hard to do, but if it is the right company I would try</v>
      </c>
      <c r="H1132" s="1" t="str">
        <f ca="1">IFERROR(__xludf.DUMMYFUNCTION("""COMPUTED_VALUE"""),"No")</f>
        <v>No</v>
      </c>
      <c r="I1132" s="1" t="str">
        <f ca="1">IFERROR(__xludf.DUMMYFUNCTION("""COMPUTED_VALUE"""),"Will NOT work for them")</f>
        <v>Will NOT work for them</v>
      </c>
      <c r="J1132" s="1">
        <f ca="1">IFERROR(__xludf.DUMMYFUNCTION("""COMPUTED_VALUE"""),5)</f>
        <v>5</v>
      </c>
      <c r="K1132" s="1" t="str">
        <f ca="1">IFERROR(__xludf.DUMMYFUNCTION("""COMPUTED_VALUE"""),"Fully Remote with Options to travel as and when needed")</f>
        <v>Fully Remote with Options to travel as and when needed</v>
      </c>
      <c r="L1132" s="1" t="str">
        <f ca="1">IFERROR(__xludf.DUMMYFUNCTION("""COMPUTED_VALUE"""),"Employer who pushes your limits by enabling an learning environment, and rewards you at the end")</f>
        <v>Employer who pushes your limits by enabling an learning environment, and rewards you at the end</v>
      </c>
      <c r="M113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1132" s="1"/>
      <c r="O1132" s="1" t="str">
        <f ca="1">IFERROR(__xludf.DUMMYFUNCTION("""COMPUTED_VALUE"""),"Manager who explains what is expected, sets a goal and helps achieve it")</f>
        <v>Manager who explains what is expected, sets a goal and helps achieve it</v>
      </c>
      <c r="P1132" s="1" t="str">
        <f ca="1">IFERROR(__xludf.DUMMYFUNCTION("""COMPUTED_VALUE"""),"Work &lt;=6 People in the Team")</f>
        <v>Work &lt;=6 People in the Team</v>
      </c>
      <c r="Q1132" s="1" t="s">
        <v>43</v>
      </c>
      <c r="R1132" s="1"/>
    </row>
    <row r="1133" spans="1:18" x14ac:dyDescent="0.25">
      <c r="A1133" s="2">
        <f ca="1">IFERROR(__xludf.DUMMYFUNCTION("""COMPUTED_VALUE"""),45044.2614409838)</f>
        <v>45044.261440983799</v>
      </c>
      <c r="B1133" s="1" t="str">
        <f ca="1">IFERROR(__xludf.DUMMYFUNCTION("""COMPUTED_VALUE"""),"India")</f>
        <v>India</v>
      </c>
      <c r="C1133" s="1">
        <f ca="1">IFERROR(__xludf.DUMMYFUNCTION("""COMPUTED_VALUE"""),501510)</f>
        <v>501510</v>
      </c>
      <c r="D1133" s="1" t="str">
        <f ca="1">IFERROR(__xludf.DUMMYFUNCTION("""COMPUTED_VALUE"""),"Female")</f>
        <v>Female</v>
      </c>
      <c r="E1133" s="1" t="str">
        <f ca="1">IFERROR(__xludf.DUMMYFUNCTION("""COMPUTED_VALUE"""),"My Parents")</f>
        <v>My Parents</v>
      </c>
      <c r="F1133" s="1" t="str">
        <f ca="1">IFERROR(__xludf.DUMMYFUNCTION("""COMPUTED_VALUE"""),"Yes, I will earn and do that")</f>
        <v>Yes, I will earn and do that</v>
      </c>
      <c r="G1133" s="1" t="str">
        <f ca="1">IFERROR(__xludf.DUMMYFUNCTION("""COMPUTED_VALUE"""),"Will work for 3 years or more")</f>
        <v>Will work for 3 years or more</v>
      </c>
      <c r="H1133" s="1" t="str">
        <f ca="1">IFERROR(__xludf.DUMMYFUNCTION("""COMPUTED_VALUE"""),"No")</f>
        <v>No</v>
      </c>
      <c r="I1133" s="1" t="str">
        <f ca="1">IFERROR(__xludf.DUMMYFUNCTION("""COMPUTED_VALUE"""),"Will NOT work for them")</f>
        <v>Will NOT work for them</v>
      </c>
      <c r="J1133" s="1">
        <f ca="1">IFERROR(__xludf.DUMMYFUNCTION("""COMPUTED_VALUE"""),5)</f>
        <v>5</v>
      </c>
      <c r="K1133" s="1" t="str">
        <f ca="1">IFERROR(__xludf.DUMMYFUNCTION("""COMPUTED_VALUE"""),"Fully Remote with Options to travel as and when needed")</f>
        <v>Fully Remote with Options to travel as and when needed</v>
      </c>
      <c r="L1133" s="1" t="str">
        <f ca="1">IFERROR(__xludf.DUMMYFUNCTION("""COMPUTED_VALUE"""),"Employer who pushes your limits by enabling an learning environment, and rewards you at the end")</f>
        <v>Employer who pushes your limits by enabling an learning environment, and rewards you at the end</v>
      </c>
      <c r="M1133"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N1133" s="1"/>
      <c r="O1133" s="1" t="str">
        <f ca="1">IFERROR(__xludf.DUMMYFUNCTION("""COMPUTED_VALUE"""),"Manager who sets goal and helps me achieve it")</f>
        <v>Manager who sets goal and helps me achieve it</v>
      </c>
      <c r="P1133" s="1" t="str">
        <f ca="1">IFERROR(__xludf.DUMMYFUNCTION("""COMPUTED_VALUE"""),"Work &lt;=6 People in the Team")</f>
        <v>Work &lt;=6 People in the Team</v>
      </c>
      <c r="Q1133" s="1" t="s">
        <v>42</v>
      </c>
      <c r="R1133" s="1"/>
    </row>
    <row r="1134" spans="1:18" x14ac:dyDescent="0.25">
      <c r="A1134" s="2">
        <f ca="1">IFERROR(__xludf.DUMMYFUNCTION("""COMPUTED_VALUE"""),45044.2635573379)</f>
        <v>45044.263557337901</v>
      </c>
      <c r="B1134" s="1" t="str">
        <f ca="1">IFERROR(__xludf.DUMMYFUNCTION("""COMPUTED_VALUE"""),"India")</f>
        <v>India</v>
      </c>
      <c r="C1134" s="1">
        <f ca="1">IFERROR(__xludf.DUMMYFUNCTION("""COMPUTED_VALUE"""),530051)</f>
        <v>530051</v>
      </c>
      <c r="D1134" s="1" t="str">
        <f ca="1">IFERROR(__xludf.DUMMYFUNCTION("""COMPUTED_VALUE"""),"Female")</f>
        <v>Female</v>
      </c>
      <c r="E1134" s="1" t="str">
        <f ca="1">IFERROR(__xludf.DUMMYFUNCTION("""COMPUTED_VALUE"""),"My Parents")</f>
        <v>My Parents</v>
      </c>
      <c r="F1134" s="1" t="str">
        <f ca="1">IFERROR(__xludf.DUMMYFUNCTION("""COMPUTED_VALUE"""),"Yes, I will earn and do that")</f>
        <v>Yes, I will earn and do that</v>
      </c>
      <c r="G1134" s="1" t="str">
        <f ca="1">IFERROR(__xludf.DUMMYFUNCTION("""COMPUTED_VALUE"""),"No way")</f>
        <v>No way</v>
      </c>
      <c r="H1134" s="1" t="str">
        <f ca="1">IFERROR(__xludf.DUMMYFUNCTION("""COMPUTED_VALUE"""),"No")</f>
        <v>No</v>
      </c>
      <c r="I1134" s="1" t="str">
        <f ca="1">IFERROR(__xludf.DUMMYFUNCTION("""COMPUTED_VALUE"""),"Will NOT work for them")</f>
        <v>Will NOT work for them</v>
      </c>
      <c r="J1134" s="1">
        <f ca="1">IFERROR(__xludf.DUMMYFUNCTION("""COMPUTED_VALUE"""),1)</f>
        <v>1</v>
      </c>
      <c r="K1134" s="1" t="str">
        <f ca="1">IFERROR(__xludf.DUMMYFUNCTION("""COMPUTED_VALUE"""),"Fully Remote with Options to travel as and when needed")</f>
        <v>Fully Remote with Options to travel as and when needed</v>
      </c>
      <c r="L1134" s="1" t="str">
        <f ca="1">IFERROR(__xludf.DUMMYFUNCTION("""COMPUTED_VALUE"""),"Employer who pushes your limits by enabling an learning environment, and rewards you at the end")</f>
        <v>Employer who pushes your limits by enabling an learning environment, and rewards you at the end</v>
      </c>
      <c r="M1134"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N1134" s="1"/>
      <c r="O1134" s="1" t="str">
        <f ca="1">IFERROR(__xludf.DUMMYFUNCTION("""COMPUTED_VALUE"""),"Manager who explains what is expected, sets a goal and helps achieve it")</f>
        <v>Manager who explains what is expected, sets a goal and helps achieve it</v>
      </c>
      <c r="P1134" s="1" t="str">
        <f ca="1">IFERROR(__xludf.DUMMYFUNCTION("""COMPUTED_VALUE"""),"Work &lt;=6 People in the Team")</f>
        <v>Work &lt;=6 People in the Team</v>
      </c>
      <c r="Q1134" s="1" t="s">
        <v>43</v>
      </c>
      <c r="R1134" s="1"/>
    </row>
    <row r="1135" spans="1:18" x14ac:dyDescent="0.25">
      <c r="A1135" s="2">
        <f ca="1">IFERROR(__xludf.DUMMYFUNCTION("""COMPUTED_VALUE"""),45044.2656138078)</f>
        <v>45044.265613807802</v>
      </c>
      <c r="B1135" s="1" t="str">
        <f ca="1">IFERROR(__xludf.DUMMYFUNCTION("""COMPUTED_VALUE"""),"India")</f>
        <v>India</v>
      </c>
      <c r="C1135" s="1">
        <f ca="1">IFERROR(__xludf.DUMMYFUNCTION("""COMPUTED_VALUE"""),530029)</f>
        <v>530029</v>
      </c>
      <c r="D1135" s="1" t="str">
        <f ca="1">IFERROR(__xludf.DUMMYFUNCTION("""COMPUTED_VALUE"""),"Male")</f>
        <v>Male</v>
      </c>
      <c r="E1135" s="1" t="str">
        <f ca="1">IFERROR(__xludf.DUMMYFUNCTION("""COMPUTED_VALUE"""),"People from my circle, but not family members")</f>
        <v>People from my circle, but not family members</v>
      </c>
      <c r="F1135" s="1" t="str">
        <f ca="1">IFERROR(__xludf.DUMMYFUNCTION("""COMPUTED_VALUE"""),"No, But if someone could bare the cost I will")</f>
        <v>No, But if someone could bare the cost I will</v>
      </c>
      <c r="G1135" s="1" t="str">
        <f ca="1">IFERROR(__xludf.DUMMYFUNCTION("""COMPUTED_VALUE"""),"This will be hard to do, but if it is the right company I would try")</f>
        <v>This will be hard to do, but if it is the right company I would try</v>
      </c>
      <c r="H1135" s="1" t="str">
        <f ca="1">IFERROR(__xludf.DUMMYFUNCTION("""COMPUTED_VALUE"""),"No")</f>
        <v>No</v>
      </c>
      <c r="I1135" s="1" t="str">
        <f ca="1">IFERROR(__xludf.DUMMYFUNCTION("""COMPUTED_VALUE"""),"Will NOT work for them")</f>
        <v>Will NOT work for them</v>
      </c>
      <c r="J1135" s="1">
        <f ca="1">IFERROR(__xludf.DUMMYFUNCTION("""COMPUTED_VALUE"""),1)</f>
        <v>1</v>
      </c>
      <c r="K1135" s="1" t="str">
        <f ca="1">IFERROR(__xludf.DUMMYFUNCTION("""COMPUTED_VALUE"""),"Fully Remote with Options to travel as and when needed")</f>
        <v>Fully Remote with Options to travel as and when needed</v>
      </c>
      <c r="L1135" s="1" t="str">
        <f ca="1">IFERROR(__xludf.DUMMYFUNCTION("""COMPUTED_VALUE"""),"Employer who appreciates learning and enables that environment")</f>
        <v>Employer who appreciates learning and enables that environment</v>
      </c>
      <c r="M113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N1135" s="1"/>
      <c r="O1135" s="1" t="str">
        <f ca="1">IFERROR(__xludf.DUMMYFUNCTION("""COMPUTED_VALUE"""),"Manager who explains what is expected, sets a goal and helps achieve it")</f>
        <v>Manager who explains what is expected, sets a goal and helps achieve it</v>
      </c>
      <c r="P1135" s="1" t="str">
        <f ca="1">IFERROR(__xludf.DUMMYFUNCTION("""COMPUTED_VALUE"""),"Work &lt;=6 People in the Team")</f>
        <v>Work &lt;=6 People in the Team</v>
      </c>
      <c r="Q1135" s="1" t="s">
        <v>43</v>
      </c>
      <c r="R1135" s="1"/>
    </row>
    <row r="1136" spans="1:18" x14ac:dyDescent="0.25">
      <c r="A1136" s="2">
        <f ca="1">IFERROR(__xludf.DUMMYFUNCTION("""COMPUTED_VALUE"""),45044.2665764583)</f>
        <v>45044.2665764583</v>
      </c>
      <c r="B1136" s="1" t="str">
        <f ca="1">IFERROR(__xludf.DUMMYFUNCTION("""COMPUTED_VALUE"""),"India")</f>
        <v>India</v>
      </c>
      <c r="C1136" s="1">
        <f ca="1">IFERROR(__xludf.DUMMYFUNCTION("""COMPUTED_VALUE"""),530007)</f>
        <v>530007</v>
      </c>
      <c r="D1136" s="1" t="str">
        <f ca="1">IFERROR(__xludf.DUMMYFUNCTION("""COMPUTED_VALUE"""),"Female")</f>
        <v>Female</v>
      </c>
      <c r="E1136" s="1" t="str">
        <f ca="1">IFERROR(__xludf.DUMMYFUNCTION("""COMPUTED_VALUE"""),"People from my circle, but not family members")</f>
        <v>People from my circle, but not family members</v>
      </c>
      <c r="F1136" s="1" t="str">
        <f ca="1">IFERROR(__xludf.DUMMYFUNCTION("""COMPUTED_VALUE"""),"No I would not be pursuing Higher Education outside of India")</f>
        <v>No I would not be pursuing Higher Education outside of India</v>
      </c>
      <c r="G1136" s="1" t="str">
        <f ca="1">IFERROR(__xludf.DUMMYFUNCTION("""COMPUTED_VALUE"""),"This will be hard to do, but if it is the right company I would try")</f>
        <v>This will be hard to do, but if it is the right company I would try</v>
      </c>
      <c r="H1136" s="1" t="str">
        <f ca="1">IFERROR(__xludf.DUMMYFUNCTION("""COMPUTED_VALUE"""),"No")</f>
        <v>No</v>
      </c>
      <c r="I1136" s="1" t="str">
        <f ca="1">IFERROR(__xludf.DUMMYFUNCTION("""COMPUTED_VALUE"""),"Will NOT work for them")</f>
        <v>Will NOT work for them</v>
      </c>
      <c r="J1136" s="1">
        <f ca="1">IFERROR(__xludf.DUMMYFUNCTION("""COMPUTED_VALUE"""),4)</f>
        <v>4</v>
      </c>
      <c r="K1136" s="1" t="str">
        <f ca="1">IFERROR(__xludf.DUMMYFUNCTION("""COMPUTED_VALUE"""),"Fully Remote with Options to travel as and when needed")</f>
        <v>Fully Remote with Options to travel as and when needed</v>
      </c>
      <c r="L1136" s="1" t="str">
        <f ca="1">IFERROR(__xludf.DUMMYFUNCTION("""COMPUTED_VALUE"""),"Employer who pushes your limits by enabling an learning environment, and rewards you at the end")</f>
        <v>Employer who pushes your limits by enabling an learning environment, and rewards you at the end</v>
      </c>
      <c r="M1136" s="1" t="str">
        <f ca="1">IFERROR(__xludf.DUMMYFUNCTION("""COMPUTED_VALUE"""),"Teaching in any of the institutes/colleges/online or offline, Business Operations in any organization, Look deeply into Data and generate insights, An Artificial Intelligence Specialist / Talking to Robots")</f>
        <v>Teaching in any of the institutes/colleges/online or offline, Business Operations in any organization, Look deeply into Data and generate insights, An Artificial Intelligence Specialist / Talking to Robots</v>
      </c>
      <c r="N1136" s="1"/>
      <c r="O1136" s="1" t="str">
        <f ca="1">IFERROR(__xludf.DUMMYFUNCTION("""COMPUTED_VALUE"""),"Manager who explains what is expected, sets a goal and helps achieve it")</f>
        <v>Manager who explains what is expected, sets a goal and helps achieve it</v>
      </c>
      <c r="P1136" s="1" t="str">
        <f ca="1">IFERROR(__xludf.DUMMYFUNCTION("""COMPUTED_VALUE"""),"Work alone")</f>
        <v>Work alone</v>
      </c>
      <c r="Q1136" s="1" t="s">
        <v>43</v>
      </c>
      <c r="R1136" s="1"/>
    </row>
    <row r="1137" spans="1:18" x14ac:dyDescent="0.25">
      <c r="A1137" s="2">
        <f ca="1">IFERROR(__xludf.DUMMYFUNCTION("""COMPUTED_VALUE"""),45044.2699898611)</f>
        <v>45044.269989861103</v>
      </c>
      <c r="B1137" s="1" t="str">
        <f ca="1">IFERROR(__xludf.DUMMYFUNCTION("""COMPUTED_VALUE"""),"India")</f>
        <v>India</v>
      </c>
      <c r="C1137" s="1" t="str">
        <f ca="1">IFERROR(__xludf.DUMMYFUNCTION("""COMPUTED_VALUE"""),"Lahari")</f>
        <v>Lahari</v>
      </c>
      <c r="D1137" s="1" t="str">
        <f ca="1">IFERROR(__xludf.DUMMYFUNCTION("""COMPUTED_VALUE"""),"Female")</f>
        <v>Female</v>
      </c>
      <c r="E1137" s="1" t="str">
        <f ca="1">IFERROR(__xludf.DUMMYFUNCTION("""COMPUTED_VALUE"""),"My Parents")</f>
        <v>My Parents</v>
      </c>
      <c r="F1137" s="1" t="str">
        <f ca="1">IFERROR(__xludf.DUMMYFUNCTION("""COMPUTED_VALUE"""),"No, But if someone could bare the cost I will")</f>
        <v>No, But if someone could bare the cost I will</v>
      </c>
      <c r="G1137" s="1" t="str">
        <f ca="1">IFERROR(__xludf.DUMMYFUNCTION("""COMPUTED_VALUE"""),"Will work for 3 years or more")</f>
        <v>Will work for 3 years or more</v>
      </c>
      <c r="H1137" s="1" t="str">
        <f ca="1">IFERROR(__xludf.DUMMYFUNCTION("""COMPUTED_VALUE"""),"No")</f>
        <v>No</v>
      </c>
      <c r="I1137" s="1" t="str">
        <f ca="1">IFERROR(__xludf.DUMMYFUNCTION("""COMPUTED_VALUE"""),"Will NOT work for them")</f>
        <v>Will NOT work for them</v>
      </c>
      <c r="J1137" s="1">
        <f ca="1">IFERROR(__xludf.DUMMYFUNCTION("""COMPUTED_VALUE"""),4)</f>
        <v>4</v>
      </c>
      <c r="K1137" s="1" t="str">
        <f ca="1">IFERROR(__xludf.DUMMYFUNCTION("""COMPUTED_VALUE"""),"Hybrid Working Environment with more than 15 days a month at office")</f>
        <v>Hybrid Working Environment with more than 15 days a month at office</v>
      </c>
      <c r="L1137" s="1" t="str">
        <f ca="1">IFERROR(__xludf.DUMMYFUNCTION("""COMPUTED_VALUE"""),"Employer who appreciates learning and enables that environment")</f>
        <v>Employer who appreciates learning and enables that environment</v>
      </c>
      <c r="M113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137" s="1"/>
      <c r="O1137" s="1" t="str">
        <f ca="1">IFERROR(__xludf.DUMMYFUNCTION("""COMPUTED_VALUE"""),"Manager who sets targets and expects me to achieve it")</f>
        <v>Manager who sets targets and expects me to achieve it</v>
      </c>
      <c r="P1137" s="1" t="str">
        <f ca="1">IFERROR(__xludf.DUMMYFUNCTION("""COMPUTED_VALUE"""),"Work &lt;=6 People in the Team")</f>
        <v>Work &lt;=6 People in the Team</v>
      </c>
      <c r="Q1137" s="1" t="s">
        <v>43</v>
      </c>
      <c r="R1137" s="1"/>
    </row>
    <row r="1138" spans="1:18" x14ac:dyDescent="0.25">
      <c r="A1138" s="2">
        <f ca="1">IFERROR(__xludf.DUMMYFUNCTION("""COMPUTED_VALUE"""),45044.2758887963)</f>
        <v>45044.275888796299</v>
      </c>
      <c r="B1138" s="1" t="str">
        <f ca="1">IFERROR(__xludf.DUMMYFUNCTION("""COMPUTED_VALUE"""),"India")</f>
        <v>India</v>
      </c>
      <c r="C1138" s="1">
        <f ca="1">IFERROR(__xludf.DUMMYFUNCTION("""COMPUTED_VALUE"""),221304)</f>
        <v>221304</v>
      </c>
      <c r="D1138" s="1" t="str">
        <f ca="1">IFERROR(__xludf.DUMMYFUNCTION("""COMPUTED_VALUE"""),"Male")</f>
        <v>Male</v>
      </c>
      <c r="E1138" s="1" t="str">
        <f ca="1">IFERROR(__xludf.DUMMYFUNCTION("""COMPUTED_VALUE"""),"People who have changed the world for better")</f>
        <v>People who have changed the world for better</v>
      </c>
      <c r="F1138" s="1" t="str">
        <f ca="1">IFERROR(__xludf.DUMMYFUNCTION("""COMPUTED_VALUE"""),"No I would not be pursuing Higher Education outside of India")</f>
        <v>No I would not be pursuing Higher Education outside of India</v>
      </c>
      <c r="G1138" s="1" t="str">
        <f ca="1">IFERROR(__xludf.DUMMYFUNCTION("""COMPUTED_VALUE"""),"This will be hard to do, but if it is the right company I would try")</f>
        <v>This will be hard to do, but if it is the right company I would try</v>
      </c>
      <c r="H1138" s="1" t="str">
        <f ca="1">IFERROR(__xludf.DUMMYFUNCTION("""COMPUTED_VALUE"""),"No")</f>
        <v>No</v>
      </c>
      <c r="I1138" s="1" t="str">
        <f ca="1">IFERROR(__xludf.DUMMYFUNCTION("""COMPUTED_VALUE"""),"Will NOT work for them")</f>
        <v>Will NOT work for them</v>
      </c>
      <c r="J1138" s="1">
        <f ca="1">IFERROR(__xludf.DUMMYFUNCTION("""COMPUTED_VALUE"""),8)</f>
        <v>8</v>
      </c>
      <c r="K1138" s="1" t="str">
        <f ca="1">IFERROR(__xludf.DUMMYFUNCTION("""COMPUTED_VALUE"""),"Hybrid Working Environment with more than 15 days a month at office")</f>
        <v>Hybrid Working Environment with more than 15 days a month at office</v>
      </c>
      <c r="L1138" s="1" t="str">
        <f ca="1">IFERROR(__xludf.DUMMYFUNCTION("""COMPUTED_VALUE"""),"Employer who pushes your limits by enabling an learning environment, and rewards you at the end")</f>
        <v>Employer who pushes your limits by enabling an learning environment, and rewards you at the end</v>
      </c>
      <c r="M113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138" s="1"/>
      <c r="O1138" s="1" t="str">
        <f ca="1">IFERROR(__xludf.DUMMYFUNCTION("""COMPUTED_VALUE"""),"Manager who clearly describes what she/he needs")</f>
        <v>Manager who clearly describes what she/he needs</v>
      </c>
      <c r="P1138" s="1" t="str">
        <f ca="1">IFERROR(__xludf.DUMMYFUNCTION("""COMPUTED_VALUE"""),"Work Alone, &lt;67 people in team")</f>
        <v>Work Alone, &lt;67 people in team</v>
      </c>
      <c r="Q1138" s="1" t="s">
        <v>43</v>
      </c>
      <c r="R1138" s="1"/>
    </row>
    <row r="1139" spans="1:18" x14ac:dyDescent="0.25">
      <c r="A1139" s="2">
        <f ca="1">IFERROR(__xludf.DUMMYFUNCTION("""COMPUTED_VALUE"""),45044.2826354513)</f>
        <v>45044.282635451302</v>
      </c>
      <c r="B1139" s="1" t="str">
        <f ca="1">IFERROR(__xludf.DUMMYFUNCTION("""COMPUTED_VALUE"""),"India")</f>
        <v>India</v>
      </c>
      <c r="C1139" s="1">
        <f ca="1">IFERROR(__xludf.DUMMYFUNCTION("""COMPUTED_VALUE"""),110025)</f>
        <v>110025</v>
      </c>
      <c r="D1139" s="1" t="str">
        <f ca="1">IFERROR(__xludf.DUMMYFUNCTION("""COMPUTED_VALUE"""),"Male")</f>
        <v>Male</v>
      </c>
      <c r="E1139" s="1" t="str">
        <f ca="1">IFERROR(__xludf.DUMMYFUNCTION("""COMPUTED_VALUE"""),"Social Media like LinkedIn")</f>
        <v>Social Media like LinkedIn</v>
      </c>
      <c r="F1139" s="1" t="str">
        <f ca="1">IFERROR(__xludf.DUMMYFUNCTION("""COMPUTED_VALUE"""),"No I would not be pursuing Higher Education outside of India")</f>
        <v>No I would not be pursuing Higher Education outside of India</v>
      </c>
      <c r="G1139" s="1" t="str">
        <f ca="1">IFERROR(__xludf.DUMMYFUNCTION("""COMPUTED_VALUE"""),"This will be hard to do, but if it is the right company I would try")</f>
        <v>This will be hard to do, but if it is the right company I would try</v>
      </c>
      <c r="H1139" s="1" t="str">
        <f ca="1">IFERROR(__xludf.DUMMYFUNCTION("""COMPUTED_VALUE"""),"Yes")</f>
        <v>Yes</v>
      </c>
      <c r="I1139" s="1" t="str">
        <f ca="1">IFERROR(__xludf.DUMMYFUNCTION("""COMPUTED_VALUE"""),"Will NOT work for them")</f>
        <v>Will NOT work for them</v>
      </c>
      <c r="J1139" s="1">
        <f ca="1">IFERROR(__xludf.DUMMYFUNCTION("""COMPUTED_VALUE"""),4)</f>
        <v>4</v>
      </c>
      <c r="K1139" s="1" t="str">
        <f ca="1">IFERROR(__xludf.DUMMYFUNCTION("""COMPUTED_VALUE"""),"Fully Remote with Options to travel as and when needed")</f>
        <v>Fully Remote with Options to travel as and when needed</v>
      </c>
      <c r="L1139" s="1" t="str">
        <f ca="1">IFERROR(__xludf.DUMMYFUNCTION("""COMPUTED_VALUE"""),"Employer who pushes your limits by enabling an learning environment, and rewards you at the end")</f>
        <v>Employer who pushes your limits by enabling an learning environment, and rewards you at the end</v>
      </c>
      <c r="M11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139" s="1"/>
      <c r="O1139" s="1" t="str">
        <f ca="1">IFERROR(__xludf.DUMMYFUNCTION("""COMPUTED_VALUE"""),"Manager who explains what is expected, sets a goal and helps achieve it")</f>
        <v>Manager who explains what is expected, sets a goal and helps achieve it</v>
      </c>
      <c r="P1139" s="1" t="str">
        <f ca="1">IFERROR(__xludf.DUMMYFUNCTION("""COMPUTED_VALUE"""),"Work &lt;=6 People in the Team")</f>
        <v>Work &lt;=6 People in the Team</v>
      </c>
      <c r="Q1139" s="1" t="s">
        <v>40</v>
      </c>
      <c r="R1139" s="1"/>
    </row>
    <row r="1140" spans="1:18" x14ac:dyDescent="0.25">
      <c r="A1140" s="2">
        <f ca="1">IFERROR(__xludf.DUMMYFUNCTION("""COMPUTED_VALUE"""),45044.2877974652)</f>
        <v>45044.2877974652</v>
      </c>
      <c r="B1140" s="1" t="str">
        <f ca="1">IFERROR(__xludf.DUMMYFUNCTION("""COMPUTED_VALUE"""),"India")</f>
        <v>India</v>
      </c>
      <c r="C1140" s="1">
        <f ca="1">IFERROR(__xludf.DUMMYFUNCTION("""COMPUTED_VALUE"""),530029)</f>
        <v>530029</v>
      </c>
      <c r="D1140" s="1" t="str">
        <f ca="1">IFERROR(__xludf.DUMMYFUNCTION("""COMPUTED_VALUE"""),"Female")</f>
        <v>Female</v>
      </c>
      <c r="E1140" s="1" t="str">
        <f ca="1">IFERROR(__xludf.DUMMYFUNCTION("""COMPUTED_VALUE"""),"People who have changed the world for better")</f>
        <v>People who have changed the world for better</v>
      </c>
      <c r="F1140" s="1" t="str">
        <f ca="1">IFERROR(__xludf.DUMMYFUNCTION("""COMPUTED_VALUE"""),"Yes, I will earn and do that")</f>
        <v>Yes, I will earn and do that</v>
      </c>
      <c r="G1140" s="1" t="str">
        <f ca="1">IFERROR(__xludf.DUMMYFUNCTION("""COMPUTED_VALUE"""),"Will work for 3 years or more")</f>
        <v>Will work for 3 years or more</v>
      </c>
      <c r="H1140" s="1" t="str">
        <f ca="1">IFERROR(__xludf.DUMMYFUNCTION("""COMPUTED_VALUE"""),"No")</f>
        <v>No</v>
      </c>
      <c r="I1140" s="1" t="str">
        <f ca="1">IFERROR(__xludf.DUMMYFUNCTION("""COMPUTED_VALUE"""),"Will NOT work for them")</f>
        <v>Will NOT work for them</v>
      </c>
      <c r="J1140" s="1">
        <f ca="1">IFERROR(__xludf.DUMMYFUNCTION("""COMPUTED_VALUE"""),5)</f>
        <v>5</v>
      </c>
      <c r="K1140" s="1" t="str">
        <f ca="1">IFERROR(__xludf.DUMMYFUNCTION("""COMPUTED_VALUE"""),"Every Day Office Environment")</f>
        <v>Every Day Office Environment</v>
      </c>
      <c r="L1140" s="1" t="str">
        <f ca="1">IFERROR(__xludf.DUMMYFUNCTION("""COMPUTED_VALUE"""),"Employer who pushes your limits by enabling an learning environment, and rewards you at the end")</f>
        <v>Employer who pushes your limits by enabling an learning environment, and rewards you at the end</v>
      </c>
      <c r="M1140"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1140" s="1"/>
      <c r="O1140" s="1" t="str">
        <f ca="1">IFERROR(__xludf.DUMMYFUNCTION("""COMPUTED_VALUE"""),"Manager who explains what is expected, sets a goal and helps achieve it")</f>
        <v>Manager who explains what is expected, sets a goal and helps achieve it</v>
      </c>
      <c r="P1140" s="1" t="str">
        <f ca="1">IFERROR(__xludf.DUMMYFUNCTION("""COMPUTED_VALUE"""),"Work &gt;10 people in Team")</f>
        <v>Work &gt;10 people in Team</v>
      </c>
      <c r="Q1140" s="1" t="s">
        <v>43</v>
      </c>
      <c r="R1140" s="1"/>
    </row>
    <row r="1141" spans="1:18" x14ac:dyDescent="0.25">
      <c r="A1141" s="2">
        <f ca="1">IFERROR(__xludf.DUMMYFUNCTION("""COMPUTED_VALUE"""),45044.2903220833)</f>
        <v>45044.290322083303</v>
      </c>
      <c r="B1141" s="1" t="str">
        <f ca="1">IFERROR(__xludf.DUMMYFUNCTION("""COMPUTED_VALUE"""),"India")</f>
        <v>India</v>
      </c>
      <c r="C1141" s="1">
        <f ca="1">IFERROR(__xludf.DUMMYFUNCTION("""COMPUTED_VALUE"""),243001)</f>
        <v>243001</v>
      </c>
      <c r="D1141" s="1" t="str">
        <f ca="1">IFERROR(__xludf.DUMMYFUNCTION("""COMPUTED_VALUE"""),"Female")</f>
        <v>Female</v>
      </c>
      <c r="E1141" s="1" t="str">
        <f ca="1">IFERROR(__xludf.DUMMYFUNCTION("""COMPUTED_VALUE"""),"My Parents")</f>
        <v>My Parents</v>
      </c>
      <c r="F1141" s="1" t="str">
        <f ca="1">IFERROR(__xludf.DUMMYFUNCTION("""COMPUTED_VALUE"""),"Yes, I will earn and do that")</f>
        <v>Yes, I will earn and do that</v>
      </c>
      <c r="G1141" s="1" t="str">
        <f ca="1">IFERROR(__xludf.DUMMYFUNCTION("""COMPUTED_VALUE"""),"This will be hard to do, but if it is the right company I would try")</f>
        <v>This will be hard to do, but if it is the right company I would try</v>
      </c>
      <c r="H1141" s="1" t="str">
        <f ca="1">IFERROR(__xludf.DUMMYFUNCTION("""COMPUTED_VALUE"""),"No")</f>
        <v>No</v>
      </c>
      <c r="I1141" s="1" t="str">
        <f ca="1">IFERROR(__xludf.DUMMYFUNCTION("""COMPUTED_VALUE"""),"Will NOT work for them")</f>
        <v>Will NOT work for them</v>
      </c>
      <c r="J1141" s="1">
        <f ca="1">IFERROR(__xludf.DUMMYFUNCTION("""COMPUTED_VALUE"""),10)</f>
        <v>10</v>
      </c>
      <c r="K1141" s="1" t="str">
        <f ca="1">IFERROR(__xludf.DUMMYFUNCTION("""COMPUTED_VALUE"""),"Fully Remote with Options to travel as and when needed")</f>
        <v>Fully Remote with Options to travel as and when needed</v>
      </c>
      <c r="L1141" s="1" t="str">
        <f ca="1">IFERROR(__xludf.DUMMYFUNCTION("""COMPUTED_VALUE"""),"Employer who pushes your limits by enabling an learning environment, and rewards you at the end")</f>
        <v>Employer who pushes your limits by enabling an learning environment, and rewards you at the end</v>
      </c>
      <c r="M114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N1141" s="1"/>
      <c r="O1141" s="1" t="str">
        <f ca="1">IFERROR(__xludf.DUMMYFUNCTION("""COMPUTED_VALUE"""),"Manager who sets goal and helps me achieve it")</f>
        <v>Manager who sets goal and helps me achieve it</v>
      </c>
      <c r="P1141" s="1" t="str">
        <f ca="1">IFERROR(__xludf.DUMMYFUNCTION("""COMPUTED_VALUE"""),"Work &lt;=6 People in the Team")</f>
        <v>Work &lt;=6 People in the Team</v>
      </c>
      <c r="Q1141" s="1" t="s">
        <v>43</v>
      </c>
      <c r="R1141" s="1"/>
    </row>
    <row r="1142" spans="1:18" x14ac:dyDescent="0.25">
      <c r="A1142" s="2">
        <f ca="1">IFERROR(__xludf.DUMMYFUNCTION("""COMPUTED_VALUE"""),45044.2989393981)</f>
        <v>45044.298939398097</v>
      </c>
      <c r="B1142" s="1" t="str">
        <f ca="1">IFERROR(__xludf.DUMMYFUNCTION("""COMPUTED_VALUE"""),"India")</f>
        <v>India</v>
      </c>
      <c r="C1142" s="1">
        <f ca="1">IFERROR(__xludf.DUMMYFUNCTION("""COMPUTED_VALUE"""),530051)</f>
        <v>530051</v>
      </c>
      <c r="D1142" s="1" t="str">
        <f ca="1">IFERROR(__xludf.DUMMYFUNCTION("""COMPUTED_VALUE"""),"Female")</f>
        <v>Female</v>
      </c>
      <c r="E1142" s="1" t="str">
        <f ca="1">IFERROR(__xludf.DUMMYFUNCTION("""COMPUTED_VALUE"""),"Influencers who had successful careers")</f>
        <v>Influencers who had successful careers</v>
      </c>
      <c r="F1142" s="1" t="str">
        <f ca="1">IFERROR(__xludf.DUMMYFUNCTION("""COMPUTED_VALUE"""),"No I would not be pursuing Higher Education outside of India")</f>
        <v>No I would not be pursuing Higher Education outside of India</v>
      </c>
      <c r="G1142" s="1" t="str">
        <f ca="1">IFERROR(__xludf.DUMMYFUNCTION("""COMPUTED_VALUE"""),"This will be hard to do, but if it is the right company I would try")</f>
        <v>This will be hard to do, but if it is the right company I would try</v>
      </c>
      <c r="H1142" s="1" t="str">
        <f ca="1">IFERROR(__xludf.DUMMYFUNCTION("""COMPUTED_VALUE"""),"No")</f>
        <v>No</v>
      </c>
      <c r="I1142" s="1" t="str">
        <f ca="1">IFERROR(__xludf.DUMMYFUNCTION("""COMPUTED_VALUE"""),"Will NOT work for them")</f>
        <v>Will NOT work for them</v>
      </c>
      <c r="J1142" s="1">
        <f ca="1">IFERROR(__xludf.DUMMYFUNCTION("""COMPUTED_VALUE"""),5)</f>
        <v>5</v>
      </c>
      <c r="K1142" s="1" t="str">
        <f ca="1">IFERROR(__xludf.DUMMYFUNCTION("""COMPUTED_VALUE"""),"Hybrid Working Environment with more than 15 days a month at office")</f>
        <v>Hybrid Working Environment with more than 15 days a month at office</v>
      </c>
      <c r="L1142" s="1" t="str">
        <f ca="1">IFERROR(__xludf.DUMMYFUNCTION("""COMPUTED_VALUE"""),"Employer who pushes your limits by enabling an learning environment, and rewards you at the end")</f>
        <v>Employer who pushes your limits by enabling an learning environment, and rewards you at the end</v>
      </c>
      <c r="M1142" s="1" t="str">
        <f ca="1">IFERROR(__xludf.DUMMYFUNCTION("""COMPUTED_VALUE"""),"Design and Creative strategy in any company, Manage and drive End-to-End Projects or Products, I Want to sell things/Sales, Manufacturing / Oil and Gas/ Construction / Hard Physical Work related")</f>
        <v>Design and Creative strategy in any company, Manage and drive End-to-End Projects or Products, I Want to sell things/Sales, Manufacturing / Oil and Gas/ Construction / Hard Physical Work related</v>
      </c>
      <c r="N1142" s="1"/>
      <c r="O1142" s="1" t="str">
        <f ca="1">IFERROR(__xludf.DUMMYFUNCTION("""COMPUTED_VALUE"""),"Manager who clearly describes what she/he needs")</f>
        <v>Manager who clearly describes what she/he needs</v>
      </c>
      <c r="P1142" s="1" t="str">
        <f ca="1">IFERROR(__xludf.DUMMYFUNCTION("""COMPUTED_VALUE"""),"Work &lt;=6 People in the Team")</f>
        <v>Work &lt;=6 People in the Team</v>
      </c>
      <c r="Q1142" s="1" t="s">
        <v>43</v>
      </c>
      <c r="R1142" s="1"/>
    </row>
    <row r="1143" spans="1:18" x14ac:dyDescent="0.25">
      <c r="A1143" s="2">
        <f ca="1">IFERROR(__xludf.DUMMYFUNCTION("""COMPUTED_VALUE"""),45044.3183920254)</f>
        <v>45044.318392025401</v>
      </c>
      <c r="B1143" s="1" t="str">
        <f ca="1">IFERROR(__xludf.DUMMYFUNCTION("""COMPUTED_VALUE"""),"India")</f>
        <v>India</v>
      </c>
      <c r="C1143" s="1">
        <f ca="1">IFERROR(__xludf.DUMMYFUNCTION("""COMPUTED_VALUE"""),500098)</f>
        <v>500098</v>
      </c>
      <c r="D1143" s="1" t="str">
        <f ca="1">IFERROR(__xludf.DUMMYFUNCTION("""COMPUTED_VALUE"""),"Male")</f>
        <v>Male</v>
      </c>
      <c r="E1143" s="1" t="str">
        <f ca="1">IFERROR(__xludf.DUMMYFUNCTION("""COMPUTED_VALUE"""),"People who have changed the world for better")</f>
        <v>People who have changed the world for better</v>
      </c>
      <c r="F1143" s="1" t="str">
        <f ca="1">IFERROR(__xludf.DUMMYFUNCTION("""COMPUTED_VALUE"""),"Yes, I will earn and do that")</f>
        <v>Yes, I will earn and do that</v>
      </c>
      <c r="G1143" s="1" t="str">
        <f ca="1">IFERROR(__xludf.DUMMYFUNCTION("""COMPUTED_VALUE"""),"This will be hard to do, but if it is the right company I would try")</f>
        <v>This will be hard to do, but if it is the right company I would try</v>
      </c>
      <c r="H1143" s="1" t="str">
        <f ca="1">IFERROR(__xludf.DUMMYFUNCTION("""COMPUTED_VALUE"""),"No")</f>
        <v>No</v>
      </c>
      <c r="I1143" s="1" t="str">
        <f ca="1">IFERROR(__xludf.DUMMYFUNCTION("""COMPUTED_VALUE"""),"Will NOT work for them")</f>
        <v>Will NOT work for them</v>
      </c>
      <c r="J1143" s="1">
        <f ca="1">IFERROR(__xludf.DUMMYFUNCTION("""COMPUTED_VALUE"""),9)</f>
        <v>9</v>
      </c>
      <c r="K1143" s="1" t="str">
        <f ca="1">IFERROR(__xludf.DUMMYFUNCTION("""COMPUTED_VALUE"""),"Fully Remote with Options to travel as and when needed")</f>
        <v>Fully Remote with Options to travel as and when needed</v>
      </c>
      <c r="L1143" s="1" t="str">
        <f ca="1">IFERROR(__xludf.DUMMYFUNCTION("""COMPUTED_VALUE"""),"Employer who pushes your limits by enabling an learning environment, and rewards you at the end")</f>
        <v>Employer who pushes your limits by enabling an learning environment, and rewards you at the end</v>
      </c>
      <c r="M1143"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N1143" s="1"/>
      <c r="O1143" s="1" t="str">
        <f ca="1">IFERROR(__xludf.DUMMYFUNCTION("""COMPUTED_VALUE"""),"Manager who clearly describes what she/he needs")</f>
        <v>Manager who clearly describes what she/he needs</v>
      </c>
      <c r="P1143" s="1" t="str">
        <f ca="1">IFERROR(__xludf.DUMMYFUNCTION("""COMPUTED_VALUE"""),"Work alone")</f>
        <v>Work alone</v>
      </c>
      <c r="Q1143" s="1" t="s">
        <v>40</v>
      </c>
      <c r="R1143" s="1"/>
    </row>
    <row r="1144" spans="1:18" x14ac:dyDescent="0.25">
      <c r="A1144" s="2">
        <f ca="1">IFERROR(__xludf.DUMMYFUNCTION("""COMPUTED_VALUE"""),45044.3199665277)</f>
        <v>45044.319966527699</v>
      </c>
      <c r="B1144" s="1" t="str">
        <f ca="1">IFERROR(__xludf.DUMMYFUNCTION("""COMPUTED_VALUE"""),"India")</f>
        <v>India</v>
      </c>
      <c r="C1144" s="1">
        <f ca="1">IFERROR(__xludf.DUMMYFUNCTION("""COMPUTED_VALUE"""),534197)</f>
        <v>534197</v>
      </c>
      <c r="D1144" s="1" t="str">
        <f ca="1">IFERROR(__xludf.DUMMYFUNCTION("""COMPUTED_VALUE"""),"Male")</f>
        <v>Male</v>
      </c>
      <c r="E1144" s="1" t="str">
        <f ca="1">IFERROR(__xludf.DUMMYFUNCTION("""COMPUTED_VALUE"""),"Influencers who had successful careers")</f>
        <v>Influencers who had successful careers</v>
      </c>
      <c r="F1144" s="1" t="str">
        <f ca="1">IFERROR(__xludf.DUMMYFUNCTION("""COMPUTED_VALUE"""),"No I would not be pursuing Higher Education outside of India")</f>
        <v>No I would not be pursuing Higher Education outside of India</v>
      </c>
      <c r="G1144" s="1" t="str">
        <f ca="1">IFERROR(__xludf.DUMMYFUNCTION("""COMPUTED_VALUE"""),"Will work for 3 years or more")</f>
        <v>Will work for 3 years or more</v>
      </c>
      <c r="H1144" s="1" t="str">
        <f ca="1">IFERROR(__xludf.DUMMYFUNCTION("""COMPUTED_VALUE"""),"No")</f>
        <v>No</v>
      </c>
      <c r="I1144" s="1" t="str">
        <f ca="1">IFERROR(__xludf.DUMMYFUNCTION("""COMPUTED_VALUE"""),"Will NOT work for them")</f>
        <v>Will NOT work for them</v>
      </c>
      <c r="J1144" s="1">
        <f ca="1">IFERROR(__xludf.DUMMYFUNCTION("""COMPUTED_VALUE"""),2)</f>
        <v>2</v>
      </c>
      <c r="K1144" s="1" t="str">
        <f ca="1">IFERROR(__xludf.DUMMYFUNCTION("""COMPUTED_VALUE"""),"Every Day Office Environment")</f>
        <v>Every Day Office Environment</v>
      </c>
      <c r="L1144" s="1" t="str">
        <f ca="1">IFERROR(__xludf.DUMMYFUNCTION("""COMPUTED_VALUE"""),"Employer who appreciates learning and enables that environment")</f>
        <v>Employer who appreciates learning and enables that environment</v>
      </c>
      <c r="M11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144" s="1"/>
      <c r="O1144" s="1" t="str">
        <f ca="1">IFERROR(__xludf.DUMMYFUNCTION("""COMPUTED_VALUE"""),"Manager who explains what is expected, sets a goal and helps achieve it")</f>
        <v>Manager who explains what is expected, sets a goal and helps achieve it</v>
      </c>
      <c r="P1144" s="1" t="str">
        <f ca="1">IFERROR(__xludf.DUMMYFUNCTION("""COMPUTED_VALUE"""),"Work &lt;=6 People in the Team")</f>
        <v>Work &lt;=6 People in the Team</v>
      </c>
      <c r="Q1144" s="1" t="s">
        <v>43</v>
      </c>
      <c r="R1144" s="1"/>
    </row>
    <row r="1145" spans="1:18" x14ac:dyDescent="0.25">
      <c r="A1145" s="2">
        <f ca="1">IFERROR(__xludf.DUMMYFUNCTION("""COMPUTED_VALUE"""),45044.3277191319)</f>
        <v>45044.327719131899</v>
      </c>
      <c r="B1145" s="1" t="str">
        <f ca="1">IFERROR(__xludf.DUMMYFUNCTION("""COMPUTED_VALUE"""),"India")</f>
        <v>India</v>
      </c>
      <c r="C1145" s="1">
        <f ca="1">IFERROR(__xludf.DUMMYFUNCTION("""COMPUTED_VALUE"""),535003)</f>
        <v>535003</v>
      </c>
      <c r="D1145" s="1" t="str">
        <f ca="1">IFERROR(__xludf.DUMMYFUNCTION("""COMPUTED_VALUE"""),"Female")</f>
        <v>Female</v>
      </c>
      <c r="E1145" s="1" t="str">
        <f ca="1">IFERROR(__xludf.DUMMYFUNCTION("""COMPUTED_VALUE"""),"Influencers who had successful careers")</f>
        <v>Influencers who had successful careers</v>
      </c>
      <c r="F1145" s="1" t="str">
        <f ca="1">IFERROR(__xludf.DUMMYFUNCTION("""COMPUTED_VALUE"""),"No, But if someone could bare the cost I will")</f>
        <v>No, But if someone could bare the cost I will</v>
      </c>
      <c r="G1145" s="1" t="str">
        <f ca="1">IFERROR(__xludf.DUMMYFUNCTION("""COMPUTED_VALUE"""),"This will be hard to do, but if it is the right company I would try")</f>
        <v>This will be hard to do, but if it is the right company I would try</v>
      </c>
      <c r="H1145" s="1" t="str">
        <f ca="1">IFERROR(__xludf.DUMMYFUNCTION("""COMPUTED_VALUE"""),"No")</f>
        <v>No</v>
      </c>
      <c r="I1145" s="1" t="str">
        <f ca="1">IFERROR(__xludf.DUMMYFUNCTION("""COMPUTED_VALUE"""),"Will NOT work for them")</f>
        <v>Will NOT work for them</v>
      </c>
      <c r="J1145" s="1">
        <f ca="1">IFERROR(__xludf.DUMMYFUNCTION("""COMPUTED_VALUE"""),1)</f>
        <v>1</v>
      </c>
      <c r="K1145" s="1" t="str">
        <f ca="1">IFERROR(__xludf.DUMMYFUNCTION("""COMPUTED_VALUE"""),"Hybrid Working Environment with more than 15 days a month at office")</f>
        <v>Hybrid Working Environment with more than 15 days a month at office</v>
      </c>
      <c r="L1145" s="1" t="str">
        <f ca="1">IFERROR(__xludf.DUMMYFUNCTION("""COMPUTED_VALUE"""),"Employer who pushes your limits by enabling an learning environment, and rewards you at the end")</f>
        <v>Employer who pushes your limits by enabling an learning environment, and rewards you at the end</v>
      </c>
      <c r="M1145" s="1" t="str">
        <f ca="1">IFERROR(__xludf.DUMMYFUNCTION("""COMPUTED_VALUE"""),"Build and develop a Team, Look deeply into Data and generate insights, Work in a BPO setup for some well known client, An Artificial Intelligence Specialist / Talking to Robots")</f>
        <v>Build and develop a Team, Look deeply into Data and generate insights, Work in a BPO setup for some well known client, An Artificial Intelligence Specialist / Talking to Robots</v>
      </c>
      <c r="N1145" s="1"/>
      <c r="O1145" s="1" t="str">
        <f ca="1">IFERROR(__xludf.DUMMYFUNCTION("""COMPUTED_VALUE"""),"Manager who explains what is expected, sets a goal and helps achieve it")</f>
        <v>Manager who explains what is expected, sets a goal and helps achieve it</v>
      </c>
      <c r="P1145" s="1" t="str">
        <f ca="1">IFERROR(__xludf.DUMMYFUNCTION("""COMPUTED_VALUE"""),"Work &lt;=6 People in the Team")</f>
        <v>Work &lt;=6 People in the Team</v>
      </c>
      <c r="Q1145" s="1" t="s">
        <v>43</v>
      </c>
      <c r="R1145" s="1"/>
    </row>
    <row r="1146" spans="1:18" x14ac:dyDescent="0.25">
      <c r="A1146" s="2">
        <f ca="1">IFERROR(__xludf.DUMMYFUNCTION("""COMPUTED_VALUE"""),45044.3326683101)</f>
        <v>45044.332668310097</v>
      </c>
      <c r="B1146" s="1" t="str">
        <f ca="1">IFERROR(__xludf.DUMMYFUNCTION("""COMPUTED_VALUE"""),"India")</f>
        <v>India</v>
      </c>
      <c r="C1146" s="1">
        <f ca="1">IFERROR(__xludf.DUMMYFUNCTION("""COMPUTED_VALUE"""),500082)</f>
        <v>500082</v>
      </c>
      <c r="D1146" s="1" t="str">
        <f ca="1">IFERROR(__xludf.DUMMYFUNCTION("""COMPUTED_VALUE"""),"Female")</f>
        <v>Female</v>
      </c>
      <c r="E1146" s="1" t="str">
        <f ca="1">IFERROR(__xludf.DUMMYFUNCTION("""COMPUTED_VALUE"""),"People who have changed the world for better")</f>
        <v>People who have changed the world for better</v>
      </c>
      <c r="F1146" s="1" t="str">
        <f ca="1">IFERROR(__xludf.DUMMYFUNCTION("""COMPUTED_VALUE"""),"No I would not be pursuing Higher Education outside of India")</f>
        <v>No I would not be pursuing Higher Education outside of India</v>
      </c>
      <c r="G1146" s="1" t="str">
        <f ca="1">IFERROR(__xludf.DUMMYFUNCTION("""COMPUTED_VALUE"""),"Will work for 3 years or more")</f>
        <v>Will work for 3 years or more</v>
      </c>
      <c r="H1146" s="1" t="str">
        <f ca="1">IFERROR(__xludf.DUMMYFUNCTION("""COMPUTED_VALUE"""),"No")</f>
        <v>No</v>
      </c>
      <c r="I1146" s="1" t="str">
        <f ca="1">IFERROR(__xludf.DUMMYFUNCTION("""COMPUTED_VALUE"""),"Will NOT work for them")</f>
        <v>Will NOT work for them</v>
      </c>
      <c r="J1146" s="1">
        <f ca="1">IFERROR(__xludf.DUMMYFUNCTION("""COMPUTED_VALUE"""),3)</f>
        <v>3</v>
      </c>
      <c r="K1146" s="1" t="str">
        <f ca="1">IFERROR(__xludf.DUMMYFUNCTION("""COMPUTED_VALUE"""),"Every Day Office Environment")</f>
        <v>Every Day Office Environment</v>
      </c>
      <c r="L1146" s="1" t="str">
        <f ca="1">IFERROR(__xludf.DUMMYFUNCTION("""COMPUTED_VALUE"""),"Employer who appreciates learning and enables that environment")</f>
        <v>Employer who appreciates learning and enables that environment</v>
      </c>
      <c r="M1146"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N1146" s="1"/>
      <c r="O1146" s="1" t="str">
        <f ca="1">IFERROR(__xludf.DUMMYFUNCTION("""COMPUTED_VALUE"""),"Manager who explains what is expected, sets a goal and helps achieve it")</f>
        <v>Manager who explains what is expected, sets a goal and helps achieve it</v>
      </c>
      <c r="P1146" s="1" t="str">
        <f ca="1">IFERROR(__xludf.DUMMYFUNCTION("""COMPUTED_VALUE"""),"Work &gt;10 people in Team")</f>
        <v>Work &gt;10 people in Team</v>
      </c>
      <c r="Q1146" s="1" t="s">
        <v>43</v>
      </c>
      <c r="R1146" s="1"/>
    </row>
    <row r="1147" spans="1:18" x14ac:dyDescent="0.25">
      <c r="A1147" s="2">
        <f ca="1">IFERROR(__xludf.DUMMYFUNCTION("""COMPUTED_VALUE"""),45044.3351480208)</f>
        <v>45044.3351480208</v>
      </c>
      <c r="B1147" s="1" t="str">
        <f ca="1">IFERROR(__xludf.DUMMYFUNCTION("""COMPUTED_VALUE"""),"India")</f>
        <v>India</v>
      </c>
      <c r="C1147" s="1">
        <f ca="1">IFERROR(__xludf.DUMMYFUNCTION("""COMPUTED_VALUE"""),395006)</f>
        <v>395006</v>
      </c>
      <c r="D1147" s="1" t="str">
        <f ca="1">IFERROR(__xludf.DUMMYFUNCTION("""COMPUTED_VALUE"""),"Male")</f>
        <v>Male</v>
      </c>
      <c r="E1147" s="1" t="str">
        <f ca="1">IFERROR(__xludf.DUMMYFUNCTION("""COMPUTED_VALUE"""),"People from my circle, but not family members")</f>
        <v>People from my circle, but not family members</v>
      </c>
      <c r="F1147" s="1" t="str">
        <f ca="1">IFERROR(__xludf.DUMMYFUNCTION("""COMPUTED_VALUE"""),"Yes, I will earn and do that")</f>
        <v>Yes, I will earn and do that</v>
      </c>
      <c r="G1147" s="1" t="str">
        <f ca="1">IFERROR(__xludf.DUMMYFUNCTION("""COMPUTED_VALUE"""),"Will work for 3 years or more")</f>
        <v>Will work for 3 years or more</v>
      </c>
      <c r="H1147" s="1" t="str">
        <f ca="1">IFERROR(__xludf.DUMMYFUNCTION("""COMPUTED_VALUE"""),"No")</f>
        <v>No</v>
      </c>
      <c r="I1147" s="1" t="str">
        <f ca="1">IFERROR(__xludf.DUMMYFUNCTION("""COMPUTED_VALUE"""),"Will NOT work for them")</f>
        <v>Will NOT work for them</v>
      </c>
      <c r="J1147" s="1">
        <f ca="1">IFERROR(__xludf.DUMMYFUNCTION("""COMPUTED_VALUE"""),6)</f>
        <v>6</v>
      </c>
      <c r="K1147" s="1" t="str">
        <f ca="1">IFERROR(__xludf.DUMMYFUNCTION("""COMPUTED_VALUE"""),"Hybrid Working Environment with more than 15 days a month at office")</f>
        <v>Hybrid Working Environment with more than 15 days a month at office</v>
      </c>
      <c r="L1147" s="1" t="str">
        <f ca="1">IFERROR(__xludf.DUMMYFUNCTION("""COMPUTED_VALUE"""),"Employer who appreciates learning and enables that environment")</f>
        <v>Employer who appreciates learning and enables that environment</v>
      </c>
      <c r="M1147"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N1147" s="1"/>
      <c r="O1147" s="1" t="str">
        <f ca="1">IFERROR(__xludf.DUMMYFUNCTION("""COMPUTED_VALUE"""),"Manager who explains what is expected, sets a goal and helps achieve it")</f>
        <v>Manager who explains what is expected, sets a goal and helps achieve it</v>
      </c>
      <c r="P1147" s="1" t="str">
        <f ca="1">IFERROR(__xludf.DUMMYFUNCTION("""COMPUTED_VALUE"""),"Work Alone, &lt;=6 in team")</f>
        <v>Work Alone, &lt;=6 in team</v>
      </c>
      <c r="Q1147" s="1" t="s">
        <v>43</v>
      </c>
      <c r="R1147" s="1"/>
    </row>
    <row r="1148" spans="1:18" x14ac:dyDescent="0.25">
      <c r="A1148" s="2">
        <f ca="1">IFERROR(__xludf.DUMMYFUNCTION("""COMPUTED_VALUE"""),45044.3373971759)</f>
        <v>45044.337397175899</v>
      </c>
      <c r="B1148" s="1" t="str">
        <f ca="1">IFERROR(__xludf.DUMMYFUNCTION("""COMPUTED_VALUE"""),"India")</f>
        <v>India</v>
      </c>
      <c r="C1148" s="1">
        <f ca="1">IFERROR(__xludf.DUMMYFUNCTION("""COMPUTED_VALUE"""),500054)</f>
        <v>500054</v>
      </c>
      <c r="D1148" s="1" t="str">
        <f ca="1">IFERROR(__xludf.DUMMYFUNCTION("""COMPUTED_VALUE"""),"Female")</f>
        <v>Female</v>
      </c>
      <c r="E1148" s="1" t="str">
        <f ca="1">IFERROR(__xludf.DUMMYFUNCTION("""COMPUTED_VALUE"""),"People from my circle, but not family members")</f>
        <v>People from my circle, but not family members</v>
      </c>
      <c r="F1148" s="1" t="str">
        <f ca="1">IFERROR(__xludf.DUMMYFUNCTION("""COMPUTED_VALUE"""),"No I would not be pursuing Higher Education outside of India")</f>
        <v>No I would not be pursuing Higher Education outside of India</v>
      </c>
      <c r="G1148" s="1" t="str">
        <f ca="1">IFERROR(__xludf.DUMMYFUNCTION("""COMPUTED_VALUE"""),"This will be hard to do, but if it is the right company I would try")</f>
        <v>This will be hard to do, but if it is the right company I would try</v>
      </c>
      <c r="H1148" s="1" t="str">
        <f ca="1">IFERROR(__xludf.DUMMYFUNCTION("""COMPUTED_VALUE"""),"Yes")</f>
        <v>Yes</v>
      </c>
      <c r="I1148" s="1" t="str">
        <f ca="1">IFERROR(__xludf.DUMMYFUNCTION("""COMPUTED_VALUE"""),"Will NOT work for them")</f>
        <v>Will NOT work for them</v>
      </c>
      <c r="J1148" s="1">
        <f ca="1">IFERROR(__xludf.DUMMYFUNCTION("""COMPUTED_VALUE"""),5)</f>
        <v>5</v>
      </c>
      <c r="K1148" s="1" t="str">
        <f ca="1">IFERROR(__xludf.DUMMYFUNCTION("""COMPUTED_VALUE"""),"Hybrid Working Environment with more than 15 days a month at office")</f>
        <v>Hybrid Working Environment with more than 15 days a month at office</v>
      </c>
      <c r="L1148" s="1" t="str">
        <f ca="1">IFERROR(__xludf.DUMMYFUNCTION("""COMPUTED_VALUE"""),"Employer who pushes your limits by enabling an learning environment, and rewards you at the end")</f>
        <v>Employer who pushes your limits by enabling an learning environment, and rewards you at the end</v>
      </c>
      <c r="M1148"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N1148" s="1"/>
      <c r="O1148" s="1" t="str">
        <f ca="1">IFERROR(__xludf.DUMMYFUNCTION("""COMPUTED_VALUE"""),"Manager who explains what is expected, sets a goal and helps achieve it")</f>
        <v>Manager who explains what is expected, sets a goal and helps achieve it</v>
      </c>
      <c r="P1148" s="1" t="str">
        <f ca="1">IFERROR(__xludf.DUMMYFUNCTION("""COMPUTED_VALUE"""),"Work &lt;=6 People in the Team")</f>
        <v>Work &lt;=6 People in the Team</v>
      </c>
      <c r="Q1148" s="1" t="s">
        <v>43</v>
      </c>
      <c r="R1148" s="1"/>
    </row>
    <row r="1149" spans="1:18" x14ac:dyDescent="0.25">
      <c r="A1149" s="2">
        <f ca="1">IFERROR(__xludf.DUMMYFUNCTION("""COMPUTED_VALUE"""),45044.3377527777)</f>
        <v>45044.337752777697</v>
      </c>
      <c r="B1149" s="1" t="str">
        <f ca="1">IFERROR(__xludf.DUMMYFUNCTION("""COMPUTED_VALUE"""),"Others")</f>
        <v>Others</v>
      </c>
      <c r="C1149" s="1">
        <f ca="1">IFERROR(__xludf.DUMMYFUNCTION("""COMPUTED_VALUE"""),4701)</f>
        <v>4701</v>
      </c>
      <c r="D1149" s="1" t="str">
        <f ca="1">IFERROR(__xludf.DUMMYFUNCTION("""COMPUTED_VALUE"""),"Female")</f>
        <v>Female</v>
      </c>
      <c r="E1149" s="1" t="str">
        <f ca="1">IFERROR(__xludf.DUMMYFUNCTION("""COMPUTED_VALUE"""),"My Parents")</f>
        <v>My Parents</v>
      </c>
      <c r="F1149" s="1" t="str">
        <f ca="1">IFERROR(__xludf.DUMMYFUNCTION("""COMPUTED_VALUE"""),"Yes, I will earn and do that")</f>
        <v>Yes, I will earn and do that</v>
      </c>
      <c r="G1149" s="1" t="str">
        <f ca="1">IFERROR(__xludf.DUMMYFUNCTION("""COMPUTED_VALUE"""),"This will be hard to do, but if it is the right company I would try")</f>
        <v>This will be hard to do, but if it is the right company I would try</v>
      </c>
      <c r="H1149" s="1" t="str">
        <f ca="1">IFERROR(__xludf.DUMMYFUNCTION("""COMPUTED_VALUE"""),"No")</f>
        <v>No</v>
      </c>
      <c r="I1149" s="1" t="str">
        <f ca="1">IFERROR(__xludf.DUMMYFUNCTION("""COMPUTED_VALUE"""),"Will NOT work for them")</f>
        <v>Will NOT work for them</v>
      </c>
      <c r="J1149" s="1">
        <f ca="1">IFERROR(__xludf.DUMMYFUNCTION("""COMPUTED_VALUE"""),5)</f>
        <v>5</v>
      </c>
      <c r="K1149" s="1" t="str">
        <f ca="1">IFERROR(__xludf.DUMMYFUNCTION("""COMPUTED_VALUE"""),"Hybrid Working Environment with more than 15 days a month at office")</f>
        <v>Hybrid Working Environment with more than 15 days a month at office</v>
      </c>
      <c r="L1149" s="1" t="str">
        <f ca="1">IFERROR(__xludf.DUMMYFUNCTION("""COMPUTED_VALUE"""),"Employer who pushes your limits by enabling an learning environment, and rewards you at the end")</f>
        <v>Employer who pushes your limits by enabling an learning environment, and rewards you at the end</v>
      </c>
      <c r="M114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1149" s="1"/>
      <c r="O1149" s="1" t="str">
        <f ca="1">IFERROR(__xludf.DUMMYFUNCTION("""COMPUTED_VALUE"""),"Manager who explains what is expected, sets a goal and helps achieve it")</f>
        <v>Manager who explains what is expected, sets a goal and helps achieve it</v>
      </c>
      <c r="P1149" s="1" t="str">
        <f ca="1">IFERROR(__xludf.DUMMYFUNCTION("""COMPUTED_VALUE"""),"Work &lt;=6 People in the Team")</f>
        <v>Work &lt;=6 People in the Team</v>
      </c>
      <c r="Q1149" s="1" t="s">
        <v>43</v>
      </c>
      <c r="R1149" s="1"/>
    </row>
    <row r="1150" spans="1:18" x14ac:dyDescent="0.25">
      <c r="A1150" s="2">
        <f ca="1">IFERROR(__xludf.DUMMYFUNCTION("""COMPUTED_VALUE"""),45044.3410362384)</f>
        <v>45044.341036238402</v>
      </c>
      <c r="B1150" s="1" t="str">
        <f ca="1">IFERROR(__xludf.DUMMYFUNCTION("""COMPUTED_VALUE"""),"India")</f>
        <v>India</v>
      </c>
      <c r="C1150" s="1">
        <f ca="1">IFERROR(__xludf.DUMMYFUNCTION("""COMPUTED_VALUE"""),600056)</f>
        <v>600056</v>
      </c>
      <c r="D1150" s="1" t="str">
        <f ca="1">IFERROR(__xludf.DUMMYFUNCTION("""COMPUTED_VALUE"""),"Female")</f>
        <v>Female</v>
      </c>
      <c r="E1150" s="1" t="str">
        <f ca="1">IFERROR(__xludf.DUMMYFUNCTION("""COMPUTED_VALUE"""),"People who have changed the world for better")</f>
        <v>People who have changed the world for better</v>
      </c>
      <c r="F1150" s="1" t="str">
        <f ca="1">IFERROR(__xludf.DUMMYFUNCTION("""COMPUTED_VALUE"""),"No I would not be pursuing Higher Education outside of India")</f>
        <v>No I would not be pursuing Higher Education outside of India</v>
      </c>
      <c r="G1150" s="1" t="str">
        <f ca="1">IFERROR(__xludf.DUMMYFUNCTION("""COMPUTED_VALUE"""),"This will be hard to do, but if it is the right company I would try")</f>
        <v>This will be hard to do, but if it is the right company I would try</v>
      </c>
      <c r="H1150" s="1" t="str">
        <f ca="1">IFERROR(__xludf.DUMMYFUNCTION("""COMPUTED_VALUE"""),"No")</f>
        <v>No</v>
      </c>
      <c r="I1150" s="1" t="str">
        <f ca="1">IFERROR(__xludf.DUMMYFUNCTION("""COMPUTED_VALUE"""),"Will NOT work for them")</f>
        <v>Will NOT work for them</v>
      </c>
      <c r="J1150" s="1">
        <f ca="1">IFERROR(__xludf.DUMMYFUNCTION("""COMPUTED_VALUE"""),2)</f>
        <v>2</v>
      </c>
      <c r="K1150" s="1" t="str">
        <f ca="1">IFERROR(__xludf.DUMMYFUNCTION("""COMPUTED_VALUE"""),"Hybrid Working Environment with more than 15 days a month at office")</f>
        <v>Hybrid Working Environment with more than 15 days a month at office</v>
      </c>
      <c r="L1150" s="1" t="str">
        <f ca="1">IFERROR(__xludf.DUMMYFUNCTION("""COMPUTED_VALUE"""),"Employer who pushes your limits by enabling an learning environment, and rewards you at the end")</f>
        <v>Employer who pushes your limits by enabling an learning environment, and rewards you at the end</v>
      </c>
      <c r="M1150"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150" s="1"/>
      <c r="O1150" s="1" t="str">
        <f ca="1">IFERROR(__xludf.DUMMYFUNCTION("""COMPUTED_VALUE"""),"Manager who explains what is expected, sets a goal and helps achieve it")</f>
        <v>Manager who explains what is expected, sets a goal and helps achieve it</v>
      </c>
      <c r="P1150" s="1" t="str">
        <f ca="1">IFERROR(__xludf.DUMMYFUNCTION("""COMPUTED_VALUE"""),"Work &lt;=6 People in the Team")</f>
        <v>Work &lt;=6 People in the Team</v>
      </c>
      <c r="Q1150" s="1" t="s">
        <v>43</v>
      </c>
      <c r="R1150" s="1"/>
    </row>
    <row r="1151" spans="1:18" x14ac:dyDescent="0.25">
      <c r="A1151" s="2">
        <f ca="1">IFERROR(__xludf.DUMMYFUNCTION("""COMPUTED_VALUE"""),45044.3424342476)</f>
        <v>45044.342434247599</v>
      </c>
      <c r="B1151" s="1" t="str">
        <f ca="1">IFERROR(__xludf.DUMMYFUNCTION("""COMPUTED_VALUE"""),"India")</f>
        <v>India</v>
      </c>
      <c r="C1151" s="1">
        <f ca="1">IFERROR(__xludf.DUMMYFUNCTION("""COMPUTED_VALUE"""),531031)</f>
        <v>531031</v>
      </c>
      <c r="D1151" s="1" t="str">
        <f ca="1">IFERROR(__xludf.DUMMYFUNCTION("""COMPUTED_VALUE"""),"Male")</f>
        <v>Male</v>
      </c>
      <c r="E1151" s="1" t="str">
        <f ca="1">IFERROR(__xludf.DUMMYFUNCTION("""COMPUTED_VALUE"""),"People who have changed the world for better")</f>
        <v>People who have changed the world for better</v>
      </c>
      <c r="F1151" s="1" t="str">
        <f ca="1">IFERROR(__xludf.DUMMYFUNCTION("""COMPUTED_VALUE"""),"No, But if someone could bare the cost I will")</f>
        <v>No, But if someone could bare the cost I will</v>
      </c>
      <c r="G1151" s="1" t="str">
        <f ca="1">IFERROR(__xludf.DUMMYFUNCTION("""COMPUTED_VALUE"""),"This will be hard to do, but if it is the right company I would try")</f>
        <v>This will be hard to do, but if it is the right company I would try</v>
      </c>
      <c r="H1151" s="1" t="str">
        <f ca="1">IFERROR(__xludf.DUMMYFUNCTION("""COMPUTED_VALUE"""),"No")</f>
        <v>No</v>
      </c>
      <c r="I1151" s="1" t="str">
        <f ca="1">IFERROR(__xludf.DUMMYFUNCTION("""COMPUTED_VALUE"""),"Will NOT work for them")</f>
        <v>Will NOT work for them</v>
      </c>
      <c r="J1151" s="1">
        <f ca="1">IFERROR(__xludf.DUMMYFUNCTION("""COMPUTED_VALUE"""),8)</f>
        <v>8</v>
      </c>
      <c r="K1151" s="1" t="str">
        <f ca="1">IFERROR(__xludf.DUMMYFUNCTION("""COMPUTED_VALUE"""),"Every Day Office Environment")</f>
        <v>Every Day Office Environment</v>
      </c>
      <c r="L1151" s="1" t="str">
        <f ca="1">IFERROR(__xludf.DUMMYFUNCTION("""COMPUTED_VALUE"""),"Employer who pushes your limits by enabling an learning environment, and rewards you at the end")</f>
        <v>Employer who pushes your limits by enabling an learning environment, and rewards you at the end</v>
      </c>
      <c r="M1151"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N1151" s="1"/>
      <c r="O1151" s="1" t="str">
        <f ca="1">IFERROR(__xludf.DUMMYFUNCTION("""COMPUTED_VALUE"""),"Manager who sets goal and helps me achieve it")</f>
        <v>Manager who sets goal and helps me achieve it</v>
      </c>
      <c r="P1151" s="1" t="str">
        <f ca="1">IFERROR(__xludf.DUMMYFUNCTION("""COMPUTED_VALUE"""),"Work &gt;=7 People in the Team")</f>
        <v>Work &gt;=7 People in the Team</v>
      </c>
      <c r="Q1151" s="1" t="s">
        <v>43</v>
      </c>
      <c r="R1151" s="1"/>
    </row>
    <row r="1152" spans="1:18" x14ac:dyDescent="0.25">
      <c r="A1152" s="2">
        <f ca="1">IFERROR(__xludf.DUMMYFUNCTION("""COMPUTED_VALUE"""),45044.3453370717)</f>
        <v>45044.345337071703</v>
      </c>
      <c r="B1152" s="1" t="str">
        <f ca="1">IFERROR(__xludf.DUMMYFUNCTION("""COMPUTED_VALUE"""),"India")</f>
        <v>India</v>
      </c>
      <c r="C1152" s="1">
        <f ca="1">IFERROR(__xludf.DUMMYFUNCTION("""COMPUTED_VALUE"""),533435)</f>
        <v>533435</v>
      </c>
      <c r="D1152" s="1" t="str">
        <f ca="1">IFERROR(__xludf.DUMMYFUNCTION("""COMPUTED_VALUE"""),"Male")</f>
        <v>Male</v>
      </c>
      <c r="E1152" s="1" t="str">
        <f ca="1">IFERROR(__xludf.DUMMYFUNCTION("""COMPUTED_VALUE"""),"My Parents")</f>
        <v>My Parents</v>
      </c>
      <c r="F1152" s="1" t="str">
        <f ca="1">IFERROR(__xludf.DUMMYFUNCTION("""COMPUTED_VALUE"""),"Yes, I will earn and do that")</f>
        <v>Yes, I will earn and do that</v>
      </c>
      <c r="G1152" s="1" t="str">
        <f ca="1">IFERROR(__xludf.DUMMYFUNCTION("""COMPUTED_VALUE"""),"Will work for 3 years or more")</f>
        <v>Will work for 3 years or more</v>
      </c>
      <c r="H1152" s="1" t="str">
        <f ca="1">IFERROR(__xludf.DUMMYFUNCTION("""COMPUTED_VALUE"""),"No")</f>
        <v>No</v>
      </c>
      <c r="I1152" s="1" t="str">
        <f ca="1">IFERROR(__xludf.DUMMYFUNCTION("""COMPUTED_VALUE"""),"Will NOT work for them")</f>
        <v>Will NOT work for them</v>
      </c>
      <c r="J1152" s="1">
        <f ca="1">IFERROR(__xludf.DUMMYFUNCTION("""COMPUTED_VALUE"""),6)</f>
        <v>6</v>
      </c>
      <c r="K1152" s="1" t="str">
        <f ca="1">IFERROR(__xludf.DUMMYFUNCTION("""COMPUTED_VALUE"""),"Hybrid Working Environment with more than 15 days a month at office")</f>
        <v>Hybrid Working Environment with more than 15 days a month at office</v>
      </c>
      <c r="L1152" s="1" t="str">
        <f ca="1">IFERROR(__xludf.DUMMYFUNCTION("""COMPUTED_VALUE"""),"Employer who pushes your limits by enabling an learning environment, and rewards you at the end")</f>
        <v>Employer who pushes your limits by enabling an learning environment, and rewards you at the end</v>
      </c>
      <c r="M115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152" s="1"/>
      <c r="O1152" s="1" t="str">
        <f ca="1">IFERROR(__xludf.DUMMYFUNCTION("""COMPUTED_VALUE"""),"Manager who explains what is expected, sets a goal and helps achieve it")</f>
        <v>Manager who explains what is expected, sets a goal and helps achieve it</v>
      </c>
      <c r="P1152" s="1" t="str">
        <f ca="1">IFERROR(__xludf.DUMMYFUNCTION("""COMPUTED_VALUE"""),"Work &gt;10 people in Team")</f>
        <v>Work &gt;10 people in Team</v>
      </c>
      <c r="Q1152" s="1" t="s">
        <v>42</v>
      </c>
      <c r="R1152" s="1"/>
    </row>
    <row r="1153" spans="1:18" x14ac:dyDescent="0.25">
      <c r="A1153" s="2">
        <f ca="1">IFERROR(__xludf.DUMMYFUNCTION("""COMPUTED_VALUE"""),45044.3478526851)</f>
        <v>45044.347852685103</v>
      </c>
      <c r="B1153" s="1" t="str">
        <f ca="1">IFERROR(__xludf.DUMMYFUNCTION("""COMPUTED_VALUE"""),"India")</f>
        <v>India</v>
      </c>
      <c r="C1153" s="1">
        <f ca="1">IFERROR(__xludf.DUMMYFUNCTION("""COMPUTED_VALUE"""),403801)</f>
        <v>403801</v>
      </c>
      <c r="D1153" s="1" t="str">
        <f ca="1">IFERROR(__xludf.DUMMYFUNCTION("""COMPUTED_VALUE"""),"Female")</f>
        <v>Female</v>
      </c>
      <c r="E1153" s="1" t="str">
        <f ca="1">IFERROR(__xludf.DUMMYFUNCTION("""COMPUTED_VALUE"""),"People who have changed the world for better")</f>
        <v>People who have changed the world for better</v>
      </c>
      <c r="F1153" s="1" t="str">
        <f ca="1">IFERROR(__xludf.DUMMYFUNCTION("""COMPUTED_VALUE"""),"Yes, I will earn and do that")</f>
        <v>Yes, I will earn and do that</v>
      </c>
      <c r="G1153" s="1" t="str">
        <f ca="1">IFERROR(__xludf.DUMMYFUNCTION("""COMPUTED_VALUE"""),"Will work for 3 years or more")</f>
        <v>Will work for 3 years or more</v>
      </c>
      <c r="H1153" s="1" t="str">
        <f ca="1">IFERROR(__xludf.DUMMYFUNCTION("""COMPUTED_VALUE"""),"Yes")</f>
        <v>Yes</v>
      </c>
      <c r="I1153" s="1" t="str">
        <f ca="1">IFERROR(__xludf.DUMMYFUNCTION("""COMPUTED_VALUE"""),"Will work for them")</f>
        <v>Will work for them</v>
      </c>
      <c r="J1153" s="1">
        <f ca="1">IFERROR(__xludf.DUMMYFUNCTION("""COMPUTED_VALUE"""),10)</f>
        <v>10</v>
      </c>
      <c r="K1153" s="1" t="str">
        <f ca="1">IFERROR(__xludf.DUMMYFUNCTION("""COMPUTED_VALUE"""),"Every Day Office Environment")</f>
        <v>Every Day Office Environment</v>
      </c>
      <c r="L1153" s="1" t="str">
        <f ca="1">IFERROR(__xludf.DUMMYFUNCTION("""COMPUTED_VALUE"""),"Employer who appreciates learning and enables that environment")</f>
        <v>Employer who appreciates learning and enables that environment</v>
      </c>
      <c r="M1153"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N1153" s="1"/>
      <c r="O1153" s="1" t="str">
        <f ca="1">IFERROR(__xludf.DUMMYFUNCTION("""COMPUTED_VALUE"""),"Manager who clearly describes what she/he needs")</f>
        <v>Manager who clearly describes what she/he needs</v>
      </c>
      <c r="P1153" s="1" t="str">
        <f ca="1">IFERROR(__xludf.DUMMYFUNCTION("""COMPUTED_VALUE"""),"Work &lt;=6 People in the Team")</f>
        <v>Work &lt;=6 People in the Team</v>
      </c>
      <c r="Q1153" s="1" t="s">
        <v>43</v>
      </c>
      <c r="R1153" s="1"/>
    </row>
    <row r="1154" spans="1:18" x14ac:dyDescent="0.25">
      <c r="A1154" s="2">
        <f ca="1">IFERROR(__xludf.DUMMYFUNCTION("""COMPUTED_VALUE"""),45044.3507955555)</f>
        <v>45044.350795555503</v>
      </c>
      <c r="B1154" s="1" t="str">
        <f ca="1">IFERROR(__xludf.DUMMYFUNCTION("""COMPUTED_VALUE"""),"India")</f>
        <v>India</v>
      </c>
      <c r="C1154" s="1">
        <f ca="1">IFERROR(__xludf.DUMMYFUNCTION("""COMPUTED_VALUE"""),424307)</f>
        <v>424307</v>
      </c>
      <c r="D1154" s="1" t="str">
        <f ca="1">IFERROR(__xludf.DUMMYFUNCTION("""COMPUTED_VALUE"""),"Male")</f>
        <v>Male</v>
      </c>
      <c r="E1154" s="1" t="str">
        <f ca="1">IFERROR(__xludf.DUMMYFUNCTION("""COMPUTED_VALUE"""),"Social Media like LinkedIn")</f>
        <v>Social Media like LinkedIn</v>
      </c>
      <c r="F1154" s="1" t="str">
        <f ca="1">IFERROR(__xludf.DUMMYFUNCTION("""COMPUTED_VALUE"""),"Yes, I will earn and do that")</f>
        <v>Yes, I will earn and do that</v>
      </c>
      <c r="G1154" s="1" t="str">
        <f ca="1">IFERROR(__xludf.DUMMYFUNCTION("""COMPUTED_VALUE"""),"Will work for 3 years or more")</f>
        <v>Will work for 3 years or more</v>
      </c>
      <c r="H1154" s="1" t="str">
        <f ca="1">IFERROR(__xludf.DUMMYFUNCTION("""COMPUTED_VALUE"""),"No")</f>
        <v>No</v>
      </c>
      <c r="I1154" s="1" t="str">
        <f ca="1">IFERROR(__xludf.DUMMYFUNCTION("""COMPUTED_VALUE"""),"Will NOT work for them")</f>
        <v>Will NOT work for them</v>
      </c>
      <c r="J1154" s="1">
        <f ca="1">IFERROR(__xludf.DUMMYFUNCTION("""COMPUTED_VALUE"""),8)</f>
        <v>8</v>
      </c>
      <c r="K1154" s="1" t="str">
        <f ca="1">IFERROR(__xludf.DUMMYFUNCTION("""COMPUTED_VALUE"""),"Hybrid Working Environment with less than 3 days a month at office")</f>
        <v>Hybrid Working Environment with less than 3 days a month at office</v>
      </c>
      <c r="L1154" s="1" t="str">
        <f ca="1">IFERROR(__xludf.DUMMYFUNCTION("""COMPUTED_VALUE"""),"Employer who appreciates learning and enables that environment")</f>
        <v>Employer who appreciates learning and enables that environment</v>
      </c>
      <c r="M11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N1154" s="1"/>
      <c r="O1154" s="1" t="str">
        <f ca="1">IFERROR(__xludf.DUMMYFUNCTION("""COMPUTED_VALUE"""),"Manager who clearly describes what she/he needs")</f>
        <v>Manager who clearly describes what she/he needs</v>
      </c>
      <c r="P1154" s="1" t="str">
        <f ca="1">IFERROR(__xludf.DUMMYFUNCTION("""COMPUTED_VALUE"""),"Work &lt;=6 People in the Team")</f>
        <v>Work &lt;=6 People in the Team</v>
      </c>
      <c r="Q1154" s="1" t="s">
        <v>43</v>
      </c>
      <c r="R1154" s="1"/>
    </row>
    <row r="1155" spans="1:18" x14ac:dyDescent="0.25">
      <c r="A1155" s="2">
        <f ca="1">IFERROR(__xludf.DUMMYFUNCTION("""COMPUTED_VALUE"""),45044.350843368)</f>
        <v>45044.350843368004</v>
      </c>
      <c r="B1155" s="1" t="str">
        <f ca="1">IFERROR(__xludf.DUMMYFUNCTION("""COMPUTED_VALUE"""),"India")</f>
        <v>India</v>
      </c>
      <c r="C1155" s="1">
        <f ca="1">IFERROR(__xludf.DUMMYFUNCTION("""COMPUTED_VALUE"""),201303)</f>
        <v>201303</v>
      </c>
      <c r="D1155" s="1" t="str">
        <f ca="1">IFERROR(__xludf.DUMMYFUNCTION("""COMPUTED_VALUE"""),"Male")</f>
        <v>Male</v>
      </c>
      <c r="E1155" s="1" t="str">
        <f ca="1">IFERROR(__xludf.DUMMYFUNCTION("""COMPUTED_VALUE"""),"Influencers who had successful careers")</f>
        <v>Influencers who had successful careers</v>
      </c>
      <c r="F1155" s="1" t="str">
        <f ca="1">IFERROR(__xludf.DUMMYFUNCTION("""COMPUTED_VALUE"""),"Yes, I will earn and do that")</f>
        <v>Yes, I will earn and do that</v>
      </c>
      <c r="G1155" s="1" t="str">
        <f ca="1">IFERROR(__xludf.DUMMYFUNCTION("""COMPUTED_VALUE"""),"This will be hard to do, but if it is the right company I would try")</f>
        <v>This will be hard to do, but if it is the right company I would try</v>
      </c>
      <c r="H1155" s="1" t="str">
        <f ca="1">IFERROR(__xludf.DUMMYFUNCTION("""COMPUTED_VALUE"""),"No")</f>
        <v>No</v>
      </c>
      <c r="I1155" s="1" t="str">
        <f ca="1">IFERROR(__xludf.DUMMYFUNCTION("""COMPUTED_VALUE"""),"Will work for them")</f>
        <v>Will work for them</v>
      </c>
      <c r="J1155" s="1">
        <f ca="1">IFERROR(__xludf.DUMMYFUNCTION("""COMPUTED_VALUE"""),6)</f>
        <v>6</v>
      </c>
      <c r="K1155" s="1" t="str">
        <f ca="1">IFERROR(__xludf.DUMMYFUNCTION("""COMPUTED_VALUE"""),"Fully Remote with Options to travel as and when needed")</f>
        <v>Fully Remote with Options to travel as and when needed</v>
      </c>
      <c r="L1155" s="1" t="str">
        <f ca="1">IFERROR(__xludf.DUMMYFUNCTION("""COMPUTED_VALUE"""),"Employer who pushes your limits by enabling an learning environment, and rewards you at the end")</f>
        <v>Employer who pushes your limits by enabling an learning environment, and rewards you at the end</v>
      </c>
      <c r="M115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1155" s="1"/>
      <c r="O1155" s="1" t="str">
        <f ca="1">IFERROR(__xludf.DUMMYFUNCTION("""COMPUTED_VALUE"""),"Manager who explains what is expected, sets a goal and helps achieve it")</f>
        <v>Manager who explains what is expected, sets a goal and helps achieve it</v>
      </c>
      <c r="P1155" s="1" t="str">
        <f ca="1">IFERROR(__xludf.DUMMYFUNCTION("""COMPUTED_VALUE"""),"Work &lt;=6 People in the Team")</f>
        <v>Work &lt;=6 People in the Team</v>
      </c>
      <c r="Q1155" s="1" t="s">
        <v>43</v>
      </c>
      <c r="R1155" s="1"/>
    </row>
    <row r="1156" spans="1:18" x14ac:dyDescent="0.25">
      <c r="A1156" s="2">
        <f ca="1">IFERROR(__xludf.DUMMYFUNCTION("""COMPUTED_VALUE"""),45044.357799537)</f>
        <v>45044.357799537</v>
      </c>
      <c r="B1156" s="1" t="str">
        <f ca="1">IFERROR(__xludf.DUMMYFUNCTION("""COMPUTED_VALUE"""),"India")</f>
        <v>India</v>
      </c>
      <c r="C1156" s="1">
        <f ca="1">IFERROR(__xludf.DUMMYFUNCTION("""COMPUTED_VALUE"""),515122)</f>
        <v>515122</v>
      </c>
      <c r="D1156" s="1" t="str">
        <f ca="1">IFERROR(__xludf.DUMMYFUNCTION("""COMPUTED_VALUE"""),"Female")</f>
        <v>Female</v>
      </c>
      <c r="E1156" s="1" t="str">
        <f ca="1">IFERROR(__xludf.DUMMYFUNCTION("""COMPUTED_VALUE"""),"Influencers who had successful careers")</f>
        <v>Influencers who had successful careers</v>
      </c>
      <c r="F1156" s="1" t="str">
        <f ca="1">IFERROR(__xludf.DUMMYFUNCTION("""COMPUTED_VALUE"""),"Yes, I will earn and do that")</f>
        <v>Yes, I will earn and do that</v>
      </c>
      <c r="G1156" s="1" t="str">
        <f ca="1">IFERROR(__xludf.DUMMYFUNCTION("""COMPUTED_VALUE"""),"This will be hard to do, but if it is the right company I would try")</f>
        <v>This will be hard to do, but if it is the right company I would try</v>
      </c>
      <c r="H1156" s="1" t="str">
        <f ca="1">IFERROR(__xludf.DUMMYFUNCTION("""COMPUTED_VALUE"""),"No")</f>
        <v>No</v>
      </c>
      <c r="I1156" s="1" t="str">
        <f ca="1">IFERROR(__xludf.DUMMYFUNCTION("""COMPUTED_VALUE"""),"Will NOT work for them")</f>
        <v>Will NOT work for them</v>
      </c>
      <c r="J1156" s="1">
        <f ca="1">IFERROR(__xludf.DUMMYFUNCTION("""COMPUTED_VALUE"""),5)</f>
        <v>5</v>
      </c>
      <c r="K1156" s="1" t="str">
        <f ca="1">IFERROR(__xludf.DUMMYFUNCTION("""COMPUTED_VALUE"""),"Fully Remote with No option to visit offices")</f>
        <v>Fully Remote with No option to visit offices</v>
      </c>
      <c r="L1156" s="1" t="str">
        <f ca="1">IFERROR(__xludf.DUMMYFUNCTION("""COMPUTED_VALUE"""),"Employer who appreciates learning and enables that environment")</f>
        <v>Employer who appreciates learning and enables that environment</v>
      </c>
      <c r="M11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156" s="1"/>
      <c r="O1156" s="1" t="str">
        <f ca="1">IFERROR(__xludf.DUMMYFUNCTION("""COMPUTED_VALUE"""),"Manager who explains what is expected, sets a goal and helps achieve it")</f>
        <v>Manager who explains what is expected, sets a goal and helps achieve it</v>
      </c>
      <c r="P1156" s="1" t="str">
        <f ca="1">IFERROR(__xludf.DUMMYFUNCTION("""COMPUTED_VALUE"""),"Work &gt;10 people in Team")</f>
        <v>Work &gt;10 people in Team</v>
      </c>
      <c r="Q1156" s="1" t="s">
        <v>40</v>
      </c>
      <c r="R1156" s="1"/>
    </row>
    <row r="1157" spans="1:18" x14ac:dyDescent="0.25">
      <c r="A1157" s="2">
        <f ca="1">IFERROR(__xludf.DUMMYFUNCTION("""COMPUTED_VALUE"""),45044.3661189004)</f>
        <v>45044.366118900398</v>
      </c>
      <c r="B1157" s="1" t="str">
        <f ca="1">IFERROR(__xludf.DUMMYFUNCTION("""COMPUTED_VALUE"""),"India")</f>
        <v>India</v>
      </c>
      <c r="C1157" s="1">
        <f ca="1">IFERROR(__xludf.DUMMYFUNCTION("""COMPUTED_VALUE"""),530026)</f>
        <v>530026</v>
      </c>
      <c r="D1157" s="1" t="str">
        <f ca="1">IFERROR(__xludf.DUMMYFUNCTION("""COMPUTED_VALUE"""),"Female")</f>
        <v>Female</v>
      </c>
      <c r="E1157" s="1" t="str">
        <f ca="1">IFERROR(__xludf.DUMMYFUNCTION("""COMPUTED_VALUE"""),"People who have changed the world for better")</f>
        <v>People who have changed the world for better</v>
      </c>
      <c r="F1157" s="1" t="str">
        <f ca="1">IFERROR(__xludf.DUMMYFUNCTION("""COMPUTED_VALUE"""),"Yes, I will earn and do that")</f>
        <v>Yes, I will earn and do that</v>
      </c>
      <c r="G1157" s="1" t="str">
        <f ca="1">IFERROR(__xludf.DUMMYFUNCTION("""COMPUTED_VALUE"""),"This will be hard to do, but if it is the right company I would try")</f>
        <v>This will be hard to do, but if it is the right company I would try</v>
      </c>
      <c r="H1157" s="1" t="str">
        <f ca="1">IFERROR(__xludf.DUMMYFUNCTION("""COMPUTED_VALUE"""),"No")</f>
        <v>No</v>
      </c>
      <c r="I1157" s="1" t="str">
        <f ca="1">IFERROR(__xludf.DUMMYFUNCTION("""COMPUTED_VALUE"""),"Will NOT work for them")</f>
        <v>Will NOT work for them</v>
      </c>
      <c r="J1157" s="1">
        <f ca="1">IFERROR(__xludf.DUMMYFUNCTION("""COMPUTED_VALUE"""),8)</f>
        <v>8</v>
      </c>
      <c r="K1157" s="1" t="str">
        <f ca="1">IFERROR(__xludf.DUMMYFUNCTION("""COMPUTED_VALUE"""),"Hybrid Working Environment with less than 3 days a month at office")</f>
        <v>Hybrid Working Environment with less than 3 days a month at office</v>
      </c>
      <c r="L1157" s="1" t="str">
        <f ca="1">IFERROR(__xludf.DUMMYFUNCTION("""COMPUTED_VALUE"""),"Employer who appreciates learning and enables that environment")</f>
        <v>Employer who appreciates learning and enables that environment</v>
      </c>
      <c r="M115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157" s="1"/>
      <c r="O1157" s="1" t="str">
        <f ca="1">IFERROR(__xludf.DUMMYFUNCTION("""COMPUTED_VALUE"""),"Manager who sets unrealistic targets")</f>
        <v>Manager who sets unrealistic targets</v>
      </c>
      <c r="P1157" s="1" t="str">
        <f ca="1">IFERROR(__xludf.DUMMYFUNCTION("""COMPUTED_VALUE"""),"Work &lt;=6 People in the Team")</f>
        <v>Work &lt;=6 People in the Team</v>
      </c>
      <c r="Q1157" s="1" t="s">
        <v>43</v>
      </c>
      <c r="R1157" s="1"/>
    </row>
    <row r="1158" spans="1:18" x14ac:dyDescent="0.25">
      <c r="A1158" s="2">
        <f ca="1">IFERROR(__xludf.DUMMYFUNCTION("""COMPUTED_VALUE"""),45044.3719316782)</f>
        <v>45044.371931678201</v>
      </c>
      <c r="B1158" s="1" t="str">
        <f ca="1">IFERROR(__xludf.DUMMYFUNCTION("""COMPUTED_VALUE"""),"India")</f>
        <v>India</v>
      </c>
      <c r="C1158" s="1">
        <f ca="1">IFERROR(__xludf.DUMMYFUNCTION("""COMPUTED_VALUE"""),143602)</f>
        <v>143602</v>
      </c>
      <c r="D1158" s="1" t="str">
        <f ca="1">IFERROR(__xludf.DUMMYFUNCTION("""COMPUTED_VALUE"""),"Male")</f>
        <v>Male</v>
      </c>
      <c r="E1158" s="1" t="str">
        <f ca="1">IFERROR(__xludf.DUMMYFUNCTION("""COMPUTED_VALUE"""),"People who have changed the world for better")</f>
        <v>People who have changed the world for better</v>
      </c>
      <c r="F1158" s="1" t="str">
        <f ca="1">IFERROR(__xludf.DUMMYFUNCTION("""COMPUTED_VALUE"""),"No, But if someone could bare the cost I will")</f>
        <v>No, But if someone could bare the cost I will</v>
      </c>
      <c r="G1158" s="1" t="str">
        <f ca="1">IFERROR(__xludf.DUMMYFUNCTION("""COMPUTED_VALUE"""),"This will be hard to do, but if it is the right company I would try")</f>
        <v>This will be hard to do, but if it is the right company I would try</v>
      </c>
      <c r="H1158" s="1" t="str">
        <f ca="1">IFERROR(__xludf.DUMMYFUNCTION("""COMPUTED_VALUE"""),"Yes")</f>
        <v>Yes</v>
      </c>
      <c r="I1158" s="1" t="str">
        <f ca="1">IFERROR(__xludf.DUMMYFUNCTION("""COMPUTED_VALUE"""),"Will work for them")</f>
        <v>Will work for them</v>
      </c>
      <c r="J1158" s="1">
        <f ca="1">IFERROR(__xludf.DUMMYFUNCTION("""COMPUTED_VALUE"""),9)</f>
        <v>9</v>
      </c>
      <c r="K1158" s="1" t="str">
        <f ca="1">IFERROR(__xludf.DUMMYFUNCTION("""COMPUTED_VALUE"""),"Hybrid Working Environment with more than 15 days a month at office")</f>
        <v>Hybrid Working Environment with more than 15 days a month at office</v>
      </c>
      <c r="L1158" s="1" t="str">
        <f ca="1">IFERROR(__xludf.DUMMYFUNCTION("""COMPUTED_VALUE"""),"Employer who pushes your limits and doesn't enables learning environment and never rewards you")</f>
        <v>Employer who pushes your limits and doesn't enables learning environment and never rewards you</v>
      </c>
      <c r="M1158" s="1" t="str">
        <f ca="1">IFERROR(__xludf.DUMMYFUNCTION("""COMPUTED_VALUE"""),"Teaching in any of the institutes/colleges/online or offline, Build and develop a Team, Become a content Creator in some platform, An Artificial Intelligence Specialist / Talking to Robots")</f>
        <v>Teaching in any of the institutes/colleges/online or offline, Build and develop a Team, Become a content Creator in some platform, An Artificial Intelligence Specialist / Talking to Robots</v>
      </c>
      <c r="N1158" s="1"/>
      <c r="O1158" s="1" t="str">
        <f ca="1">IFERROR(__xludf.DUMMYFUNCTION("""COMPUTED_VALUE"""),"Manager who explains what is expected, sets a goal and helps achieve it")</f>
        <v>Manager who explains what is expected, sets a goal and helps achieve it</v>
      </c>
      <c r="P1158" s="1" t="str">
        <f ca="1">IFERROR(__xludf.DUMMYFUNCTION("""COMPUTED_VALUE"""),"Work &lt;=6 People in the Team")</f>
        <v>Work &lt;=6 People in the Team</v>
      </c>
      <c r="Q1158" s="1" t="s">
        <v>40</v>
      </c>
      <c r="R1158" s="1"/>
    </row>
    <row r="1159" spans="1:18" x14ac:dyDescent="0.25">
      <c r="A1159" s="2">
        <f ca="1">IFERROR(__xludf.DUMMYFUNCTION("""COMPUTED_VALUE"""),45044.3828477546)</f>
        <v>45044.382847754598</v>
      </c>
      <c r="B1159" s="1" t="str">
        <f ca="1">IFERROR(__xludf.DUMMYFUNCTION("""COMPUTED_VALUE"""),"India")</f>
        <v>India</v>
      </c>
      <c r="C1159" s="1">
        <f ca="1">IFERROR(__xludf.DUMMYFUNCTION("""COMPUTED_VALUE"""),562106)</f>
        <v>562106</v>
      </c>
      <c r="D1159" s="1" t="str">
        <f ca="1">IFERROR(__xludf.DUMMYFUNCTION("""COMPUTED_VALUE"""),"Male")</f>
        <v>Male</v>
      </c>
      <c r="E1159" s="1" t="str">
        <f ca="1">IFERROR(__xludf.DUMMYFUNCTION("""COMPUTED_VALUE"""),"People who have changed the world for better")</f>
        <v>People who have changed the world for better</v>
      </c>
      <c r="F1159" s="1" t="str">
        <f ca="1">IFERROR(__xludf.DUMMYFUNCTION("""COMPUTED_VALUE"""),"Yes, I will earn and do that")</f>
        <v>Yes, I will earn and do that</v>
      </c>
      <c r="G1159" s="1" t="str">
        <f ca="1">IFERROR(__xludf.DUMMYFUNCTION("""COMPUTED_VALUE"""),"This will be hard to do, but if it is the right company I would try")</f>
        <v>This will be hard to do, but if it is the right company I would try</v>
      </c>
      <c r="H1159" s="1" t="str">
        <f ca="1">IFERROR(__xludf.DUMMYFUNCTION("""COMPUTED_VALUE"""),"No")</f>
        <v>No</v>
      </c>
      <c r="I1159" s="1" t="str">
        <f ca="1">IFERROR(__xludf.DUMMYFUNCTION("""COMPUTED_VALUE"""),"Will NOT work for them")</f>
        <v>Will NOT work for them</v>
      </c>
      <c r="J1159" s="1">
        <f ca="1">IFERROR(__xludf.DUMMYFUNCTION("""COMPUTED_VALUE"""),5)</f>
        <v>5</v>
      </c>
      <c r="K1159" s="1" t="str">
        <f ca="1">IFERROR(__xludf.DUMMYFUNCTION("""COMPUTED_VALUE"""),"Fully Remote with Options to travel as and when needed")</f>
        <v>Fully Remote with Options to travel as and when needed</v>
      </c>
      <c r="L1159" s="1" t="str">
        <f ca="1">IFERROR(__xludf.DUMMYFUNCTION("""COMPUTED_VALUE"""),"Employer who pushes your limits by enabling an learning environment, and rewards you at the end")</f>
        <v>Employer who pushes your limits by enabling an learning environment, and rewards you at the end</v>
      </c>
      <c r="M1159"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N1159" s="1"/>
      <c r="O1159" s="1" t="str">
        <f ca="1">IFERROR(__xludf.DUMMYFUNCTION("""COMPUTED_VALUE"""),"Manager who explains what is expected, sets a goal and helps achieve it")</f>
        <v>Manager who explains what is expected, sets a goal and helps achieve it</v>
      </c>
      <c r="P1159" s="1" t="str">
        <f ca="1">IFERROR(__xludf.DUMMYFUNCTION("""COMPUTED_VALUE"""),"Work &lt;=6 People in the Team")</f>
        <v>Work &lt;=6 People in the Team</v>
      </c>
      <c r="Q1159" s="1" t="s">
        <v>40</v>
      </c>
      <c r="R1159" s="1"/>
    </row>
    <row r="1160" spans="1:18" x14ac:dyDescent="0.25">
      <c r="A1160" s="2">
        <f ca="1">IFERROR(__xludf.DUMMYFUNCTION("""COMPUTED_VALUE"""),45044.3844955671)</f>
        <v>45044.384495567101</v>
      </c>
      <c r="B1160" s="1" t="str">
        <f ca="1">IFERROR(__xludf.DUMMYFUNCTION("""COMPUTED_VALUE"""),"India")</f>
        <v>India</v>
      </c>
      <c r="C1160" s="1">
        <f ca="1">IFERROR(__xludf.DUMMYFUNCTION("""COMPUTED_VALUE"""),581336)</f>
        <v>581336</v>
      </c>
      <c r="D1160" s="1" t="str">
        <f ca="1">IFERROR(__xludf.DUMMYFUNCTION("""COMPUTED_VALUE"""),"Male")</f>
        <v>Male</v>
      </c>
      <c r="E1160" s="1" t="str">
        <f ca="1">IFERROR(__xludf.DUMMYFUNCTION("""COMPUTED_VALUE"""),"My Parents")</f>
        <v>My Parents</v>
      </c>
      <c r="F1160" s="1" t="str">
        <f ca="1">IFERROR(__xludf.DUMMYFUNCTION("""COMPUTED_VALUE"""),"No, But if someone could bare the cost I will")</f>
        <v>No, But if someone could bare the cost I will</v>
      </c>
      <c r="G1160" s="1" t="str">
        <f ca="1">IFERROR(__xludf.DUMMYFUNCTION("""COMPUTED_VALUE"""),"This will be hard to do, but if it is the right company I would try")</f>
        <v>This will be hard to do, but if it is the right company I would try</v>
      </c>
      <c r="H1160" s="1" t="str">
        <f ca="1">IFERROR(__xludf.DUMMYFUNCTION("""COMPUTED_VALUE"""),"No")</f>
        <v>No</v>
      </c>
      <c r="I1160" s="1" t="str">
        <f ca="1">IFERROR(__xludf.DUMMYFUNCTION("""COMPUTED_VALUE"""),"Will NOT work for them")</f>
        <v>Will NOT work for them</v>
      </c>
      <c r="J1160" s="1">
        <f ca="1">IFERROR(__xludf.DUMMYFUNCTION("""COMPUTED_VALUE"""),3)</f>
        <v>3</v>
      </c>
      <c r="K1160" s="1" t="str">
        <f ca="1">IFERROR(__xludf.DUMMYFUNCTION("""COMPUTED_VALUE"""),"Hybrid Working Environment with less than 3 days a month at office")</f>
        <v>Hybrid Working Environment with less than 3 days a month at office</v>
      </c>
      <c r="L1160" s="1" t="str">
        <f ca="1">IFERROR(__xludf.DUMMYFUNCTION("""COMPUTED_VALUE"""),"Employer who appreciates learning and enables that environment")</f>
        <v>Employer who appreciates learning and enables that environment</v>
      </c>
      <c r="M1160"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N1160" s="1"/>
      <c r="O1160" s="1" t="str">
        <f ca="1">IFERROR(__xludf.DUMMYFUNCTION("""COMPUTED_VALUE"""),"Manager who clearly describes what she/he needs")</f>
        <v>Manager who clearly describes what she/he needs</v>
      </c>
      <c r="P1160" s="1" t="str">
        <f ca="1">IFERROR(__xludf.DUMMYFUNCTION("""COMPUTED_VALUE"""),"Work &lt;=6 People in the Team")</f>
        <v>Work &lt;=6 People in the Team</v>
      </c>
      <c r="Q1160" s="1" t="s">
        <v>43</v>
      </c>
      <c r="R1160" s="1"/>
    </row>
    <row r="1161" spans="1:18" x14ac:dyDescent="0.25">
      <c r="A1161" s="2">
        <f ca="1">IFERROR(__xludf.DUMMYFUNCTION("""COMPUTED_VALUE"""),45044.3850417476)</f>
        <v>45044.385041747599</v>
      </c>
      <c r="B1161" s="1" t="str">
        <f ca="1">IFERROR(__xludf.DUMMYFUNCTION("""COMPUTED_VALUE"""),"India")</f>
        <v>India</v>
      </c>
      <c r="C1161" s="1">
        <f ca="1">IFERROR(__xludf.DUMMYFUNCTION("""COMPUTED_VALUE"""),440035)</f>
        <v>440035</v>
      </c>
      <c r="D1161" s="1" t="str">
        <f ca="1">IFERROR(__xludf.DUMMYFUNCTION("""COMPUTED_VALUE"""),"Female")</f>
        <v>Female</v>
      </c>
      <c r="E1161" s="1" t="str">
        <f ca="1">IFERROR(__xludf.DUMMYFUNCTION("""COMPUTED_VALUE"""),"My Parents")</f>
        <v>My Parents</v>
      </c>
      <c r="F1161" s="1" t="str">
        <f ca="1">IFERROR(__xludf.DUMMYFUNCTION("""COMPUTED_VALUE"""),"Yes, I will earn and do that")</f>
        <v>Yes, I will earn and do that</v>
      </c>
      <c r="G1161" s="1" t="str">
        <f ca="1">IFERROR(__xludf.DUMMYFUNCTION("""COMPUTED_VALUE"""),"Will work for 3 years or more")</f>
        <v>Will work for 3 years or more</v>
      </c>
      <c r="H1161" s="1" t="str">
        <f ca="1">IFERROR(__xludf.DUMMYFUNCTION("""COMPUTED_VALUE"""),"No")</f>
        <v>No</v>
      </c>
      <c r="I1161" s="1" t="str">
        <f ca="1">IFERROR(__xludf.DUMMYFUNCTION("""COMPUTED_VALUE"""),"Will NOT work for them")</f>
        <v>Will NOT work for them</v>
      </c>
      <c r="J1161" s="1">
        <f ca="1">IFERROR(__xludf.DUMMYFUNCTION("""COMPUTED_VALUE"""),1)</f>
        <v>1</v>
      </c>
      <c r="K1161" s="1" t="str">
        <f ca="1">IFERROR(__xludf.DUMMYFUNCTION("""COMPUTED_VALUE"""),"Fully Remote with Options to travel as and when needed")</f>
        <v>Fully Remote with Options to travel as and when needed</v>
      </c>
      <c r="L1161" s="1" t="str">
        <f ca="1">IFERROR(__xludf.DUMMYFUNCTION("""COMPUTED_VALUE"""),"Employer who pushes your limits by enabling an learning environment, and rewards you at the end")</f>
        <v>Employer who pushes your limits by enabling an learning environment, and rewards you at the end</v>
      </c>
      <c r="M1161"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N1161" s="1"/>
      <c r="O1161" s="1" t="str">
        <f ca="1">IFERROR(__xludf.DUMMYFUNCTION("""COMPUTED_VALUE"""),"Manager who explains what is expected, sets a goal and helps achieve it")</f>
        <v>Manager who explains what is expected, sets a goal and helps achieve it</v>
      </c>
      <c r="P1161" s="1" t="str">
        <f ca="1">IFERROR(__xludf.DUMMYFUNCTION("""COMPUTED_VALUE"""),"Work &lt;=6 People in the Team")</f>
        <v>Work &lt;=6 People in the Team</v>
      </c>
      <c r="Q1161" s="1" t="s">
        <v>43</v>
      </c>
      <c r="R1161" s="1"/>
    </row>
    <row r="1162" spans="1:18" x14ac:dyDescent="0.25">
      <c r="A1162" s="2">
        <f ca="1">IFERROR(__xludf.DUMMYFUNCTION("""COMPUTED_VALUE"""),45044.3881473495)</f>
        <v>45044.388147349498</v>
      </c>
      <c r="B1162" s="1" t="str">
        <f ca="1">IFERROR(__xludf.DUMMYFUNCTION("""COMPUTED_VALUE"""),"India")</f>
        <v>India</v>
      </c>
      <c r="C1162" s="1">
        <f ca="1">IFERROR(__xludf.DUMMYFUNCTION("""COMPUTED_VALUE"""),423203)</f>
        <v>423203</v>
      </c>
      <c r="D1162" s="1" t="str">
        <f ca="1">IFERROR(__xludf.DUMMYFUNCTION("""COMPUTED_VALUE"""),"Male")</f>
        <v>Male</v>
      </c>
      <c r="E1162" s="1" t="str">
        <f ca="1">IFERROR(__xludf.DUMMYFUNCTION("""COMPUTED_VALUE"""),"Influencers who had successful careers")</f>
        <v>Influencers who had successful careers</v>
      </c>
      <c r="F1162" s="1" t="str">
        <f ca="1">IFERROR(__xludf.DUMMYFUNCTION("""COMPUTED_VALUE"""),"No I would not be pursuing Higher Education outside of India")</f>
        <v>No I would not be pursuing Higher Education outside of India</v>
      </c>
      <c r="G1162" s="1" t="str">
        <f ca="1">IFERROR(__xludf.DUMMYFUNCTION("""COMPUTED_VALUE"""),"This will be hard to do, but if it is the right company I would try")</f>
        <v>This will be hard to do, but if it is the right company I would try</v>
      </c>
      <c r="H1162" s="1" t="str">
        <f ca="1">IFERROR(__xludf.DUMMYFUNCTION("""COMPUTED_VALUE"""),"No")</f>
        <v>No</v>
      </c>
      <c r="I1162" s="1" t="str">
        <f ca="1">IFERROR(__xludf.DUMMYFUNCTION("""COMPUTED_VALUE"""),"Will NOT work for them")</f>
        <v>Will NOT work for them</v>
      </c>
      <c r="J1162" s="1">
        <f ca="1">IFERROR(__xludf.DUMMYFUNCTION("""COMPUTED_VALUE"""),3)</f>
        <v>3</v>
      </c>
      <c r="K1162" s="1" t="str">
        <f ca="1">IFERROR(__xludf.DUMMYFUNCTION("""COMPUTED_VALUE"""),"Fully Remote with Options to travel as and when needed")</f>
        <v>Fully Remote with Options to travel as and when needed</v>
      </c>
      <c r="L1162" s="1" t="str">
        <f ca="1">IFERROR(__xludf.DUMMYFUNCTION("""COMPUTED_VALUE"""),"Employers who appreciates learning but doesn't enables an learning environment")</f>
        <v>Employers who appreciates learning but doesn't enables an learning environment</v>
      </c>
      <c r="M116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162" s="1"/>
      <c r="O1162" s="1" t="str">
        <f ca="1">IFERROR(__xludf.DUMMYFUNCTION("""COMPUTED_VALUE"""),"Manager who explains what is expected, sets a goal and helps achieve it")</f>
        <v>Manager who explains what is expected, sets a goal and helps achieve it</v>
      </c>
      <c r="P1162" s="1" t="str">
        <f ca="1">IFERROR(__xludf.DUMMYFUNCTION("""COMPUTED_VALUE"""),"Work &lt;=6 People in the Team")</f>
        <v>Work &lt;=6 People in the Team</v>
      </c>
      <c r="Q1162" s="1" t="s">
        <v>40</v>
      </c>
      <c r="R1162" s="1"/>
    </row>
    <row r="1163" spans="1:18" x14ac:dyDescent="0.25">
      <c r="A1163" s="2">
        <f ca="1">IFERROR(__xludf.DUMMYFUNCTION("""COMPUTED_VALUE"""),45044.3917809375)</f>
        <v>45044.391780937498</v>
      </c>
      <c r="B1163" s="1" t="str">
        <f ca="1">IFERROR(__xludf.DUMMYFUNCTION("""COMPUTED_VALUE"""),"India")</f>
        <v>India</v>
      </c>
      <c r="C1163" s="1">
        <f ca="1">IFERROR(__xludf.DUMMYFUNCTION("""COMPUTED_VALUE"""),201204)</f>
        <v>201204</v>
      </c>
      <c r="D1163" s="1" t="str">
        <f ca="1">IFERROR(__xludf.DUMMYFUNCTION("""COMPUTED_VALUE"""),"Female")</f>
        <v>Female</v>
      </c>
      <c r="E1163" s="1" t="str">
        <f ca="1">IFERROR(__xludf.DUMMYFUNCTION("""COMPUTED_VALUE"""),"My Parents")</f>
        <v>My Parents</v>
      </c>
      <c r="F1163" s="1" t="str">
        <f ca="1">IFERROR(__xludf.DUMMYFUNCTION("""COMPUTED_VALUE"""),"Yes, I will earn and do that")</f>
        <v>Yes, I will earn and do that</v>
      </c>
      <c r="G1163" s="1" t="str">
        <f ca="1">IFERROR(__xludf.DUMMYFUNCTION("""COMPUTED_VALUE"""),"Will work for 3 years or more")</f>
        <v>Will work for 3 years or more</v>
      </c>
      <c r="H1163" s="1" t="str">
        <f ca="1">IFERROR(__xludf.DUMMYFUNCTION("""COMPUTED_VALUE"""),"No")</f>
        <v>No</v>
      </c>
      <c r="I1163" s="1" t="str">
        <f ca="1">IFERROR(__xludf.DUMMYFUNCTION("""COMPUTED_VALUE"""),"Will NOT work for them")</f>
        <v>Will NOT work for them</v>
      </c>
      <c r="J1163" s="1">
        <f ca="1">IFERROR(__xludf.DUMMYFUNCTION("""COMPUTED_VALUE"""),5)</f>
        <v>5</v>
      </c>
      <c r="K1163" s="1" t="str">
        <f ca="1">IFERROR(__xludf.DUMMYFUNCTION("""COMPUTED_VALUE"""),"Every Day Office Environment")</f>
        <v>Every Day Office Environment</v>
      </c>
      <c r="L1163" s="1" t="str">
        <f ca="1">IFERROR(__xludf.DUMMYFUNCTION("""COMPUTED_VALUE"""),"Employer who appreciates learning and enables that environment")</f>
        <v>Employer who appreciates learning and enables that environment</v>
      </c>
      <c r="M1163" s="1" t="str">
        <f ca="1">IFERROR(__xludf.DUMMYFUNCTION("""COMPUTED_VALUE"""),"Design and Creative strategy in any company, Become a content Creator in some platform, I Want to sell things/Sales, Manufacturing / Oil and Gas/ Construction / Hard Physical Work related")</f>
        <v>Design and Creative strategy in any company, Become a content Creator in some platform, I Want to sell things/Sales, Manufacturing / Oil and Gas/ Construction / Hard Physical Work related</v>
      </c>
      <c r="N1163" s="1"/>
      <c r="O1163" s="1" t="str">
        <f ca="1">IFERROR(__xludf.DUMMYFUNCTION("""COMPUTED_VALUE"""),"Manager who sets goal and helps me achieve it")</f>
        <v>Manager who sets goal and helps me achieve it</v>
      </c>
      <c r="P1163" s="1" t="str">
        <f ca="1">IFERROR(__xludf.DUMMYFUNCTION("""COMPUTED_VALUE"""),"Work alone")</f>
        <v>Work alone</v>
      </c>
      <c r="Q1163" s="1" t="s">
        <v>43</v>
      </c>
      <c r="R1163" s="1"/>
    </row>
    <row r="1164" spans="1:18" x14ac:dyDescent="0.25">
      <c r="A1164" s="2">
        <f ca="1">IFERROR(__xludf.DUMMYFUNCTION("""COMPUTED_VALUE"""),45044.4011956597)</f>
        <v>45044.401195659702</v>
      </c>
      <c r="B1164" s="1" t="str">
        <f ca="1">IFERROR(__xludf.DUMMYFUNCTION("""COMPUTED_VALUE"""),"India")</f>
        <v>India</v>
      </c>
      <c r="C1164" s="1">
        <f ca="1">IFERROR(__xludf.DUMMYFUNCTION("""COMPUTED_VALUE"""),534002)</f>
        <v>534002</v>
      </c>
      <c r="D1164" s="1" t="str">
        <f ca="1">IFERROR(__xludf.DUMMYFUNCTION("""COMPUTED_VALUE"""),"Female")</f>
        <v>Female</v>
      </c>
      <c r="E1164" s="1" t="str">
        <f ca="1">IFERROR(__xludf.DUMMYFUNCTION("""COMPUTED_VALUE"""),"My Parents")</f>
        <v>My Parents</v>
      </c>
      <c r="F1164" s="1" t="str">
        <f ca="1">IFERROR(__xludf.DUMMYFUNCTION("""COMPUTED_VALUE"""),"No I would not be pursuing Higher Education outside of India")</f>
        <v>No I would not be pursuing Higher Education outside of India</v>
      </c>
      <c r="G1164" s="1" t="str">
        <f ca="1">IFERROR(__xludf.DUMMYFUNCTION("""COMPUTED_VALUE"""),"Will work for 3 years or more")</f>
        <v>Will work for 3 years or more</v>
      </c>
      <c r="H1164" s="1" t="str">
        <f ca="1">IFERROR(__xludf.DUMMYFUNCTION("""COMPUTED_VALUE"""),"No")</f>
        <v>No</v>
      </c>
      <c r="I1164" s="1" t="str">
        <f ca="1">IFERROR(__xludf.DUMMYFUNCTION("""COMPUTED_VALUE"""),"Will NOT work for them")</f>
        <v>Will NOT work for them</v>
      </c>
      <c r="J1164" s="1">
        <f ca="1">IFERROR(__xludf.DUMMYFUNCTION("""COMPUTED_VALUE"""),3)</f>
        <v>3</v>
      </c>
      <c r="K1164" s="1" t="str">
        <f ca="1">IFERROR(__xludf.DUMMYFUNCTION("""COMPUTED_VALUE"""),"Hybrid Working Environment with more than 15 days a month at office")</f>
        <v>Hybrid Working Environment with more than 15 days a month at office</v>
      </c>
      <c r="L1164" s="1" t="str">
        <f ca="1">IFERROR(__xludf.DUMMYFUNCTION("""COMPUTED_VALUE"""),"Employer who rewards learning and enables that environment")</f>
        <v>Employer who rewards learning and enables that environment</v>
      </c>
      <c r="M116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164" s="1"/>
      <c r="O1164" s="1" t="str">
        <f ca="1">IFERROR(__xludf.DUMMYFUNCTION("""COMPUTED_VALUE"""),"Manager who clearly describes what she/he needs")</f>
        <v>Manager who clearly describes what she/he needs</v>
      </c>
      <c r="P1164" s="1" t="str">
        <f ca="1">IFERROR(__xludf.DUMMYFUNCTION("""COMPUTED_VALUE"""),"Work Alone, &lt;67 people in team")</f>
        <v>Work Alone, &lt;67 people in team</v>
      </c>
      <c r="Q1164" s="1" t="s">
        <v>43</v>
      </c>
      <c r="R1164" s="1"/>
    </row>
    <row r="1165" spans="1:18" x14ac:dyDescent="0.25">
      <c r="A1165" s="2">
        <f ca="1">IFERROR(__xludf.DUMMYFUNCTION("""COMPUTED_VALUE"""),45044.4088640856)</f>
        <v>45044.408864085599</v>
      </c>
      <c r="B1165" s="1" t="str">
        <f ca="1">IFERROR(__xludf.DUMMYFUNCTION("""COMPUTED_VALUE"""),"India")</f>
        <v>India</v>
      </c>
      <c r="C1165" s="1">
        <f ca="1">IFERROR(__xludf.DUMMYFUNCTION("""COMPUTED_VALUE"""),560068)</f>
        <v>560068</v>
      </c>
      <c r="D1165" s="1" t="str">
        <f ca="1">IFERROR(__xludf.DUMMYFUNCTION("""COMPUTED_VALUE"""),"Female")</f>
        <v>Female</v>
      </c>
      <c r="E1165" s="1" t="str">
        <f ca="1">IFERROR(__xludf.DUMMYFUNCTION("""COMPUTED_VALUE"""),"My Parents")</f>
        <v>My Parents</v>
      </c>
      <c r="F1165" s="1" t="str">
        <f ca="1">IFERROR(__xludf.DUMMYFUNCTION("""COMPUTED_VALUE"""),"Yes, I will earn and do that")</f>
        <v>Yes, I will earn and do that</v>
      </c>
      <c r="G1165" s="1" t="str">
        <f ca="1">IFERROR(__xludf.DUMMYFUNCTION("""COMPUTED_VALUE"""),"This will be hard to do, but if it is the right company I would try")</f>
        <v>This will be hard to do, but if it is the right company I would try</v>
      </c>
      <c r="H1165" s="1" t="str">
        <f ca="1">IFERROR(__xludf.DUMMYFUNCTION("""COMPUTED_VALUE"""),"No")</f>
        <v>No</v>
      </c>
      <c r="I1165" s="1" t="str">
        <f ca="1">IFERROR(__xludf.DUMMYFUNCTION("""COMPUTED_VALUE"""),"Will NOT work for them")</f>
        <v>Will NOT work for them</v>
      </c>
      <c r="J1165" s="1">
        <f ca="1">IFERROR(__xludf.DUMMYFUNCTION("""COMPUTED_VALUE"""),5)</f>
        <v>5</v>
      </c>
      <c r="K1165" s="1" t="str">
        <f ca="1">IFERROR(__xludf.DUMMYFUNCTION("""COMPUTED_VALUE"""),"Fully Remote with Options to travel as and when needed")</f>
        <v>Fully Remote with Options to travel as and when needed</v>
      </c>
      <c r="L1165" s="1" t="str">
        <f ca="1">IFERROR(__xludf.DUMMYFUNCTION("""COMPUTED_VALUE"""),"Employer who pushes your limits by enabling an learning environment, and rewards you at the end")</f>
        <v>Employer who pushes your limits by enabling an learning environment, and rewards you at the end</v>
      </c>
      <c r="M1165"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N1165" s="1"/>
      <c r="O1165" s="1" t="str">
        <f ca="1">IFERROR(__xludf.DUMMYFUNCTION("""COMPUTED_VALUE"""),"Manager who explains what is expected, sets a goal and helps achieve it")</f>
        <v>Manager who explains what is expected, sets a goal and helps achieve it</v>
      </c>
      <c r="P1165" s="1" t="str">
        <f ca="1">IFERROR(__xludf.DUMMYFUNCTION("""COMPUTED_VALUE"""),"Work &lt;=6 People in the Team")</f>
        <v>Work &lt;=6 People in the Team</v>
      </c>
      <c r="Q1165" s="1" t="s">
        <v>40</v>
      </c>
      <c r="R1165" s="1"/>
    </row>
    <row r="1166" spans="1:18" x14ac:dyDescent="0.25">
      <c r="A1166" s="2">
        <f ca="1">IFERROR(__xludf.DUMMYFUNCTION("""COMPUTED_VALUE"""),45044.411692037)</f>
        <v>45044.411692037</v>
      </c>
      <c r="B1166" s="1" t="str">
        <f ca="1">IFERROR(__xludf.DUMMYFUNCTION("""COMPUTED_VALUE"""),"India")</f>
        <v>India</v>
      </c>
      <c r="C1166" s="1">
        <f ca="1">IFERROR(__xludf.DUMMYFUNCTION("""COMPUTED_VALUE"""),530002)</f>
        <v>530002</v>
      </c>
      <c r="D1166" s="1" t="str">
        <f ca="1">IFERROR(__xludf.DUMMYFUNCTION("""COMPUTED_VALUE"""),"Female")</f>
        <v>Female</v>
      </c>
      <c r="E1166" s="1" t="str">
        <f ca="1">IFERROR(__xludf.DUMMYFUNCTION("""COMPUTED_VALUE"""),"People who have changed the world for better")</f>
        <v>People who have changed the world for better</v>
      </c>
      <c r="F1166" s="1" t="str">
        <f ca="1">IFERROR(__xludf.DUMMYFUNCTION("""COMPUTED_VALUE"""),"Yes, I will earn and do that")</f>
        <v>Yes, I will earn and do that</v>
      </c>
      <c r="G1166" s="1" t="str">
        <f ca="1">IFERROR(__xludf.DUMMYFUNCTION("""COMPUTED_VALUE"""),"This will be hard to do, but if it is the right company I would try")</f>
        <v>This will be hard to do, but if it is the right company I would try</v>
      </c>
      <c r="H1166" s="1" t="str">
        <f ca="1">IFERROR(__xludf.DUMMYFUNCTION("""COMPUTED_VALUE"""),"No")</f>
        <v>No</v>
      </c>
      <c r="I1166" s="1" t="str">
        <f ca="1">IFERROR(__xludf.DUMMYFUNCTION("""COMPUTED_VALUE"""),"Will NOT work for them")</f>
        <v>Will NOT work for them</v>
      </c>
      <c r="J1166" s="1">
        <f ca="1">IFERROR(__xludf.DUMMYFUNCTION("""COMPUTED_VALUE"""),3)</f>
        <v>3</v>
      </c>
      <c r="K1166" s="1" t="str">
        <f ca="1">IFERROR(__xludf.DUMMYFUNCTION("""COMPUTED_VALUE"""),"Fully Remote with Options to travel as and when needed")</f>
        <v>Fully Remote with Options to travel as and when needed</v>
      </c>
      <c r="L1166" s="1" t="str">
        <f ca="1">IFERROR(__xludf.DUMMYFUNCTION("""COMPUTED_VALUE"""),"Employer who pushes your limits by enabling an learning environment, and rewards you at the end")</f>
        <v>Employer who pushes your limits by enabling an learning environment, and rewards you at the end</v>
      </c>
      <c r="M116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N1166" s="1"/>
      <c r="O1166" s="1" t="str">
        <f ca="1">IFERROR(__xludf.DUMMYFUNCTION("""COMPUTED_VALUE"""),"Manager who explains what is expected, sets a goal and helps achieve it")</f>
        <v>Manager who explains what is expected, sets a goal and helps achieve it</v>
      </c>
      <c r="P1166" s="1" t="str">
        <f ca="1">IFERROR(__xludf.DUMMYFUNCTION("""COMPUTED_VALUE"""),"Work &lt;=6 People in the Team")</f>
        <v>Work &lt;=6 People in the Team</v>
      </c>
      <c r="Q1166" s="1" t="s">
        <v>43</v>
      </c>
      <c r="R1166" s="1"/>
    </row>
    <row r="1167" spans="1:18" x14ac:dyDescent="0.25">
      <c r="A1167" s="2">
        <f ca="1">IFERROR(__xludf.DUMMYFUNCTION("""COMPUTED_VALUE"""),45044.4152023495)</f>
        <v>45044.415202349497</v>
      </c>
      <c r="B1167" s="1" t="str">
        <f ca="1">IFERROR(__xludf.DUMMYFUNCTION("""COMPUTED_VALUE"""),"India")</f>
        <v>India</v>
      </c>
      <c r="C1167" s="1">
        <f ca="1">IFERROR(__xludf.DUMMYFUNCTION("""COMPUTED_VALUE"""),560079)</f>
        <v>560079</v>
      </c>
      <c r="D1167" s="1" t="str">
        <f ca="1">IFERROR(__xludf.DUMMYFUNCTION("""COMPUTED_VALUE"""),"Male")</f>
        <v>Male</v>
      </c>
      <c r="E1167" s="1" t="str">
        <f ca="1">IFERROR(__xludf.DUMMYFUNCTION("""COMPUTED_VALUE"""),"My Parents")</f>
        <v>My Parents</v>
      </c>
      <c r="F1167" s="1" t="str">
        <f ca="1">IFERROR(__xludf.DUMMYFUNCTION("""COMPUTED_VALUE"""),"Yes, I will earn and do that")</f>
        <v>Yes, I will earn and do that</v>
      </c>
      <c r="G1167" s="1" t="str">
        <f ca="1">IFERROR(__xludf.DUMMYFUNCTION("""COMPUTED_VALUE"""),"Will work for 3 years or more")</f>
        <v>Will work for 3 years or more</v>
      </c>
      <c r="H1167" s="1" t="str">
        <f ca="1">IFERROR(__xludf.DUMMYFUNCTION("""COMPUTED_VALUE"""),"Yes")</f>
        <v>Yes</v>
      </c>
      <c r="I1167" s="1" t="str">
        <f ca="1">IFERROR(__xludf.DUMMYFUNCTION("""COMPUTED_VALUE"""),"Will work for them")</f>
        <v>Will work for them</v>
      </c>
      <c r="J1167" s="1">
        <f ca="1">IFERROR(__xludf.DUMMYFUNCTION("""COMPUTED_VALUE"""),5)</f>
        <v>5</v>
      </c>
      <c r="K1167" s="1" t="str">
        <f ca="1">IFERROR(__xludf.DUMMYFUNCTION("""COMPUTED_VALUE"""),"Every Day Office Environment")</f>
        <v>Every Day Office Environment</v>
      </c>
      <c r="L1167" s="1" t="str">
        <f ca="1">IFERROR(__xludf.DUMMYFUNCTION("""COMPUTED_VALUE"""),"Employer who pushes your limits by enabling an learning environment, and rewards you at the end")</f>
        <v>Employer who pushes your limits by enabling an learning environment, and rewards you at the end</v>
      </c>
      <c r="M1167"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N1167" s="1"/>
      <c r="O1167" s="1" t="str">
        <f ca="1">IFERROR(__xludf.DUMMYFUNCTION("""COMPUTED_VALUE"""),"Manager who clearly describes what she/he needs")</f>
        <v>Manager who clearly describes what she/he needs</v>
      </c>
      <c r="P1167" s="1" t="str">
        <f ca="1">IFERROR(__xludf.DUMMYFUNCTION("""COMPUTED_VALUE"""),"Work &gt;=7 People in the Team")</f>
        <v>Work &gt;=7 People in the Team</v>
      </c>
      <c r="Q1167" s="1" t="s">
        <v>42</v>
      </c>
      <c r="R1167" s="1"/>
    </row>
    <row r="1168" spans="1:18" x14ac:dyDescent="0.25">
      <c r="A1168" s="2">
        <f ca="1">IFERROR(__xludf.DUMMYFUNCTION("""COMPUTED_VALUE"""),45044.4190348263)</f>
        <v>45044.4190348263</v>
      </c>
      <c r="B1168" s="1" t="str">
        <f ca="1">IFERROR(__xludf.DUMMYFUNCTION("""COMPUTED_VALUE"""),"India")</f>
        <v>India</v>
      </c>
      <c r="C1168" s="1">
        <f ca="1">IFERROR(__xludf.DUMMYFUNCTION("""COMPUTED_VALUE"""),530002)</f>
        <v>530002</v>
      </c>
      <c r="D1168" s="1" t="str">
        <f ca="1">IFERROR(__xludf.DUMMYFUNCTION("""COMPUTED_VALUE"""),"Female")</f>
        <v>Female</v>
      </c>
      <c r="E1168" s="1" t="str">
        <f ca="1">IFERROR(__xludf.DUMMYFUNCTION("""COMPUTED_VALUE"""),"People who have changed the world for better")</f>
        <v>People who have changed the world for better</v>
      </c>
      <c r="F1168" s="1" t="str">
        <f ca="1">IFERROR(__xludf.DUMMYFUNCTION("""COMPUTED_VALUE"""),"No, But if someone could bare the cost I will")</f>
        <v>No, But if someone could bare the cost I will</v>
      </c>
      <c r="G1168" s="1" t="str">
        <f ca="1">IFERROR(__xludf.DUMMYFUNCTION("""COMPUTED_VALUE"""),"This will be hard to do, but if it is the right company I would try")</f>
        <v>This will be hard to do, but if it is the right company I would try</v>
      </c>
      <c r="H1168" s="1" t="str">
        <f ca="1">IFERROR(__xludf.DUMMYFUNCTION("""COMPUTED_VALUE"""),"No")</f>
        <v>No</v>
      </c>
      <c r="I1168" s="1" t="str">
        <f ca="1">IFERROR(__xludf.DUMMYFUNCTION("""COMPUTED_VALUE"""),"Will NOT work for them")</f>
        <v>Will NOT work for them</v>
      </c>
      <c r="J1168" s="1">
        <f ca="1">IFERROR(__xludf.DUMMYFUNCTION("""COMPUTED_VALUE"""),6)</f>
        <v>6</v>
      </c>
      <c r="K1168" s="1" t="str">
        <f ca="1">IFERROR(__xludf.DUMMYFUNCTION("""COMPUTED_VALUE"""),"Hybrid Working Environment with more than 15 days a month at office")</f>
        <v>Hybrid Working Environment with more than 15 days a month at office</v>
      </c>
      <c r="L1168" s="1" t="str">
        <f ca="1">IFERROR(__xludf.DUMMYFUNCTION("""COMPUTED_VALUE"""),"Employer who pushes your limits by enabling an learning environment, and rewards you at the end")</f>
        <v>Employer who pushes your limits by enabling an learning environment, and rewards you at the end</v>
      </c>
      <c r="M116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168" s="1"/>
      <c r="O1168" s="1" t="str">
        <f ca="1">IFERROR(__xludf.DUMMYFUNCTION("""COMPUTED_VALUE"""),"Manager who explains what is expected, sets a goal and helps achieve it")</f>
        <v>Manager who explains what is expected, sets a goal and helps achieve it</v>
      </c>
      <c r="P1168" s="1" t="str">
        <f ca="1">IFERROR(__xludf.DUMMYFUNCTION("""COMPUTED_VALUE"""),"Work &lt;=6 People in the Team")</f>
        <v>Work &lt;=6 People in the Team</v>
      </c>
      <c r="Q1168" s="1" t="s">
        <v>40</v>
      </c>
      <c r="R1168" s="1"/>
    </row>
    <row r="1169" spans="1:18" x14ac:dyDescent="0.25">
      <c r="A1169" s="2">
        <f ca="1">IFERROR(__xludf.DUMMYFUNCTION("""COMPUTED_VALUE"""),45044.4201268171)</f>
        <v>45044.420126817102</v>
      </c>
      <c r="B1169" s="1" t="str">
        <f ca="1">IFERROR(__xludf.DUMMYFUNCTION("""COMPUTED_VALUE"""),"India")</f>
        <v>India</v>
      </c>
      <c r="C1169" s="1">
        <f ca="1">IFERROR(__xludf.DUMMYFUNCTION("""COMPUTED_VALUE"""),110091)</f>
        <v>110091</v>
      </c>
      <c r="D1169" s="1" t="str">
        <f ca="1">IFERROR(__xludf.DUMMYFUNCTION("""COMPUTED_VALUE"""),"Male")</f>
        <v>Male</v>
      </c>
      <c r="E1169" s="1" t="str">
        <f ca="1">IFERROR(__xludf.DUMMYFUNCTION("""COMPUTED_VALUE"""),"People from my circle, but not family members")</f>
        <v>People from my circle, but not family members</v>
      </c>
      <c r="F1169" s="1" t="str">
        <f ca="1">IFERROR(__xludf.DUMMYFUNCTION("""COMPUTED_VALUE"""),"No, But if someone could bare the cost I will")</f>
        <v>No, But if someone could bare the cost I will</v>
      </c>
      <c r="G1169" s="1" t="str">
        <f ca="1">IFERROR(__xludf.DUMMYFUNCTION("""COMPUTED_VALUE"""),"Will work for 3 years or more")</f>
        <v>Will work for 3 years or more</v>
      </c>
      <c r="H1169" s="1" t="str">
        <f ca="1">IFERROR(__xludf.DUMMYFUNCTION("""COMPUTED_VALUE"""),"No")</f>
        <v>No</v>
      </c>
      <c r="I1169" s="1" t="str">
        <f ca="1">IFERROR(__xludf.DUMMYFUNCTION("""COMPUTED_VALUE"""),"Will NOT work for them")</f>
        <v>Will NOT work for them</v>
      </c>
      <c r="J1169" s="1">
        <f ca="1">IFERROR(__xludf.DUMMYFUNCTION("""COMPUTED_VALUE"""),10)</f>
        <v>10</v>
      </c>
      <c r="K1169" s="1" t="str">
        <f ca="1">IFERROR(__xludf.DUMMYFUNCTION("""COMPUTED_VALUE"""),"Every Day Office Environment")</f>
        <v>Every Day Office Environment</v>
      </c>
      <c r="L1169" s="1" t="str">
        <f ca="1">IFERROR(__xludf.DUMMYFUNCTION("""COMPUTED_VALUE"""),"Employer who pushes your limits by enabling an learning environment, and rewards you at the end")</f>
        <v>Employer who pushes your limits by enabling an learning environment, and rewards you at the end</v>
      </c>
      <c r="M1169"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1169" s="1"/>
      <c r="O1169" s="1" t="str">
        <f ca="1">IFERROR(__xludf.DUMMYFUNCTION("""COMPUTED_VALUE"""),"Manager who explains what is expected, sets a goal and helps achieve it")</f>
        <v>Manager who explains what is expected, sets a goal and helps achieve it</v>
      </c>
      <c r="P1169" s="1" t="str">
        <f ca="1">IFERROR(__xludf.DUMMYFUNCTION("""COMPUTED_VALUE"""),"Work &lt;=6 People in the Team")</f>
        <v>Work &lt;=6 People in the Team</v>
      </c>
      <c r="Q1169" s="1" t="s">
        <v>40</v>
      </c>
      <c r="R1169" s="1"/>
    </row>
    <row r="1170" spans="1:18" x14ac:dyDescent="0.25">
      <c r="A1170" s="2">
        <f ca="1">IFERROR(__xludf.DUMMYFUNCTION("""COMPUTED_VALUE"""),45044.4214031944)</f>
        <v>45044.421403194399</v>
      </c>
      <c r="B1170" s="1" t="str">
        <f ca="1">IFERROR(__xludf.DUMMYFUNCTION("""COMPUTED_VALUE"""),"India")</f>
        <v>India</v>
      </c>
      <c r="C1170" s="1">
        <f ca="1">IFERROR(__xludf.DUMMYFUNCTION("""COMPUTED_VALUE"""),560100)</f>
        <v>560100</v>
      </c>
      <c r="D1170" s="1" t="str">
        <f ca="1">IFERROR(__xludf.DUMMYFUNCTION("""COMPUTED_VALUE"""),"Male")</f>
        <v>Male</v>
      </c>
      <c r="E1170" s="1" t="str">
        <f ca="1">IFERROR(__xludf.DUMMYFUNCTION("""COMPUTED_VALUE"""),"My Parents")</f>
        <v>My Parents</v>
      </c>
      <c r="F1170" s="1" t="str">
        <f ca="1">IFERROR(__xludf.DUMMYFUNCTION("""COMPUTED_VALUE"""),"Yes, I will earn and do that")</f>
        <v>Yes, I will earn and do that</v>
      </c>
      <c r="G1170" s="1" t="str">
        <f ca="1">IFERROR(__xludf.DUMMYFUNCTION("""COMPUTED_VALUE"""),"Will work for 3 years or more")</f>
        <v>Will work for 3 years or more</v>
      </c>
      <c r="H1170" s="1" t="str">
        <f ca="1">IFERROR(__xludf.DUMMYFUNCTION("""COMPUTED_VALUE"""),"No")</f>
        <v>No</v>
      </c>
      <c r="I1170" s="1" t="str">
        <f ca="1">IFERROR(__xludf.DUMMYFUNCTION("""COMPUTED_VALUE"""),"Will work for them")</f>
        <v>Will work for them</v>
      </c>
      <c r="J1170" s="1">
        <f ca="1">IFERROR(__xludf.DUMMYFUNCTION("""COMPUTED_VALUE"""),4)</f>
        <v>4</v>
      </c>
      <c r="K1170" s="1" t="str">
        <f ca="1">IFERROR(__xludf.DUMMYFUNCTION("""COMPUTED_VALUE"""),"Fully Remote with Options to travel as and when needed")</f>
        <v>Fully Remote with Options to travel as and when needed</v>
      </c>
      <c r="L1170" s="1" t="str">
        <f ca="1">IFERROR(__xludf.DUMMYFUNCTION("""COMPUTED_VALUE"""),"Employer who rewards learning and enables that environment")</f>
        <v>Employer who rewards learning and enables that environment</v>
      </c>
      <c r="M1170" s="1" t="str">
        <f ca="1">IFERROR(__xludf.DUMMYFUNCTION("""COMPUTED_VALUE"""),"Design and Creative strategy in any company, Business Operations in any organization, Work in a BPO setup for some well known client, Manufacturing / Oil and Gas/ Construction / Hard Physical Work related")</f>
        <v>Design and Creative strategy in any company, Business Operations in any organization, Work in a BPO setup for some well known client, Manufacturing / Oil and Gas/ Construction / Hard Physical Work related</v>
      </c>
      <c r="N1170" s="1"/>
      <c r="O1170" s="1" t="str">
        <f ca="1">IFERROR(__xludf.DUMMYFUNCTION("""COMPUTED_VALUE"""),"Manager who clearly describes what she/he needs")</f>
        <v>Manager who clearly describes what she/he needs</v>
      </c>
      <c r="P1170" s="1" t="str">
        <f ca="1">IFERROR(__xludf.DUMMYFUNCTION("""COMPUTED_VALUE"""),"Work alone")</f>
        <v>Work alone</v>
      </c>
      <c r="Q1170" s="1" t="s">
        <v>43</v>
      </c>
      <c r="R1170" s="1"/>
    </row>
    <row r="1171" spans="1:18" x14ac:dyDescent="0.25">
      <c r="A1171" s="2">
        <f ca="1">IFERROR(__xludf.DUMMYFUNCTION("""COMPUTED_VALUE"""),45044.4215646875)</f>
        <v>45044.421564687502</v>
      </c>
      <c r="B1171" s="1" t="str">
        <f ca="1">IFERROR(__xludf.DUMMYFUNCTION("""COMPUTED_VALUE"""),"India")</f>
        <v>India</v>
      </c>
      <c r="C1171" s="1">
        <f ca="1">IFERROR(__xludf.DUMMYFUNCTION("""COMPUTED_VALUE"""),530024)</f>
        <v>530024</v>
      </c>
      <c r="D1171" s="1" t="str">
        <f ca="1">IFERROR(__xludf.DUMMYFUNCTION("""COMPUTED_VALUE"""),"Male")</f>
        <v>Male</v>
      </c>
      <c r="E1171" s="1" t="str">
        <f ca="1">IFERROR(__xludf.DUMMYFUNCTION("""COMPUTED_VALUE"""),"People from my circle, but not family members")</f>
        <v>People from my circle, but not family members</v>
      </c>
      <c r="F1171" s="1" t="str">
        <f ca="1">IFERROR(__xludf.DUMMYFUNCTION("""COMPUTED_VALUE"""),"Yes, I will earn and do that")</f>
        <v>Yes, I will earn and do that</v>
      </c>
      <c r="G1171" s="1" t="str">
        <f ca="1">IFERROR(__xludf.DUMMYFUNCTION("""COMPUTED_VALUE"""),"This will be hard to do, but if it is the right company I would try")</f>
        <v>This will be hard to do, but if it is the right company I would try</v>
      </c>
      <c r="H1171" s="1" t="str">
        <f ca="1">IFERROR(__xludf.DUMMYFUNCTION("""COMPUTED_VALUE"""),"No")</f>
        <v>No</v>
      </c>
      <c r="I1171" s="1" t="str">
        <f ca="1">IFERROR(__xludf.DUMMYFUNCTION("""COMPUTED_VALUE"""),"Will NOT work for them")</f>
        <v>Will NOT work for them</v>
      </c>
      <c r="J1171" s="1">
        <f ca="1">IFERROR(__xludf.DUMMYFUNCTION("""COMPUTED_VALUE"""),8)</f>
        <v>8</v>
      </c>
      <c r="K1171" s="1" t="str">
        <f ca="1">IFERROR(__xludf.DUMMYFUNCTION("""COMPUTED_VALUE"""),"Hybrid Working Environment with more than 15 days a month at office")</f>
        <v>Hybrid Working Environment with more than 15 days a month at office</v>
      </c>
      <c r="L1171" s="1" t="str">
        <f ca="1">IFERROR(__xludf.DUMMYFUNCTION("""COMPUTED_VALUE"""),"Employer who appreciates learning and enables that environment")</f>
        <v>Employer who appreciates learning and enables that environment</v>
      </c>
      <c r="M117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171" s="1"/>
      <c r="O1171" s="1" t="str">
        <f ca="1">IFERROR(__xludf.DUMMYFUNCTION("""COMPUTED_VALUE"""),"Manager who clearly describes what she/he needs")</f>
        <v>Manager who clearly describes what she/he needs</v>
      </c>
      <c r="P1171" s="1" t="str">
        <f ca="1">IFERROR(__xludf.DUMMYFUNCTION("""COMPUTED_VALUE"""),"Work &lt;=6 People in the Team")</f>
        <v>Work &lt;=6 People in the Team</v>
      </c>
      <c r="Q1171" s="1" t="s">
        <v>40</v>
      </c>
      <c r="R1171" s="1"/>
    </row>
    <row r="1172" spans="1:18" x14ac:dyDescent="0.25">
      <c r="A1172" s="2">
        <f ca="1">IFERROR(__xludf.DUMMYFUNCTION("""COMPUTED_VALUE"""),45044.4234244213)</f>
        <v>45044.4234244213</v>
      </c>
      <c r="B1172" s="1" t="str">
        <f ca="1">IFERROR(__xludf.DUMMYFUNCTION("""COMPUTED_VALUE"""),"India")</f>
        <v>India</v>
      </c>
      <c r="C1172" s="1">
        <f ca="1">IFERROR(__xludf.DUMMYFUNCTION("""COMPUTED_VALUE"""),533005)</f>
        <v>533005</v>
      </c>
      <c r="D1172" s="1" t="str">
        <f ca="1">IFERROR(__xludf.DUMMYFUNCTION("""COMPUTED_VALUE"""),"Female")</f>
        <v>Female</v>
      </c>
      <c r="E1172" s="1" t="str">
        <f ca="1">IFERROR(__xludf.DUMMYFUNCTION("""COMPUTED_VALUE"""),"People who have changed the world for better")</f>
        <v>People who have changed the world for better</v>
      </c>
      <c r="F1172" s="1" t="str">
        <f ca="1">IFERROR(__xludf.DUMMYFUNCTION("""COMPUTED_VALUE"""),"Yes, I will earn and do that")</f>
        <v>Yes, I will earn and do that</v>
      </c>
      <c r="G1172" s="1" t="str">
        <f ca="1">IFERROR(__xludf.DUMMYFUNCTION("""COMPUTED_VALUE"""),"This will be hard to do, but if it is the right company I would try")</f>
        <v>This will be hard to do, but if it is the right company I would try</v>
      </c>
      <c r="H1172" s="1" t="str">
        <f ca="1">IFERROR(__xludf.DUMMYFUNCTION("""COMPUTED_VALUE"""),"No")</f>
        <v>No</v>
      </c>
      <c r="I1172" s="1" t="str">
        <f ca="1">IFERROR(__xludf.DUMMYFUNCTION("""COMPUTED_VALUE"""),"Will NOT work for them")</f>
        <v>Will NOT work for them</v>
      </c>
      <c r="J1172" s="1">
        <f ca="1">IFERROR(__xludf.DUMMYFUNCTION("""COMPUTED_VALUE"""),7)</f>
        <v>7</v>
      </c>
      <c r="K1172" s="1" t="str">
        <f ca="1">IFERROR(__xludf.DUMMYFUNCTION("""COMPUTED_VALUE"""),"Hybrid Working Environment with more than 15 days a month at office")</f>
        <v>Hybrid Working Environment with more than 15 days a month at office</v>
      </c>
      <c r="L1172" s="1" t="str">
        <f ca="1">IFERROR(__xludf.DUMMYFUNCTION("""COMPUTED_VALUE"""),"Employer who appreciates learning and enables that environment")</f>
        <v>Employer who appreciates learning and enables that environment</v>
      </c>
      <c r="M117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1172" s="1"/>
      <c r="O1172" s="1" t="str">
        <f ca="1">IFERROR(__xludf.DUMMYFUNCTION("""COMPUTED_VALUE"""),"Manager who explains what is expected, sets a goal and helps achieve it")</f>
        <v>Manager who explains what is expected, sets a goal and helps achieve it</v>
      </c>
      <c r="P1172" s="1" t="str">
        <f ca="1">IFERROR(__xludf.DUMMYFUNCTION("""COMPUTED_VALUE"""),"Work &lt;=6 People in the Team")</f>
        <v>Work &lt;=6 People in the Team</v>
      </c>
      <c r="Q1172" s="1" t="s">
        <v>40</v>
      </c>
      <c r="R1172" s="1"/>
    </row>
    <row r="1173" spans="1:18" x14ac:dyDescent="0.25">
      <c r="A1173" s="2">
        <f ca="1">IFERROR(__xludf.DUMMYFUNCTION("""COMPUTED_VALUE"""),45044.4240322685)</f>
        <v>45044.4240322685</v>
      </c>
      <c r="B1173" s="1" t="str">
        <f ca="1">IFERROR(__xludf.DUMMYFUNCTION("""COMPUTED_VALUE"""),"India")</f>
        <v>India</v>
      </c>
      <c r="C1173" s="1">
        <f ca="1">IFERROR(__xludf.DUMMYFUNCTION("""COMPUTED_VALUE"""),501301)</f>
        <v>501301</v>
      </c>
      <c r="D1173" s="1" t="str">
        <f ca="1">IFERROR(__xludf.DUMMYFUNCTION("""COMPUTED_VALUE"""),"Male")</f>
        <v>Male</v>
      </c>
      <c r="E1173" s="1" t="str">
        <f ca="1">IFERROR(__xludf.DUMMYFUNCTION("""COMPUTED_VALUE"""),"People from my circle, but not family members")</f>
        <v>People from my circle, but not family members</v>
      </c>
      <c r="F1173" s="1" t="str">
        <f ca="1">IFERROR(__xludf.DUMMYFUNCTION("""COMPUTED_VALUE"""),"Yes, I will earn and do that")</f>
        <v>Yes, I will earn and do that</v>
      </c>
      <c r="G1173" s="1" t="str">
        <f ca="1">IFERROR(__xludf.DUMMYFUNCTION("""COMPUTED_VALUE"""),"This will be hard to do, but if it is the right company I would try")</f>
        <v>This will be hard to do, but if it is the right company I would try</v>
      </c>
      <c r="H1173" s="1" t="str">
        <f ca="1">IFERROR(__xludf.DUMMYFUNCTION("""COMPUTED_VALUE"""),"No")</f>
        <v>No</v>
      </c>
      <c r="I1173" s="1" t="str">
        <f ca="1">IFERROR(__xludf.DUMMYFUNCTION("""COMPUTED_VALUE"""),"Will NOT work for them")</f>
        <v>Will NOT work for them</v>
      </c>
      <c r="J1173" s="1">
        <f ca="1">IFERROR(__xludf.DUMMYFUNCTION("""COMPUTED_VALUE"""),6)</f>
        <v>6</v>
      </c>
      <c r="K1173" s="1" t="str">
        <f ca="1">IFERROR(__xludf.DUMMYFUNCTION("""COMPUTED_VALUE"""),"Hybrid Working Environment with more than 15 days a month at office")</f>
        <v>Hybrid Working Environment with more than 15 days a month at office</v>
      </c>
      <c r="L1173" s="1" t="str">
        <f ca="1">IFERROR(__xludf.DUMMYFUNCTION("""COMPUTED_VALUE"""),"Employer who pushes your limits by enabling an learning environment, and rewards you at the end")</f>
        <v>Employer who pushes your limits by enabling an learning environment, and rewards you at the end</v>
      </c>
      <c r="M1173"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1173" s="1"/>
      <c r="O1173" s="1" t="str">
        <f ca="1">IFERROR(__xludf.DUMMYFUNCTION("""COMPUTED_VALUE"""),"Manager who explains what is expected, sets a goal and helps achieve it")</f>
        <v>Manager who explains what is expected, sets a goal and helps achieve it</v>
      </c>
      <c r="P1173" s="1" t="str">
        <f ca="1">IFERROR(__xludf.DUMMYFUNCTION("""COMPUTED_VALUE"""),"Work Alone, &lt;=6 in team")</f>
        <v>Work Alone, &lt;=6 in team</v>
      </c>
      <c r="Q1173" s="1" t="s">
        <v>43</v>
      </c>
      <c r="R1173" s="1"/>
    </row>
    <row r="1174" spans="1:18" x14ac:dyDescent="0.25">
      <c r="A1174" s="2">
        <f ca="1">IFERROR(__xludf.DUMMYFUNCTION("""COMPUTED_VALUE"""),45044.4248139699)</f>
        <v>45044.424813969898</v>
      </c>
      <c r="B1174" s="1" t="str">
        <f ca="1">IFERROR(__xludf.DUMMYFUNCTION("""COMPUTED_VALUE"""),"India")</f>
        <v>India</v>
      </c>
      <c r="C1174" s="1">
        <f ca="1">IFERROR(__xludf.DUMMYFUNCTION("""COMPUTED_VALUE"""),562112)</f>
        <v>562112</v>
      </c>
      <c r="D1174" s="1" t="str">
        <f ca="1">IFERROR(__xludf.DUMMYFUNCTION("""COMPUTED_VALUE"""),"Male")</f>
        <v>Male</v>
      </c>
      <c r="E1174" s="1" t="str">
        <f ca="1">IFERROR(__xludf.DUMMYFUNCTION("""COMPUTED_VALUE"""),"People who have changed the world for better")</f>
        <v>People who have changed the world for better</v>
      </c>
      <c r="F1174" s="1" t="str">
        <f ca="1">IFERROR(__xludf.DUMMYFUNCTION("""COMPUTED_VALUE"""),"No, But if someone could bare the cost I will")</f>
        <v>No, But if someone could bare the cost I will</v>
      </c>
      <c r="G1174" s="1" t="str">
        <f ca="1">IFERROR(__xludf.DUMMYFUNCTION("""COMPUTED_VALUE"""),"This will be hard to do, but if it is the right company I would try")</f>
        <v>This will be hard to do, but if it is the right company I would try</v>
      </c>
      <c r="H1174" s="1" t="str">
        <f ca="1">IFERROR(__xludf.DUMMYFUNCTION("""COMPUTED_VALUE"""),"Yes")</f>
        <v>Yes</v>
      </c>
      <c r="I1174" s="1" t="str">
        <f ca="1">IFERROR(__xludf.DUMMYFUNCTION("""COMPUTED_VALUE"""),"Will NOT work for them")</f>
        <v>Will NOT work for them</v>
      </c>
      <c r="J1174" s="1">
        <f ca="1">IFERROR(__xludf.DUMMYFUNCTION("""COMPUTED_VALUE"""),2)</f>
        <v>2</v>
      </c>
      <c r="K1174" s="1" t="str">
        <f ca="1">IFERROR(__xludf.DUMMYFUNCTION("""COMPUTED_VALUE"""),"Hybrid Working Environment with less than 3 days a month at office")</f>
        <v>Hybrid Working Environment with less than 3 days a month at office</v>
      </c>
      <c r="L1174" s="1" t="str">
        <f ca="1">IFERROR(__xludf.DUMMYFUNCTION("""COMPUTED_VALUE"""),"Employer who pushes your limits by enabling an learning environment, and rewards you at the end")</f>
        <v>Employer who pushes your limits by enabling an learning environment, and rewards you at the end</v>
      </c>
      <c r="M1174" s="1" t="str">
        <f ca="1">IFERROR(__xludf.DUMMYFUNCTION("""COMPUTED_VALUE"""),"Design and Creative strategy in any company, Teaching in any of the institutes/colleges/online or offline, Entrepreneur or Start Up, Manufacturing / Oil and Gas/ Construction / Hard Physical Work related")</f>
        <v>Design and Creative strategy in any company, Teaching in any of the institutes/colleges/online or offline, Entrepreneur or Start Up, Manufacturing / Oil and Gas/ Construction / Hard Physical Work related</v>
      </c>
      <c r="N1174" s="1"/>
      <c r="O1174" s="1" t="str">
        <f ca="1">IFERROR(__xludf.DUMMYFUNCTION("""COMPUTED_VALUE"""),"Manager who clearly describes what she/he needs")</f>
        <v>Manager who clearly describes what she/he needs</v>
      </c>
      <c r="P1174" s="1" t="str">
        <f ca="1">IFERROR(__xludf.DUMMYFUNCTION("""COMPUTED_VALUE"""),"Work Alone, &lt;=6 in team")</f>
        <v>Work Alone, &lt;=6 in team</v>
      </c>
      <c r="Q1174" s="1" t="s">
        <v>40</v>
      </c>
      <c r="R1174" s="1"/>
    </row>
    <row r="1175" spans="1:18" x14ac:dyDescent="0.25">
      <c r="A1175" s="2">
        <f ca="1">IFERROR(__xludf.DUMMYFUNCTION("""COMPUTED_VALUE"""),45044.425782743)</f>
        <v>45044.425782742997</v>
      </c>
      <c r="B1175" s="1" t="str">
        <f ca="1">IFERROR(__xludf.DUMMYFUNCTION("""COMPUTED_VALUE"""),"India")</f>
        <v>India</v>
      </c>
      <c r="C1175" s="1">
        <f ca="1">IFERROR(__xludf.DUMMYFUNCTION("""COMPUTED_VALUE"""),500085)</f>
        <v>500085</v>
      </c>
      <c r="D1175" s="1" t="str">
        <f ca="1">IFERROR(__xludf.DUMMYFUNCTION("""COMPUTED_VALUE"""),"Male")</f>
        <v>Male</v>
      </c>
      <c r="E1175" s="1" t="str">
        <f ca="1">IFERROR(__xludf.DUMMYFUNCTION("""COMPUTED_VALUE"""),"My Parents")</f>
        <v>My Parents</v>
      </c>
      <c r="F1175" s="1" t="str">
        <f ca="1">IFERROR(__xludf.DUMMYFUNCTION("""COMPUTED_VALUE"""),"Yes, I will earn and do that")</f>
        <v>Yes, I will earn and do that</v>
      </c>
      <c r="G1175" s="1" t="str">
        <f ca="1">IFERROR(__xludf.DUMMYFUNCTION("""COMPUTED_VALUE"""),"This will be hard to do, but if it is the right company I would try")</f>
        <v>This will be hard to do, but if it is the right company I would try</v>
      </c>
      <c r="H1175" s="1" t="str">
        <f ca="1">IFERROR(__xludf.DUMMYFUNCTION("""COMPUTED_VALUE"""),"No")</f>
        <v>No</v>
      </c>
      <c r="I1175" s="1" t="str">
        <f ca="1">IFERROR(__xludf.DUMMYFUNCTION("""COMPUTED_VALUE"""),"Will NOT work for them")</f>
        <v>Will NOT work for them</v>
      </c>
      <c r="J1175" s="1">
        <f ca="1">IFERROR(__xludf.DUMMYFUNCTION("""COMPUTED_VALUE"""),6)</f>
        <v>6</v>
      </c>
      <c r="K1175" s="1" t="str">
        <f ca="1">IFERROR(__xludf.DUMMYFUNCTION("""COMPUTED_VALUE"""),"Every Day Office Environment")</f>
        <v>Every Day Office Environment</v>
      </c>
      <c r="L1175" s="1" t="str">
        <f ca="1">IFERROR(__xludf.DUMMYFUNCTION("""COMPUTED_VALUE"""),"Employer who appreciates learning and enables that environment")</f>
        <v>Employer who appreciates learning and enables that environment</v>
      </c>
      <c r="M1175"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N1175" s="1"/>
      <c r="O1175" s="1" t="str">
        <f ca="1">IFERROR(__xludf.DUMMYFUNCTION("""COMPUTED_VALUE"""),"Manager who clearly describes what she/he needs")</f>
        <v>Manager who clearly describes what she/he needs</v>
      </c>
      <c r="P1175" s="1" t="str">
        <f ca="1">IFERROR(__xludf.DUMMYFUNCTION("""COMPUTED_VALUE"""),"Work &gt;=7 People in the Team")</f>
        <v>Work &gt;=7 People in the Team</v>
      </c>
      <c r="Q1175" s="1" t="s">
        <v>43</v>
      </c>
      <c r="R1175" s="1"/>
    </row>
    <row r="1176" spans="1:18" x14ac:dyDescent="0.25">
      <c r="A1176" s="2">
        <f ca="1">IFERROR(__xludf.DUMMYFUNCTION("""COMPUTED_VALUE"""),45044.4325346643)</f>
        <v>45044.432534664302</v>
      </c>
      <c r="B1176" s="1" t="str">
        <f ca="1">IFERROR(__xludf.DUMMYFUNCTION("""COMPUTED_VALUE"""),"India")</f>
        <v>India</v>
      </c>
      <c r="C1176" s="1">
        <f ca="1">IFERROR(__xludf.DUMMYFUNCTION("""COMPUTED_VALUE"""),110091)</f>
        <v>110091</v>
      </c>
      <c r="D1176" s="1" t="str">
        <f ca="1">IFERROR(__xludf.DUMMYFUNCTION("""COMPUTED_VALUE"""),"Male")</f>
        <v>Male</v>
      </c>
      <c r="E1176" s="1" t="str">
        <f ca="1">IFERROR(__xludf.DUMMYFUNCTION("""COMPUTED_VALUE"""),"Influencers who had successful careers")</f>
        <v>Influencers who had successful careers</v>
      </c>
      <c r="F1176" s="1" t="str">
        <f ca="1">IFERROR(__xludf.DUMMYFUNCTION("""COMPUTED_VALUE"""),"Yes, I will earn and do that")</f>
        <v>Yes, I will earn and do that</v>
      </c>
      <c r="G1176" s="1" t="str">
        <f ca="1">IFERROR(__xludf.DUMMYFUNCTION("""COMPUTED_VALUE"""),"Will work for 3 years or more")</f>
        <v>Will work for 3 years or more</v>
      </c>
      <c r="H1176" s="1" t="str">
        <f ca="1">IFERROR(__xludf.DUMMYFUNCTION("""COMPUTED_VALUE"""),"No")</f>
        <v>No</v>
      </c>
      <c r="I1176" s="1" t="str">
        <f ca="1">IFERROR(__xludf.DUMMYFUNCTION("""COMPUTED_VALUE"""),"Will NOT work for them")</f>
        <v>Will NOT work for them</v>
      </c>
      <c r="J1176" s="1">
        <f ca="1">IFERROR(__xludf.DUMMYFUNCTION("""COMPUTED_VALUE"""),7)</f>
        <v>7</v>
      </c>
      <c r="K1176" s="1" t="str">
        <f ca="1">IFERROR(__xludf.DUMMYFUNCTION("""COMPUTED_VALUE"""),"Hybrid Working Environment with more than 15 days a month at office")</f>
        <v>Hybrid Working Environment with more than 15 days a month at office</v>
      </c>
      <c r="L1176" s="1" t="str">
        <f ca="1">IFERROR(__xludf.DUMMYFUNCTION("""COMPUTED_VALUE"""),"Employer who rewards learning and enables that environment")</f>
        <v>Employer who rewards learning and enables that environment</v>
      </c>
      <c r="M1176"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1176" s="1"/>
      <c r="O1176" s="1" t="str">
        <f ca="1">IFERROR(__xludf.DUMMYFUNCTION("""COMPUTED_VALUE"""),"Manager who sets goal and helps me achieve it")</f>
        <v>Manager who sets goal and helps me achieve it</v>
      </c>
      <c r="P1176" s="1" t="str">
        <f ca="1">IFERROR(__xludf.DUMMYFUNCTION("""COMPUTED_VALUE"""),"Work &gt;10 people in Team")</f>
        <v>Work &gt;10 people in Team</v>
      </c>
      <c r="Q1176" s="1" t="s">
        <v>43</v>
      </c>
      <c r="R1176" s="1"/>
    </row>
    <row r="1177" spans="1:18" x14ac:dyDescent="0.25">
      <c r="A1177" s="2">
        <f ca="1">IFERROR(__xludf.DUMMYFUNCTION("""COMPUTED_VALUE"""),45044.4331291782)</f>
        <v>45044.4331291782</v>
      </c>
      <c r="B1177" s="1" t="str">
        <f ca="1">IFERROR(__xludf.DUMMYFUNCTION("""COMPUTED_VALUE"""),"India")</f>
        <v>India</v>
      </c>
      <c r="C1177" s="1">
        <f ca="1">IFERROR(__xludf.DUMMYFUNCTION("""COMPUTED_VALUE"""),560067)</f>
        <v>560067</v>
      </c>
      <c r="D1177" s="1" t="str">
        <f ca="1">IFERROR(__xludf.DUMMYFUNCTION("""COMPUTED_VALUE"""),"Male")</f>
        <v>Male</v>
      </c>
      <c r="E1177" s="1" t="str">
        <f ca="1">IFERROR(__xludf.DUMMYFUNCTION("""COMPUTED_VALUE"""),"My Parents")</f>
        <v>My Parents</v>
      </c>
      <c r="F1177" s="1" t="str">
        <f ca="1">IFERROR(__xludf.DUMMYFUNCTION("""COMPUTED_VALUE"""),"No I would not be pursuing Higher Education outside of India")</f>
        <v>No I would not be pursuing Higher Education outside of India</v>
      </c>
      <c r="G1177" s="1" t="str">
        <f ca="1">IFERROR(__xludf.DUMMYFUNCTION("""COMPUTED_VALUE"""),"Will work for 3 years or more")</f>
        <v>Will work for 3 years or more</v>
      </c>
      <c r="H1177" s="1" t="str">
        <f ca="1">IFERROR(__xludf.DUMMYFUNCTION("""COMPUTED_VALUE"""),"Yes")</f>
        <v>Yes</v>
      </c>
      <c r="I1177" s="1" t="str">
        <f ca="1">IFERROR(__xludf.DUMMYFUNCTION("""COMPUTED_VALUE"""),"Will work for them")</f>
        <v>Will work for them</v>
      </c>
      <c r="J1177" s="1">
        <f ca="1">IFERROR(__xludf.DUMMYFUNCTION("""COMPUTED_VALUE"""),7)</f>
        <v>7</v>
      </c>
      <c r="K1177" s="1" t="str">
        <f ca="1">IFERROR(__xludf.DUMMYFUNCTION("""COMPUTED_VALUE"""),"Hybrid Working Environment with less than 3 days a month at office")</f>
        <v>Hybrid Working Environment with less than 3 days a month at office</v>
      </c>
      <c r="L1177" s="1" t="str">
        <f ca="1">IFERROR(__xludf.DUMMYFUNCTION("""COMPUTED_VALUE"""),"Employer who pushes your limits by enabling an learning environment, and rewards you at the end")</f>
        <v>Employer who pushes your limits by enabling an learning environment, and rewards you at the end</v>
      </c>
      <c r="M1177"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N1177" s="1"/>
      <c r="O1177" s="1" t="str">
        <f ca="1">IFERROR(__xludf.DUMMYFUNCTION("""COMPUTED_VALUE"""),"Manager who explains what is expected, sets a goal and helps achieve it")</f>
        <v>Manager who explains what is expected, sets a goal and helps achieve it</v>
      </c>
      <c r="P1177" s="1" t="str">
        <f ca="1">IFERROR(__xludf.DUMMYFUNCTION("""COMPUTED_VALUE"""),"Work &gt;10 people in Team")</f>
        <v>Work &gt;10 people in Team</v>
      </c>
      <c r="Q1177" s="1" t="s">
        <v>43</v>
      </c>
      <c r="R1177" s="1"/>
    </row>
    <row r="1178" spans="1:18" x14ac:dyDescent="0.25">
      <c r="A1178" s="2">
        <f ca="1">IFERROR(__xludf.DUMMYFUNCTION("""COMPUTED_VALUE"""),45044.434236493)</f>
        <v>45044.434236492998</v>
      </c>
      <c r="B1178" s="1" t="str">
        <f ca="1">IFERROR(__xludf.DUMMYFUNCTION("""COMPUTED_VALUE"""),"India")</f>
        <v>India</v>
      </c>
      <c r="C1178" s="1">
        <f ca="1">IFERROR(__xludf.DUMMYFUNCTION("""COMPUTED_VALUE"""),462001)</f>
        <v>462001</v>
      </c>
      <c r="D1178" s="1" t="str">
        <f ca="1">IFERROR(__xludf.DUMMYFUNCTION("""COMPUTED_VALUE"""),"Female")</f>
        <v>Female</v>
      </c>
      <c r="E1178" s="1" t="str">
        <f ca="1">IFERROR(__xludf.DUMMYFUNCTION("""COMPUTED_VALUE"""),"Influencers who had successful careers")</f>
        <v>Influencers who had successful careers</v>
      </c>
      <c r="F1178" s="1" t="str">
        <f ca="1">IFERROR(__xludf.DUMMYFUNCTION("""COMPUTED_VALUE"""),"Yes, I will earn and do that")</f>
        <v>Yes, I will earn and do that</v>
      </c>
      <c r="G1178" s="1" t="str">
        <f ca="1">IFERROR(__xludf.DUMMYFUNCTION("""COMPUTED_VALUE"""),"This will be hard to do, but if it is the right company I would try")</f>
        <v>This will be hard to do, but if it is the right company I would try</v>
      </c>
      <c r="H1178" s="1" t="str">
        <f ca="1">IFERROR(__xludf.DUMMYFUNCTION("""COMPUTED_VALUE"""),"No")</f>
        <v>No</v>
      </c>
      <c r="I1178" s="1" t="str">
        <f ca="1">IFERROR(__xludf.DUMMYFUNCTION("""COMPUTED_VALUE"""),"Will NOT work for them")</f>
        <v>Will NOT work for them</v>
      </c>
      <c r="J1178" s="1">
        <f ca="1">IFERROR(__xludf.DUMMYFUNCTION("""COMPUTED_VALUE"""),6)</f>
        <v>6</v>
      </c>
      <c r="K1178" s="1" t="str">
        <f ca="1">IFERROR(__xludf.DUMMYFUNCTION("""COMPUTED_VALUE"""),"Hybrid Working Environment with more than 15 days a month at office")</f>
        <v>Hybrid Working Environment with more than 15 days a month at office</v>
      </c>
      <c r="L1178" s="1" t="str">
        <f ca="1">IFERROR(__xludf.DUMMYFUNCTION("""COMPUTED_VALUE"""),"Employer who pushes your limits by enabling an learning environment, and rewards you at the end")</f>
        <v>Employer who pushes your limits by enabling an learning environment, and rewards you at the end</v>
      </c>
      <c r="M117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178" s="1"/>
      <c r="O1178" s="1" t="str">
        <f ca="1">IFERROR(__xludf.DUMMYFUNCTION("""COMPUTED_VALUE"""),"Manager who explains what is expected, sets a goal and helps achieve it")</f>
        <v>Manager who explains what is expected, sets a goal and helps achieve it</v>
      </c>
      <c r="P1178" s="1" t="str">
        <f ca="1">IFERROR(__xludf.DUMMYFUNCTION("""COMPUTED_VALUE"""),"Work &lt;=6 People in the Team")</f>
        <v>Work &lt;=6 People in the Team</v>
      </c>
      <c r="Q1178" s="1" t="s">
        <v>42</v>
      </c>
      <c r="R1178" s="1"/>
    </row>
    <row r="1179" spans="1:18" x14ac:dyDescent="0.25">
      <c r="A1179" s="2">
        <f ca="1">IFERROR(__xludf.DUMMYFUNCTION("""COMPUTED_VALUE"""),45044.4343961805)</f>
        <v>45044.434396180499</v>
      </c>
      <c r="B1179" s="1" t="str">
        <f ca="1">IFERROR(__xludf.DUMMYFUNCTION("""COMPUTED_VALUE"""),"India")</f>
        <v>India</v>
      </c>
      <c r="C1179" s="1">
        <f ca="1">IFERROR(__xludf.DUMMYFUNCTION("""COMPUTED_VALUE"""),799006)</f>
        <v>799006</v>
      </c>
      <c r="D1179" s="1" t="str">
        <f ca="1">IFERROR(__xludf.DUMMYFUNCTION("""COMPUTED_VALUE"""),"Male")</f>
        <v>Male</v>
      </c>
      <c r="E1179" s="1" t="str">
        <f ca="1">IFERROR(__xludf.DUMMYFUNCTION("""COMPUTED_VALUE"""),"My Parents")</f>
        <v>My Parents</v>
      </c>
      <c r="F1179" s="1" t="str">
        <f ca="1">IFERROR(__xludf.DUMMYFUNCTION("""COMPUTED_VALUE"""),"Yes, I will earn and do that")</f>
        <v>Yes, I will earn and do that</v>
      </c>
      <c r="G1179" s="1" t="str">
        <f ca="1">IFERROR(__xludf.DUMMYFUNCTION("""COMPUTED_VALUE"""),"No way")</f>
        <v>No way</v>
      </c>
      <c r="H1179" s="1" t="str">
        <f ca="1">IFERROR(__xludf.DUMMYFUNCTION("""COMPUTED_VALUE"""),"Yes")</f>
        <v>Yes</v>
      </c>
      <c r="I1179" s="1" t="str">
        <f ca="1">IFERROR(__xludf.DUMMYFUNCTION("""COMPUTED_VALUE"""),"Will work for them")</f>
        <v>Will work for them</v>
      </c>
      <c r="J1179" s="1">
        <f ca="1">IFERROR(__xludf.DUMMYFUNCTION("""COMPUTED_VALUE"""),8)</f>
        <v>8</v>
      </c>
      <c r="K1179" s="1" t="str">
        <f ca="1">IFERROR(__xludf.DUMMYFUNCTION("""COMPUTED_VALUE"""),"Fully Remote with Options to travel as and when needed")</f>
        <v>Fully Remote with Options to travel as and when needed</v>
      </c>
      <c r="L1179" s="1" t="str">
        <f ca="1">IFERROR(__xludf.DUMMYFUNCTION("""COMPUTED_VALUE"""),"Employer who pushes your limits by enabling an learning environment, and rewards you at the end")</f>
        <v>Employer who pushes your limits by enabling an learning environment, and rewards you at the end</v>
      </c>
      <c r="M1179" s="1" t="str">
        <f ca="1">IFERROR(__xludf.DUMMYFUNCTION("""COMPUTED_VALUE"""),"Manage and drive End-to-End Projects or Products, Design and Develop amazing software, Entrepreneur or Start Up, I Want to sell things/Sales")</f>
        <v>Manage and drive End-to-End Projects or Products, Design and Develop amazing software, Entrepreneur or Start Up, I Want to sell things/Sales</v>
      </c>
      <c r="N1179" s="1"/>
      <c r="O1179" s="1" t="str">
        <f ca="1">IFERROR(__xludf.DUMMYFUNCTION("""COMPUTED_VALUE"""),"Manager who sets goal and helps me achieve it")</f>
        <v>Manager who sets goal and helps me achieve it</v>
      </c>
      <c r="P1179" s="1" t="str">
        <f ca="1">IFERROR(__xludf.DUMMYFUNCTION("""COMPUTED_VALUE"""),"Work &lt;=6 People in the Team")</f>
        <v>Work &lt;=6 People in the Team</v>
      </c>
      <c r="Q1179" s="1" t="s">
        <v>43</v>
      </c>
      <c r="R1179" s="1"/>
    </row>
    <row r="1180" spans="1:18" x14ac:dyDescent="0.25">
      <c r="A1180" s="2">
        <f ca="1">IFERROR(__xludf.DUMMYFUNCTION("""COMPUTED_VALUE"""),45044.4414354745)</f>
        <v>45044.441435474502</v>
      </c>
      <c r="B1180" s="1" t="str">
        <f ca="1">IFERROR(__xludf.DUMMYFUNCTION("""COMPUTED_VALUE"""),"India")</f>
        <v>India</v>
      </c>
      <c r="C1180" s="1">
        <f ca="1">IFERROR(__xludf.DUMMYFUNCTION("""COMPUTED_VALUE"""),800024)</f>
        <v>800024</v>
      </c>
      <c r="D1180" s="1" t="str">
        <f ca="1">IFERROR(__xludf.DUMMYFUNCTION("""COMPUTED_VALUE"""),"Male")</f>
        <v>Male</v>
      </c>
      <c r="E1180" s="1" t="str">
        <f ca="1">IFERROR(__xludf.DUMMYFUNCTION("""COMPUTED_VALUE"""),"My Parents")</f>
        <v>My Parents</v>
      </c>
      <c r="F1180" s="1" t="str">
        <f ca="1">IFERROR(__xludf.DUMMYFUNCTION("""COMPUTED_VALUE"""),"No I would not be pursuing Higher Education outside of India")</f>
        <v>No I would not be pursuing Higher Education outside of India</v>
      </c>
      <c r="G1180" s="1" t="str">
        <f ca="1">IFERROR(__xludf.DUMMYFUNCTION("""COMPUTED_VALUE"""),"Will work for 3 years or more")</f>
        <v>Will work for 3 years or more</v>
      </c>
      <c r="H1180" s="1" t="str">
        <f ca="1">IFERROR(__xludf.DUMMYFUNCTION("""COMPUTED_VALUE"""),"No")</f>
        <v>No</v>
      </c>
      <c r="I1180" s="1" t="str">
        <f ca="1">IFERROR(__xludf.DUMMYFUNCTION("""COMPUTED_VALUE"""),"Will NOT work for them")</f>
        <v>Will NOT work for them</v>
      </c>
      <c r="J1180" s="1">
        <f ca="1">IFERROR(__xludf.DUMMYFUNCTION("""COMPUTED_VALUE"""),6)</f>
        <v>6</v>
      </c>
      <c r="K1180" s="1" t="str">
        <f ca="1">IFERROR(__xludf.DUMMYFUNCTION("""COMPUTED_VALUE"""),"Hybrid Working Environment with less than 3 days a month at office")</f>
        <v>Hybrid Working Environment with less than 3 days a month at office</v>
      </c>
      <c r="L1180" s="1" t="str">
        <f ca="1">IFERROR(__xludf.DUMMYFUNCTION("""COMPUTED_VALUE"""),"Employer who appreciates learning and enables that environment")</f>
        <v>Employer who appreciates learning and enables that environment</v>
      </c>
      <c r="M1180"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N1180" s="1"/>
      <c r="O1180" s="1" t="str">
        <f ca="1">IFERROR(__xludf.DUMMYFUNCTION("""COMPUTED_VALUE"""),"Manager who clearly describes what she/he needs")</f>
        <v>Manager who clearly describes what she/he needs</v>
      </c>
      <c r="P1180" s="1" t="str">
        <f ca="1">IFERROR(__xludf.DUMMYFUNCTION("""COMPUTED_VALUE"""),"Work &gt;10 people in Team")</f>
        <v>Work &gt;10 people in Team</v>
      </c>
      <c r="Q1180" s="1" t="s">
        <v>40</v>
      </c>
      <c r="R1180" s="1"/>
    </row>
    <row r="1181" spans="1:18" x14ac:dyDescent="0.25">
      <c r="A1181" s="2">
        <f ca="1">IFERROR(__xludf.DUMMYFUNCTION("""COMPUTED_VALUE"""),45044.4420592708)</f>
        <v>45044.442059270797</v>
      </c>
      <c r="B1181" s="1" t="str">
        <f ca="1">IFERROR(__xludf.DUMMYFUNCTION("""COMPUTED_VALUE"""),"United Arab Emirates")</f>
        <v>United Arab Emirates</v>
      </c>
      <c r="C1181" s="1">
        <f ca="1">IFERROR(__xludf.DUMMYFUNCTION("""COMPUTED_VALUE"""),111111)</f>
        <v>111111</v>
      </c>
      <c r="D1181" s="1" t="str">
        <f ca="1">IFERROR(__xludf.DUMMYFUNCTION("""COMPUTED_VALUE"""),"Male")</f>
        <v>Male</v>
      </c>
      <c r="E1181" s="1" t="str">
        <f ca="1">IFERROR(__xludf.DUMMYFUNCTION("""COMPUTED_VALUE"""),"Influencers who had successful careers")</f>
        <v>Influencers who had successful careers</v>
      </c>
      <c r="F1181" s="1" t="str">
        <f ca="1">IFERROR(__xludf.DUMMYFUNCTION("""COMPUTED_VALUE"""),"No, But if someone could bare the cost I will")</f>
        <v>No, But if someone could bare the cost I will</v>
      </c>
      <c r="G1181" s="1" t="str">
        <f ca="1">IFERROR(__xludf.DUMMYFUNCTION("""COMPUTED_VALUE"""),"Will work for 3 years or more")</f>
        <v>Will work for 3 years or more</v>
      </c>
      <c r="H1181" s="1" t="str">
        <f ca="1">IFERROR(__xludf.DUMMYFUNCTION("""COMPUTED_VALUE"""),"No")</f>
        <v>No</v>
      </c>
      <c r="I1181" s="1" t="str">
        <f ca="1">IFERROR(__xludf.DUMMYFUNCTION("""COMPUTED_VALUE"""),"Will NOT work for them")</f>
        <v>Will NOT work for them</v>
      </c>
      <c r="J1181" s="1">
        <f ca="1">IFERROR(__xludf.DUMMYFUNCTION("""COMPUTED_VALUE"""),2)</f>
        <v>2</v>
      </c>
      <c r="K1181" s="1" t="str">
        <f ca="1">IFERROR(__xludf.DUMMYFUNCTION("""COMPUTED_VALUE"""),"Hybrid Working Environment with less than 3 days a month at office")</f>
        <v>Hybrid Working Environment with less than 3 days a month at office</v>
      </c>
      <c r="L1181" s="1" t="str">
        <f ca="1">IFERROR(__xludf.DUMMYFUNCTION("""COMPUTED_VALUE"""),"Employer who appreciates learning and enables that environment")</f>
        <v>Employer who appreciates learning and enables that environment</v>
      </c>
      <c r="M1181" s="1" t="str">
        <f ca="1">IFERROR(__xludf.DUMMYFUNCTION("""COMPUTED_VALUE"""),"Design and Creative strategy in any company, Work in a BPO setup for some well known client, Work as a freelancer and do my thing my way, Become a content Creator in some platform")</f>
        <v>Design and Creative strategy in any company, Work in a BPO setup for some well known client, Work as a freelancer and do my thing my way, Become a content Creator in some platform</v>
      </c>
      <c r="N1181" s="1"/>
      <c r="O1181" s="1" t="str">
        <f ca="1">IFERROR(__xludf.DUMMYFUNCTION("""COMPUTED_VALUE"""),"Manager who sets targets and expects me to achieve it")</f>
        <v>Manager who sets targets and expects me to achieve it</v>
      </c>
      <c r="P1181" s="1" t="str">
        <f ca="1">IFERROR(__xludf.DUMMYFUNCTION("""COMPUTED_VALUE"""),"Work alone")</f>
        <v>Work alone</v>
      </c>
      <c r="Q1181" s="1" t="s">
        <v>42</v>
      </c>
      <c r="R1181" s="1"/>
    </row>
    <row r="1182" spans="1:18" x14ac:dyDescent="0.25">
      <c r="A1182" s="2">
        <f ca="1">IFERROR(__xludf.DUMMYFUNCTION("""COMPUTED_VALUE"""),45044.4440710185)</f>
        <v>45044.444071018501</v>
      </c>
      <c r="B1182" s="1" t="str">
        <f ca="1">IFERROR(__xludf.DUMMYFUNCTION("""COMPUTED_VALUE"""),"India")</f>
        <v>India</v>
      </c>
      <c r="C1182" s="1">
        <f ca="1">IFERROR(__xludf.DUMMYFUNCTION("""COMPUTED_VALUE"""),700157)</f>
        <v>700157</v>
      </c>
      <c r="D1182" s="1" t="str">
        <f ca="1">IFERROR(__xludf.DUMMYFUNCTION("""COMPUTED_VALUE"""),"Male")</f>
        <v>Male</v>
      </c>
      <c r="E1182" s="1" t="str">
        <f ca="1">IFERROR(__xludf.DUMMYFUNCTION("""COMPUTED_VALUE"""),"My Parents")</f>
        <v>My Parents</v>
      </c>
      <c r="F1182" s="1" t="str">
        <f ca="1">IFERROR(__xludf.DUMMYFUNCTION("""COMPUTED_VALUE"""),"No I would not be pursuing Higher Education outside of India")</f>
        <v>No I would not be pursuing Higher Education outside of India</v>
      </c>
      <c r="G1182" s="1" t="str">
        <f ca="1">IFERROR(__xludf.DUMMYFUNCTION("""COMPUTED_VALUE"""),"This will be hard to do, but if it is the right company I would try")</f>
        <v>This will be hard to do, but if it is the right company I would try</v>
      </c>
      <c r="H1182" s="1" t="str">
        <f ca="1">IFERROR(__xludf.DUMMYFUNCTION("""COMPUTED_VALUE"""),"No")</f>
        <v>No</v>
      </c>
      <c r="I1182" s="1" t="str">
        <f ca="1">IFERROR(__xludf.DUMMYFUNCTION("""COMPUTED_VALUE"""),"Will NOT work for them")</f>
        <v>Will NOT work for them</v>
      </c>
      <c r="J1182" s="1">
        <f ca="1">IFERROR(__xludf.DUMMYFUNCTION("""COMPUTED_VALUE"""),5)</f>
        <v>5</v>
      </c>
      <c r="K1182" s="1" t="str">
        <f ca="1">IFERROR(__xludf.DUMMYFUNCTION("""COMPUTED_VALUE"""),"Every Day Office Environment")</f>
        <v>Every Day Office Environment</v>
      </c>
      <c r="L1182" s="1" t="str">
        <f ca="1">IFERROR(__xludf.DUMMYFUNCTION("""COMPUTED_VALUE"""),"Employer who rewards learning and enables that environment")</f>
        <v>Employer who rewards learning and enables that environment</v>
      </c>
      <c r="M1182"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N1182" s="1"/>
      <c r="O1182" s="1" t="str">
        <f ca="1">IFERROR(__xludf.DUMMYFUNCTION("""COMPUTED_VALUE"""),"Manager who sets goal and helps me achieve it")</f>
        <v>Manager who sets goal and helps me achieve it</v>
      </c>
      <c r="P1182" s="1" t="str">
        <f ca="1">IFERROR(__xludf.DUMMYFUNCTION("""COMPUTED_VALUE"""),"Work &lt;=6 People in the Team")</f>
        <v>Work &lt;=6 People in the Team</v>
      </c>
      <c r="Q1182" s="1" t="s">
        <v>43</v>
      </c>
      <c r="R1182" s="1"/>
    </row>
    <row r="1183" spans="1:18" x14ac:dyDescent="0.25">
      <c r="A1183" s="2">
        <f ca="1">IFERROR(__xludf.DUMMYFUNCTION("""COMPUTED_VALUE"""),45044.4460654861)</f>
        <v>45044.446065486103</v>
      </c>
      <c r="B1183" s="1" t="str">
        <f ca="1">IFERROR(__xludf.DUMMYFUNCTION("""COMPUTED_VALUE"""),"India")</f>
        <v>India</v>
      </c>
      <c r="C1183" s="1">
        <f ca="1">IFERROR(__xludf.DUMMYFUNCTION("""COMPUTED_VALUE"""),533201)</f>
        <v>533201</v>
      </c>
      <c r="D1183" s="1" t="str">
        <f ca="1">IFERROR(__xludf.DUMMYFUNCTION("""COMPUTED_VALUE"""),"Female")</f>
        <v>Female</v>
      </c>
      <c r="E1183" s="1" t="str">
        <f ca="1">IFERROR(__xludf.DUMMYFUNCTION("""COMPUTED_VALUE"""),"My Parents")</f>
        <v>My Parents</v>
      </c>
      <c r="F1183" s="1" t="str">
        <f ca="1">IFERROR(__xludf.DUMMYFUNCTION("""COMPUTED_VALUE"""),"No I would not be pursuing Higher Education outside of India")</f>
        <v>No I would not be pursuing Higher Education outside of India</v>
      </c>
      <c r="G1183" s="1" t="str">
        <f ca="1">IFERROR(__xludf.DUMMYFUNCTION("""COMPUTED_VALUE"""),"Will work for 3 years or more")</f>
        <v>Will work for 3 years or more</v>
      </c>
      <c r="H1183" s="1" t="str">
        <f ca="1">IFERROR(__xludf.DUMMYFUNCTION("""COMPUTED_VALUE"""),"No")</f>
        <v>No</v>
      </c>
      <c r="I1183" s="1" t="str">
        <f ca="1">IFERROR(__xludf.DUMMYFUNCTION("""COMPUTED_VALUE"""),"Will NOT work for them")</f>
        <v>Will NOT work for them</v>
      </c>
      <c r="J1183" s="1">
        <f ca="1">IFERROR(__xludf.DUMMYFUNCTION("""COMPUTED_VALUE"""),6)</f>
        <v>6</v>
      </c>
      <c r="K1183" s="1" t="str">
        <f ca="1">IFERROR(__xludf.DUMMYFUNCTION("""COMPUTED_VALUE"""),"Hybrid Working Environment with less than 3 days a month at office")</f>
        <v>Hybrid Working Environment with less than 3 days a month at office</v>
      </c>
      <c r="L1183" s="1" t="str">
        <f ca="1">IFERROR(__xludf.DUMMYFUNCTION("""COMPUTED_VALUE"""),"Employer who pushes your limits by enabling an learning environment, and rewards you at the end")</f>
        <v>Employer who pushes your limits by enabling an learning environment, and rewards you at the end</v>
      </c>
      <c r="M1183"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N1183" s="1"/>
      <c r="O1183" s="1" t="str">
        <f ca="1">IFERROR(__xludf.DUMMYFUNCTION("""COMPUTED_VALUE"""),"Manager who explains what is expected, sets a goal and helps achieve it")</f>
        <v>Manager who explains what is expected, sets a goal and helps achieve it</v>
      </c>
      <c r="P1183" s="1" t="str">
        <f ca="1">IFERROR(__xludf.DUMMYFUNCTION("""COMPUTED_VALUE"""),"Work Alone, &lt;=6 in team")</f>
        <v>Work Alone, &lt;=6 in team</v>
      </c>
      <c r="Q1183" s="1" t="s">
        <v>43</v>
      </c>
      <c r="R1183" s="1"/>
    </row>
    <row r="1184" spans="1:18" x14ac:dyDescent="0.25">
      <c r="A1184" s="2">
        <f ca="1">IFERROR(__xludf.DUMMYFUNCTION("""COMPUTED_VALUE"""),45044.4461257638)</f>
        <v>45044.446125763803</v>
      </c>
      <c r="B1184" s="1" t="str">
        <f ca="1">IFERROR(__xludf.DUMMYFUNCTION("""COMPUTED_VALUE"""),"India")</f>
        <v>India</v>
      </c>
      <c r="C1184" s="1">
        <f ca="1">IFERROR(__xludf.DUMMYFUNCTION("""COMPUTED_VALUE"""),700056)</f>
        <v>700056</v>
      </c>
      <c r="D1184" s="1" t="str">
        <f ca="1">IFERROR(__xludf.DUMMYFUNCTION("""COMPUTED_VALUE"""),"Male")</f>
        <v>Male</v>
      </c>
      <c r="E1184" s="1" t="str">
        <f ca="1">IFERROR(__xludf.DUMMYFUNCTION("""COMPUTED_VALUE"""),"My Parents")</f>
        <v>My Parents</v>
      </c>
      <c r="F1184" s="1" t="str">
        <f ca="1">IFERROR(__xludf.DUMMYFUNCTION("""COMPUTED_VALUE"""),"No I would not be pursuing Higher Education outside of India")</f>
        <v>No I would not be pursuing Higher Education outside of India</v>
      </c>
      <c r="G1184" s="1" t="str">
        <f ca="1">IFERROR(__xludf.DUMMYFUNCTION("""COMPUTED_VALUE"""),"Will work for 3 years or more")</f>
        <v>Will work for 3 years or more</v>
      </c>
      <c r="H1184" s="1" t="str">
        <f ca="1">IFERROR(__xludf.DUMMYFUNCTION("""COMPUTED_VALUE"""),"No")</f>
        <v>No</v>
      </c>
      <c r="I1184" s="1" t="str">
        <f ca="1">IFERROR(__xludf.DUMMYFUNCTION("""COMPUTED_VALUE"""),"Will NOT work for them")</f>
        <v>Will NOT work for them</v>
      </c>
      <c r="J1184" s="1">
        <f ca="1">IFERROR(__xludf.DUMMYFUNCTION("""COMPUTED_VALUE"""),4)</f>
        <v>4</v>
      </c>
      <c r="K1184" s="1" t="str">
        <f ca="1">IFERROR(__xludf.DUMMYFUNCTION("""COMPUTED_VALUE"""),"Fully Remote with Options to travel as and when needed")</f>
        <v>Fully Remote with Options to travel as and when needed</v>
      </c>
      <c r="L1184" s="1" t="str">
        <f ca="1">IFERROR(__xludf.DUMMYFUNCTION("""COMPUTED_VALUE"""),"Employer who rewards learning and enables that environment")</f>
        <v>Employer who rewards learning and enables that environment</v>
      </c>
      <c r="M1184"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N1184" s="1"/>
      <c r="O1184" s="1" t="str">
        <f ca="1">IFERROR(__xludf.DUMMYFUNCTION("""COMPUTED_VALUE"""),"Manager who clearly describes what she/he needs")</f>
        <v>Manager who clearly describes what she/he needs</v>
      </c>
      <c r="P1184" s="1" t="str">
        <f ca="1">IFERROR(__xludf.DUMMYFUNCTION("""COMPUTED_VALUE"""),"Work Alone, &lt;=6 in team")</f>
        <v>Work Alone, &lt;=6 in team</v>
      </c>
      <c r="Q1184" s="1" t="s">
        <v>43</v>
      </c>
      <c r="R1184" s="1"/>
    </row>
    <row r="1185" spans="1:18" x14ac:dyDescent="0.25">
      <c r="A1185" s="2">
        <f ca="1">IFERROR(__xludf.DUMMYFUNCTION("""COMPUTED_VALUE"""),45044.4461522337)</f>
        <v>45044.446152233701</v>
      </c>
      <c r="B1185" s="1" t="str">
        <f ca="1">IFERROR(__xludf.DUMMYFUNCTION("""COMPUTED_VALUE"""),"India")</f>
        <v>India</v>
      </c>
      <c r="C1185" s="1">
        <f ca="1">IFERROR(__xludf.DUMMYFUNCTION("""COMPUTED_VALUE"""),641402)</f>
        <v>641402</v>
      </c>
      <c r="D1185" s="1" t="str">
        <f ca="1">IFERROR(__xludf.DUMMYFUNCTION("""COMPUTED_VALUE"""),"Male")</f>
        <v>Male</v>
      </c>
      <c r="E1185" s="1" t="str">
        <f ca="1">IFERROR(__xludf.DUMMYFUNCTION("""COMPUTED_VALUE"""),"People from my circle, but not family members")</f>
        <v>People from my circle, but not family members</v>
      </c>
      <c r="F1185" s="1" t="str">
        <f ca="1">IFERROR(__xludf.DUMMYFUNCTION("""COMPUTED_VALUE"""),"No I would not be pursuing Higher Education outside of India")</f>
        <v>No I would not be pursuing Higher Education outside of India</v>
      </c>
      <c r="G1185" s="1" t="str">
        <f ca="1">IFERROR(__xludf.DUMMYFUNCTION("""COMPUTED_VALUE"""),"Will work for 3 years or more")</f>
        <v>Will work for 3 years or more</v>
      </c>
      <c r="H1185" s="1" t="str">
        <f ca="1">IFERROR(__xludf.DUMMYFUNCTION("""COMPUTED_VALUE"""),"No")</f>
        <v>No</v>
      </c>
      <c r="I1185" s="1" t="str">
        <f ca="1">IFERROR(__xludf.DUMMYFUNCTION("""COMPUTED_VALUE"""),"Will NOT work for them")</f>
        <v>Will NOT work for them</v>
      </c>
      <c r="J1185" s="1">
        <f ca="1">IFERROR(__xludf.DUMMYFUNCTION("""COMPUTED_VALUE"""),5)</f>
        <v>5</v>
      </c>
      <c r="K1185" s="1" t="str">
        <f ca="1">IFERROR(__xludf.DUMMYFUNCTION("""COMPUTED_VALUE"""),"Fully Remote with Options to travel as and when needed")</f>
        <v>Fully Remote with Options to travel as and when needed</v>
      </c>
      <c r="L1185" s="1" t="str">
        <f ca="1">IFERROR(__xludf.DUMMYFUNCTION("""COMPUTED_VALUE"""),"Employer who pushes your limits by enabling an learning environment, and rewards you at the end")</f>
        <v>Employer who pushes your limits by enabling an learning environment, and rewards you at the end</v>
      </c>
      <c r="M118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185" s="1"/>
      <c r="O1185" s="1" t="str">
        <f ca="1">IFERROR(__xludf.DUMMYFUNCTION("""COMPUTED_VALUE"""),"Manager who clearly describes what she/he needs")</f>
        <v>Manager who clearly describes what she/he needs</v>
      </c>
      <c r="P1185" s="1" t="str">
        <f ca="1">IFERROR(__xludf.DUMMYFUNCTION("""COMPUTED_VALUE"""),"Work &lt;=6 People in the Team")</f>
        <v>Work &lt;=6 People in the Team</v>
      </c>
      <c r="Q1185" s="1" t="s">
        <v>43</v>
      </c>
      <c r="R1185" s="1"/>
    </row>
    <row r="1186" spans="1:18" x14ac:dyDescent="0.25">
      <c r="A1186" s="2">
        <f ca="1">IFERROR(__xludf.DUMMYFUNCTION("""COMPUTED_VALUE"""),45044.4464386458)</f>
        <v>45044.446438645798</v>
      </c>
      <c r="B1186" s="1" t="str">
        <f ca="1">IFERROR(__xludf.DUMMYFUNCTION("""COMPUTED_VALUE"""),"India")</f>
        <v>India</v>
      </c>
      <c r="C1186" s="1">
        <f ca="1">IFERROR(__xludf.DUMMYFUNCTION("""COMPUTED_VALUE"""),700036)</f>
        <v>700036</v>
      </c>
      <c r="D1186" s="1" t="str">
        <f ca="1">IFERROR(__xludf.DUMMYFUNCTION("""COMPUTED_VALUE"""),"Male")</f>
        <v>Male</v>
      </c>
      <c r="E1186" s="1" t="str">
        <f ca="1">IFERROR(__xludf.DUMMYFUNCTION("""COMPUTED_VALUE"""),"People from my circle, but not family members")</f>
        <v>People from my circle, but not family members</v>
      </c>
      <c r="F1186" s="1" t="str">
        <f ca="1">IFERROR(__xludf.DUMMYFUNCTION("""COMPUTED_VALUE"""),"No, But if someone could bare the cost I will")</f>
        <v>No, But if someone could bare the cost I will</v>
      </c>
      <c r="G1186" s="1" t="str">
        <f ca="1">IFERROR(__xludf.DUMMYFUNCTION("""COMPUTED_VALUE"""),"Will work for 3 years or more")</f>
        <v>Will work for 3 years or more</v>
      </c>
      <c r="H1186" s="1" t="str">
        <f ca="1">IFERROR(__xludf.DUMMYFUNCTION("""COMPUTED_VALUE"""),"No")</f>
        <v>No</v>
      </c>
      <c r="I1186" s="1" t="str">
        <f ca="1">IFERROR(__xludf.DUMMYFUNCTION("""COMPUTED_VALUE"""),"Will NOT work for them")</f>
        <v>Will NOT work for them</v>
      </c>
      <c r="J1186" s="1">
        <f ca="1">IFERROR(__xludf.DUMMYFUNCTION("""COMPUTED_VALUE"""),3)</f>
        <v>3</v>
      </c>
      <c r="K1186" s="1" t="str">
        <f ca="1">IFERROR(__xludf.DUMMYFUNCTION("""COMPUTED_VALUE"""),"Fully Remote with Options to travel as and when needed")</f>
        <v>Fully Remote with Options to travel as and when needed</v>
      </c>
      <c r="L1186" s="1" t="str">
        <f ca="1">IFERROR(__xludf.DUMMYFUNCTION("""COMPUTED_VALUE"""),"Employer who pushes your limits by enabling an learning environment, and rewards you at the end")</f>
        <v>Employer who pushes your limits by enabling an learning environment, and rewards you at the end</v>
      </c>
      <c r="M1186"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N1186" s="1"/>
      <c r="O1186" s="1" t="str">
        <f ca="1">IFERROR(__xludf.DUMMYFUNCTION("""COMPUTED_VALUE"""),"Manager who explains what is expected, sets a goal and helps achieve it")</f>
        <v>Manager who explains what is expected, sets a goal and helps achieve it</v>
      </c>
      <c r="P1186" s="1" t="str">
        <f ca="1">IFERROR(__xludf.DUMMYFUNCTION("""COMPUTED_VALUE"""),"Work Alone, &lt;=6 in team")</f>
        <v>Work Alone, &lt;=6 in team</v>
      </c>
      <c r="Q1186" s="1" t="s">
        <v>43</v>
      </c>
      <c r="R1186" s="1"/>
    </row>
    <row r="1187" spans="1:18" x14ac:dyDescent="0.25">
      <c r="A1187" s="2">
        <f ca="1">IFERROR(__xludf.DUMMYFUNCTION("""COMPUTED_VALUE"""),45044.4473012731)</f>
        <v>45044.447301273103</v>
      </c>
      <c r="B1187" s="1" t="str">
        <f ca="1">IFERROR(__xludf.DUMMYFUNCTION("""COMPUTED_VALUE"""),"India")</f>
        <v>India</v>
      </c>
      <c r="C1187" s="1">
        <f ca="1">IFERROR(__xludf.DUMMYFUNCTION("""COMPUTED_VALUE"""),560047)</f>
        <v>560047</v>
      </c>
      <c r="D1187" s="1" t="str">
        <f ca="1">IFERROR(__xludf.DUMMYFUNCTION("""COMPUTED_VALUE"""),"Male")</f>
        <v>Male</v>
      </c>
      <c r="E1187" s="1" t="str">
        <f ca="1">IFERROR(__xludf.DUMMYFUNCTION("""COMPUTED_VALUE"""),"Influencers who had successful careers")</f>
        <v>Influencers who had successful careers</v>
      </c>
      <c r="F1187" s="1" t="str">
        <f ca="1">IFERROR(__xludf.DUMMYFUNCTION("""COMPUTED_VALUE"""),"No, But if someone could bare the cost I will")</f>
        <v>No, But if someone could bare the cost I will</v>
      </c>
      <c r="G1187" s="1" t="str">
        <f ca="1">IFERROR(__xludf.DUMMYFUNCTION("""COMPUTED_VALUE"""),"This will be hard to do, but if it is the right company I would try")</f>
        <v>This will be hard to do, but if it is the right company I would try</v>
      </c>
      <c r="H1187" s="1" t="str">
        <f ca="1">IFERROR(__xludf.DUMMYFUNCTION("""COMPUTED_VALUE"""),"Yes")</f>
        <v>Yes</v>
      </c>
      <c r="I1187" s="1" t="str">
        <f ca="1">IFERROR(__xludf.DUMMYFUNCTION("""COMPUTED_VALUE"""),"Will work for them")</f>
        <v>Will work for them</v>
      </c>
      <c r="J1187" s="1">
        <f ca="1">IFERROR(__xludf.DUMMYFUNCTION("""COMPUTED_VALUE"""),3)</f>
        <v>3</v>
      </c>
      <c r="K1187" s="1" t="str">
        <f ca="1">IFERROR(__xludf.DUMMYFUNCTION("""COMPUTED_VALUE"""),"Fully Remote with No option to visit offices")</f>
        <v>Fully Remote with No option to visit offices</v>
      </c>
      <c r="L1187" s="1" t="str">
        <f ca="1">IFERROR(__xludf.DUMMYFUNCTION("""COMPUTED_VALUE"""),"Employer who appreciates learning and enables that environment")</f>
        <v>Employer who appreciates learning and enables that environment</v>
      </c>
      <c r="M1187" s="1" t="str">
        <f ca="1">IFERROR(__xludf.DUMMYFUNCTION("""COMPUTED_VALUE"""),"Build and develop a Team, Design and Develop amazing software, I Want to sell things/Sales, Manufacturing / Oil and Gas/ Construction / Hard Physical Work related")</f>
        <v>Build and develop a Team, Design and Develop amazing software, I Want to sell things/Sales, Manufacturing / Oil and Gas/ Construction / Hard Physical Work related</v>
      </c>
      <c r="N1187" s="1"/>
      <c r="O1187" s="1" t="str">
        <f ca="1">IFERROR(__xludf.DUMMYFUNCTION("""COMPUTED_VALUE"""),"Manager who clearly describes what she/he needs")</f>
        <v>Manager who clearly describes what she/he needs</v>
      </c>
      <c r="P1187" s="1" t="str">
        <f ca="1">IFERROR(__xludf.DUMMYFUNCTION("""COMPUTED_VALUE"""),"Work &lt;=6 People in the Team")</f>
        <v>Work &lt;=6 People in the Team</v>
      </c>
      <c r="Q1187" s="1" t="s">
        <v>43</v>
      </c>
      <c r="R1187" s="1"/>
    </row>
    <row r="1188" spans="1:18" x14ac:dyDescent="0.25">
      <c r="A1188" s="2">
        <f ca="1">IFERROR(__xludf.DUMMYFUNCTION("""COMPUTED_VALUE"""),45044.4477494097)</f>
        <v>45044.447749409701</v>
      </c>
      <c r="B1188" s="1" t="str">
        <f ca="1">IFERROR(__xludf.DUMMYFUNCTION("""COMPUTED_VALUE"""),"India")</f>
        <v>India</v>
      </c>
      <c r="C1188" s="1">
        <f ca="1">IFERROR(__xludf.DUMMYFUNCTION("""COMPUTED_VALUE"""),400049)</f>
        <v>400049</v>
      </c>
      <c r="D1188" s="1" t="str">
        <f ca="1">IFERROR(__xludf.DUMMYFUNCTION("""COMPUTED_VALUE"""),"Male")</f>
        <v>Male</v>
      </c>
      <c r="E1188" s="1" t="str">
        <f ca="1">IFERROR(__xludf.DUMMYFUNCTION("""COMPUTED_VALUE"""),"People from my circle, but not family members")</f>
        <v>People from my circle, but not family members</v>
      </c>
      <c r="F1188" s="1" t="str">
        <f ca="1">IFERROR(__xludf.DUMMYFUNCTION("""COMPUTED_VALUE"""),"Yes, I will earn and do that")</f>
        <v>Yes, I will earn and do that</v>
      </c>
      <c r="G1188" s="1" t="str">
        <f ca="1">IFERROR(__xludf.DUMMYFUNCTION("""COMPUTED_VALUE"""),"This will be hard to do, but if it is the right company I would try")</f>
        <v>This will be hard to do, but if it is the right company I would try</v>
      </c>
      <c r="H1188" s="1" t="str">
        <f ca="1">IFERROR(__xludf.DUMMYFUNCTION("""COMPUTED_VALUE"""),"No")</f>
        <v>No</v>
      </c>
      <c r="I1188" s="1" t="str">
        <f ca="1">IFERROR(__xludf.DUMMYFUNCTION("""COMPUTED_VALUE"""),"Will NOT work for them")</f>
        <v>Will NOT work for them</v>
      </c>
      <c r="J1188" s="1">
        <f ca="1">IFERROR(__xludf.DUMMYFUNCTION("""COMPUTED_VALUE"""),10)</f>
        <v>10</v>
      </c>
      <c r="K1188" s="1" t="str">
        <f ca="1">IFERROR(__xludf.DUMMYFUNCTION("""COMPUTED_VALUE"""),"Every Day Office Environment")</f>
        <v>Every Day Office Environment</v>
      </c>
      <c r="L1188" s="1" t="str">
        <f ca="1">IFERROR(__xludf.DUMMYFUNCTION("""COMPUTED_VALUE"""),"Employer who pushes your limits by enabling an learning environment, and rewards you at the end")</f>
        <v>Employer who pushes your limits by enabling an learning environment, and rewards you at the end</v>
      </c>
      <c r="M1188" s="1" t="str">
        <f ca="1">IFERROR(__xludf.DUMMYFUNCTION("""COMPUTED_VALUE"""),"Teaching in any of the institutes/colleges/online or offline, Build and develop a Team, Look deeply into Data and generate insights, Entrepreneur or Start Up")</f>
        <v>Teaching in any of the institutes/colleges/online or offline, Build and develop a Team, Look deeply into Data and generate insights, Entrepreneur or Start Up</v>
      </c>
      <c r="N1188" s="1"/>
      <c r="O1188" s="1" t="str">
        <f ca="1">IFERROR(__xludf.DUMMYFUNCTION("""COMPUTED_VALUE"""),"Manager who explains what is expected, sets a goal and helps achieve it")</f>
        <v>Manager who explains what is expected, sets a goal and helps achieve it</v>
      </c>
      <c r="P1188" s="1" t="str">
        <f ca="1">IFERROR(__xludf.DUMMYFUNCTION("""COMPUTED_VALUE"""),"Work &lt;=6 People in the Team")</f>
        <v>Work &lt;=6 People in the Team</v>
      </c>
      <c r="Q1188" s="1" t="s">
        <v>40</v>
      </c>
      <c r="R1188" s="1"/>
    </row>
    <row r="1189" spans="1:18" x14ac:dyDescent="0.25">
      <c r="A1189" s="2">
        <f ca="1">IFERROR(__xludf.DUMMYFUNCTION("""COMPUTED_VALUE"""),45044.4479894097)</f>
        <v>45044.447989409702</v>
      </c>
      <c r="B1189" s="1" t="str">
        <f ca="1">IFERROR(__xludf.DUMMYFUNCTION("""COMPUTED_VALUE"""),"India")</f>
        <v>India</v>
      </c>
      <c r="C1189" s="1">
        <f ca="1">IFERROR(__xludf.DUMMYFUNCTION("""COMPUTED_VALUE"""),741101)</f>
        <v>741101</v>
      </c>
      <c r="D1189" s="1" t="str">
        <f ca="1">IFERROR(__xludf.DUMMYFUNCTION("""COMPUTED_VALUE"""),"Female")</f>
        <v>Female</v>
      </c>
      <c r="E1189" s="1" t="str">
        <f ca="1">IFERROR(__xludf.DUMMYFUNCTION("""COMPUTED_VALUE"""),"My Parents")</f>
        <v>My Parents</v>
      </c>
      <c r="F1189" s="1" t="str">
        <f ca="1">IFERROR(__xludf.DUMMYFUNCTION("""COMPUTED_VALUE"""),"Yes, I will earn and do that")</f>
        <v>Yes, I will earn and do that</v>
      </c>
      <c r="G1189" s="1" t="str">
        <f ca="1">IFERROR(__xludf.DUMMYFUNCTION("""COMPUTED_VALUE"""),"This will be hard to do, but if it is the right company I would try")</f>
        <v>This will be hard to do, but if it is the right company I would try</v>
      </c>
      <c r="H1189" s="1" t="str">
        <f ca="1">IFERROR(__xludf.DUMMYFUNCTION("""COMPUTED_VALUE"""),"No")</f>
        <v>No</v>
      </c>
      <c r="I1189" s="1" t="str">
        <f ca="1">IFERROR(__xludf.DUMMYFUNCTION("""COMPUTED_VALUE"""),"Will NOT work for them")</f>
        <v>Will NOT work for them</v>
      </c>
      <c r="J1189" s="1">
        <f ca="1">IFERROR(__xludf.DUMMYFUNCTION("""COMPUTED_VALUE"""),5)</f>
        <v>5</v>
      </c>
      <c r="K1189" s="1" t="str">
        <f ca="1">IFERROR(__xludf.DUMMYFUNCTION("""COMPUTED_VALUE"""),"Fully Remote with Options to travel as and when needed")</f>
        <v>Fully Remote with Options to travel as and when needed</v>
      </c>
      <c r="L1189" s="1" t="str">
        <f ca="1">IFERROR(__xludf.DUMMYFUNCTION("""COMPUTED_VALUE"""),"Employer who pushes your limits by enabling an learning environment, and rewards you at the end")</f>
        <v>Employer who pushes your limits by enabling an learning environment, and rewards you at the end</v>
      </c>
      <c r="M118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1189" s="1"/>
      <c r="O1189" s="1" t="str">
        <f ca="1">IFERROR(__xludf.DUMMYFUNCTION("""COMPUTED_VALUE"""),"Manager who explains what is expected, sets a goal and helps achieve it")</f>
        <v>Manager who explains what is expected, sets a goal and helps achieve it</v>
      </c>
      <c r="P1189" s="1" t="str">
        <f ca="1">IFERROR(__xludf.DUMMYFUNCTION("""COMPUTED_VALUE"""),"Work &gt;=7 People in the Team")</f>
        <v>Work &gt;=7 People in the Team</v>
      </c>
      <c r="Q1189" s="1" t="s">
        <v>40</v>
      </c>
      <c r="R1189" s="1"/>
    </row>
    <row r="1190" spans="1:18" x14ac:dyDescent="0.25">
      <c r="A1190" s="2">
        <f ca="1">IFERROR(__xludf.DUMMYFUNCTION("""COMPUTED_VALUE"""),45044.448465324)</f>
        <v>45044.448465324</v>
      </c>
      <c r="B1190" s="1" t="str">
        <f ca="1">IFERROR(__xludf.DUMMYFUNCTION("""COMPUTED_VALUE"""),"India")</f>
        <v>India</v>
      </c>
      <c r="C1190" s="1">
        <f ca="1">IFERROR(__xludf.DUMMYFUNCTION("""COMPUTED_VALUE"""),700028)</f>
        <v>700028</v>
      </c>
      <c r="D1190" s="1" t="str">
        <f ca="1">IFERROR(__xludf.DUMMYFUNCTION("""COMPUTED_VALUE"""),"Male")</f>
        <v>Male</v>
      </c>
      <c r="E1190" s="1" t="str">
        <f ca="1">IFERROR(__xludf.DUMMYFUNCTION("""COMPUTED_VALUE"""),"Social Media like LinkedIn")</f>
        <v>Social Media like LinkedIn</v>
      </c>
      <c r="F1190" s="1" t="str">
        <f ca="1">IFERROR(__xludf.DUMMYFUNCTION("""COMPUTED_VALUE"""),"No I would not be pursuing Higher Education outside of India")</f>
        <v>No I would not be pursuing Higher Education outside of India</v>
      </c>
      <c r="G1190" s="1" t="str">
        <f ca="1">IFERROR(__xludf.DUMMYFUNCTION("""COMPUTED_VALUE"""),"Will work for 3 years or more")</f>
        <v>Will work for 3 years or more</v>
      </c>
      <c r="H1190" s="1" t="str">
        <f ca="1">IFERROR(__xludf.DUMMYFUNCTION("""COMPUTED_VALUE"""),"Yes")</f>
        <v>Yes</v>
      </c>
      <c r="I1190" s="1" t="str">
        <f ca="1">IFERROR(__xludf.DUMMYFUNCTION("""COMPUTED_VALUE"""),"Will work for them")</f>
        <v>Will work for them</v>
      </c>
      <c r="J1190" s="1">
        <f ca="1">IFERROR(__xludf.DUMMYFUNCTION("""COMPUTED_VALUE"""),10)</f>
        <v>10</v>
      </c>
      <c r="K1190" s="1" t="str">
        <f ca="1">IFERROR(__xludf.DUMMYFUNCTION("""COMPUTED_VALUE"""),"Fully Remote with Options to travel as and when needed")</f>
        <v>Fully Remote with Options to travel as and when needed</v>
      </c>
      <c r="L1190" s="1" t="str">
        <f ca="1">IFERROR(__xludf.DUMMYFUNCTION("""COMPUTED_VALUE"""),"Employer who rewards learning and enables that environment")</f>
        <v>Employer who rewards learning and enables that environment</v>
      </c>
      <c r="M1190"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N1190" s="1"/>
      <c r="O1190" s="1" t="str">
        <f ca="1">IFERROR(__xludf.DUMMYFUNCTION("""COMPUTED_VALUE"""),"Manager who clearly describes what she/he needs")</f>
        <v>Manager who clearly describes what she/he needs</v>
      </c>
      <c r="P1190" s="1" t="str">
        <f ca="1">IFERROR(__xludf.DUMMYFUNCTION("""COMPUTED_VALUE"""),"Work &lt;=6 People in the Team")</f>
        <v>Work &lt;=6 People in the Team</v>
      </c>
      <c r="Q1190" s="1" t="s">
        <v>43</v>
      </c>
      <c r="R1190" s="1"/>
    </row>
    <row r="1191" spans="1:18" x14ac:dyDescent="0.25">
      <c r="A1191" s="2">
        <f ca="1">IFERROR(__xludf.DUMMYFUNCTION("""COMPUTED_VALUE"""),45044.4487385416)</f>
        <v>45044.4487385416</v>
      </c>
      <c r="B1191" s="1" t="str">
        <f ca="1">IFERROR(__xludf.DUMMYFUNCTION("""COMPUTED_VALUE"""),"India")</f>
        <v>India</v>
      </c>
      <c r="C1191" s="1">
        <f ca="1">IFERROR(__xludf.DUMMYFUNCTION("""COMPUTED_VALUE"""),700060)</f>
        <v>700060</v>
      </c>
      <c r="D1191" s="1" t="str">
        <f ca="1">IFERROR(__xludf.DUMMYFUNCTION("""COMPUTED_VALUE"""),"Male")</f>
        <v>Male</v>
      </c>
      <c r="E1191" s="1" t="str">
        <f ca="1">IFERROR(__xludf.DUMMYFUNCTION("""COMPUTED_VALUE"""),"Social Media like LinkedIn")</f>
        <v>Social Media like LinkedIn</v>
      </c>
      <c r="F1191" s="1" t="str">
        <f ca="1">IFERROR(__xludf.DUMMYFUNCTION("""COMPUTED_VALUE"""),"No, But if someone could bare the cost I will")</f>
        <v>No, But if someone could bare the cost I will</v>
      </c>
      <c r="G1191" s="1" t="str">
        <f ca="1">IFERROR(__xludf.DUMMYFUNCTION("""COMPUTED_VALUE"""),"This will be hard to do, but if it is the right company I would try")</f>
        <v>This will be hard to do, but if it is the right company I would try</v>
      </c>
      <c r="H1191" s="1" t="str">
        <f ca="1">IFERROR(__xludf.DUMMYFUNCTION("""COMPUTED_VALUE"""),"No")</f>
        <v>No</v>
      </c>
      <c r="I1191" s="1" t="str">
        <f ca="1">IFERROR(__xludf.DUMMYFUNCTION("""COMPUTED_VALUE"""),"Will NOT work for them")</f>
        <v>Will NOT work for them</v>
      </c>
      <c r="J1191" s="1">
        <f ca="1">IFERROR(__xludf.DUMMYFUNCTION("""COMPUTED_VALUE"""),5)</f>
        <v>5</v>
      </c>
      <c r="K1191" s="1" t="str">
        <f ca="1">IFERROR(__xludf.DUMMYFUNCTION("""COMPUTED_VALUE"""),"Fully Remote with No option to visit offices")</f>
        <v>Fully Remote with No option to visit offices</v>
      </c>
      <c r="L1191" s="1" t="str">
        <f ca="1">IFERROR(__xludf.DUMMYFUNCTION("""COMPUTED_VALUE"""),"Employer who pushes your limits by enabling an learning environment, and rewards you at the end")</f>
        <v>Employer who pushes your limits by enabling an learning environment, and rewards you at the end</v>
      </c>
      <c r="M1191"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N1191" s="1"/>
      <c r="O1191" s="1" t="str">
        <f ca="1">IFERROR(__xludf.DUMMYFUNCTION("""COMPUTED_VALUE"""),"Manager who explains what is expected, sets a goal and helps achieve it")</f>
        <v>Manager who explains what is expected, sets a goal and helps achieve it</v>
      </c>
      <c r="P1191" s="1" t="str">
        <f ca="1">IFERROR(__xludf.DUMMYFUNCTION("""COMPUTED_VALUE"""),"Work &lt;=6 People in the Team")</f>
        <v>Work &lt;=6 People in the Team</v>
      </c>
      <c r="Q1191" s="1" t="s">
        <v>40</v>
      </c>
      <c r="R1191" s="1"/>
    </row>
    <row r="1192" spans="1:18" x14ac:dyDescent="0.25">
      <c r="A1192" s="2">
        <f ca="1">IFERROR(__xludf.DUMMYFUNCTION("""COMPUTED_VALUE"""),45044.44909103)</f>
        <v>45044.449091030001</v>
      </c>
      <c r="B1192" s="1" t="str">
        <f ca="1">IFERROR(__xludf.DUMMYFUNCTION("""COMPUTED_VALUE"""),"India")</f>
        <v>India</v>
      </c>
      <c r="C1192" s="1">
        <f ca="1">IFERROR(__xludf.DUMMYFUNCTION("""COMPUTED_VALUE"""),530040)</f>
        <v>530040</v>
      </c>
      <c r="D1192" s="1" t="str">
        <f ca="1">IFERROR(__xludf.DUMMYFUNCTION("""COMPUTED_VALUE"""),"Female")</f>
        <v>Female</v>
      </c>
      <c r="E1192" s="1" t="str">
        <f ca="1">IFERROR(__xludf.DUMMYFUNCTION("""COMPUTED_VALUE"""),"People who have changed the world for better")</f>
        <v>People who have changed the world for better</v>
      </c>
      <c r="F1192" s="1" t="str">
        <f ca="1">IFERROR(__xludf.DUMMYFUNCTION("""COMPUTED_VALUE"""),"No I would not be pursuing Higher Education outside of India")</f>
        <v>No I would not be pursuing Higher Education outside of India</v>
      </c>
      <c r="G1192" s="1" t="str">
        <f ca="1">IFERROR(__xludf.DUMMYFUNCTION("""COMPUTED_VALUE"""),"Will work for 3 years or more")</f>
        <v>Will work for 3 years or more</v>
      </c>
      <c r="H1192" s="1" t="str">
        <f ca="1">IFERROR(__xludf.DUMMYFUNCTION("""COMPUTED_VALUE"""),"No")</f>
        <v>No</v>
      </c>
      <c r="I1192" s="1" t="str">
        <f ca="1">IFERROR(__xludf.DUMMYFUNCTION("""COMPUTED_VALUE"""),"Will NOT work for them")</f>
        <v>Will NOT work for them</v>
      </c>
      <c r="J1192" s="1">
        <f ca="1">IFERROR(__xludf.DUMMYFUNCTION("""COMPUTED_VALUE"""),3)</f>
        <v>3</v>
      </c>
      <c r="K1192" s="1" t="str">
        <f ca="1">IFERROR(__xludf.DUMMYFUNCTION("""COMPUTED_VALUE"""),"Hybrid Working Environment with more than 15 days a month at office")</f>
        <v>Hybrid Working Environment with more than 15 days a month at office</v>
      </c>
      <c r="L1192" s="1" t="str">
        <f ca="1">IFERROR(__xludf.DUMMYFUNCTION("""COMPUTED_VALUE"""),"Employer who appreciates learning and enables that environment")</f>
        <v>Employer who appreciates learning and enables that environment</v>
      </c>
      <c r="M1192" s="1" t="str">
        <f ca="1">IFERROR(__xludf.DUMMYFUNCTION("""COMPUTED_VALUE"""),"Design and Creative strategy in any company, Business Operations in any organization, Work in a BPO setup for some well known client, Become a content Creator in some platform")</f>
        <v>Design and Creative strategy in any company, Business Operations in any organization, Work in a BPO setup for some well known client, Become a content Creator in some platform</v>
      </c>
      <c r="N1192" s="1"/>
      <c r="O1192" s="1" t="str">
        <f ca="1">IFERROR(__xludf.DUMMYFUNCTION("""COMPUTED_VALUE"""),"Manager who clearly describes what she/he needs")</f>
        <v>Manager who clearly describes what she/he needs</v>
      </c>
      <c r="P1192" s="1" t="str">
        <f ca="1">IFERROR(__xludf.DUMMYFUNCTION("""COMPUTED_VALUE"""),"Work &gt;10 people in Team")</f>
        <v>Work &gt;10 people in Team</v>
      </c>
      <c r="Q1192" s="1" t="s">
        <v>43</v>
      </c>
      <c r="R1192" s="1"/>
    </row>
    <row r="1193" spans="1:18" x14ac:dyDescent="0.25">
      <c r="A1193" s="2">
        <f ca="1">IFERROR(__xludf.DUMMYFUNCTION("""COMPUTED_VALUE"""),45044.449102199)</f>
        <v>45044.449102199003</v>
      </c>
      <c r="B1193" s="1" t="str">
        <f ca="1">IFERROR(__xludf.DUMMYFUNCTION("""COMPUTED_VALUE"""),"India")</f>
        <v>India</v>
      </c>
      <c r="C1193" s="1">
        <f ca="1">IFERROR(__xludf.DUMMYFUNCTION("""COMPUTED_VALUE"""),563132)</f>
        <v>563132</v>
      </c>
      <c r="D1193" s="1" t="str">
        <f ca="1">IFERROR(__xludf.DUMMYFUNCTION("""COMPUTED_VALUE"""),"Male")</f>
        <v>Male</v>
      </c>
      <c r="E1193" s="1" t="str">
        <f ca="1">IFERROR(__xludf.DUMMYFUNCTION("""COMPUTED_VALUE"""),"People from my circle, but not family members")</f>
        <v>People from my circle, but not family members</v>
      </c>
      <c r="F1193" s="1" t="str">
        <f ca="1">IFERROR(__xludf.DUMMYFUNCTION("""COMPUTED_VALUE"""),"No I would not be pursuing Higher Education outside of India")</f>
        <v>No I would not be pursuing Higher Education outside of India</v>
      </c>
      <c r="G1193" s="1" t="str">
        <f ca="1">IFERROR(__xludf.DUMMYFUNCTION("""COMPUTED_VALUE"""),"This will be hard to do, but if it is the right company I would try")</f>
        <v>This will be hard to do, but if it is the right company I would try</v>
      </c>
      <c r="H1193" s="1" t="str">
        <f ca="1">IFERROR(__xludf.DUMMYFUNCTION("""COMPUTED_VALUE"""),"No")</f>
        <v>No</v>
      </c>
      <c r="I1193" s="1" t="str">
        <f ca="1">IFERROR(__xludf.DUMMYFUNCTION("""COMPUTED_VALUE"""),"Will NOT work for them")</f>
        <v>Will NOT work for them</v>
      </c>
      <c r="J1193" s="1">
        <f ca="1">IFERROR(__xludf.DUMMYFUNCTION("""COMPUTED_VALUE"""),1)</f>
        <v>1</v>
      </c>
      <c r="K1193" s="1" t="str">
        <f ca="1">IFERROR(__xludf.DUMMYFUNCTION("""COMPUTED_VALUE"""),"Hybrid Working Environment with less than 3 days a month at office")</f>
        <v>Hybrid Working Environment with less than 3 days a month at office</v>
      </c>
      <c r="L1193" s="1" t="str">
        <f ca="1">IFERROR(__xludf.DUMMYFUNCTION("""COMPUTED_VALUE"""),"Employer who appreciates learning and enables that environment")</f>
        <v>Employer who appreciates learning and enables that environment</v>
      </c>
      <c r="M1193"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193" s="1"/>
      <c r="O1193" s="1" t="str">
        <f ca="1">IFERROR(__xludf.DUMMYFUNCTION("""COMPUTED_VALUE"""),"Manager who explains what is expected, sets a goal and helps achieve it")</f>
        <v>Manager who explains what is expected, sets a goal and helps achieve it</v>
      </c>
      <c r="P1193" s="1" t="str">
        <f ca="1">IFERROR(__xludf.DUMMYFUNCTION("""COMPUTED_VALUE"""),"Work &lt;=6 People in the Team")</f>
        <v>Work &lt;=6 People in the Team</v>
      </c>
      <c r="Q1193" s="1" t="s">
        <v>43</v>
      </c>
      <c r="R1193" s="1"/>
    </row>
    <row r="1194" spans="1:18" x14ac:dyDescent="0.25">
      <c r="A1194" s="2">
        <f ca="1">IFERROR(__xludf.DUMMYFUNCTION("""COMPUTED_VALUE"""),45044.4495589699)</f>
        <v>45044.4495589699</v>
      </c>
      <c r="B1194" s="1" t="str">
        <f ca="1">IFERROR(__xludf.DUMMYFUNCTION("""COMPUTED_VALUE"""),"India")</f>
        <v>India</v>
      </c>
      <c r="C1194" s="1">
        <f ca="1">IFERROR(__xludf.DUMMYFUNCTION("""COMPUTED_VALUE"""),757001)</f>
        <v>757001</v>
      </c>
      <c r="D1194" s="1" t="str">
        <f ca="1">IFERROR(__xludf.DUMMYFUNCTION("""COMPUTED_VALUE"""),"Male")</f>
        <v>Male</v>
      </c>
      <c r="E1194" s="1" t="str">
        <f ca="1">IFERROR(__xludf.DUMMYFUNCTION("""COMPUTED_VALUE"""),"My Parents")</f>
        <v>My Parents</v>
      </c>
      <c r="F1194" s="1" t="str">
        <f ca="1">IFERROR(__xludf.DUMMYFUNCTION("""COMPUTED_VALUE"""),"Yes, I will earn and do that")</f>
        <v>Yes, I will earn and do that</v>
      </c>
      <c r="G1194" s="1" t="str">
        <f ca="1">IFERROR(__xludf.DUMMYFUNCTION("""COMPUTED_VALUE"""),"Will work for 3 years or more")</f>
        <v>Will work for 3 years or more</v>
      </c>
      <c r="H1194" s="1" t="str">
        <f ca="1">IFERROR(__xludf.DUMMYFUNCTION("""COMPUTED_VALUE"""),"No")</f>
        <v>No</v>
      </c>
      <c r="I1194" s="1" t="str">
        <f ca="1">IFERROR(__xludf.DUMMYFUNCTION("""COMPUTED_VALUE"""),"Will work for them")</f>
        <v>Will work for them</v>
      </c>
      <c r="J1194" s="1">
        <f ca="1">IFERROR(__xludf.DUMMYFUNCTION("""COMPUTED_VALUE"""),8)</f>
        <v>8</v>
      </c>
      <c r="K1194" s="1" t="str">
        <f ca="1">IFERROR(__xludf.DUMMYFUNCTION("""COMPUTED_VALUE"""),"Hybrid Working Environment with more than 15 days a month at office")</f>
        <v>Hybrid Working Environment with more than 15 days a month at office</v>
      </c>
      <c r="L1194" s="1" t="str">
        <f ca="1">IFERROR(__xludf.DUMMYFUNCTION("""COMPUTED_VALUE"""),"Employer who rewards learning and enables that environment")</f>
        <v>Employer who rewards learning and enables that environment</v>
      </c>
      <c r="M11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194" s="1"/>
      <c r="O1194" s="1" t="str">
        <f ca="1">IFERROR(__xludf.DUMMYFUNCTION("""COMPUTED_VALUE"""),"Manager who sets goal and helps me achieve it")</f>
        <v>Manager who sets goal and helps me achieve it</v>
      </c>
      <c r="P1194" s="1" t="str">
        <f ca="1">IFERROR(__xludf.DUMMYFUNCTION("""COMPUTED_VALUE"""),"Work &lt;=6 People in the Team")</f>
        <v>Work &lt;=6 People in the Team</v>
      </c>
      <c r="Q1194" s="1" t="s">
        <v>43</v>
      </c>
      <c r="R1194" s="1"/>
    </row>
    <row r="1195" spans="1:18" x14ac:dyDescent="0.25">
      <c r="A1195" s="2">
        <f ca="1">IFERROR(__xludf.DUMMYFUNCTION("""COMPUTED_VALUE"""),45044.4504345717)</f>
        <v>45044.4504345717</v>
      </c>
      <c r="B1195" s="1" t="str">
        <f ca="1">IFERROR(__xludf.DUMMYFUNCTION("""COMPUTED_VALUE"""),"India")</f>
        <v>India</v>
      </c>
      <c r="C1195" s="1">
        <f ca="1">IFERROR(__xludf.DUMMYFUNCTION("""COMPUTED_VALUE"""),562106)</f>
        <v>562106</v>
      </c>
      <c r="D1195" s="1" t="str">
        <f ca="1">IFERROR(__xludf.DUMMYFUNCTION("""COMPUTED_VALUE"""),"Male")</f>
        <v>Male</v>
      </c>
      <c r="E1195" s="1" t="str">
        <f ca="1">IFERROR(__xludf.DUMMYFUNCTION("""COMPUTED_VALUE"""),"Influencers who had successful careers")</f>
        <v>Influencers who had successful careers</v>
      </c>
      <c r="F1195" s="1" t="str">
        <f ca="1">IFERROR(__xludf.DUMMYFUNCTION("""COMPUTED_VALUE"""),"Yes, I will earn and do that")</f>
        <v>Yes, I will earn and do that</v>
      </c>
      <c r="G1195" s="1" t="str">
        <f ca="1">IFERROR(__xludf.DUMMYFUNCTION("""COMPUTED_VALUE"""),"This will be hard to do, but if it is the right company I would try")</f>
        <v>This will be hard to do, but if it is the right company I would try</v>
      </c>
      <c r="H1195" s="1" t="str">
        <f ca="1">IFERROR(__xludf.DUMMYFUNCTION("""COMPUTED_VALUE"""),"No")</f>
        <v>No</v>
      </c>
      <c r="I1195" s="1" t="str">
        <f ca="1">IFERROR(__xludf.DUMMYFUNCTION("""COMPUTED_VALUE"""),"Will NOT work for them")</f>
        <v>Will NOT work for them</v>
      </c>
      <c r="J1195" s="1">
        <f ca="1">IFERROR(__xludf.DUMMYFUNCTION("""COMPUTED_VALUE"""),1)</f>
        <v>1</v>
      </c>
      <c r="K1195" s="1" t="str">
        <f ca="1">IFERROR(__xludf.DUMMYFUNCTION("""COMPUTED_VALUE"""),"Hybrid Working Environment with less than 3 days a month at office")</f>
        <v>Hybrid Working Environment with less than 3 days a month at office</v>
      </c>
      <c r="L1195" s="1" t="str">
        <f ca="1">IFERROR(__xludf.DUMMYFUNCTION("""COMPUTED_VALUE"""),"Employer who pushes your limits by enabling an learning environment, and rewards you at the end")</f>
        <v>Employer who pushes your limits by enabling an learning environment, and rewards you at the end</v>
      </c>
      <c r="M1195" s="1" t="str">
        <f ca="1">IFERROR(__xludf.DUMMYFUNCTION("""COMPUTED_VALUE"""),"Design and Creative strategy in any company, Entrepreneur or Start Up, I Want to sell things/Sales, An Artificial Intelligence Specialist / Talking to Robots")</f>
        <v>Design and Creative strategy in any company, Entrepreneur or Start Up, I Want to sell things/Sales, An Artificial Intelligence Specialist / Talking to Robots</v>
      </c>
      <c r="N1195" s="1"/>
      <c r="O1195" s="1" t="str">
        <f ca="1">IFERROR(__xludf.DUMMYFUNCTION("""COMPUTED_VALUE"""),"Manager who sets goal and helps me achieve it")</f>
        <v>Manager who sets goal and helps me achieve it</v>
      </c>
      <c r="P1195" s="1" t="str">
        <f ca="1">IFERROR(__xludf.DUMMYFUNCTION("""COMPUTED_VALUE"""),"Work &lt;=6 People in the Team")</f>
        <v>Work &lt;=6 People in the Team</v>
      </c>
      <c r="Q1195" s="1" t="s">
        <v>40</v>
      </c>
      <c r="R1195" s="1"/>
    </row>
    <row r="1196" spans="1:18" x14ac:dyDescent="0.25">
      <c r="A1196" s="2">
        <f ca="1">IFERROR(__xludf.DUMMYFUNCTION("""COMPUTED_VALUE"""),45044.4519186574)</f>
        <v>45044.451918657403</v>
      </c>
      <c r="B1196" s="1" t="str">
        <f ca="1">IFERROR(__xludf.DUMMYFUNCTION("""COMPUTED_VALUE"""),"India")</f>
        <v>India</v>
      </c>
      <c r="C1196" s="1">
        <f ca="1">IFERROR(__xludf.DUMMYFUNCTION("""COMPUTED_VALUE"""),700060)</f>
        <v>700060</v>
      </c>
      <c r="D1196" s="1" t="str">
        <f ca="1">IFERROR(__xludf.DUMMYFUNCTION("""COMPUTED_VALUE"""),"Male")</f>
        <v>Male</v>
      </c>
      <c r="E1196" s="1" t="str">
        <f ca="1">IFERROR(__xludf.DUMMYFUNCTION("""COMPUTED_VALUE"""),"People from my circle, but not family members")</f>
        <v>People from my circle, but not family members</v>
      </c>
      <c r="F1196" s="1" t="str">
        <f ca="1">IFERROR(__xludf.DUMMYFUNCTION("""COMPUTED_VALUE"""),"Yes, I will earn and do that")</f>
        <v>Yes, I will earn and do that</v>
      </c>
      <c r="G1196" s="1" t="str">
        <f ca="1">IFERROR(__xludf.DUMMYFUNCTION("""COMPUTED_VALUE"""),"Will work for 3 years or more")</f>
        <v>Will work for 3 years or more</v>
      </c>
      <c r="H1196" s="1" t="str">
        <f ca="1">IFERROR(__xludf.DUMMYFUNCTION("""COMPUTED_VALUE"""),"Yes")</f>
        <v>Yes</v>
      </c>
      <c r="I1196" s="1" t="str">
        <f ca="1">IFERROR(__xludf.DUMMYFUNCTION("""COMPUTED_VALUE"""),"Will work for them")</f>
        <v>Will work for them</v>
      </c>
      <c r="J1196" s="1">
        <f ca="1">IFERROR(__xludf.DUMMYFUNCTION("""COMPUTED_VALUE"""),10)</f>
        <v>10</v>
      </c>
      <c r="K1196" s="1" t="str">
        <f ca="1">IFERROR(__xludf.DUMMYFUNCTION("""COMPUTED_VALUE"""),"Every Day Office Environment")</f>
        <v>Every Day Office Environment</v>
      </c>
      <c r="L1196" s="1" t="str">
        <f ca="1">IFERROR(__xludf.DUMMYFUNCTION("""COMPUTED_VALUE"""),"Employer who pushes your limits by enabling an learning environment, and rewards you at the end")</f>
        <v>Employer who pushes your limits by enabling an learning environment, and rewards you at the end</v>
      </c>
      <c r="M1196"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N1196" s="1"/>
      <c r="O1196" s="1" t="str">
        <f ca="1">IFERROR(__xludf.DUMMYFUNCTION("""COMPUTED_VALUE"""),"Manager who explains what is expected, sets a goal and helps achieve it")</f>
        <v>Manager who explains what is expected, sets a goal and helps achieve it</v>
      </c>
      <c r="P1196" s="1" t="str">
        <f ca="1">IFERROR(__xludf.DUMMYFUNCTION("""COMPUTED_VALUE"""),"Work &gt;10 people in Team")</f>
        <v>Work &gt;10 people in Team</v>
      </c>
      <c r="Q1196" s="1" t="s">
        <v>43</v>
      </c>
      <c r="R1196" s="1"/>
    </row>
    <row r="1197" spans="1:18" x14ac:dyDescent="0.25">
      <c r="A1197" s="2">
        <f ca="1">IFERROR(__xludf.DUMMYFUNCTION("""COMPUTED_VALUE"""),45044.4521457754)</f>
        <v>45044.452145775402</v>
      </c>
      <c r="B1197" s="1" t="str">
        <f ca="1">IFERROR(__xludf.DUMMYFUNCTION("""COMPUTED_VALUE"""),"India")</f>
        <v>India</v>
      </c>
      <c r="C1197" s="1">
        <f ca="1">IFERROR(__xludf.DUMMYFUNCTION("""COMPUTED_VALUE"""),440008)</f>
        <v>440008</v>
      </c>
      <c r="D1197" s="1" t="str">
        <f ca="1">IFERROR(__xludf.DUMMYFUNCTION("""COMPUTED_VALUE"""),"Male")</f>
        <v>Male</v>
      </c>
      <c r="E1197" s="1" t="str">
        <f ca="1">IFERROR(__xludf.DUMMYFUNCTION("""COMPUTED_VALUE"""),"Social Media like LinkedIn")</f>
        <v>Social Media like LinkedIn</v>
      </c>
      <c r="F1197" s="1" t="str">
        <f ca="1">IFERROR(__xludf.DUMMYFUNCTION("""COMPUTED_VALUE"""),"Yes, I will earn and do that")</f>
        <v>Yes, I will earn and do that</v>
      </c>
      <c r="G1197" s="1" t="str">
        <f ca="1">IFERROR(__xludf.DUMMYFUNCTION("""COMPUTED_VALUE"""),"Will work for 3 years or more")</f>
        <v>Will work for 3 years or more</v>
      </c>
      <c r="H1197" s="1" t="str">
        <f ca="1">IFERROR(__xludf.DUMMYFUNCTION("""COMPUTED_VALUE"""),"No")</f>
        <v>No</v>
      </c>
      <c r="I1197" s="1" t="str">
        <f ca="1">IFERROR(__xludf.DUMMYFUNCTION("""COMPUTED_VALUE"""),"Will NOT work for them")</f>
        <v>Will NOT work for them</v>
      </c>
      <c r="J1197" s="1">
        <f ca="1">IFERROR(__xludf.DUMMYFUNCTION("""COMPUTED_VALUE"""),5)</f>
        <v>5</v>
      </c>
      <c r="K1197" s="1" t="str">
        <f ca="1">IFERROR(__xludf.DUMMYFUNCTION("""COMPUTED_VALUE"""),"Fully Remote with Options to travel as and when needed")</f>
        <v>Fully Remote with Options to travel as and when needed</v>
      </c>
      <c r="L1197" s="1" t="str">
        <f ca="1">IFERROR(__xludf.DUMMYFUNCTION("""COMPUTED_VALUE"""),"Employer who appreciates learning and enables that environment")</f>
        <v>Employer who appreciates learning and enables that environment</v>
      </c>
      <c r="M1197"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1197" s="1"/>
      <c r="O1197" s="1" t="str">
        <f ca="1">IFERROR(__xludf.DUMMYFUNCTION("""COMPUTED_VALUE"""),"Manager who explains what is expected, sets a goal and helps achieve it")</f>
        <v>Manager who explains what is expected, sets a goal and helps achieve it</v>
      </c>
      <c r="P1197" s="1" t="str">
        <f ca="1">IFERROR(__xludf.DUMMYFUNCTION("""COMPUTED_VALUE"""),"Work &lt;=6 People in the Team")</f>
        <v>Work &lt;=6 People in the Team</v>
      </c>
      <c r="Q1197" s="1" t="s">
        <v>43</v>
      </c>
      <c r="R1197" s="1"/>
    </row>
    <row r="1198" spans="1:18" x14ac:dyDescent="0.25">
      <c r="A1198" s="2">
        <f ca="1">IFERROR(__xludf.DUMMYFUNCTION("""COMPUTED_VALUE"""),45044.4527563541)</f>
        <v>45044.452756354098</v>
      </c>
      <c r="B1198" s="1" t="str">
        <f ca="1">IFERROR(__xludf.DUMMYFUNCTION("""COMPUTED_VALUE"""),"India")</f>
        <v>India</v>
      </c>
      <c r="C1198" s="1">
        <f ca="1">IFERROR(__xludf.DUMMYFUNCTION("""COMPUTED_VALUE"""),700040)</f>
        <v>700040</v>
      </c>
      <c r="D1198" s="1" t="str">
        <f ca="1">IFERROR(__xludf.DUMMYFUNCTION("""COMPUTED_VALUE"""),"Male")</f>
        <v>Male</v>
      </c>
      <c r="E1198" s="1" t="str">
        <f ca="1">IFERROR(__xludf.DUMMYFUNCTION("""COMPUTED_VALUE"""),"People who have changed the world for better")</f>
        <v>People who have changed the world for better</v>
      </c>
      <c r="F1198" s="1" t="str">
        <f ca="1">IFERROR(__xludf.DUMMYFUNCTION("""COMPUTED_VALUE"""),"No I would not be pursuing Higher Education outside of India")</f>
        <v>No I would not be pursuing Higher Education outside of India</v>
      </c>
      <c r="G1198" s="1" t="str">
        <f ca="1">IFERROR(__xludf.DUMMYFUNCTION("""COMPUTED_VALUE"""),"Will work for 3 years or more")</f>
        <v>Will work for 3 years or more</v>
      </c>
      <c r="H1198" s="1" t="str">
        <f ca="1">IFERROR(__xludf.DUMMYFUNCTION("""COMPUTED_VALUE"""),"No")</f>
        <v>No</v>
      </c>
      <c r="I1198" s="1" t="str">
        <f ca="1">IFERROR(__xludf.DUMMYFUNCTION("""COMPUTED_VALUE"""),"Will NOT work for them")</f>
        <v>Will NOT work for them</v>
      </c>
      <c r="J1198" s="1">
        <f ca="1">IFERROR(__xludf.DUMMYFUNCTION("""COMPUTED_VALUE"""),1)</f>
        <v>1</v>
      </c>
      <c r="K1198" s="1" t="str">
        <f ca="1">IFERROR(__xludf.DUMMYFUNCTION("""COMPUTED_VALUE"""),"Fully Remote with Options to travel as and when needed")</f>
        <v>Fully Remote with Options to travel as and when needed</v>
      </c>
      <c r="L1198" s="1" t="str">
        <f ca="1">IFERROR(__xludf.DUMMYFUNCTION("""COMPUTED_VALUE"""),"Employer who pushes your limits by enabling an learning environment, and rewards you at the end")</f>
        <v>Employer who pushes your limits by enabling an learning environment, and rewards you at the end</v>
      </c>
      <c r="M11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1198" s="1"/>
      <c r="O1198" s="1" t="str">
        <f ca="1">IFERROR(__xludf.DUMMYFUNCTION("""COMPUTED_VALUE"""),"Manager who clearly describes what she/he needs")</f>
        <v>Manager who clearly describes what she/he needs</v>
      </c>
      <c r="P1198" s="1" t="str">
        <f ca="1">IFERROR(__xludf.DUMMYFUNCTION("""COMPUTED_VALUE"""),"Work &lt;=6 People in the Team")</f>
        <v>Work &lt;=6 People in the Team</v>
      </c>
      <c r="Q1198" s="1" t="s">
        <v>40</v>
      </c>
      <c r="R1198" s="1"/>
    </row>
    <row r="1199" spans="1:18" x14ac:dyDescent="0.25">
      <c r="A1199" s="2">
        <f ca="1">IFERROR(__xludf.DUMMYFUNCTION("""COMPUTED_VALUE"""),45044.4527770717)</f>
        <v>45044.452777071703</v>
      </c>
      <c r="B1199" s="1" t="str">
        <f ca="1">IFERROR(__xludf.DUMMYFUNCTION("""COMPUTED_VALUE"""),"India")</f>
        <v>India</v>
      </c>
      <c r="C1199" s="1">
        <f ca="1">IFERROR(__xludf.DUMMYFUNCTION("""COMPUTED_VALUE"""),700039)</f>
        <v>700039</v>
      </c>
      <c r="D1199" s="1" t="str">
        <f ca="1">IFERROR(__xludf.DUMMYFUNCTION("""COMPUTED_VALUE"""),"Male")</f>
        <v>Male</v>
      </c>
      <c r="E1199" s="1" t="str">
        <f ca="1">IFERROR(__xludf.DUMMYFUNCTION("""COMPUTED_VALUE"""),"People who have changed the world for better")</f>
        <v>People who have changed the world for better</v>
      </c>
      <c r="F1199" s="1" t="str">
        <f ca="1">IFERROR(__xludf.DUMMYFUNCTION("""COMPUTED_VALUE"""),"Yes, I will earn and do that")</f>
        <v>Yes, I will earn and do that</v>
      </c>
      <c r="G1199" s="1" t="str">
        <f ca="1">IFERROR(__xludf.DUMMYFUNCTION("""COMPUTED_VALUE"""),"Will work for 3 years or more")</f>
        <v>Will work for 3 years or more</v>
      </c>
      <c r="H1199" s="1" t="str">
        <f ca="1">IFERROR(__xludf.DUMMYFUNCTION("""COMPUTED_VALUE"""),"No")</f>
        <v>No</v>
      </c>
      <c r="I1199" s="1" t="str">
        <f ca="1">IFERROR(__xludf.DUMMYFUNCTION("""COMPUTED_VALUE"""),"Will NOT work for them")</f>
        <v>Will NOT work for them</v>
      </c>
      <c r="J1199" s="1">
        <f ca="1">IFERROR(__xludf.DUMMYFUNCTION("""COMPUTED_VALUE"""),2)</f>
        <v>2</v>
      </c>
      <c r="K1199" s="1" t="str">
        <f ca="1">IFERROR(__xludf.DUMMYFUNCTION("""COMPUTED_VALUE"""),"Every Day Office Environment")</f>
        <v>Every Day Office Environment</v>
      </c>
      <c r="L1199" s="1" t="str">
        <f ca="1">IFERROR(__xludf.DUMMYFUNCTION("""COMPUTED_VALUE"""),"Employer who pushes your limits by enabling an learning environment, and rewards you at the end")</f>
        <v>Employer who pushes your limits by enabling an learning environment, and rewards you at the end</v>
      </c>
      <c r="M1199"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N1199" s="1"/>
      <c r="O1199" s="1" t="str">
        <f ca="1">IFERROR(__xludf.DUMMYFUNCTION("""COMPUTED_VALUE"""),"Manager who explains what is expected, sets a goal and helps achieve it")</f>
        <v>Manager who explains what is expected, sets a goal and helps achieve it</v>
      </c>
      <c r="P1199" s="1" t="str">
        <f ca="1">IFERROR(__xludf.DUMMYFUNCTION("""COMPUTED_VALUE"""),"Work &gt;10 people in Team")</f>
        <v>Work &gt;10 people in Team</v>
      </c>
      <c r="Q1199" s="1" t="s">
        <v>42</v>
      </c>
      <c r="R1199" s="1"/>
    </row>
    <row r="1200" spans="1:18" x14ac:dyDescent="0.25">
      <c r="A1200" s="2">
        <f ca="1">IFERROR(__xludf.DUMMYFUNCTION("""COMPUTED_VALUE"""),45044.4528585185)</f>
        <v>45044.452858518503</v>
      </c>
      <c r="B1200" s="1" t="str">
        <f ca="1">IFERROR(__xludf.DUMMYFUNCTION("""COMPUTED_VALUE"""),"India")</f>
        <v>India</v>
      </c>
      <c r="C1200" s="1">
        <f ca="1">IFERROR(__xludf.DUMMYFUNCTION("""COMPUTED_VALUE"""),563106)</f>
        <v>563106</v>
      </c>
      <c r="D1200" s="1" t="str">
        <f ca="1">IFERROR(__xludf.DUMMYFUNCTION("""COMPUTED_VALUE"""),"Male")</f>
        <v>Male</v>
      </c>
      <c r="E1200" s="1" t="str">
        <f ca="1">IFERROR(__xludf.DUMMYFUNCTION("""COMPUTED_VALUE"""),"Influencers who had successful careers")</f>
        <v>Influencers who had successful careers</v>
      </c>
      <c r="F1200" s="1" t="str">
        <f ca="1">IFERROR(__xludf.DUMMYFUNCTION("""COMPUTED_VALUE"""),"Yes, I will earn and do that")</f>
        <v>Yes, I will earn and do that</v>
      </c>
      <c r="G1200" s="1" t="str">
        <f ca="1">IFERROR(__xludf.DUMMYFUNCTION("""COMPUTED_VALUE"""),"This will be hard to do, but if it is the right company I would try")</f>
        <v>This will be hard to do, but if it is the right company I would try</v>
      </c>
      <c r="H1200" s="1" t="str">
        <f ca="1">IFERROR(__xludf.DUMMYFUNCTION("""COMPUTED_VALUE"""),"No")</f>
        <v>No</v>
      </c>
      <c r="I1200" s="1" t="str">
        <f ca="1">IFERROR(__xludf.DUMMYFUNCTION("""COMPUTED_VALUE"""),"Will NOT work for them")</f>
        <v>Will NOT work for them</v>
      </c>
      <c r="J1200" s="1">
        <f ca="1">IFERROR(__xludf.DUMMYFUNCTION("""COMPUTED_VALUE"""),1)</f>
        <v>1</v>
      </c>
      <c r="K1200" s="1" t="str">
        <f ca="1">IFERROR(__xludf.DUMMYFUNCTION("""COMPUTED_VALUE"""),"Hybrid Working Environment with less than 3 days a month at office")</f>
        <v>Hybrid Working Environment with less than 3 days a month at office</v>
      </c>
      <c r="L1200" s="1" t="str">
        <f ca="1">IFERROR(__xludf.DUMMYFUNCTION("""COMPUTED_VALUE"""),"Employer who rewards learning and enables that environment")</f>
        <v>Employer who rewards learning and enables that environment</v>
      </c>
      <c r="M120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1200" s="1"/>
      <c r="O1200" s="1" t="str">
        <f ca="1">IFERROR(__xludf.DUMMYFUNCTION("""COMPUTED_VALUE"""),"Manager who clearly describes what she/he needs")</f>
        <v>Manager who clearly describes what she/he needs</v>
      </c>
      <c r="P1200" s="1" t="str">
        <f ca="1">IFERROR(__xludf.DUMMYFUNCTION("""COMPUTED_VALUE"""),"Work &lt;=6 People in the Team")</f>
        <v>Work &lt;=6 People in the Team</v>
      </c>
      <c r="Q1200" s="1" t="s">
        <v>43</v>
      </c>
      <c r="R1200" s="1"/>
    </row>
    <row r="1201" spans="1:18" x14ac:dyDescent="0.25">
      <c r="A1201" s="2">
        <f ca="1">IFERROR(__xludf.DUMMYFUNCTION("""COMPUTED_VALUE"""),45044.4545441782)</f>
        <v>45044.454544178203</v>
      </c>
      <c r="B1201" s="1" t="str">
        <f ca="1">IFERROR(__xludf.DUMMYFUNCTION("""COMPUTED_VALUE"""),"India")</f>
        <v>India</v>
      </c>
      <c r="C1201" s="1">
        <f ca="1">IFERROR(__xludf.DUMMYFUNCTION("""COMPUTED_VALUE"""),760001)</f>
        <v>760001</v>
      </c>
      <c r="D1201" s="1" t="str">
        <f ca="1">IFERROR(__xludf.DUMMYFUNCTION("""COMPUTED_VALUE"""),"Male")</f>
        <v>Male</v>
      </c>
      <c r="E1201" s="1" t="str">
        <f ca="1">IFERROR(__xludf.DUMMYFUNCTION("""COMPUTED_VALUE"""),"People who have changed the world for better")</f>
        <v>People who have changed the world for better</v>
      </c>
      <c r="F1201" s="1" t="str">
        <f ca="1">IFERROR(__xludf.DUMMYFUNCTION("""COMPUTED_VALUE"""),"Yes, I will earn and do that")</f>
        <v>Yes, I will earn and do that</v>
      </c>
      <c r="G1201" s="1" t="str">
        <f ca="1">IFERROR(__xludf.DUMMYFUNCTION("""COMPUTED_VALUE"""),"This will be hard to do, but if it is the right company I would try")</f>
        <v>This will be hard to do, but if it is the right company I would try</v>
      </c>
      <c r="H1201" s="1" t="str">
        <f ca="1">IFERROR(__xludf.DUMMYFUNCTION("""COMPUTED_VALUE"""),"No")</f>
        <v>No</v>
      </c>
      <c r="I1201" s="1" t="str">
        <f ca="1">IFERROR(__xludf.DUMMYFUNCTION("""COMPUTED_VALUE"""),"Will NOT work for them")</f>
        <v>Will NOT work for them</v>
      </c>
      <c r="J1201" s="1">
        <f ca="1">IFERROR(__xludf.DUMMYFUNCTION("""COMPUTED_VALUE"""),8)</f>
        <v>8</v>
      </c>
      <c r="K1201" s="1" t="str">
        <f ca="1">IFERROR(__xludf.DUMMYFUNCTION("""COMPUTED_VALUE"""),"Hybrid Working Environment with more than 15 days a month at office")</f>
        <v>Hybrid Working Environment with more than 15 days a month at office</v>
      </c>
      <c r="L1201" s="1" t="str">
        <f ca="1">IFERROR(__xludf.DUMMYFUNCTION("""COMPUTED_VALUE"""),"Employer who pushes your limits by enabling an learning environment, and rewards you at the end")</f>
        <v>Employer who pushes your limits by enabling an learning environment, and rewards you at the end</v>
      </c>
      <c r="M1201"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1201" s="1"/>
      <c r="O1201" s="1" t="str">
        <f ca="1">IFERROR(__xludf.DUMMYFUNCTION("""COMPUTED_VALUE"""),"Manager who sets goal and helps me achieve it")</f>
        <v>Manager who sets goal and helps me achieve it</v>
      </c>
      <c r="P1201" s="1" t="str">
        <f ca="1">IFERROR(__xludf.DUMMYFUNCTION("""COMPUTED_VALUE"""),"Work &gt;10 people in Team")</f>
        <v>Work &gt;10 people in Team</v>
      </c>
      <c r="Q1201" s="1" t="s">
        <v>40</v>
      </c>
      <c r="R1201" s="1"/>
    </row>
    <row r="1202" spans="1:18" x14ac:dyDescent="0.25">
      <c r="A1202" s="2">
        <f ca="1">IFERROR(__xludf.DUMMYFUNCTION("""COMPUTED_VALUE"""),45044.4572367013)</f>
        <v>45044.457236701302</v>
      </c>
      <c r="B1202" s="1" t="str">
        <f ca="1">IFERROR(__xludf.DUMMYFUNCTION("""COMPUTED_VALUE"""),"India")</f>
        <v>India</v>
      </c>
      <c r="C1202" s="1">
        <f ca="1">IFERROR(__xludf.DUMMYFUNCTION("""COMPUTED_VALUE"""),247001)</f>
        <v>247001</v>
      </c>
      <c r="D1202" s="1" t="str">
        <f ca="1">IFERROR(__xludf.DUMMYFUNCTION("""COMPUTED_VALUE"""),"Male")</f>
        <v>Male</v>
      </c>
      <c r="E1202" s="1" t="str">
        <f ca="1">IFERROR(__xludf.DUMMYFUNCTION("""COMPUTED_VALUE"""),"My Parents")</f>
        <v>My Parents</v>
      </c>
      <c r="F1202" s="1" t="str">
        <f ca="1">IFERROR(__xludf.DUMMYFUNCTION("""COMPUTED_VALUE"""),"No I would not be pursuing Higher Education outside of India")</f>
        <v>No I would not be pursuing Higher Education outside of India</v>
      </c>
      <c r="G1202" s="1" t="str">
        <f ca="1">IFERROR(__xludf.DUMMYFUNCTION("""COMPUTED_VALUE"""),"This will be hard to do, but if it is the right company I would try")</f>
        <v>This will be hard to do, but if it is the right company I would try</v>
      </c>
      <c r="H1202" s="1" t="str">
        <f ca="1">IFERROR(__xludf.DUMMYFUNCTION("""COMPUTED_VALUE"""),"No")</f>
        <v>No</v>
      </c>
      <c r="I1202" s="1" t="str">
        <f ca="1">IFERROR(__xludf.DUMMYFUNCTION("""COMPUTED_VALUE"""),"Will NOT work for them")</f>
        <v>Will NOT work for them</v>
      </c>
      <c r="J1202" s="1">
        <f ca="1">IFERROR(__xludf.DUMMYFUNCTION("""COMPUTED_VALUE"""),1)</f>
        <v>1</v>
      </c>
      <c r="K1202" s="1" t="str">
        <f ca="1">IFERROR(__xludf.DUMMYFUNCTION("""COMPUTED_VALUE"""),"Fully Remote with Options to travel as and when needed")</f>
        <v>Fully Remote with Options to travel as and when needed</v>
      </c>
      <c r="L1202" s="1" t="str">
        <f ca="1">IFERROR(__xludf.DUMMYFUNCTION("""COMPUTED_VALUE"""),"Employer who pushes your limits by enabling an learning environment, and rewards you at the end")</f>
        <v>Employer who pushes your limits by enabling an learning environment, and rewards you at the end</v>
      </c>
      <c r="M1202"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N1202" s="1"/>
      <c r="O1202" s="1" t="str">
        <f ca="1">IFERROR(__xludf.DUMMYFUNCTION("""COMPUTED_VALUE"""),"Manager who explains what is expected, sets a goal and helps achieve it")</f>
        <v>Manager who explains what is expected, sets a goal and helps achieve it</v>
      </c>
      <c r="P1202" s="1" t="str">
        <f ca="1">IFERROR(__xludf.DUMMYFUNCTION("""COMPUTED_VALUE"""),"Work &lt;=6 People in the Team")</f>
        <v>Work &lt;=6 People in the Team</v>
      </c>
      <c r="Q1202" s="1" t="s">
        <v>43</v>
      </c>
      <c r="R1202" s="1"/>
    </row>
    <row r="1203" spans="1:18" x14ac:dyDescent="0.25">
      <c r="A1203" s="2">
        <f ca="1">IFERROR(__xludf.DUMMYFUNCTION("""COMPUTED_VALUE"""),45044.4576209259)</f>
        <v>45044.457620925903</v>
      </c>
      <c r="B1203" s="1" t="str">
        <f ca="1">IFERROR(__xludf.DUMMYFUNCTION("""COMPUTED_VALUE"""),"India")</f>
        <v>India</v>
      </c>
      <c r="C1203" s="1">
        <f ca="1">IFERROR(__xludf.DUMMYFUNCTION("""COMPUTED_VALUE"""),208001)</f>
        <v>208001</v>
      </c>
      <c r="D1203" s="1" t="str">
        <f ca="1">IFERROR(__xludf.DUMMYFUNCTION("""COMPUTED_VALUE"""),"Female")</f>
        <v>Female</v>
      </c>
      <c r="E1203" s="1" t="str">
        <f ca="1">IFERROR(__xludf.DUMMYFUNCTION("""COMPUTED_VALUE"""),"Influencers who had successful careers")</f>
        <v>Influencers who had successful careers</v>
      </c>
      <c r="F1203" s="1" t="str">
        <f ca="1">IFERROR(__xludf.DUMMYFUNCTION("""COMPUTED_VALUE"""),"No I would not be pursuing Higher Education outside of India")</f>
        <v>No I would not be pursuing Higher Education outside of India</v>
      </c>
      <c r="G1203" s="1" t="str">
        <f ca="1">IFERROR(__xludf.DUMMYFUNCTION("""COMPUTED_VALUE"""),"Will work for 3 years or more")</f>
        <v>Will work for 3 years or more</v>
      </c>
      <c r="H1203" s="1" t="str">
        <f ca="1">IFERROR(__xludf.DUMMYFUNCTION("""COMPUTED_VALUE"""),"No")</f>
        <v>No</v>
      </c>
      <c r="I1203" s="1" t="str">
        <f ca="1">IFERROR(__xludf.DUMMYFUNCTION("""COMPUTED_VALUE"""),"Will NOT work for them")</f>
        <v>Will NOT work for them</v>
      </c>
      <c r="J1203" s="1">
        <f ca="1">IFERROR(__xludf.DUMMYFUNCTION("""COMPUTED_VALUE"""),3)</f>
        <v>3</v>
      </c>
      <c r="K1203" s="1" t="str">
        <f ca="1">IFERROR(__xludf.DUMMYFUNCTION("""COMPUTED_VALUE"""),"Hybrid Working Environment with more than 15 days a month at office")</f>
        <v>Hybrid Working Environment with more than 15 days a month at office</v>
      </c>
      <c r="L1203" s="1" t="str">
        <f ca="1">IFERROR(__xludf.DUMMYFUNCTION("""COMPUTED_VALUE"""),"Employer who pushes your limits by enabling an learning environment, and rewards you at the end")</f>
        <v>Employer who pushes your limits by enabling an learning environment, and rewards you at the end</v>
      </c>
      <c r="M12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203" s="1"/>
      <c r="O1203" s="1" t="str">
        <f ca="1">IFERROR(__xludf.DUMMYFUNCTION("""COMPUTED_VALUE"""),"Manager who explains what is expected, sets a goal and helps achieve it")</f>
        <v>Manager who explains what is expected, sets a goal and helps achieve it</v>
      </c>
      <c r="P1203" s="1" t="str">
        <f ca="1">IFERROR(__xludf.DUMMYFUNCTION("""COMPUTED_VALUE"""),"Work &lt;67 People in the Team")</f>
        <v>Work &lt;67 People in the Team</v>
      </c>
      <c r="Q1203" s="1" t="s">
        <v>42</v>
      </c>
      <c r="R1203" s="1"/>
    </row>
    <row r="1204" spans="1:18" x14ac:dyDescent="0.25">
      <c r="A1204" s="2">
        <f ca="1">IFERROR(__xludf.DUMMYFUNCTION("""COMPUTED_VALUE"""),45044.4586819444)</f>
        <v>45044.458681944401</v>
      </c>
      <c r="B1204" s="1" t="str">
        <f ca="1">IFERROR(__xludf.DUMMYFUNCTION("""COMPUTED_VALUE"""),"India")</f>
        <v>India</v>
      </c>
      <c r="C1204" s="1">
        <f ca="1">IFERROR(__xludf.DUMMYFUNCTION("""COMPUTED_VALUE"""),534002)</f>
        <v>534002</v>
      </c>
      <c r="D1204" s="1" t="str">
        <f ca="1">IFERROR(__xludf.DUMMYFUNCTION("""COMPUTED_VALUE"""),"Female")</f>
        <v>Female</v>
      </c>
      <c r="E1204" s="1" t="str">
        <f ca="1">IFERROR(__xludf.DUMMYFUNCTION("""COMPUTED_VALUE"""),"My Parents")</f>
        <v>My Parents</v>
      </c>
      <c r="F1204" s="1" t="str">
        <f ca="1">IFERROR(__xludf.DUMMYFUNCTION("""COMPUTED_VALUE"""),"Yes, I will earn and do that")</f>
        <v>Yes, I will earn and do that</v>
      </c>
      <c r="G1204" s="1" t="str">
        <f ca="1">IFERROR(__xludf.DUMMYFUNCTION("""COMPUTED_VALUE"""),"This will be hard to do, but if it is the right company I would try")</f>
        <v>This will be hard to do, but if it is the right company I would try</v>
      </c>
      <c r="H1204" s="1" t="str">
        <f ca="1">IFERROR(__xludf.DUMMYFUNCTION("""COMPUTED_VALUE"""),"Yes")</f>
        <v>Yes</v>
      </c>
      <c r="I1204" s="1" t="str">
        <f ca="1">IFERROR(__xludf.DUMMYFUNCTION("""COMPUTED_VALUE"""),"Will NOT work for them")</f>
        <v>Will NOT work for them</v>
      </c>
      <c r="J1204" s="1">
        <f ca="1">IFERROR(__xludf.DUMMYFUNCTION("""COMPUTED_VALUE"""),3)</f>
        <v>3</v>
      </c>
      <c r="K1204" s="1" t="str">
        <f ca="1">IFERROR(__xludf.DUMMYFUNCTION("""COMPUTED_VALUE"""),"Hybrid Working Environment with more than 15 days a month at office")</f>
        <v>Hybrid Working Environment with more than 15 days a month at office</v>
      </c>
      <c r="L1204" s="1" t="str">
        <f ca="1">IFERROR(__xludf.DUMMYFUNCTION("""COMPUTED_VALUE"""),"Employer who appreciates learning and enables that environment")</f>
        <v>Employer who appreciates learning and enables that environment</v>
      </c>
      <c r="M1204"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1204" s="1"/>
      <c r="O1204" s="1" t="str">
        <f ca="1">IFERROR(__xludf.DUMMYFUNCTION("""COMPUTED_VALUE"""),"Manager who sets goal and helps me achieve it")</f>
        <v>Manager who sets goal and helps me achieve it</v>
      </c>
      <c r="P1204" s="1" t="str">
        <f ca="1">IFERROR(__xludf.DUMMYFUNCTION("""COMPUTED_VALUE"""),"Work &lt;=6 People in the Team")</f>
        <v>Work &lt;=6 People in the Team</v>
      </c>
      <c r="Q1204" s="1" t="s">
        <v>43</v>
      </c>
      <c r="R1204" s="1"/>
    </row>
    <row r="1205" spans="1:18" x14ac:dyDescent="0.25">
      <c r="A1205" s="2">
        <f ca="1">IFERROR(__xludf.DUMMYFUNCTION("""COMPUTED_VALUE"""),45044.4587421064)</f>
        <v>45044.458742106399</v>
      </c>
      <c r="B1205" s="1" t="str">
        <f ca="1">IFERROR(__xludf.DUMMYFUNCTION("""COMPUTED_VALUE"""),"India")</f>
        <v>India</v>
      </c>
      <c r="C1205" s="1">
        <f ca="1">IFERROR(__xludf.DUMMYFUNCTION("""COMPUTED_VALUE"""),500018)</f>
        <v>500018</v>
      </c>
      <c r="D1205" s="1" t="str">
        <f ca="1">IFERROR(__xludf.DUMMYFUNCTION("""COMPUTED_VALUE"""),"Male")</f>
        <v>Male</v>
      </c>
      <c r="E1205" s="1" t="str">
        <f ca="1">IFERROR(__xludf.DUMMYFUNCTION("""COMPUTED_VALUE"""),"My Parents")</f>
        <v>My Parents</v>
      </c>
      <c r="F1205" s="1" t="str">
        <f ca="1">IFERROR(__xludf.DUMMYFUNCTION("""COMPUTED_VALUE"""),"No, But if someone could bare the cost I will")</f>
        <v>No, But if someone could bare the cost I will</v>
      </c>
      <c r="G1205" s="1" t="str">
        <f ca="1">IFERROR(__xludf.DUMMYFUNCTION("""COMPUTED_VALUE"""),"This will be hard to do, but if it is the right company I would try")</f>
        <v>This will be hard to do, but if it is the right company I would try</v>
      </c>
      <c r="H1205" s="1" t="str">
        <f ca="1">IFERROR(__xludf.DUMMYFUNCTION("""COMPUTED_VALUE"""),"No")</f>
        <v>No</v>
      </c>
      <c r="I1205" s="1" t="str">
        <f ca="1">IFERROR(__xludf.DUMMYFUNCTION("""COMPUTED_VALUE"""),"Will NOT work for them")</f>
        <v>Will NOT work for them</v>
      </c>
      <c r="J1205" s="1">
        <f ca="1">IFERROR(__xludf.DUMMYFUNCTION("""COMPUTED_VALUE"""),7)</f>
        <v>7</v>
      </c>
      <c r="K1205" s="1" t="str">
        <f ca="1">IFERROR(__xludf.DUMMYFUNCTION("""COMPUTED_VALUE"""),"Hybrid Working Environment with less than 3 days a month at office")</f>
        <v>Hybrid Working Environment with less than 3 days a month at office</v>
      </c>
      <c r="L1205" s="1" t="str">
        <f ca="1">IFERROR(__xludf.DUMMYFUNCTION("""COMPUTED_VALUE"""),"Employer who appreciates learning and enables that environment")</f>
        <v>Employer who appreciates learning and enables that environment</v>
      </c>
      <c r="M1205"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N1205" s="1"/>
      <c r="O1205" s="1" t="str">
        <f ca="1">IFERROR(__xludf.DUMMYFUNCTION("""COMPUTED_VALUE"""),"Manager who explains what is expected, sets a goal and helps achieve it")</f>
        <v>Manager who explains what is expected, sets a goal and helps achieve it</v>
      </c>
      <c r="P1205" s="1" t="str">
        <f ca="1">IFERROR(__xludf.DUMMYFUNCTION("""COMPUTED_VALUE"""),"Work &lt;=6 People in the Team")</f>
        <v>Work &lt;=6 People in the Team</v>
      </c>
      <c r="Q1205" s="1" t="s">
        <v>43</v>
      </c>
      <c r="R1205" s="1"/>
    </row>
    <row r="1206" spans="1:18" x14ac:dyDescent="0.25">
      <c r="A1206" s="2">
        <f ca="1">IFERROR(__xludf.DUMMYFUNCTION("""COMPUTED_VALUE"""),45044.4609335879)</f>
        <v>45044.460933587899</v>
      </c>
      <c r="B1206" s="1" t="str">
        <f ca="1">IFERROR(__xludf.DUMMYFUNCTION("""COMPUTED_VALUE"""),"India")</f>
        <v>India</v>
      </c>
      <c r="C1206" s="1">
        <f ca="1">IFERROR(__xludf.DUMMYFUNCTION("""COMPUTED_VALUE"""),530001)</f>
        <v>530001</v>
      </c>
      <c r="D1206" s="1" t="str">
        <f ca="1">IFERROR(__xludf.DUMMYFUNCTION("""COMPUTED_VALUE"""),"Female")</f>
        <v>Female</v>
      </c>
      <c r="E1206" s="1" t="str">
        <f ca="1">IFERROR(__xludf.DUMMYFUNCTION("""COMPUTED_VALUE"""),"People from my circle, but not family members")</f>
        <v>People from my circle, but not family members</v>
      </c>
      <c r="F1206" s="1" t="str">
        <f ca="1">IFERROR(__xludf.DUMMYFUNCTION("""COMPUTED_VALUE"""),"No I would not be pursuing Higher Education outside of India")</f>
        <v>No I would not be pursuing Higher Education outside of India</v>
      </c>
      <c r="G1206" s="1" t="str">
        <f ca="1">IFERROR(__xludf.DUMMYFUNCTION("""COMPUTED_VALUE"""),"Will work for 3 years or more")</f>
        <v>Will work for 3 years or more</v>
      </c>
      <c r="H1206" s="1" t="str">
        <f ca="1">IFERROR(__xludf.DUMMYFUNCTION("""COMPUTED_VALUE"""),"No")</f>
        <v>No</v>
      </c>
      <c r="I1206" s="1" t="str">
        <f ca="1">IFERROR(__xludf.DUMMYFUNCTION("""COMPUTED_VALUE"""),"Will NOT work for them")</f>
        <v>Will NOT work for them</v>
      </c>
      <c r="J1206" s="1">
        <f ca="1">IFERROR(__xludf.DUMMYFUNCTION("""COMPUTED_VALUE"""),7)</f>
        <v>7</v>
      </c>
      <c r="K1206" s="1" t="str">
        <f ca="1">IFERROR(__xludf.DUMMYFUNCTION("""COMPUTED_VALUE"""),"Hybrid Working Environment with more than 15 days a month at office")</f>
        <v>Hybrid Working Environment with more than 15 days a month at office</v>
      </c>
      <c r="L1206" s="1" t="str">
        <f ca="1">IFERROR(__xludf.DUMMYFUNCTION("""COMPUTED_VALUE"""),"Employer who pushes your limits by enabling an learning environment, and rewards you at the end")</f>
        <v>Employer who pushes your limits by enabling an learning environment, and rewards you at the end</v>
      </c>
      <c r="M1206"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N1206" s="1"/>
      <c r="O1206" s="1" t="str">
        <f ca="1">IFERROR(__xludf.DUMMYFUNCTION("""COMPUTED_VALUE"""),"Manager who explains what is expected, sets a goal and helps achieve it")</f>
        <v>Manager who explains what is expected, sets a goal and helps achieve it</v>
      </c>
      <c r="P1206" s="1" t="str">
        <f ca="1">IFERROR(__xludf.DUMMYFUNCTION("""COMPUTED_VALUE"""),"Work &gt;10 people in Team")</f>
        <v>Work &gt;10 people in Team</v>
      </c>
      <c r="Q1206" s="1" t="s">
        <v>40</v>
      </c>
      <c r="R1206" s="1"/>
    </row>
    <row r="1207" spans="1:18" x14ac:dyDescent="0.25">
      <c r="A1207" s="2">
        <f ca="1">IFERROR(__xludf.DUMMYFUNCTION("""COMPUTED_VALUE"""),45044.4635205208)</f>
        <v>45044.463520520803</v>
      </c>
      <c r="B1207" s="1" t="str">
        <f ca="1">IFERROR(__xludf.DUMMYFUNCTION("""COMPUTED_VALUE"""),"India")</f>
        <v>India</v>
      </c>
      <c r="C1207" s="1">
        <f ca="1">IFERROR(__xludf.DUMMYFUNCTION("""COMPUTED_VALUE"""),533201)</f>
        <v>533201</v>
      </c>
      <c r="D1207" s="1" t="str">
        <f ca="1">IFERROR(__xludf.DUMMYFUNCTION("""COMPUTED_VALUE"""),"Male")</f>
        <v>Male</v>
      </c>
      <c r="E1207" s="1" t="str">
        <f ca="1">IFERROR(__xludf.DUMMYFUNCTION("""COMPUTED_VALUE"""),"My Parents")</f>
        <v>My Parents</v>
      </c>
      <c r="F1207" s="1" t="str">
        <f ca="1">IFERROR(__xludf.DUMMYFUNCTION("""COMPUTED_VALUE"""),"No I would not be pursuing Higher Education outside of India")</f>
        <v>No I would not be pursuing Higher Education outside of India</v>
      </c>
      <c r="G1207" s="1" t="str">
        <f ca="1">IFERROR(__xludf.DUMMYFUNCTION("""COMPUTED_VALUE"""),"Will work for 3 years or more")</f>
        <v>Will work for 3 years or more</v>
      </c>
      <c r="H1207" s="1" t="str">
        <f ca="1">IFERROR(__xludf.DUMMYFUNCTION("""COMPUTED_VALUE"""),"No")</f>
        <v>No</v>
      </c>
      <c r="I1207" s="1" t="str">
        <f ca="1">IFERROR(__xludf.DUMMYFUNCTION("""COMPUTED_VALUE"""),"Will NOT work for them")</f>
        <v>Will NOT work for them</v>
      </c>
      <c r="J1207" s="1">
        <f ca="1">IFERROR(__xludf.DUMMYFUNCTION("""COMPUTED_VALUE"""),6)</f>
        <v>6</v>
      </c>
      <c r="K1207" s="1" t="str">
        <f ca="1">IFERROR(__xludf.DUMMYFUNCTION("""COMPUTED_VALUE"""),"Hybrid Working Environment with more than 15 days a month at office")</f>
        <v>Hybrid Working Environment with more than 15 days a month at office</v>
      </c>
      <c r="L1207" s="1" t="str">
        <f ca="1">IFERROR(__xludf.DUMMYFUNCTION("""COMPUTED_VALUE"""),"Employer who appreciates learning and enables that environment")</f>
        <v>Employer who appreciates learning and enables that environment</v>
      </c>
      <c r="M120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207" s="1"/>
      <c r="O1207" s="1" t="str">
        <f ca="1">IFERROR(__xludf.DUMMYFUNCTION("""COMPUTED_VALUE"""),"Manager who sets goal and helps me achieve it")</f>
        <v>Manager who sets goal and helps me achieve it</v>
      </c>
      <c r="P1207" s="1" t="str">
        <f ca="1">IFERROR(__xludf.DUMMYFUNCTION("""COMPUTED_VALUE"""),"Work &lt;=6 People in the Team")</f>
        <v>Work &lt;=6 People in the Team</v>
      </c>
      <c r="Q1207" s="1" t="s">
        <v>43</v>
      </c>
      <c r="R1207" s="1"/>
    </row>
    <row r="1208" spans="1:18" x14ac:dyDescent="0.25">
      <c r="A1208" s="2">
        <f ca="1">IFERROR(__xludf.DUMMYFUNCTION("""COMPUTED_VALUE"""),45044.4636036342)</f>
        <v>45044.463603634198</v>
      </c>
      <c r="B1208" s="1" t="str">
        <f ca="1">IFERROR(__xludf.DUMMYFUNCTION("""COMPUTED_VALUE"""),"India")</f>
        <v>India</v>
      </c>
      <c r="C1208" s="1">
        <f ca="1">IFERROR(__xludf.DUMMYFUNCTION("""COMPUTED_VALUE"""),826001)</f>
        <v>826001</v>
      </c>
      <c r="D1208" s="1" t="str">
        <f ca="1">IFERROR(__xludf.DUMMYFUNCTION("""COMPUTED_VALUE"""),"Female")</f>
        <v>Female</v>
      </c>
      <c r="E1208" s="1" t="str">
        <f ca="1">IFERROR(__xludf.DUMMYFUNCTION("""COMPUTED_VALUE"""),"Influencers who had successful careers")</f>
        <v>Influencers who had successful careers</v>
      </c>
      <c r="F1208" s="1" t="str">
        <f ca="1">IFERROR(__xludf.DUMMYFUNCTION("""COMPUTED_VALUE"""),"No I would not be pursuing Higher Education outside of India")</f>
        <v>No I would not be pursuing Higher Education outside of India</v>
      </c>
      <c r="G1208" s="1" t="str">
        <f ca="1">IFERROR(__xludf.DUMMYFUNCTION("""COMPUTED_VALUE"""),"This will be hard to do, but if it is the right company I would try")</f>
        <v>This will be hard to do, but if it is the right company I would try</v>
      </c>
      <c r="H1208" s="1" t="str">
        <f ca="1">IFERROR(__xludf.DUMMYFUNCTION("""COMPUTED_VALUE"""),"Yes")</f>
        <v>Yes</v>
      </c>
      <c r="I1208" s="1" t="str">
        <f ca="1">IFERROR(__xludf.DUMMYFUNCTION("""COMPUTED_VALUE"""),"Will NOT work for them")</f>
        <v>Will NOT work for them</v>
      </c>
      <c r="J1208" s="1">
        <f ca="1">IFERROR(__xludf.DUMMYFUNCTION("""COMPUTED_VALUE"""),9)</f>
        <v>9</v>
      </c>
      <c r="K1208" s="1" t="str">
        <f ca="1">IFERROR(__xludf.DUMMYFUNCTION("""COMPUTED_VALUE"""),"Hybrid Working Environment with more than 15 days a month at office")</f>
        <v>Hybrid Working Environment with more than 15 days a month at office</v>
      </c>
      <c r="L1208" s="1" t="str">
        <f ca="1">IFERROR(__xludf.DUMMYFUNCTION("""COMPUTED_VALUE"""),"Employer who appreciates learning and enables that environment")</f>
        <v>Employer who appreciates learning and enables that environment</v>
      </c>
      <c r="M12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1208" s="1"/>
      <c r="O1208" s="1" t="str">
        <f ca="1">IFERROR(__xludf.DUMMYFUNCTION("""COMPUTED_VALUE"""),"Manager who clearly describes what she/he needs")</f>
        <v>Manager who clearly describes what she/he needs</v>
      </c>
      <c r="P1208" s="1" t="str">
        <f ca="1">IFERROR(__xludf.DUMMYFUNCTION("""COMPUTED_VALUE"""),"Work Alone, &lt;=6 in team")</f>
        <v>Work Alone, &lt;=6 in team</v>
      </c>
      <c r="Q1208" s="1" t="s">
        <v>40</v>
      </c>
      <c r="R1208" s="1"/>
    </row>
    <row r="1209" spans="1:18" x14ac:dyDescent="0.25">
      <c r="A1209" s="2">
        <f ca="1">IFERROR(__xludf.DUMMYFUNCTION("""COMPUTED_VALUE"""),45044.4669670949)</f>
        <v>45044.466967094901</v>
      </c>
      <c r="B1209" s="1" t="str">
        <f ca="1">IFERROR(__xludf.DUMMYFUNCTION("""COMPUTED_VALUE"""),"India")</f>
        <v>India</v>
      </c>
      <c r="C1209" s="1">
        <f ca="1">IFERROR(__xludf.DUMMYFUNCTION("""COMPUTED_VALUE"""),533211)</f>
        <v>533211</v>
      </c>
      <c r="D1209" s="1" t="str">
        <f ca="1">IFERROR(__xludf.DUMMYFUNCTION("""COMPUTED_VALUE"""),"Male")</f>
        <v>Male</v>
      </c>
      <c r="E1209" s="1" t="str">
        <f ca="1">IFERROR(__xludf.DUMMYFUNCTION("""COMPUTED_VALUE"""),"My Parents")</f>
        <v>My Parents</v>
      </c>
      <c r="F1209" s="1" t="str">
        <f ca="1">IFERROR(__xludf.DUMMYFUNCTION("""COMPUTED_VALUE"""),"No I would not be pursuing Higher Education outside of India")</f>
        <v>No I would not be pursuing Higher Education outside of India</v>
      </c>
      <c r="G1209" s="1" t="str">
        <f ca="1">IFERROR(__xludf.DUMMYFUNCTION("""COMPUTED_VALUE"""),"Will work for 3 years or more")</f>
        <v>Will work for 3 years or more</v>
      </c>
      <c r="H1209" s="1" t="str">
        <f ca="1">IFERROR(__xludf.DUMMYFUNCTION("""COMPUTED_VALUE"""),"Yes")</f>
        <v>Yes</v>
      </c>
      <c r="I1209" s="1" t="str">
        <f ca="1">IFERROR(__xludf.DUMMYFUNCTION("""COMPUTED_VALUE"""),"Will work for them")</f>
        <v>Will work for them</v>
      </c>
      <c r="J1209" s="1">
        <f ca="1">IFERROR(__xludf.DUMMYFUNCTION("""COMPUTED_VALUE"""),10)</f>
        <v>10</v>
      </c>
      <c r="K1209" s="1" t="str">
        <f ca="1">IFERROR(__xludf.DUMMYFUNCTION("""COMPUTED_VALUE"""),"Every Day Office Environment")</f>
        <v>Every Day Office Environment</v>
      </c>
      <c r="L1209" s="1" t="str">
        <f ca="1">IFERROR(__xludf.DUMMYFUNCTION("""COMPUTED_VALUE"""),"Employer who rewards learning and enables that environment")</f>
        <v>Employer who rewards learning and enables that environment</v>
      </c>
      <c r="M1209" s="1" t="str">
        <f ca="1">IFERROR(__xludf.DUMMYFUNCTION("""COMPUTED_VALUE"""),"Design and Creative strategy in any company, Work as a freelancer and do my thing my way, I Want to sell things/Sales, Manufacturing / Oil and Gas/ Construction / Hard Physical Work related")</f>
        <v>Design and Creative strategy in any company, Work as a freelancer and do my thing my way, I Want to sell things/Sales, Manufacturing / Oil and Gas/ Construction / Hard Physical Work related</v>
      </c>
      <c r="N1209" s="1"/>
      <c r="O1209" s="1" t="str">
        <f ca="1">IFERROR(__xludf.DUMMYFUNCTION("""COMPUTED_VALUE"""),"Manager who sets targets and expects me to achieve it")</f>
        <v>Manager who sets targets and expects me to achieve it</v>
      </c>
      <c r="P1209" s="1" t="str">
        <f ca="1">IFERROR(__xludf.DUMMYFUNCTION("""COMPUTED_VALUE"""),"Work &gt;10 people in Team")</f>
        <v>Work &gt;10 people in Team</v>
      </c>
      <c r="Q1209" s="1" t="s">
        <v>40</v>
      </c>
      <c r="R1209" s="1"/>
    </row>
    <row r="1210" spans="1:18" x14ac:dyDescent="0.25">
      <c r="A1210" s="2">
        <f ca="1">IFERROR(__xludf.DUMMYFUNCTION("""COMPUTED_VALUE"""),45044.4676823611)</f>
        <v>45044.467682361101</v>
      </c>
      <c r="B1210" s="1" t="str">
        <f ca="1">IFERROR(__xludf.DUMMYFUNCTION("""COMPUTED_VALUE"""),"India")</f>
        <v>India</v>
      </c>
      <c r="C1210" s="1">
        <f ca="1">IFERROR(__xludf.DUMMYFUNCTION("""COMPUTED_VALUE"""),560047)</f>
        <v>560047</v>
      </c>
      <c r="D1210" s="1" t="str">
        <f ca="1">IFERROR(__xludf.DUMMYFUNCTION("""COMPUTED_VALUE"""),"Female")</f>
        <v>Female</v>
      </c>
      <c r="E1210" s="1" t="str">
        <f ca="1">IFERROR(__xludf.DUMMYFUNCTION("""COMPUTED_VALUE"""),"My Parents")</f>
        <v>My Parents</v>
      </c>
      <c r="F1210" s="1" t="str">
        <f ca="1">IFERROR(__xludf.DUMMYFUNCTION("""COMPUTED_VALUE"""),"Yes, I will earn and do that")</f>
        <v>Yes, I will earn and do that</v>
      </c>
      <c r="G1210" s="1" t="str">
        <f ca="1">IFERROR(__xludf.DUMMYFUNCTION("""COMPUTED_VALUE"""),"This will be hard to do, but if it is the right company I would try")</f>
        <v>This will be hard to do, but if it is the right company I would try</v>
      </c>
      <c r="H1210" s="1" t="str">
        <f ca="1">IFERROR(__xludf.DUMMYFUNCTION("""COMPUTED_VALUE"""),"Yes")</f>
        <v>Yes</v>
      </c>
      <c r="I1210" s="1" t="str">
        <f ca="1">IFERROR(__xludf.DUMMYFUNCTION("""COMPUTED_VALUE"""),"Will work for them")</f>
        <v>Will work for them</v>
      </c>
      <c r="J1210" s="1">
        <f ca="1">IFERROR(__xludf.DUMMYFUNCTION("""COMPUTED_VALUE"""),10)</f>
        <v>10</v>
      </c>
      <c r="K1210" s="1" t="str">
        <f ca="1">IFERROR(__xludf.DUMMYFUNCTION("""COMPUTED_VALUE"""),"Hybrid Working Environment with less than 3 days a month at office")</f>
        <v>Hybrid Working Environment with less than 3 days a month at office</v>
      </c>
      <c r="L1210" s="1" t="str">
        <f ca="1">IFERROR(__xludf.DUMMYFUNCTION("""COMPUTED_VALUE"""),"Employer who rewards learning and enables that environment")</f>
        <v>Employer who rewards learning and enables that environment</v>
      </c>
      <c r="M1210"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N1210" s="1"/>
      <c r="O1210" s="1" t="str">
        <f ca="1">IFERROR(__xludf.DUMMYFUNCTION("""COMPUTED_VALUE"""),"Manager who clearly describes what she/he needs")</f>
        <v>Manager who clearly describes what she/he needs</v>
      </c>
      <c r="P1210" s="1" t="str">
        <f ca="1">IFERROR(__xludf.DUMMYFUNCTION("""COMPUTED_VALUE"""),"Work &lt;=6 People in the Team")</f>
        <v>Work &lt;=6 People in the Team</v>
      </c>
      <c r="Q1210" s="1" t="s">
        <v>43</v>
      </c>
      <c r="R1210" s="1"/>
    </row>
    <row r="1211" spans="1:18" x14ac:dyDescent="0.25">
      <c r="A1211" s="2">
        <f ca="1">IFERROR(__xludf.DUMMYFUNCTION("""COMPUTED_VALUE"""),45044.4686269791)</f>
        <v>45044.468626979098</v>
      </c>
      <c r="B1211" s="1" t="str">
        <f ca="1">IFERROR(__xludf.DUMMYFUNCTION("""COMPUTED_VALUE"""),"India")</f>
        <v>India</v>
      </c>
      <c r="C1211" s="1">
        <f ca="1">IFERROR(__xludf.DUMMYFUNCTION("""COMPUTED_VALUE"""),421302)</f>
        <v>421302</v>
      </c>
      <c r="D1211" s="1" t="str">
        <f ca="1">IFERROR(__xludf.DUMMYFUNCTION("""COMPUTED_VALUE"""),"Male")</f>
        <v>Male</v>
      </c>
      <c r="E1211" s="1" t="str">
        <f ca="1">IFERROR(__xludf.DUMMYFUNCTION("""COMPUTED_VALUE"""),"My Parents")</f>
        <v>My Parents</v>
      </c>
      <c r="F1211" s="1" t="str">
        <f ca="1">IFERROR(__xludf.DUMMYFUNCTION("""COMPUTED_VALUE"""),"No, But if someone could bare the cost I will")</f>
        <v>No, But if someone could bare the cost I will</v>
      </c>
      <c r="G1211" s="1" t="str">
        <f ca="1">IFERROR(__xludf.DUMMYFUNCTION("""COMPUTED_VALUE"""),"This will be hard to do, but if it is the right company I would try")</f>
        <v>This will be hard to do, but if it is the right company I would try</v>
      </c>
      <c r="H1211" s="1" t="str">
        <f ca="1">IFERROR(__xludf.DUMMYFUNCTION("""COMPUTED_VALUE"""),"No")</f>
        <v>No</v>
      </c>
      <c r="I1211" s="1" t="str">
        <f ca="1">IFERROR(__xludf.DUMMYFUNCTION("""COMPUTED_VALUE"""),"Will work for them")</f>
        <v>Will work for them</v>
      </c>
      <c r="J1211" s="1">
        <f ca="1">IFERROR(__xludf.DUMMYFUNCTION("""COMPUTED_VALUE"""),10)</f>
        <v>10</v>
      </c>
      <c r="K1211" s="1" t="str">
        <f ca="1">IFERROR(__xludf.DUMMYFUNCTION("""COMPUTED_VALUE"""),"Hybrid Working Environment with less than 3 days a month at office")</f>
        <v>Hybrid Working Environment with less than 3 days a month at office</v>
      </c>
      <c r="L1211" s="1" t="str">
        <f ca="1">IFERROR(__xludf.DUMMYFUNCTION("""COMPUTED_VALUE"""),"Employer who rewards learning and enables that environment")</f>
        <v>Employer who rewards learning and enables that environment</v>
      </c>
      <c r="M1211" s="1" t="str">
        <f ca="1">IFERROR(__xludf.DUMMYFUNCTION("""COMPUTED_VALUE"""),"Teaching in any of the institutes/colleges/online or offline, Look deeply into Data and generate insights, Become a content Creator in some platform, I Want to sell things/Sales")</f>
        <v>Teaching in any of the institutes/colleges/online or offline, Look deeply into Data and generate insights, Become a content Creator in some platform, I Want to sell things/Sales</v>
      </c>
      <c r="N1211" s="1"/>
      <c r="O1211" s="1" t="str">
        <f ca="1">IFERROR(__xludf.DUMMYFUNCTION("""COMPUTED_VALUE"""),"Manager who explains what is expected, sets a goal and helps achieve it")</f>
        <v>Manager who explains what is expected, sets a goal and helps achieve it</v>
      </c>
      <c r="P1211" s="1" t="str">
        <f ca="1">IFERROR(__xludf.DUMMYFUNCTION("""COMPUTED_VALUE"""),"Work &lt;=6 People in the Team")</f>
        <v>Work &lt;=6 People in the Team</v>
      </c>
      <c r="Q1211" s="1" t="s">
        <v>40</v>
      </c>
      <c r="R1211" s="1"/>
    </row>
    <row r="1212" spans="1:18" x14ac:dyDescent="0.25">
      <c r="A1212" s="2">
        <f ca="1">IFERROR(__xludf.DUMMYFUNCTION("""COMPUTED_VALUE"""),45044.469754537)</f>
        <v>45044.469754537</v>
      </c>
      <c r="B1212" s="1" t="str">
        <f ca="1">IFERROR(__xludf.DUMMYFUNCTION("""COMPUTED_VALUE"""),"India")</f>
        <v>India</v>
      </c>
      <c r="C1212" s="1">
        <f ca="1">IFERROR(__xludf.DUMMYFUNCTION("""COMPUTED_VALUE"""),395009)</f>
        <v>395009</v>
      </c>
      <c r="D1212" s="1" t="str">
        <f ca="1">IFERROR(__xludf.DUMMYFUNCTION("""COMPUTED_VALUE"""),"Female")</f>
        <v>Female</v>
      </c>
      <c r="E1212" s="1" t="str">
        <f ca="1">IFERROR(__xludf.DUMMYFUNCTION("""COMPUTED_VALUE"""),"My Parents")</f>
        <v>My Parents</v>
      </c>
      <c r="F1212" s="1" t="str">
        <f ca="1">IFERROR(__xludf.DUMMYFUNCTION("""COMPUTED_VALUE"""),"No I would not be pursuing Higher Education outside of India")</f>
        <v>No I would not be pursuing Higher Education outside of India</v>
      </c>
      <c r="G1212" s="1" t="str">
        <f ca="1">IFERROR(__xludf.DUMMYFUNCTION("""COMPUTED_VALUE"""),"Will work for 3 years or more")</f>
        <v>Will work for 3 years or more</v>
      </c>
      <c r="H1212" s="1" t="str">
        <f ca="1">IFERROR(__xludf.DUMMYFUNCTION("""COMPUTED_VALUE"""),"No")</f>
        <v>No</v>
      </c>
      <c r="I1212" s="1" t="str">
        <f ca="1">IFERROR(__xludf.DUMMYFUNCTION("""COMPUTED_VALUE"""),"Will NOT work for them")</f>
        <v>Will NOT work for them</v>
      </c>
      <c r="J1212" s="1">
        <f ca="1">IFERROR(__xludf.DUMMYFUNCTION("""COMPUTED_VALUE"""),4)</f>
        <v>4</v>
      </c>
      <c r="K1212" s="1" t="str">
        <f ca="1">IFERROR(__xludf.DUMMYFUNCTION("""COMPUTED_VALUE"""),"Hybrid Working Environment with less than 3 days a month at office")</f>
        <v>Hybrid Working Environment with less than 3 days a month at office</v>
      </c>
      <c r="L1212" s="1" t="str">
        <f ca="1">IFERROR(__xludf.DUMMYFUNCTION("""COMPUTED_VALUE"""),"Employer who pushes your limits by enabling an learning environment, and rewards you at the end")</f>
        <v>Employer who pushes your limits by enabling an learning environment, and rewards you at the end</v>
      </c>
      <c r="M121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1212" s="1"/>
      <c r="O1212" s="1" t="str">
        <f ca="1">IFERROR(__xludf.DUMMYFUNCTION("""COMPUTED_VALUE"""),"Manager who explains what is expected, sets a goal and helps achieve it")</f>
        <v>Manager who explains what is expected, sets a goal and helps achieve it</v>
      </c>
      <c r="P1212" s="1" t="str">
        <f ca="1">IFERROR(__xludf.DUMMYFUNCTION("""COMPUTED_VALUE"""),"Work Alone, &lt;67 people in team")</f>
        <v>Work Alone, &lt;67 people in team</v>
      </c>
      <c r="Q1212" s="1" t="s">
        <v>42</v>
      </c>
      <c r="R1212" s="1"/>
    </row>
    <row r="1213" spans="1:18" x14ac:dyDescent="0.25">
      <c r="A1213" s="2">
        <f ca="1">IFERROR(__xludf.DUMMYFUNCTION("""COMPUTED_VALUE"""),45044.4757331481)</f>
        <v>45044.475733148101</v>
      </c>
      <c r="B1213" s="1" t="str">
        <f ca="1">IFERROR(__xludf.DUMMYFUNCTION("""COMPUTED_VALUE"""),"India")</f>
        <v>India</v>
      </c>
      <c r="C1213" s="1">
        <f ca="1">IFERROR(__xludf.DUMMYFUNCTION("""COMPUTED_VALUE"""),500018)</f>
        <v>500018</v>
      </c>
      <c r="D1213" s="1" t="str">
        <f ca="1">IFERROR(__xludf.DUMMYFUNCTION("""COMPUTED_VALUE"""),"Female")</f>
        <v>Female</v>
      </c>
      <c r="E1213" s="1" t="str">
        <f ca="1">IFERROR(__xludf.DUMMYFUNCTION("""COMPUTED_VALUE"""),"My Parents")</f>
        <v>My Parents</v>
      </c>
      <c r="F1213" s="1" t="str">
        <f ca="1">IFERROR(__xludf.DUMMYFUNCTION("""COMPUTED_VALUE"""),"Yes, I will earn and do that")</f>
        <v>Yes, I will earn and do that</v>
      </c>
      <c r="G1213" s="1" t="str">
        <f ca="1">IFERROR(__xludf.DUMMYFUNCTION("""COMPUTED_VALUE"""),"This will be hard to do, but if it is the right company I would try")</f>
        <v>This will be hard to do, but if it is the right company I would try</v>
      </c>
      <c r="H1213" s="1" t="str">
        <f ca="1">IFERROR(__xludf.DUMMYFUNCTION("""COMPUTED_VALUE"""),"Yes")</f>
        <v>Yes</v>
      </c>
      <c r="I1213" s="1" t="str">
        <f ca="1">IFERROR(__xludf.DUMMYFUNCTION("""COMPUTED_VALUE"""),"Will NOT work for them")</f>
        <v>Will NOT work for them</v>
      </c>
      <c r="J1213" s="1">
        <f ca="1">IFERROR(__xludf.DUMMYFUNCTION("""COMPUTED_VALUE"""),2)</f>
        <v>2</v>
      </c>
      <c r="K1213" s="1" t="str">
        <f ca="1">IFERROR(__xludf.DUMMYFUNCTION("""COMPUTED_VALUE"""),"Hybrid Working Environment with more than 15 days a month at office")</f>
        <v>Hybrid Working Environment with more than 15 days a month at office</v>
      </c>
      <c r="L1213" s="1" t="str">
        <f ca="1">IFERROR(__xludf.DUMMYFUNCTION("""COMPUTED_VALUE"""),"Employer who pushes your limits by enabling an learning environment, and rewards you at the end")</f>
        <v>Employer who pushes your limits by enabling an learning environment, and rewards you at the end</v>
      </c>
      <c r="M121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1213" s="1"/>
      <c r="O1213" s="1" t="str">
        <f ca="1">IFERROR(__xludf.DUMMYFUNCTION("""COMPUTED_VALUE"""),"Manager who sets goal and helps me achieve it")</f>
        <v>Manager who sets goal and helps me achieve it</v>
      </c>
      <c r="P1213" s="1" t="str">
        <f ca="1">IFERROR(__xludf.DUMMYFUNCTION("""COMPUTED_VALUE"""),"Work &gt;=7 People in the Team")</f>
        <v>Work &gt;=7 People in the Team</v>
      </c>
      <c r="Q1213" s="1" t="s">
        <v>40</v>
      </c>
      <c r="R1213" s="1"/>
    </row>
    <row r="1214" spans="1:18" x14ac:dyDescent="0.25">
      <c r="A1214" s="2">
        <f ca="1">IFERROR(__xludf.DUMMYFUNCTION("""COMPUTED_VALUE"""),45044.4761725694)</f>
        <v>45044.476172569397</v>
      </c>
      <c r="B1214" s="1" t="str">
        <f ca="1">IFERROR(__xludf.DUMMYFUNCTION("""COMPUTED_VALUE"""),"India")</f>
        <v>India</v>
      </c>
      <c r="C1214" s="1">
        <f ca="1">IFERROR(__xludf.DUMMYFUNCTION("""COMPUTED_VALUE"""),793006)</f>
        <v>793006</v>
      </c>
      <c r="D1214" s="1" t="str">
        <f ca="1">IFERROR(__xludf.DUMMYFUNCTION("""COMPUTED_VALUE"""),"Female")</f>
        <v>Female</v>
      </c>
      <c r="E1214" s="1" t="str">
        <f ca="1">IFERROR(__xludf.DUMMYFUNCTION("""COMPUTED_VALUE"""),"Influencers who had successful careers")</f>
        <v>Influencers who had successful careers</v>
      </c>
      <c r="F1214" s="1" t="str">
        <f ca="1">IFERROR(__xludf.DUMMYFUNCTION("""COMPUTED_VALUE"""),"Yes, I will earn and do that")</f>
        <v>Yes, I will earn and do that</v>
      </c>
      <c r="G1214" s="1" t="str">
        <f ca="1">IFERROR(__xludf.DUMMYFUNCTION("""COMPUTED_VALUE"""),"This will be hard to do, but if it is the right company I would try")</f>
        <v>This will be hard to do, but if it is the right company I would try</v>
      </c>
      <c r="H1214" s="1" t="str">
        <f ca="1">IFERROR(__xludf.DUMMYFUNCTION("""COMPUTED_VALUE"""),"No")</f>
        <v>No</v>
      </c>
      <c r="I1214" s="1" t="str">
        <f ca="1">IFERROR(__xludf.DUMMYFUNCTION("""COMPUTED_VALUE"""),"Will NOT work for them")</f>
        <v>Will NOT work for them</v>
      </c>
      <c r="J1214" s="1">
        <f ca="1">IFERROR(__xludf.DUMMYFUNCTION("""COMPUTED_VALUE"""),6)</f>
        <v>6</v>
      </c>
      <c r="K1214" s="1" t="str">
        <f ca="1">IFERROR(__xludf.DUMMYFUNCTION("""COMPUTED_VALUE"""),"Hybrid Working Environment with less than 3 days a month at office")</f>
        <v>Hybrid Working Environment with less than 3 days a month at office</v>
      </c>
      <c r="L1214" s="1" t="str">
        <f ca="1">IFERROR(__xludf.DUMMYFUNCTION("""COMPUTED_VALUE"""),"Employer who pushes your limits by enabling an learning environment, and rewards you at the end")</f>
        <v>Employer who pushes your limits by enabling an learning environment, and rewards you at the end</v>
      </c>
      <c r="M1214" s="1" t="str">
        <f ca="1">IFERROR(__xludf.DUMMYFUNCTION("""COMPUTED_VALUE"""),"Business Operations in any organization, Work in a BPO setup for some well known client, Work as a freelancer and do my thing my way, Become a content Creator in some platform")</f>
        <v>Business Operations in any organization, Work in a BPO setup for some well known client, Work as a freelancer and do my thing my way, Become a content Creator in some platform</v>
      </c>
      <c r="N1214" s="1"/>
      <c r="O1214" s="1" t="str">
        <f ca="1">IFERROR(__xludf.DUMMYFUNCTION("""COMPUTED_VALUE"""),"Manager who explains what is expected, sets a goal and helps achieve it")</f>
        <v>Manager who explains what is expected, sets a goal and helps achieve it</v>
      </c>
      <c r="P1214" s="1" t="str">
        <f ca="1">IFERROR(__xludf.DUMMYFUNCTION("""COMPUTED_VALUE"""),"Work &lt;=6 People in the Team")</f>
        <v>Work &lt;=6 People in the Team</v>
      </c>
      <c r="Q1214" s="1" t="s">
        <v>43</v>
      </c>
      <c r="R1214" s="1"/>
    </row>
    <row r="1215" spans="1:18" x14ac:dyDescent="0.25">
      <c r="A1215" s="2">
        <f ca="1">IFERROR(__xludf.DUMMYFUNCTION("""COMPUTED_VALUE"""),45044.4761767245)</f>
        <v>45044.4761767245</v>
      </c>
      <c r="B1215" s="1" t="str">
        <f ca="1">IFERROR(__xludf.DUMMYFUNCTION("""COMPUTED_VALUE"""),"India")</f>
        <v>India</v>
      </c>
      <c r="C1215" s="1">
        <f ca="1">IFERROR(__xludf.DUMMYFUNCTION("""COMPUTED_VALUE"""),560100)</f>
        <v>560100</v>
      </c>
      <c r="D1215" s="1" t="str">
        <f ca="1">IFERROR(__xludf.DUMMYFUNCTION("""COMPUTED_VALUE"""),"Female")</f>
        <v>Female</v>
      </c>
      <c r="E1215" s="1" t="str">
        <f ca="1">IFERROR(__xludf.DUMMYFUNCTION("""COMPUTED_VALUE"""),"People who have changed the world for better")</f>
        <v>People who have changed the world for better</v>
      </c>
      <c r="F1215" s="1" t="str">
        <f ca="1">IFERROR(__xludf.DUMMYFUNCTION("""COMPUTED_VALUE"""),"Yes, I will earn and do that")</f>
        <v>Yes, I will earn and do that</v>
      </c>
      <c r="G1215" s="1" t="str">
        <f ca="1">IFERROR(__xludf.DUMMYFUNCTION("""COMPUTED_VALUE"""),"Will work for 3 years or more")</f>
        <v>Will work for 3 years or more</v>
      </c>
      <c r="H1215" s="1" t="str">
        <f ca="1">IFERROR(__xludf.DUMMYFUNCTION("""COMPUTED_VALUE"""),"No")</f>
        <v>No</v>
      </c>
      <c r="I1215" s="1" t="str">
        <f ca="1">IFERROR(__xludf.DUMMYFUNCTION("""COMPUTED_VALUE"""),"Will NOT work for them")</f>
        <v>Will NOT work for them</v>
      </c>
      <c r="J1215" s="1">
        <f ca="1">IFERROR(__xludf.DUMMYFUNCTION("""COMPUTED_VALUE"""),4)</f>
        <v>4</v>
      </c>
      <c r="K1215" s="1" t="str">
        <f ca="1">IFERROR(__xludf.DUMMYFUNCTION("""COMPUTED_VALUE"""),"Hybrid Working Environment with less than 3 days a month at office")</f>
        <v>Hybrid Working Environment with less than 3 days a month at office</v>
      </c>
      <c r="L1215" s="1" t="str">
        <f ca="1">IFERROR(__xludf.DUMMYFUNCTION("""COMPUTED_VALUE"""),"Employer who rewards learning and enables that environment")</f>
        <v>Employer who rewards learning and enables that environment</v>
      </c>
      <c r="M1215"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1215" s="1"/>
      <c r="O1215" s="1" t="str">
        <f ca="1">IFERROR(__xludf.DUMMYFUNCTION("""COMPUTED_VALUE"""),"Manager who explains what is expected, sets a goal and helps achieve it")</f>
        <v>Manager who explains what is expected, sets a goal and helps achieve it</v>
      </c>
      <c r="P1215" s="1" t="str">
        <f ca="1">IFERROR(__xludf.DUMMYFUNCTION("""COMPUTED_VALUE"""),"Work &gt;=7 People in the Team")</f>
        <v>Work &gt;=7 People in the Team</v>
      </c>
      <c r="Q1215" s="1" t="s">
        <v>43</v>
      </c>
      <c r="R1215" s="1"/>
    </row>
    <row r="1216" spans="1:18" x14ac:dyDescent="0.25">
      <c r="A1216" s="2">
        <f ca="1">IFERROR(__xludf.DUMMYFUNCTION("""COMPUTED_VALUE"""),45044.4798212615)</f>
        <v>45044.479821261499</v>
      </c>
      <c r="B1216" s="1" t="str">
        <f ca="1">IFERROR(__xludf.DUMMYFUNCTION("""COMPUTED_VALUE"""),"India")</f>
        <v>India</v>
      </c>
      <c r="C1216" s="1">
        <f ca="1">IFERROR(__xludf.DUMMYFUNCTION("""COMPUTED_VALUE"""),110024)</f>
        <v>110024</v>
      </c>
      <c r="D1216" s="1" t="str">
        <f ca="1">IFERROR(__xludf.DUMMYFUNCTION("""COMPUTED_VALUE"""),"Male")</f>
        <v>Male</v>
      </c>
      <c r="E1216" s="1" t="str">
        <f ca="1">IFERROR(__xludf.DUMMYFUNCTION("""COMPUTED_VALUE"""),"Influencers who had successful careers")</f>
        <v>Influencers who had successful careers</v>
      </c>
      <c r="F1216" s="1" t="str">
        <f ca="1">IFERROR(__xludf.DUMMYFUNCTION("""COMPUTED_VALUE"""),"Yes, I will earn and do that")</f>
        <v>Yes, I will earn and do that</v>
      </c>
      <c r="G1216" s="1" t="str">
        <f ca="1">IFERROR(__xludf.DUMMYFUNCTION("""COMPUTED_VALUE"""),"Will work for 3 years or more")</f>
        <v>Will work for 3 years or more</v>
      </c>
      <c r="H1216" s="1" t="str">
        <f ca="1">IFERROR(__xludf.DUMMYFUNCTION("""COMPUTED_VALUE"""),"No")</f>
        <v>No</v>
      </c>
      <c r="I1216" s="1" t="str">
        <f ca="1">IFERROR(__xludf.DUMMYFUNCTION("""COMPUTED_VALUE"""),"Will NOT work for them")</f>
        <v>Will NOT work for them</v>
      </c>
      <c r="J1216" s="1">
        <f ca="1">IFERROR(__xludf.DUMMYFUNCTION("""COMPUTED_VALUE"""),6)</f>
        <v>6</v>
      </c>
      <c r="K1216" s="1" t="str">
        <f ca="1">IFERROR(__xludf.DUMMYFUNCTION("""COMPUTED_VALUE"""),"Hybrid Working Environment with more than 15 days a month at office")</f>
        <v>Hybrid Working Environment with more than 15 days a month at office</v>
      </c>
      <c r="L1216" s="1" t="str">
        <f ca="1">IFERROR(__xludf.DUMMYFUNCTION("""COMPUTED_VALUE"""),"Employer who pushes your limits by enabling an learning environment, and rewards you at the end")</f>
        <v>Employer who pushes your limits by enabling an learning environment, and rewards you at the end</v>
      </c>
      <c r="M121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1216" s="1"/>
      <c r="O1216" s="1" t="str">
        <f ca="1">IFERROR(__xludf.DUMMYFUNCTION("""COMPUTED_VALUE"""),"Manager who explains what is expected, sets a goal and helps achieve it")</f>
        <v>Manager who explains what is expected, sets a goal and helps achieve it</v>
      </c>
      <c r="P1216" s="1" t="str">
        <f ca="1">IFERROR(__xludf.DUMMYFUNCTION("""COMPUTED_VALUE"""),"Work Alone, &lt;=6 in team")</f>
        <v>Work Alone, &lt;=6 in team</v>
      </c>
      <c r="Q1216" s="1" t="s">
        <v>43</v>
      </c>
      <c r="R1216" s="1"/>
    </row>
    <row r="1217" spans="1:18" x14ac:dyDescent="0.25">
      <c r="A1217" s="2">
        <f ca="1">IFERROR(__xludf.DUMMYFUNCTION("""COMPUTED_VALUE"""),45044.4799959143)</f>
        <v>45044.479995914298</v>
      </c>
      <c r="B1217" s="1" t="str">
        <f ca="1">IFERROR(__xludf.DUMMYFUNCTION("""COMPUTED_VALUE"""),"India")</f>
        <v>India</v>
      </c>
      <c r="C1217" s="1">
        <f ca="1">IFERROR(__xludf.DUMMYFUNCTION("""COMPUTED_VALUE"""),761001)</f>
        <v>761001</v>
      </c>
      <c r="D1217" s="1" t="str">
        <f ca="1">IFERROR(__xludf.DUMMYFUNCTION("""COMPUTED_VALUE"""),"Male")</f>
        <v>Male</v>
      </c>
      <c r="E1217" s="1" t="str">
        <f ca="1">IFERROR(__xludf.DUMMYFUNCTION("""COMPUTED_VALUE"""),"Social Media like LinkedIn")</f>
        <v>Social Media like LinkedIn</v>
      </c>
      <c r="F1217" s="1" t="str">
        <f ca="1">IFERROR(__xludf.DUMMYFUNCTION("""COMPUTED_VALUE"""),"No I would not be pursuing Higher Education outside of India")</f>
        <v>No I would not be pursuing Higher Education outside of India</v>
      </c>
      <c r="G1217" s="1" t="str">
        <f ca="1">IFERROR(__xludf.DUMMYFUNCTION("""COMPUTED_VALUE"""),"This will be hard to do, but if it is the right company I would try")</f>
        <v>This will be hard to do, but if it is the right company I would try</v>
      </c>
      <c r="H1217" s="1" t="str">
        <f ca="1">IFERROR(__xludf.DUMMYFUNCTION("""COMPUTED_VALUE"""),"No")</f>
        <v>No</v>
      </c>
      <c r="I1217" s="1" t="str">
        <f ca="1">IFERROR(__xludf.DUMMYFUNCTION("""COMPUTED_VALUE"""),"Will NOT work for them")</f>
        <v>Will NOT work for them</v>
      </c>
      <c r="J1217" s="1">
        <f ca="1">IFERROR(__xludf.DUMMYFUNCTION("""COMPUTED_VALUE"""),4)</f>
        <v>4</v>
      </c>
      <c r="K1217" s="1" t="str">
        <f ca="1">IFERROR(__xludf.DUMMYFUNCTION("""COMPUTED_VALUE"""),"Hybrid Working Environment with less than 3 days a month at office")</f>
        <v>Hybrid Working Environment with less than 3 days a month at office</v>
      </c>
      <c r="L1217" s="1" t="str">
        <f ca="1">IFERROR(__xludf.DUMMYFUNCTION("""COMPUTED_VALUE"""),"Employer who appreciates learning and enables that environment")</f>
        <v>Employer who appreciates learning and enables that environment</v>
      </c>
      <c r="M121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217" s="1"/>
      <c r="O1217" s="1" t="str">
        <f ca="1">IFERROR(__xludf.DUMMYFUNCTION("""COMPUTED_VALUE"""),"Manager who explains what is expected, sets a goal and helps achieve it")</f>
        <v>Manager who explains what is expected, sets a goal and helps achieve it</v>
      </c>
      <c r="P1217" s="1" t="str">
        <f ca="1">IFERROR(__xludf.DUMMYFUNCTION("""COMPUTED_VALUE"""),"Work &lt;=6 People in the Team")</f>
        <v>Work &lt;=6 People in the Team</v>
      </c>
      <c r="Q1217" s="1" t="s">
        <v>43</v>
      </c>
      <c r="R1217" s="1"/>
    </row>
    <row r="1218" spans="1:18" x14ac:dyDescent="0.25">
      <c r="A1218" s="2">
        <f ca="1">IFERROR(__xludf.DUMMYFUNCTION("""COMPUTED_VALUE"""),45044.4808344907)</f>
        <v>45044.4808344907</v>
      </c>
      <c r="B1218" s="1" t="str">
        <f ca="1">IFERROR(__xludf.DUMMYFUNCTION("""COMPUTED_VALUE"""),"India")</f>
        <v>India</v>
      </c>
      <c r="C1218" s="1">
        <f ca="1">IFERROR(__xludf.DUMMYFUNCTION("""COMPUTED_VALUE"""),250001)</f>
        <v>250001</v>
      </c>
      <c r="D1218" s="1" t="str">
        <f ca="1">IFERROR(__xludf.DUMMYFUNCTION("""COMPUTED_VALUE"""),"Female")</f>
        <v>Female</v>
      </c>
      <c r="E1218" s="1" t="str">
        <f ca="1">IFERROR(__xludf.DUMMYFUNCTION("""COMPUTED_VALUE"""),"People from my circle, but not family members")</f>
        <v>People from my circle, but not family members</v>
      </c>
      <c r="F1218" s="1" t="str">
        <f ca="1">IFERROR(__xludf.DUMMYFUNCTION("""COMPUTED_VALUE"""),"No I would not be pursuing Higher Education outside of India")</f>
        <v>No I would not be pursuing Higher Education outside of India</v>
      </c>
      <c r="G1218" s="1" t="str">
        <f ca="1">IFERROR(__xludf.DUMMYFUNCTION("""COMPUTED_VALUE"""),"This will be hard to do, but if it is the right company I would try")</f>
        <v>This will be hard to do, but if it is the right company I would try</v>
      </c>
      <c r="H1218" s="1" t="str">
        <f ca="1">IFERROR(__xludf.DUMMYFUNCTION("""COMPUTED_VALUE"""),"No")</f>
        <v>No</v>
      </c>
      <c r="I1218" s="1" t="str">
        <f ca="1">IFERROR(__xludf.DUMMYFUNCTION("""COMPUTED_VALUE"""),"Will NOT work for them")</f>
        <v>Will NOT work for them</v>
      </c>
      <c r="J1218" s="1">
        <f ca="1">IFERROR(__xludf.DUMMYFUNCTION("""COMPUTED_VALUE"""),4)</f>
        <v>4</v>
      </c>
      <c r="K1218" s="1" t="str">
        <f ca="1">IFERROR(__xludf.DUMMYFUNCTION("""COMPUTED_VALUE"""),"Every Day Office Environment")</f>
        <v>Every Day Office Environment</v>
      </c>
      <c r="L1218" s="1" t="str">
        <f ca="1">IFERROR(__xludf.DUMMYFUNCTION("""COMPUTED_VALUE"""),"Employer who pushes your limits by enabling an learning environment, and rewards you at the end")</f>
        <v>Employer who pushes your limits by enabling an learning environment, and rewards you at the end</v>
      </c>
      <c r="M12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218" s="1"/>
      <c r="O1218" s="1" t="str">
        <f ca="1">IFERROR(__xludf.DUMMYFUNCTION("""COMPUTED_VALUE"""),"Manager who explains what is expected, sets a goal and helps achieve it")</f>
        <v>Manager who explains what is expected, sets a goal and helps achieve it</v>
      </c>
      <c r="P1218" s="1" t="str">
        <f ca="1">IFERROR(__xludf.DUMMYFUNCTION("""COMPUTED_VALUE"""),"Work &lt;=6 People in the Team")</f>
        <v>Work &lt;=6 People in the Team</v>
      </c>
      <c r="Q1218" s="1" t="s">
        <v>43</v>
      </c>
      <c r="R1218" s="1"/>
    </row>
    <row r="1219" spans="1:18" x14ac:dyDescent="0.25">
      <c r="A1219" s="2">
        <f ca="1">IFERROR(__xludf.DUMMYFUNCTION("""COMPUTED_VALUE"""),45044.48531478)</f>
        <v>45044.485314780002</v>
      </c>
      <c r="B1219" s="1" t="str">
        <f ca="1">IFERROR(__xludf.DUMMYFUNCTION("""COMPUTED_VALUE"""),"India")</f>
        <v>India</v>
      </c>
      <c r="C1219" s="1">
        <f ca="1">IFERROR(__xludf.DUMMYFUNCTION("""COMPUTED_VALUE"""),500085)</f>
        <v>500085</v>
      </c>
      <c r="D1219" s="1" t="str">
        <f ca="1">IFERROR(__xludf.DUMMYFUNCTION("""COMPUTED_VALUE"""),"Female")</f>
        <v>Female</v>
      </c>
      <c r="E1219" s="1" t="str">
        <f ca="1">IFERROR(__xludf.DUMMYFUNCTION("""COMPUTED_VALUE"""),"My Parents")</f>
        <v>My Parents</v>
      </c>
      <c r="F1219" s="1" t="str">
        <f ca="1">IFERROR(__xludf.DUMMYFUNCTION("""COMPUTED_VALUE"""),"No I would not be pursuing Higher Education outside of India")</f>
        <v>No I would not be pursuing Higher Education outside of India</v>
      </c>
      <c r="G1219" s="1" t="str">
        <f ca="1">IFERROR(__xludf.DUMMYFUNCTION("""COMPUTED_VALUE"""),"Will work for 3 years or more")</f>
        <v>Will work for 3 years or more</v>
      </c>
      <c r="H1219" s="1" t="str">
        <f ca="1">IFERROR(__xludf.DUMMYFUNCTION("""COMPUTED_VALUE"""),"No")</f>
        <v>No</v>
      </c>
      <c r="I1219" s="1" t="str">
        <f ca="1">IFERROR(__xludf.DUMMYFUNCTION("""COMPUTED_VALUE"""),"Will work for them")</f>
        <v>Will work for them</v>
      </c>
      <c r="J1219" s="1">
        <f ca="1">IFERROR(__xludf.DUMMYFUNCTION("""COMPUTED_VALUE"""),6)</f>
        <v>6</v>
      </c>
      <c r="K1219" s="1" t="str">
        <f ca="1">IFERROR(__xludf.DUMMYFUNCTION("""COMPUTED_VALUE"""),"Fully Remote with No option to visit offices")</f>
        <v>Fully Remote with No option to visit offices</v>
      </c>
      <c r="L1219" s="1" t="str">
        <f ca="1">IFERROR(__xludf.DUMMYFUNCTION("""COMPUTED_VALUE"""),"Employer who pushes your limits by enabling an learning environment, and rewards you at the end")</f>
        <v>Employer who pushes your limits by enabling an learning environment, and rewards you at the end</v>
      </c>
      <c r="M1219"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N1219" s="1"/>
      <c r="O1219" s="1" t="str">
        <f ca="1">IFERROR(__xludf.DUMMYFUNCTION("""COMPUTED_VALUE"""),"Manager who explains what is expected, sets a goal and helps achieve it")</f>
        <v>Manager who explains what is expected, sets a goal and helps achieve it</v>
      </c>
      <c r="P1219" s="1" t="str">
        <f ca="1">IFERROR(__xludf.DUMMYFUNCTION("""COMPUTED_VALUE"""),"Work &lt;=6 People in the Team")</f>
        <v>Work &lt;=6 People in the Team</v>
      </c>
      <c r="Q1219" s="1" t="s">
        <v>43</v>
      </c>
      <c r="R1219" s="1"/>
    </row>
    <row r="1220" spans="1:18" x14ac:dyDescent="0.25">
      <c r="A1220" s="2">
        <f ca="1">IFERROR(__xludf.DUMMYFUNCTION("""COMPUTED_VALUE"""),45044.4863860763)</f>
        <v>45044.4863860763</v>
      </c>
      <c r="B1220" s="1" t="str">
        <f ca="1">IFERROR(__xludf.DUMMYFUNCTION("""COMPUTED_VALUE"""),"India")</f>
        <v>India</v>
      </c>
      <c r="C1220" s="1">
        <f ca="1">IFERROR(__xludf.DUMMYFUNCTION("""COMPUTED_VALUE"""),700086)</f>
        <v>700086</v>
      </c>
      <c r="D1220" s="1" t="str">
        <f ca="1">IFERROR(__xludf.DUMMYFUNCTION("""COMPUTED_VALUE"""),"Male")</f>
        <v>Male</v>
      </c>
      <c r="E1220" s="1" t="str">
        <f ca="1">IFERROR(__xludf.DUMMYFUNCTION("""COMPUTED_VALUE"""),"People who have changed the world for better")</f>
        <v>People who have changed the world for better</v>
      </c>
      <c r="F1220" s="1" t="str">
        <f ca="1">IFERROR(__xludf.DUMMYFUNCTION("""COMPUTED_VALUE"""),"Yes, I will earn and do that")</f>
        <v>Yes, I will earn and do that</v>
      </c>
      <c r="G1220" s="1" t="str">
        <f ca="1">IFERROR(__xludf.DUMMYFUNCTION("""COMPUTED_VALUE"""),"Will work for 3 years or more")</f>
        <v>Will work for 3 years or more</v>
      </c>
      <c r="H1220" s="1" t="str">
        <f ca="1">IFERROR(__xludf.DUMMYFUNCTION("""COMPUTED_VALUE"""),"No")</f>
        <v>No</v>
      </c>
      <c r="I1220" s="1" t="str">
        <f ca="1">IFERROR(__xludf.DUMMYFUNCTION("""COMPUTED_VALUE"""),"Will NOT work for them")</f>
        <v>Will NOT work for them</v>
      </c>
      <c r="J1220" s="1">
        <f ca="1">IFERROR(__xludf.DUMMYFUNCTION("""COMPUTED_VALUE"""),1)</f>
        <v>1</v>
      </c>
      <c r="K1220" s="1" t="str">
        <f ca="1">IFERROR(__xludf.DUMMYFUNCTION("""COMPUTED_VALUE"""),"Fully Remote with Options to travel as and when needed")</f>
        <v>Fully Remote with Options to travel as and when needed</v>
      </c>
      <c r="L1220" s="1" t="str">
        <f ca="1">IFERROR(__xludf.DUMMYFUNCTION("""COMPUTED_VALUE"""),"Employer who appreciates learning and enables that environment")</f>
        <v>Employer who appreciates learning and enables that environment</v>
      </c>
      <c r="M1220"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N1220" s="1"/>
      <c r="O1220" s="1" t="str">
        <f ca="1">IFERROR(__xludf.DUMMYFUNCTION("""COMPUTED_VALUE"""),"Manager who explains what is expected, sets a goal and helps achieve it")</f>
        <v>Manager who explains what is expected, sets a goal and helps achieve it</v>
      </c>
      <c r="P1220" s="1" t="str">
        <f ca="1">IFERROR(__xludf.DUMMYFUNCTION("""COMPUTED_VALUE"""),"Work Alone, &lt;67 people in team")</f>
        <v>Work Alone, &lt;67 people in team</v>
      </c>
      <c r="Q1220" s="1" t="s">
        <v>43</v>
      </c>
      <c r="R1220" s="1"/>
    </row>
    <row r="1221" spans="1:18" x14ac:dyDescent="0.25">
      <c r="A1221" s="2">
        <f ca="1">IFERROR(__xludf.DUMMYFUNCTION("""COMPUTED_VALUE"""),45044.488231655)</f>
        <v>45044.488231654999</v>
      </c>
      <c r="B1221" s="1" t="str">
        <f ca="1">IFERROR(__xludf.DUMMYFUNCTION("""COMPUTED_VALUE"""),"India")</f>
        <v>India</v>
      </c>
      <c r="C1221" s="1">
        <f ca="1">IFERROR(__xludf.DUMMYFUNCTION("""COMPUTED_VALUE"""),500097)</f>
        <v>500097</v>
      </c>
      <c r="D1221" s="1" t="str">
        <f ca="1">IFERROR(__xludf.DUMMYFUNCTION("""COMPUTED_VALUE"""),"Female")</f>
        <v>Female</v>
      </c>
      <c r="E1221" s="1" t="str">
        <f ca="1">IFERROR(__xludf.DUMMYFUNCTION("""COMPUTED_VALUE"""),"My Parents")</f>
        <v>My Parents</v>
      </c>
      <c r="F1221" s="1" t="str">
        <f ca="1">IFERROR(__xludf.DUMMYFUNCTION("""COMPUTED_VALUE"""),"Yes, I will earn and do that")</f>
        <v>Yes, I will earn and do that</v>
      </c>
      <c r="G1221" s="1" t="str">
        <f ca="1">IFERROR(__xludf.DUMMYFUNCTION("""COMPUTED_VALUE"""),"This will be hard to do, but if it is the right company I would try")</f>
        <v>This will be hard to do, but if it is the right company I would try</v>
      </c>
      <c r="H1221" s="1" t="str">
        <f ca="1">IFERROR(__xludf.DUMMYFUNCTION("""COMPUTED_VALUE"""),"Yes")</f>
        <v>Yes</v>
      </c>
      <c r="I1221" s="1" t="str">
        <f ca="1">IFERROR(__xludf.DUMMYFUNCTION("""COMPUTED_VALUE"""),"Will NOT work for them")</f>
        <v>Will NOT work for them</v>
      </c>
      <c r="J1221" s="1">
        <f ca="1">IFERROR(__xludf.DUMMYFUNCTION("""COMPUTED_VALUE"""),8)</f>
        <v>8</v>
      </c>
      <c r="K1221" s="1" t="str">
        <f ca="1">IFERROR(__xludf.DUMMYFUNCTION("""COMPUTED_VALUE"""),"Hybrid Working Environment with less than 3 days a month at office")</f>
        <v>Hybrid Working Environment with less than 3 days a month at office</v>
      </c>
      <c r="L1221" s="1" t="str">
        <f ca="1">IFERROR(__xludf.DUMMYFUNCTION("""COMPUTED_VALUE"""),"Employer who pushes your limits by enabling an learning environment, and rewards you at the end")</f>
        <v>Employer who pushes your limits by enabling an learning environment, and rewards you at the end</v>
      </c>
      <c r="M122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N1221" s="1"/>
      <c r="O1221" s="1" t="str">
        <f ca="1">IFERROR(__xludf.DUMMYFUNCTION("""COMPUTED_VALUE"""),"Manager who explains what is expected, sets a goal and helps achieve it")</f>
        <v>Manager who explains what is expected, sets a goal and helps achieve it</v>
      </c>
      <c r="P1221" s="1" t="str">
        <f ca="1">IFERROR(__xludf.DUMMYFUNCTION("""COMPUTED_VALUE"""),"Work &gt;10 people in Team")</f>
        <v>Work &gt;10 people in Team</v>
      </c>
      <c r="Q1221" s="1" t="s">
        <v>42</v>
      </c>
      <c r="R1221" s="1"/>
    </row>
    <row r="1222" spans="1:18" x14ac:dyDescent="0.25">
      <c r="A1222" s="2">
        <f ca="1">IFERROR(__xludf.DUMMYFUNCTION("""COMPUTED_VALUE"""),45044.4908901851)</f>
        <v>45044.490890185101</v>
      </c>
      <c r="B1222" s="1" t="str">
        <f ca="1">IFERROR(__xludf.DUMMYFUNCTION("""COMPUTED_VALUE"""),"India")</f>
        <v>India</v>
      </c>
      <c r="C1222" s="1">
        <f ca="1">IFERROR(__xludf.DUMMYFUNCTION("""COMPUTED_VALUE"""),826004)</f>
        <v>826004</v>
      </c>
      <c r="D1222" s="1" t="str">
        <f ca="1">IFERROR(__xludf.DUMMYFUNCTION("""COMPUTED_VALUE"""),"Male")</f>
        <v>Male</v>
      </c>
      <c r="E1222" s="1" t="str">
        <f ca="1">IFERROR(__xludf.DUMMYFUNCTION("""COMPUTED_VALUE"""),"Influencers who had successful careers")</f>
        <v>Influencers who had successful careers</v>
      </c>
      <c r="F1222" s="1" t="str">
        <f ca="1">IFERROR(__xludf.DUMMYFUNCTION("""COMPUTED_VALUE"""),"Yes, I will earn and do that")</f>
        <v>Yes, I will earn and do that</v>
      </c>
      <c r="G1222" s="1" t="str">
        <f ca="1">IFERROR(__xludf.DUMMYFUNCTION("""COMPUTED_VALUE"""),"This will be hard to do, but if it is the right company I would try")</f>
        <v>This will be hard to do, but if it is the right company I would try</v>
      </c>
      <c r="H1222" s="1" t="str">
        <f ca="1">IFERROR(__xludf.DUMMYFUNCTION("""COMPUTED_VALUE"""),"No")</f>
        <v>No</v>
      </c>
      <c r="I1222" s="1" t="str">
        <f ca="1">IFERROR(__xludf.DUMMYFUNCTION("""COMPUTED_VALUE"""),"Will NOT work for them")</f>
        <v>Will NOT work for them</v>
      </c>
      <c r="J1222" s="1">
        <f ca="1">IFERROR(__xludf.DUMMYFUNCTION("""COMPUTED_VALUE"""),6)</f>
        <v>6</v>
      </c>
      <c r="K1222" s="1" t="str">
        <f ca="1">IFERROR(__xludf.DUMMYFUNCTION("""COMPUTED_VALUE"""),"Hybrid Working Environment with less than 3 days a month at office")</f>
        <v>Hybrid Working Environment with less than 3 days a month at office</v>
      </c>
      <c r="L1222" s="1" t="str">
        <f ca="1">IFERROR(__xludf.DUMMYFUNCTION("""COMPUTED_VALUE"""),"Employer who pushes your limits by enabling an learning environment, and rewards you at the end")</f>
        <v>Employer who pushes your limits by enabling an learning environment, and rewards you at the end</v>
      </c>
      <c r="M1222"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N1222" s="1"/>
      <c r="O1222" s="1" t="str">
        <f ca="1">IFERROR(__xludf.DUMMYFUNCTION("""COMPUTED_VALUE"""),"Manager who clearly describes what she/he needs")</f>
        <v>Manager who clearly describes what she/he needs</v>
      </c>
      <c r="P1222" s="1" t="str">
        <f ca="1">IFERROR(__xludf.DUMMYFUNCTION("""COMPUTED_VALUE"""),"Work Alone, &lt;=6 in team")</f>
        <v>Work Alone, &lt;=6 in team</v>
      </c>
      <c r="Q1222" s="1" t="s">
        <v>40</v>
      </c>
      <c r="R1222" s="1"/>
    </row>
    <row r="1223" spans="1:18" x14ac:dyDescent="0.25">
      <c r="A1223" s="2">
        <f ca="1">IFERROR(__xludf.DUMMYFUNCTION("""COMPUTED_VALUE"""),45044.4931255092)</f>
        <v>45044.493125509201</v>
      </c>
      <c r="B1223" s="1" t="str">
        <f ca="1">IFERROR(__xludf.DUMMYFUNCTION("""COMPUTED_VALUE"""),"India")</f>
        <v>India</v>
      </c>
      <c r="C1223" s="1">
        <f ca="1">IFERROR(__xludf.DUMMYFUNCTION("""COMPUTED_VALUE"""),414003)</f>
        <v>414003</v>
      </c>
      <c r="D1223" s="1" t="str">
        <f ca="1">IFERROR(__xludf.DUMMYFUNCTION("""COMPUTED_VALUE"""),"Male")</f>
        <v>Male</v>
      </c>
      <c r="E1223" s="1" t="str">
        <f ca="1">IFERROR(__xludf.DUMMYFUNCTION("""COMPUTED_VALUE"""),"People from my circle, but not family members")</f>
        <v>People from my circle, but not family members</v>
      </c>
      <c r="F1223" s="1" t="str">
        <f ca="1">IFERROR(__xludf.DUMMYFUNCTION("""COMPUTED_VALUE"""),"Yes, I will earn and do that")</f>
        <v>Yes, I will earn and do that</v>
      </c>
      <c r="G1223" s="1" t="str">
        <f ca="1">IFERROR(__xludf.DUMMYFUNCTION("""COMPUTED_VALUE"""),"This will be hard to do, but if it is the right company I would try")</f>
        <v>This will be hard to do, but if it is the right company I would try</v>
      </c>
      <c r="H1223" s="1" t="str">
        <f ca="1">IFERROR(__xludf.DUMMYFUNCTION("""COMPUTED_VALUE"""),"No")</f>
        <v>No</v>
      </c>
      <c r="I1223" s="1" t="str">
        <f ca="1">IFERROR(__xludf.DUMMYFUNCTION("""COMPUTED_VALUE"""),"Will NOT work for them")</f>
        <v>Will NOT work for them</v>
      </c>
      <c r="J1223" s="1">
        <f ca="1">IFERROR(__xludf.DUMMYFUNCTION("""COMPUTED_VALUE"""),10)</f>
        <v>10</v>
      </c>
      <c r="K1223" s="1" t="str">
        <f ca="1">IFERROR(__xludf.DUMMYFUNCTION("""COMPUTED_VALUE"""),"Fully Remote with Options to travel as and when needed")</f>
        <v>Fully Remote with Options to travel as and when needed</v>
      </c>
      <c r="L1223" s="1" t="str">
        <f ca="1">IFERROR(__xludf.DUMMYFUNCTION("""COMPUTED_VALUE"""),"Employer who pushes your limits by enabling an learning environment, and rewards you at the end")</f>
        <v>Employer who pushes your limits by enabling an learning environment, and rewards you at the end</v>
      </c>
      <c r="M1223"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N1223" s="1"/>
      <c r="O1223" s="1" t="str">
        <f ca="1">IFERROR(__xludf.DUMMYFUNCTION("""COMPUTED_VALUE"""),"Manager who explains what is expected, sets a goal and helps achieve it")</f>
        <v>Manager who explains what is expected, sets a goal and helps achieve it</v>
      </c>
      <c r="P1223" s="1" t="str">
        <f ca="1">IFERROR(__xludf.DUMMYFUNCTION("""COMPUTED_VALUE"""),"Work &lt;=6 People in the Team")</f>
        <v>Work &lt;=6 People in the Team</v>
      </c>
      <c r="Q1223" s="1" t="s">
        <v>43</v>
      </c>
      <c r="R1223" s="1"/>
    </row>
    <row r="1224" spans="1:18" x14ac:dyDescent="0.25">
      <c r="A1224" s="2">
        <f ca="1">IFERROR(__xludf.DUMMYFUNCTION("""COMPUTED_VALUE"""),45044.4962846527)</f>
        <v>45044.496284652698</v>
      </c>
      <c r="B1224" s="1" t="str">
        <f ca="1">IFERROR(__xludf.DUMMYFUNCTION("""COMPUTED_VALUE"""),"India")</f>
        <v>India</v>
      </c>
      <c r="C1224" s="1">
        <f ca="1">IFERROR(__xludf.DUMMYFUNCTION("""COMPUTED_VALUE"""),500084)</f>
        <v>500084</v>
      </c>
      <c r="D1224" s="1" t="str">
        <f ca="1">IFERROR(__xludf.DUMMYFUNCTION("""COMPUTED_VALUE"""),"Female")</f>
        <v>Female</v>
      </c>
      <c r="E1224" s="1" t="str">
        <f ca="1">IFERROR(__xludf.DUMMYFUNCTION("""COMPUTED_VALUE"""),"My Parents")</f>
        <v>My Parents</v>
      </c>
      <c r="F1224" s="1" t="str">
        <f ca="1">IFERROR(__xludf.DUMMYFUNCTION("""COMPUTED_VALUE"""),"No I would not be pursuing Higher Education outside of India")</f>
        <v>No I would not be pursuing Higher Education outside of India</v>
      </c>
      <c r="G1224" s="1" t="str">
        <f ca="1">IFERROR(__xludf.DUMMYFUNCTION("""COMPUTED_VALUE"""),"This will be hard to do, but if it is the right company I would try")</f>
        <v>This will be hard to do, but if it is the right company I would try</v>
      </c>
      <c r="H1224" s="1" t="str">
        <f ca="1">IFERROR(__xludf.DUMMYFUNCTION("""COMPUTED_VALUE"""),"No")</f>
        <v>No</v>
      </c>
      <c r="I1224" s="1" t="str">
        <f ca="1">IFERROR(__xludf.DUMMYFUNCTION("""COMPUTED_VALUE"""),"Will NOT work for them")</f>
        <v>Will NOT work for them</v>
      </c>
      <c r="J1224" s="1">
        <f ca="1">IFERROR(__xludf.DUMMYFUNCTION("""COMPUTED_VALUE"""),1)</f>
        <v>1</v>
      </c>
      <c r="K1224" s="1" t="str">
        <f ca="1">IFERROR(__xludf.DUMMYFUNCTION("""COMPUTED_VALUE"""),"Hybrid Working Environment with more than 15 days a month at office")</f>
        <v>Hybrid Working Environment with more than 15 days a month at office</v>
      </c>
      <c r="L1224" s="1" t="str">
        <f ca="1">IFERROR(__xludf.DUMMYFUNCTION("""COMPUTED_VALUE"""),"Employer who pushes your limits by enabling an learning environment, and rewards you at the end")</f>
        <v>Employer who pushes your limits by enabling an learning environment, and rewards you at the end</v>
      </c>
      <c r="M1224" s="1" t="str">
        <f ca="1">IFERROR(__xludf.DUMMYFUNCTION("""COMPUTED_VALUE"""),"Design and Creative strategy in any company, Manage and drive End-to-End Projects or Products, Look deeply into Data and generate insights, I Want to sell things/Sales")</f>
        <v>Design and Creative strategy in any company, Manage and drive End-to-End Projects or Products, Look deeply into Data and generate insights, I Want to sell things/Sales</v>
      </c>
      <c r="N1224" s="1"/>
      <c r="O1224" s="1" t="str">
        <f ca="1">IFERROR(__xludf.DUMMYFUNCTION("""COMPUTED_VALUE"""),"Manager who explains what is expected, sets a goal and helps achieve it")</f>
        <v>Manager who explains what is expected, sets a goal and helps achieve it</v>
      </c>
      <c r="P1224" s="1" t="str">
        <f ca="1">IFERROR(__xludf.DUMMYFUNCTION("""COMPUTED_VALUE"""),"Work &gt;=7 People in the Team")</f>
        <v>Work &gt;=7 People in the Team</v>
      </c>
      <c r="Q1224" s="1" t="s">
        <v>43</v>
      </c>
      <c r="R1224" s="1"/>
    </row>
    <row r="1225" spans="1:18" x14ac:dyDescent="0.25">
      <c r="A1225" s="2">
        <f ca="1">IFERROR(__xludf.DUMMYFUNCTION("""COMPUTED_VALUE"""),45044.4968635879)</f>
        <v>45044.496863587898</v>
      </c>
      <c r="B1225" s="1" t="str">
        <f ca="1">IFERROR(__xludf.DUMMYFUNCTION("""COMPUTED_VALUE"""),"India")</f>
        <v>India</v>
      </c>
      <c r="C1225" s="1">
        <f ca="1">IFERROR(__xludf.DUMMYFUNCTION("""COMPUTED_VALUE"""),560091)</f>
        <v>560091</v>
      </c>
      <c r="D1225" s="1" t="str">
        <f ca="1">IFERROR(__xludf.DUMMYFUNCTION("""COMPUTED_VALUE"""),"Female")</f>
        <v>Female</v>
      </c>
      <c r="E1225" s="1" t="str">
        <f ca="1">IFERROR(__xludf.DUMMYFUNCTION("""COMPUTED_VALUE"""),"Influencers who had successful careers")</f>
        <v>Influencers who had successful careers</v>
      </c>
      <c r="F1225" s="1" t="str">
        <f ca="1">IFERROR(__xludf.DUMMYFUNCTION("""COMPUTED_VALUE"""),"No I would not be pursuing Higher Education outside of India")</f>
        <v>No I would not be pursuing Higher Education outside of India</v>
      </c>
      <c r="G1225" s="1" t="str">
        <f ca="1">IFERROR(__xludf.DUMMYFUNCTION("""COMPUTED_VALUE"""),"Will work for 3 years or more")</f>
        <v>Will work for 3 years or more</v>
      </c>
      <c r="H1225" s="1" t="str">
        <f ca="1">IFERROR(__xludf.DUMMYFUNCTION("""COMPUTED_VALUE"""),"No")</f>
        <v>No</v>
      </c>
      <c r="I1225" s="1" t="str">
        <f ca="1">IFERROR(__xludf.DUMMYFUNCTION("""COMPUTED_VALUE"""),"Will NOT work for them")</f>
        <v>Will NOT work for them</v>
      </c>
      <c r="J1225" s="1">
        <f ca="1">IFERROR(__xludf.DUMMYFUNCTION("""COMPUTED_VALUE"""),5)</f>
        <v>5</v>
      </c>
      <c r="K1225" s="1" t="str">
        <f ca="1">IFERROR(__xludf.DUMMYFUNCTION("""COMPUTED_VALUE"""),"Hybrid Working Environment with more than 15 days a month at office")</f>
        <v>Hybrid Working Environment with more than 15 days a month at office</v>
      </c>
      <c r="L1225" s="1" t="str">
        <f ca="1">IFERROR(__xludf.DUMMYFUNCTION("""COMPUTED_VALUE"""),"Employer who appreciates learning and enables that environment")</f>
        <v>Employer who appreciates learning and enables that environment</v>
      </c>
      <c r="M122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N1225" s="1"/>
      <c r="O1225" s="1" t="str">
        <f ca="1">IFERROR(__xludf.DUMMYFUNCTION("""COMPUTED_VALUE"""),"Manager who clearly describes what she/he needs")</f>
        <v>Manager who clearly describes what she/he needs</v>
      </c>
      <c r="P1225" s="1" t="str">
        <f ca="1">IFERROR(__xludf.DUMMYFUNCTION("""COMPUTED_VALUE"""),"Work &lt;=6 People in the Team")</f>
        <v>Work &lt;=6 People in the Team</v>
      </c>
      <c r="Q1225" s="1" t="s">
        <v>43</v>
      </c>
      <c r="R1225" s="1"/>
    </row>
    <row r="1226" spans="1:18" x14ac:dyDescent="0.25">
      <c r="A1226" s="2">
        <f ca="1">IFERROR(__xludf.DUMMYFUNCTION("""COMPUTED_VALUE"""),45044.4985857407)</f>
        <v>45044.498585740701</v>
      </c>
      <c r="B1226" s="1" t="str">
        <f ca="1">IFERROR(__xludf.DUMMYFUNCTION("""COMPUTED_VALUE"""),"India")</f>
        <v>India</v>
      </c>
      <c r="C1226" s="1">
        <f ca="1">IFERROR(__xludf.DUMMYFUNCTION("""COMPUTED_VALUE"""),560062)</f>
        <v>560062</v>
      </c>
      <c r="D1226" s="1" t="str">
        <f ca="1">IFERROR(__xludf.DUMMYFUNCTION("""COMPUTED_VALUE"""),"Male")</f>
        <v>Male</v>
      </c>
      <c r="E1226" s="1" t="str">
        <f ca="1">IFERROR(__xludf.DUMMYFUNCTION("""COMPUTED_VALUE"""),"Influencers who had successful careers")</f>
        <v>Influencers who had successful careers</v>
      </c>
      <c r="F1226" s="1" t="str">
        <f ca="1">IFERROR(__xludf.DUMMYFUNCTION("""COMPUTED_VALUE"""),"No I would not be pursuing Higher Education outside of India")</f>
        <v>No I would not be pursuing Higher Education outside of India</v>
      </c>
      <c r="G1226" s="1" t="str">
        <f ca="1">IFERROR(__xludf.DUMMYFUNCTION("""COMPUTED_VALUE"""),"Will work for 3 years or more")</f>
        <v>Will work for 3 years or more</v>
      </c>
      <c r="H1226" s="1" t="str">
        <f ca="1">IFERROR(__xludf.DUMMYFUNCTION("""COMPUTED_VALUE"""),"No")</f>
        <v>No</v>
      </c>
      <c r="I1226" s="1" t="str">
        <f ca="1">IFERROR(__xludf.DUMMYFUNCTION("""COMPUTED_VALUE"""),"Will NOT work for them")</f>
        <v>Will NOT work for them</v>
      </c>
      <c r="J1226" s="1">
        <f ca="1">IFERROR(__xludf.DUMMYFUNCTION("""COMPUTED_VALUE"""),5)</f>
        <v>5</v>
      </c>
      <c r="K1226" s="1" t="str">
        <f ca="1">IFERROR(__xludf.DUMMYFUNCTION("""COMPUTED_VALUE"""),"Hybrid Working Environment with more than 15 days a month at office")</f>
        <v>Hybrid Working Environment with more than 15 days a month at office</v>
      </c>
      <c r="L1226" s="1" t="str">
        <f ca="1">IFERROR(__xludf.DUMMYFUNCTION("""COMPUTED_VALUE"""),"Employer who pushes your limits by enabling an learning environment, and rewards you at the end")</f>
        <v>Employer who pushes your limits by enabling an learning environment, and rewards you at the end</v>
      </c>
      <c r="M1226" s="1" t="str">
        <f ca="1">IFERROR(__xludf.DUMMYFUNCTION("""COMPUTED_VALUE"""),"Design and Creative strategy in any company, Build and develop a Team, Entrepreneur or Start Up, I Want to sell things/Sales")</f>
        <v>Design and Creative strategy in any company, Build and develop a Team, Entrepreneur or Start Up, I Want to sell things/Sales</v>
      </c>
      <c r="N1226" s="1"/>
      <c r="O1226" s="1" t="str">
        <f ca="1">IFERROR(__xludf.DUMMYFUNCTION("""COMPUTED_VALUE"""),"Manager who explains what is expected, sets a goal and helps achieve it")</f>
        <v>Manager who explains what is expected, sets a goal and helps achieve it</v>
      </c>
      <c r="P1226" s="1" t="str">
        <f ca="1">IFERROR(__xludf.DUMMYFUNCTION("""COMPUTED_VALUE"""),"Work &lt;=6 People in the Team")</f>
        <v>Work &lt;=6 People in the Team</v>
      </c>
      <c r="Q1226" s="1" t="s">
        <v>43</v>
      </c>
      <c r="R1226" s="1"/>
    </row>
    <row r="1227" spans="1:18" x14ac:dyDescent="0.25">
      <c r="A1227" s="2">
        <f ca="1">IFERROR(__xludf.DUMMYFUNCTION("""COMPUTED_VALUE"""),45044.5015157754)</f>
        <v>45044.501515775402</v>
      </c>
      <c r="B1227" s="1" t="str">
        <f ca="1">IFERROR(__xludf.DUMMYFUNCTION("""COMPUTED_VALUE"""),"India")</f>
        <v>India</v>
      </c>
      <c r="C1227" s="1">
        <f ca="1">IFERROR(__xludf.DUMMYFUNCTION("""COMPUTED_VALUE"""),700053)</f>
        <v>700053</v>
      </c>
      <c r="D1227" s="1" t="str">
        <f ca="1">IFERROR(__xludf.DUMMYFUNCTION("""COMPUTED_VALUE"""),"Male")</f>
        <v>Male</v>
      </c>
      <c r="E1227" s="1" t="str">
        <f ca="1">IFERROR(__xludf.DUMMYFUNCTION("""COMPUTED_VALUE"""),"People who have changed the world for better")</f>
        <v>People who have changed the world for better</v>
      </c>
      <c r="F1227" s="1" t="str">
        <f ca="1">IFERROR(__xludf.DUMMYFUNCTION("""COMPUTED_VALUE"""),"No, But if someone could bare the cost I will")</f>
        <v>No, But if someone could bare the cost I will</v>
      </c>
      <c r="G1227" s="1" t="str">
        <f ca="1">IFERROR(__xludf.DUMMYFUNCTION("""COMPUTED_VALUE"""),"This will be hard to do, but if it is the right company I would try")</f>
        <v>This will be hard to do, but if it is the right company I would try</v>
      </c>
      <c r="H1227" s="1" t="str">
        <f ca="1">IFERROR(__xludf.DUMMYFUNCTION("""COMPUTED_VALUE"""),"No")</f>
        <v>No</v>
      </c>
      <c r="I1227" s="1" t="str">
        <f ca="1">IFERROR(__xludf.DUMMYFUNCTION("""COMPUTED_VALUE"""),"Will NOT work for them")</f>
        <v>Will NOT work for them</v>
      </c>
      <c r="J1227" s="1">
        <f ca="1">IFERROR(__xludf.DUMMYFUNCTION("""COMPUTED_VALUE"""),4)</f>
        <v>4</v>
      </c>
      <c r="K1227" s="1" t="str">
        <f ca="1">IFERROR(__xludf.DUMMYFUNCTION("""COMPUTED_VALUE"""),"Hybrid Working Environment with more than 15 days a month at office")</f>
        <v>Hybrid Working Environment with more than 15 days a month at office</v>
      </c>
      <c r="L1227" s="1" t="str">
        <f ca="1">IFERROR(__xludf.DUMMYFUNCTION("""COMPUTED_VALUE"""),"Employer who rewards learning and enables that environment")</f>
        <v>Employer who rewards learning and enables that environment</v>
      </c>
      <c r="M1227" s="1" t="str">
        <f ca="1">IFERROR(__xludf.DUMMYFUNCTION("""COMPUTED_VALUE"""),"Design and Creative strategy in any company, Manage and drive End-to-End Projects or Products, Build and develop a Team, I Want to sell things/Sales")</f>
        <v>Design and Creative strategy in any company, Manage and drive End-to-End Projects or Products, Build and develop a Team, I Want to sell things/Sales</v>
      </c>
      <c r="N1227" s="1"/>
      <c r="O1227" s="1" t="str">
        <f ca="1">IFERROR(__xludf.DUMMYFUNCTION("""COMPUTED_VALUE"""),"Manager who explains what is expected, sets a goal and helps achieve it")</f>
        <v>Manager who explains what is expected, sets a goal and helps achieve it</v>
      </c>
      <c r="P1227" s="1" t="str">
        <f ca="1">IFERROR(__xludf.DUMMYFUNCTION("""COMPUTED_VALUE"""),"Work &lt;=6 People in the Team")</f>
        <v>Work &lt;=6 People in the Team</v>
      </c>
      <c r="Q1227" s="1" t="s">
        <v>40</v>
      </c>
      <c r="R1227" s="1"/>
    </row>
    <row r="1228" spans="1:18" x14ac:dyDescent="0.25">
      <c r="A1228" s="2">
        <f ca="1">IFERROR(__xludf.DUMMYFUNCTION("""COMPUTED_VALUE"""),45044.5103634259)</f>
        <v>45044.510363425899</v>
      </c>
      <c r="B1228" s="1" t="str">
        <f ca="1">IFERROR(__xludf.DUMMYFUNCTION("""COMPUTED_VALUE"""),"India")</f>
        <v>India</v>
      </c>
      <c r="C1228" s="1">
        <f ca="1">IFERROR(__xludf.DUMMYFUNCTION("""COMPUTED_VALUE"""),570031)</f>
        <v>570031</v>
      </c>
      <c r="D1228" s="1" t="str">
        <f ca="1">IFERROR(__xludf.DUMMYFUNCTION("""COMPUTED_VALUE"""),"Female")</f>
        <v>Female</v>
      </c>
      <c r="E1228" s="1" t="str">
        <f ca="1">IFERROR(__xludf.DUMMYFUNCTION("""COMPUTED_VALUE"""),"Influencers who had successful careers")</f>
        <v>Influencers who had successful careers</v>
      </c>
      <c r="F1228" s="1" t="str">
        <f ca="1">IFERROR(__xludf.DUMMYFUNCTION("""COMPUTED_VALUE"""),"No I would not be pursuing Higher Education outside of India")</f>
        <v>No I would not be pursuing Higher Education outside of India</v>
      </c>
      <c r="G1228" s="1" t="str">
        <f ca="1">IFERROR(__xludf.DUMMYFUNCTION("""COMPUTED_VALUE"""),"Will work for 3 years or more")</f>
        <v>Will work for 3 years or more</v>
      </c>
      <c r="H1228" s="1" t="str">
        <f ca="1">IFERROR(__xludf.DUMMYFUNCTION("""COMPUTED_VALUE"""),"Yes")</f>
        <v>Yes</v>
      </c>
      <c r="I1228" s="1" t="str">
        <f ca="1">IFERROR(__xludf.DUMMYFUNCTION("""COMPUTED_VALUE"""),"Will work for them")</f>
        <v>Will work for them</v>
      </c>
      <c r="J1228" s="1">
        <f ca="1">IFERROR(__xludf.DUMMYFUNCTION("""COMPUTED_VALUE"""),5)</f>
        <v>5</v>
      </c>
      <c r="K1228" s="1" t="str">
        <f ca="1">IFERROR(__xludf.DUMMYFUNCTION("""COMPUTED_VALUE"""),"Hybrid Working Environment with more than 15 days a month at office")</f>
        <v>Hybrid Working Environment with more than 15 days a month at office</v>
      </c>
      <c r="L1228" s="1" t="str">
        <f ca="1">IFERROR(__xludf.DUMMYFUNCTION("""COMPUTED_VALUE"""),"Employer who rewards learning and enables that environment")</f>
        <v>Employer who rewards learning and enables that environment</v>
      </c>
      <c r="M122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228" s="1"/>
      <c r="O1228" s="1" t="str">
        <f ca="1">IFERROR(__xludf.DUMMYFUNCTION("""COMPUTED_VALUE"""),"Manager who clearly describes what she/he needs")</f>
        <v>Manager who clearly describes what she/he needs</v>
      </c>
      <c r="P1228" s="1" t="str">
        <f ca="1">IFERROR(__xludf.DUMMYFUNCTION("""COMPUTED_VALUE"""),"Work &lt;=6 People in the Team")</f>
        <v>Work &lt;=6 People in the Team</v>
      </c>
      <c r="Q1228" s="1" t="s">
        <v>40</v>
      </c>
      <c r="R1228" s="1"/>
    </row>
    <row r="1229" spans="1:18" x14ac:dyDescent="0.25">
      <c r="A1229" s="2">
        <f ca="1">IFERROR(__xludf.DUMMYFUNCTION("""COMPUTED_VALUE"""),45044.5130732523)</f>
        <v>45044.513073252303</v>
      </c>
      <c r="B1229" s="1" t="str">
        <f ca="1">IFERROR(__xludf.DUMMYFUNCTION("""COMPUTED_VALUE"""),"India")</f>
        <v>India</v>
      </c>
      <c r="C1229" s="1">
        <f ca="1">IFERROR(__xludf.DUMMYFUNCTION("""COMPUTED_VALUE"""),700039)</f>
        <v>700039</v>
      </c>
      <c r="D1229" s="1" t="str">
        <f ca="1">IFERROR(__xludf.DUMMYFUNCTION("""COMPUTED_VALUE"""),"Male")</f>
        <v>Male</v>
      </c>
      <c r="E1229" s="1" t="str">
        <f ca="1">IFERROR(__xludf.DUMMYFUNCTION("""COMPUTED_VALUE"""),"People who have changed the world for better")</f>
        <v>People who have changed the world for better</v>
      </c>
      <c r="F1229" s="1" t="str">
        <f ca="1">IFERROR(__xludf.DUMMYFUNCTION("""COMPUTED_VALUE"""),"No, But if someone could bare the cost I will")</f>
        <v>No, But if someone could bare the cost I will</v>
      </c>
      <c r="G1229" s="1" t="str">
        <f ca="1">IFERROR(__xludf.DUMMYFUNCTION("""COMPUTED_VALUE"""),"Will work for 3 years or more")</f>
        <v>Will work for 3 years or more</v>
      </c>
      <c r="H1229" s="1" t="str">
        <f ca="1">IFERROR(__xludf.DUMMYFUNCTION("""COMPUTED_VALUE"""),"No")</f>
        <v>No</v>
      </c>
      <c r="I1229" s="1" t="str">
        <f ca="1">IFERROR(__xludf.DUMMYFUNCTION("""COMPUTED_VALUE"""),"Will work for them")</f>
        <v>Will work for them</v>
      </c>
      <c r="J1229" s="1">
        <f ca="1">IFERROR(__xludf.DUMMYFUNCTION("""COMPUTED_VALUE"""),8)</f>
        <v>8</v>
      </c>
      <c r="K1229" s="1" t="str">
        <f ca="1">IFERROR(__xludf.DUMMYFUNCTION("""COMPUTED_VALUE"""),"Hybrid Working Environment with less than 3 days a month at office")</f>
        <v>Hybrid Working Environment with less than 3 days a month at office</v>
      </c>
      <c r="L1229" s="1" t="str">
        <f ca="1">IFERROR(__xludf.DUMMYFUNCTION("""COMPUTED_VALUE"""),"Employer who rewards learning and enables that environment")</f>
        <v>Employer who rewards learning and enables that environment</v>
      </c>
      <c r="M1229" s="1" t="str">
        <f ca="1">IFERROR(__xludf.DUMMYFUNCTION("""COMPUTED_VALUE"""),"Design and Creative strategy in any company, Design and Develop amazing software, Look deeply into Data and generate insights, Become a content Creator in some platform")</f>
        <v>Design and Creative strategy in any company, Design and Develop amazing software, Look deeply into Data and generate insights, Become a content Creator in some platform</v>
      </c>
      <c r="N1229" s="1"/>
      <c r="O1229" s="1" t="str">
        <f ca="1">IFERROR(__xludf.DUMMYFUNCTION("""COMPUTED_VALUE"""),"Manager who explains what is expected, sets a goal and helps achieve it")</f>
        <v>Manager who explains what is expected, sets a goal and helps achieve it</v>
      </c>
      <c r="P1229" s="1" t="str">
        <f ca="1">IFERROR(__xludf.DUMMYFUNCTION("""COMPUTED_VALUE"""),"Work &lt;=6 People in the Team")</f>
        <v>Work &lt;=6 People in the Team</v>
      </c>
      <c r="Q1229" s="1" t="s">
        <v>43</v>
      </c>
      <c r="R1229" s="1"/>
    </row>
    <row r="1230" spans="1:18" x14ac:dyDescent="0.25">
      <c r="A1230" s="2">
        <f ca="1">IFERROR(__xludf.DUMMYFUNCTION("""COMPUTED_VALUE"""),45044.5165465972)</f>
        <v>45044.516546597202</v>
      </c>
      <c r="B1230" s="1" t="str">
        <f ca="1">IFERROR(__xludf.DUMMYFUNCTION("""COMPUTED_VALUE"""),"India")</f>
        <v>India</v>
      </c>
      <c r="C1230" s="1">
        <f ca="1">IFERROR(__xludf.DUMMYFUNCTION("""COMPUTED_VALUE"""),825301)</f>
        <v>825301</v>
      </c>
      <c r="D1230" s="1" t="str">
        <f ca="1">IFERROR(__xludf.DUMMYFUNCTION("""COMPUTED_VALUE"""),"Male")</f>
        <v>Male</v>
      </c>
      <c r="E1230" s="1" t="str">
        <f ca="1">IFERROR(__xludf.DUMMYFUNCTION("""COMPUTED_VALUE"""),"People who have changed the world for better")</f>
        <v>People who have changed the world for better</v>
      </c>
      <c r="F1230" s="1" t="str">
        <f ca="1">IFERROR(__xludf.DUMMYFUNCTION("""COMPUTED_VALUE"""),"Yes, I will earn and do that")</f>
        <v>Yes, I will earn and do that</v>
      </c>
      <c r="G1230" s="1" t="str">
        <f ca="1">IFERROR(__xludf.DUMMYFUNCTION("""COMPUTED_VALUE"""),"This will be hard to do, but if it is the right company I would try")</f>
        <v>This will be hard to do, but if it is the right company I would try</v>
      </c>
      <c r="H1230" s="1" t="str">
        <f ca="1">IFERROR(__xludf.DUMMYFUNCTION("""COMPUTED_VALUE"""),"Yes")</f>
        <v>Yes</v>
      </c>
      <c r="I1230" s="1" t="str">
        <f ca="1">IFERROR(__xludf.DUMMYFUNCTION("""COMPUTED_VALUE"""),"Will NOT work for them")</f>
        <v>Will NOT work for them</v>
      </c>
      <c r="J1230" s="1">
        <f ca="1">IFERROR(__xludf.DUMMYFUNCTION("""COMPUTED_VALUE"""),2)</f>
        <v>2</v>
      </c>
      <c r="K1230" s="1" t="str">
        <f ca="1">IFERROR(__xludf.DUMMYFUNCTION("""COMPUTED_VALUE"""),"Fully Remote with Options to travel as and when needed")</f>
        <v>Fully Remote with Options to travel as and when needed</v>
      </c>
      <c r="L1230" s="1" t="str">
        <f ca="1">IFERROR(__xludf.DUMMYFUNCTION("""COMPUTED_VALUE"""),"Employer who pushes your limits by enabling an learning environment, and rewards you at the end")</f>
        <v>Employer who pushes your limits by enabling an learning environment, and rewards you at the end</v>
      </c>
      <c r="M1230"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N1230" s="1"/>
      <c r="O1230" s="1" t="str">
        <f ca="1">IFERROR(__xludf.DUMMYFUNCTION("""COMPUTED_VALUE"""),"Manager who sets goal and helps me achieve it")</f>
        <v>Manager who sets goal and helps me achieve it</v>
      </c>
      <c r="P1230" s="1" t="str">
        <f ca="1">IFERROR(__xludf.DUMMYFUNCTION("""COMPUTED_VALUE"""),"Work &gt;10 people in Team")</f>
        <v>Work &gt;10 people in Team</v>
      </c>
      <c r="Q1230" s="1" t="s">
        <v>43</v>
      </c>
      <c r="R1230" s="1"/>
    </row>
    <row r="1231" spans="1:18" x14ac:dyDescent="0.25">
      <c r="A1231" s="2">
        <f ca="1">IFERROR(__xludf.DUMMYFUNCTION("""COMPUTED_VALUE"""),45044.5175568287)</f>
        <v>45044.517556828701</v>
      </c>
      <c r="B1231" s="1" t="str">
        <f ca="1">IFERROR(__xludf.DUMMYFUNCTION("""COMPUTED_VALUE"""),"India")</f>
        <v>India</v>
      </c>
      <c r="C1231" s="1">
        <f ca="1">IFERROR(__xludf.DUMMYFUNCTION("""COMPUTED_VALUE"""),682316)</f>
        <v>682316</v>
      </c>
      <c r="D1231" s="1" t="str">
        <f ca="1">IFERROR(__xludf.DUMMYFUNCTION("""COMPUTED_VALUE"""),"Female")</f>
        <v>Female</v>
      </c>
      <c r="E1231" s="1" t="str">
        <f ca="1">IFERROR(__xludf.DUMMYFUNCTION("""COMPUTED_VALUE"""),"Influencers who had successful careers")</f>
        <v>Influencers who had successful careers</v>
      </c>
      <c r="F1231" s="1" t="str">
        <f ca="1">IFERROR(__xludf.DUMMYFUNCTION("""COMPUTED_VALUE"""),"Yes, I will earn and do that")</f>
        <v>Yes, I will earn and do that</v>
      </c>
      <c r="G1231" s="1" t="str">
        <f ca="1">IFERROR(__xludf.DUMMYFUNCTION("""COMPUTED_VALUE"""),"This will be hard to do, but if it is the right company I would try")</f>
        <v>This will be hard to do, but if it is the right company I would try</v>
      </c>
      <c r="H1231" s="1" t="str">
        <f ca="1">IFERROR(__xludf.DUMMYFUNCTION("""COMPUTED_VALUE"""),"No")</f>
        <v>No</v>
      </c>
      <c r="I1231" s="1" t="str">
        <f ca="1">IFERROR(__xludf.DUMMYFUNCTION("""COMPUTED_VALUE"""),"Will NOT work for them")</f>
        <v>Will NOT work for them</v>
      </c>
      <c r="J1231" s="1">
        <f ca="1">IFERROR(__xludf.DUMMYFUNCTION("""COMPUTED_VALUE"""),8)</f>
        <v>8</v>
      </c>
      <c r="K1231" s="1" t="str">
        <f ca="1">IFERROR(__xludf.DUMMYFUNCTION("""COMPUTED_VALUE"""),"Every Day Office Environment")</f>
        <v>Every Day Office Environment</v>
      </c>
      <c r="L1231" s="1" t="str">
        <f ca="1">IFERROR(__xludf.DUMMYFUNCTION("""COMPUTED_VALUE"""),"Employer who appreciates learning and enables that environment")</f>
        <v>Employer who appreciates learning and enables that environment</v>
      </c>
      <c r="M1231"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N1231" s="1"/>
      <c r="O1231" s="1" t="str">
        <f ca="1">IFERROR(__xludf.DUMMYFUNCTION("""COMPUTED_VALUE"""),"Manager who explains what is expected, sets a goal and helps achieve it")</f>
        <v>Manager who explains what is expected, sets a goal and helps achieve it</v>
      </c>
      <c r="P1231" s="1" t="str">
        <f ca="1">IFERROR(__xludf.DUMMYFUNCTION("""COMPUTED_VALUE"""),"Work &lt;=6 People in the Team")</f>
        <v>Work &lt;=6 People in the Team</v>
      </c>
      <c r="Q1231" s="1" t="s">
        <v>43</v>
      </c>
      <c r="R1231" s="1"/>
    </row>
    <row r="1232" spans="1:18" x14ac:dyDescent="0.25">
      <c r="A1232" s="2">
        <f ca="1">IFERROR(__xludf.DUMMYFUNCTION("""COMPUTED_VALUE"""),45044.5188868634)</f>
        <v>45044.5188868634</v>
      </c>
      <c r="B1232" s="1" t="str">
        <f ca="1">IFERROR(__xludf.DUMMYFUNCTION("""COMPUTED_VALUE"""),"India")</f>
        <v>India</v>
      </c>
      <c r="C1232" s="1">
        <f ca="1">IFERROR(__xludf.DUMMYFUNCTION("""COMPUTED_VALUE"""),440034)</f>
        <v>440034</v>
      </c>
      <c r="D1232" s="1" t="str">
        <f ca="1">IFERROR(__xludf.DUMMYFUNCTION("""COMPUTED_VALUE"""),"Male")</f>
        <v>Male</v>
      </c>
      <c r="E1232" s="1" t="str">
        <f ca="1">IFERROR(__xludf.DUMMYFUNCTION("""COMPUTED_VALUE"""),"Influencers who had successful careers")</f>
        <v>Influencers who had successful careers</v>
      </c>
      <c r="F1232" s="1" t="str">
        <f ca="1">IFERROR(__xludf.DUMMYFUNCTION("""COMPUTED_VALUE"""),"Yes, I will earn and do that")</f>
        <v>Yes, I will earn and do that</v>
      </c>
      <c r="G1232" s="1" t="str">
        <f ca="1">IFERROR(__xludf.DUMMYFUNCTION("""COMPUTED_VALUE"""),"This will be hard to do, but if it is the right company I would try")</f>
        <v>This will be hard to do, but if it is the right company I would try</v>
      </c>
      <c r="H1232" s="1" t="str">
        <f ca="1">IFERROR(__xludf.DUMMYFUNCTION("""COMPUTED_VALUE"""),"No")</f>
        <v>No</v>
      </c>
      <c r="I1232" s="1" t="str">
        <f ca="1">IFERROR(__xludf.DUMMYFUNCTION("""COMPUTED_VALUE"""),"Will NOT work for them")</f>
        <v>Will NOT work for them</v>
      </c>
      <c r="J1232" s="1">
        <f ca="1">IFERROR(__xludf.DUMMYFUNCTION("""COMPUTED_VALUE"""),8)</f>
        <v>8</v>
      </c>
      <c r="K1232" s="1" t="str">
        <f ca="1">IFERROR(__xludf.DUMMYFUNCTION("""COMPUTED_VALUE"""),"Hybrid Working Environment with more than 15 days a month at office")</f>
        <v>Hybrid Working Environment with more than 15 days a month at office</v>
      </c>
      <c r="L1232" s="1" t="str">
        <f ca="1">IFERROR(__xludf.DUMMYFUNCTION("""COMPUTED_VALUE"""),"Employer who appreciates learning and enables that environment")</f>
        <v>Employer who appreciates learning and enables that environment</v>
      </c>
      <c r="M123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232" s="1"/>
      <c r="O1232" s="1" t="str">
        <f ca="1">IFERROR(__xludf.DUMMYFUNCTION("""COMPUTED_VALUE"""),"Manager who explains what is expected, sets a goal and helps achieve it")</f>
        <v>Manager who explains what is expected, sets a goal and helps achieve it</v>
      </c>
      <c r="P1232" s="1" t="str">
        <f ca="1">IFERROR(__xludf.DUMMYFUNCTION("""COMPUTED_VALUE"""),"Work &lt;=6 People in the Team")</f>
        <v>Work &lt;=6 People in the Team</v>
      </c>
      <c r="Q1232" s="1" t="s">
        <v>40</v>
      </c>
      <c r="R1232" s="1"/>
    </row>
    <row r="1233" spans="1:18" x14ac:dyDescent="0.25">
      <c r="A1233" s="2">
        <f ca="1">IFERROR(__xludf.DUMMYFUNCTION("""COMPUTED_VALUE"""),45044.5194051157)</f>
        <v>45044.519405115701</v>
      </c>
      <c r="B1233" s="1" t="str">
        <f ca="1">IFERROR(__xludf.DUMMYFUNCTION("""COMPUTED_VALUE"""),"India")</f>
        <v>India</v>
      </c>
      <c r="C1233" s="1">
        <f ca="1">IFERROR(__xludf.DUMMYFUNCTION("""COMPUTED_VALUE"""),390022)</f>
        <v>390022</v>
      </c>
      <c r="D1233" s="1" t="str">
        <f ca="1">IFERROR(__xludf.DUMMYFUNCTION("""COMPUTED_VALUE"""),"Female")</f>
        <v>Female</v>
      </c>
      <c r="E1233" s="1" t="str">
        <f ca="1">IFERROR(__xludf.DUMMYFUNCTION("""COMPUTED_VALUE"""),"Social Media like LinkedIn")</f>
        <v>Social Media like LinkedIn</v>
      </c>
      <c r="F1233" s="1" t="str">
        <f ca="1">IFERROR(__xludf.DUMMYFUNCTION("""COMPUTED_VALUE"""),"No I would not be pursuing Higher Education outside of India")</f>
        <v>No I would not be pursuing Higher Education outside of India</v>
      </c>
      <c r="G1233" s="1" t="str">
        <f ca="1">IFERROR(__xludf.DUMMYFUNCTION("""COMPUTED_VALUE"""),"This will be hard to do, but if it is the right company I would try")</f>
        <v>This will be hard to do, but if it is the right company I would try</v>
      </c>
      <c r="H1233" s="1" t="str">
        <f ca="1">IFERROR(__xludf.DUMMYFUNCTION("""COMPUTED_VALUE"""),"No")</f>
        <v>No</v>
      </c>
      <c r="I1233" s="1" t="str">
        <f ca="1">IFERROR(__xludf.DUMMYFUNCTION("""COMPUTED_VALUE"""),"Will NOT work for them")</f>
        <v>Will NOT work for them</v>
      </c>
      <c r="J1233" s="1">
        <f ca="1">IFERROR(__xludf.DUMMYFUNCTION("""COMPUTED_VALUE"""),5)</f>
        <v>5</v>
      </c>
      <c r="K1233" s="1" t="str">
        <f ca="1">IFERROR(__xludf.DUMMYFUNCTION("""COMPUTED_VALUE"""),"Fully Remote with Options to travel as and when needed")</f>
        <v>Fully Remote with Options to travel as and when needed</v>
      </c>
      <c r="L1233" s="1" t="str">
        <f ca="1">IFERROR(__xludf.DUMMYFUNCTION("""COMPUTED_VALUE"""),"Employer who rewards learning and enables that environment")</f>
        <v>Employer who rewards learning and enables that environment</v>
      </c>
      <c r="M1233"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N1233" s="1"/>
      <c r="O1233" s="1" t="str">
        <f ca="1">IFERROR(__xludf.DUMMYFUNCTION("""COMPUTED_VALUE"""),"Manager who explains what is expected, sets a goal and helps achieve it")</f>
        <v>Manager who explains what is expected, sets a goal and helps achieve it</v>
      </c>
      <c r="P1233" s="1" t="str">
        <f ca="1">IFERROR(__xludf.DUMMYFUNCTION("""COMPUTED_VALUE"""),"Work &gt;10 people in Team")</f>
        <v>Work &gt;10 people in Team</v>
      </c>
      <c r="Q1233" s="1" t="s">
        <v>43</v>
      </c>
      <c r="R1233" s="1"/>
    </row>
    <row r="1234" spans="1:18" x14ac:dyDescent="0.25">
      <c r="A1234" s="2">
        <f ca="1">IFERROR(__xludf.DUMMYFUNCTION("""COMPUTED_VALUE"""),45044.5195276736)</f>
        <v>45044.519527673598</v>
      </c>
      <c r="B1234" s="1" t="str">
        <f ca="1">IFERROR(__xludf.DUMMYFUNCTION("""COMPUTED_VALUE"""),"India")</f>
        <v>India</v>
      </c>
      <c r="C1234" s="1">
        <f ca="1">IFERROR(__xludf.DUMMYFUNCTION("""COMPUTED_VALUE"""),560020)</f>
        <v>560020</v>
      </c>
      <c r="D1234" s="1" t="str">
        <f ca="1">IFERROR(__xludf.DUMMYFUNCTION("""COMPUTED_VALUE"""),"Female")</f>
        <v>Female</v>
      </c>
      <c r="E1234" s="1" t="str">
        <f ca="1">IFERROR(__xludf.DUMMYFUNCTION("""COMPUTED_VALUE"""),"Social Media like LinkedIn")</f>
        <v>Social Media like LinkedIn</v>
      </c>
      <c r="F1234" s="1" t="str">
        <f ca="1">IFERROR(__xludf.DUMMYFUNCTION("""COMPUTED_VALUE"""),"No, But if someone could bare the cost I will")</f>
        <v>No, But if someone could bare the cost I will</v>
      </c>
      <c r="G1234" s="1" t="str">
        <f ca="1">IFERROR(__xludf.DUMMYFUNCTION("""COMPUTED_VALUE"""),"Will work for 3 years or more")</f>
        <v>Will work for 3 years or more</v>
      </c>
      <c r="H1234" s="1" t="str">
        <f ca="1">IFERROR(__xludf.DUMMYFUNCTION("""COMPUTED_VALUE"""),"No")</f>
        <v>No</v>
      </c>
      <c r="I1234" s="1" t="str">
        <f ca="1">IFERROR(__xludf.DUMMYFUNCTION("""COMPUTED_VALUE"""),"Will NOT work for them")</f>
        <v>Will NOT work for them</v>
      </c>
      <c r="J1234" s="1">
        <f ca="1">IFERROR(__xludf.DUMMYFUNCTION("""COMPUTED_VALUE"""),5)</f>
        <v>5</v>
      </c>
      <c r="K1234" s="1" t="str">
        <f ca="1">IFERROR(__xludf.DUMMYFUNCTION("""COMPUTED_VALUE"""),"Fully Remote with Options to travel as and when needed")</f>
        <v>Fully Remote with Options to travel as and when needed</v>
      </c>
      <c r="L1234" s="1" t="str">
        <f ca="1">IFERROR(__xludf.DUMMYFUNCTION("""COMPUTED_VALUE"""),"Employer who rewards learning and enables that environment")</f>
        <v>Employer who rewards learning and enables that environment</v>
      </c>
      <c r="M123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1234" s="1"/>
      <c r="O1234" s="1" t="str">
        <f ca="1">IFERROR(__xludf.DUMMYFUNCTION("""COMPUTED_VALUE"""),"Manager who explains what is expected, sets a goal and helps achieve it")</f>
        <v>Manager who explains what is expected, sets a goal and helps achieve it</v>
      </c>
      <c r="P1234" s="1" t="str">
        <f ca="1">IFERROR(__xludf.DUMMYFUNCTION("""COMPUTED_VALUE"""),"Work &lt;=6 People in the Team")</f>
        <v>Work &lt;=6 People in the Team</v>
      </c>
      <c r="Q1234" s="1" t="s">
        <v>43</v>
      </c>
      <c r="R1234" s="1"/>
    </row>
    <row r="1235" spans="1:18" x14ac:dyDescent="0.25">
      <c r="A1235" s="2">
        <f ca="1">IFERROR(__xludf.DUMMYFUNCTION("""COMPUTED_VALUE"""),45044.5209023611)</f>
        <v>45044.520902361102</v>
      </c>
      <c r="B1235" s="1" t="str">
        <f ca="1">IFERROR(__xludf.DUMMYFUNCTION("""COMPUTED_VALUE"""),"India")</f>
        <v>India</v>
      </c>
      <c r="C1235" s="1">
        <f ca="1">IFERROR(__xludf.DUMMYFUNCTION("""COMPUTED_VALUE"""),124001)</f>
        <v>124001</v>
      </c>
      <c r="D1235" s="1" t="str">
        <f ca="1">IFERROR(__xludf.DUMMYFUNCTION("""COMPUTED_VALUE"""),"Male")</f>
        <v>Male</v>
      </c>
      <c r="E1235" s="1" t="str">
        <f ca="1">IFERROR(__xludf.DUMMYFUNCTION("""COMPUTED_VALUE"""),"My Parents")</f>
        <v>My Parents</v>
      </c>
      <c r="F1235" s="1" t="str">
        <f ca="1">IFERROR(__xludf.DUMMYFUNCTION("""COMPUTED_VALUE"""),"No I would not be pursuing Higher Education outside of India")</f>
        <v>No I would not be pursuing Higher Education outside of India</v>
      </c>
      <c r="G1235" s="1" t="str">
        <f ca="1">IFERROR(__xludf.DUMMYFUNCTION("""COMPUTED_VALUE"""),"Will work for 3 years or more")</f>
        <v>Will work for 3 years or more</v>
      </c>
      <c r="H1235" s="1" t="str">
        <f ca="1">IFERROR(__xludf.DUMMYFUNCTION("""COMPUTED_VALUE"""),"No")</f>
        <v>No</v>
      </c>
      <c r="I1235" s="1" t="str">
        <f ca="1">IFERROR(__xludf.DUMMYFUNCTION("""COMPUTED_VALUE"""),"Will NOT work for them")</f>
        <v>Will NOT work for them</v>
      </c>
      <c r="J1235" s="1">
        <f ca="1">IFERROR(__xludf.DUMMYFUNCTION("""COMPUTED_VALUE"""),7)</f>
        <v>7</v>
      </c>
      <c r="K1235" s="1" t="str">
        <f ca="1">IFERROR(__xludf.DUMMYFUNCTION("""COMPUTED_VALUE"""),"Hybrid Working Environment with more than 15 days a month at office")</f>
        <v>Hybrid Working Environment with more than 15 days a month at office</v>
      </c>
      <c r="L1235" s="1" t="str">
        <f ca="1">IFERROR(__xludf.DUMMYFUNCTION("""COMPUTED_VALUE"""),"Employer who appreciates learning and enables that environment")</f>
        <v>Employer who appreciates learning and enables that environment</v>
      </c>
      <c r="M123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235" s="1"/>
      <c r="O1235" s="1" t="str">
        <f ca="1">IFERROR(__xludf.DUMMYFUNCTION("""COMPUTED_VALUE"""),"Manager who sets goal and helps me achieve it")</f>
        <v>Manager who sets goal and helps me achieve it</v>
      </c>
      <c r="P1235" s="1" t="str">
        <f ca="1">IFERROR(__xludf.DUMMYFUNCTION("""COMPUTED_VALUE"""),"Work &lt;=6 People in the Team")</f>
        <v>Work &lt;=6 People in the Team</v>
      </c>
      <c r="Q1235" s="1" t="s">
        <v>43</v>
      </c>
      <c r="R1235" s="1"/>
    </row>
    <row r="1236" spans="1:18" x14ac:dyDescent="0.25">
      <c r="A1236" s="2">
        <f ca="1">IFERROR(__xludf.DUMMYFUNCTION("""COMPUTED_VALUE"""),45044.5211482175)</f>
        <v>45044.5211482175</v>
      </c>
      <c r="B1236" s="1" t="str">
        <f ca="1">IFERROR(__xludf.DUMMYFUNCTION("""COMPUTED_VALUE"""),"India")</f>
        <v>India</v>
      </c>
      <c r="C1236" s="1">
        <f ca="1">IFERROR(__xludf.DUMMYFUNCTION("""COMPUTED_VALUE"""),560100)</f>
        <v>560100</v>
      </c>
      <c r="D1236" s="1" t="str">
        <f ca="1">IFERROR(__xludf.DUMMYFUNCTION("""COMPUTED_VALUE"""),"Female")</f>
        <v>Female</v>
      </c>
      <c r="E1236" s="1" t="str">
        <f ca="1">IFERROR(__xludf.DUMMYFUNCTION("""COMPUTED_VALUE"""),"People who have changed the world for better")</f>
        <v>People who have changed the world for better</v>
      </c>
      <c r="F1236" s="1" t="str">
        <f ca="1">IFERROR(__xludf.DUMMYFUNCTION("""COMPUTED_VALUE"""),"No I would not be pursuing Higher Education outside of India")</f>
        <v>No I would not be pursuing Higher Education outside of India</v>
      </c>
      <c r="G1236" s="1" t="str">
        <f ca="1">IFERROR(__xludf.DUMMYFUNCTION("""COMPUTED_VALUE"""),"Will work for 3 years or more")</f>
        <v>Will work for 3 years or more</v>
      </c>
      <c r="H1236" s="1" t="str">
        <f ca="1">IFERROR(__xludf.DUMMYFUNCTION("""COMPUTED_VALUE"""),"No")</f>
        <v>No</v>
      </c>
      <c r="I1236" s="1" t="str">
        <f ca="1">IFERROR(__xludf.DUMMYFUNCTION("""COMPUTED_VALUE"""),"Will NOT work for them")</f>
        <v>Will NOT work for them</v>
      </c>
      <c r="J1236" s="1">
        <f ca="1">IFERROR(__xludf.DUMMYFUNCTION("""COMPUTED_VALUE"""),4)</f>
        <v>4</v>
      </c>
      <c r="K1236" s="1" t="str">
        <f ca="1">IFERROR(__xludf.DUMMYFUNCTION("""COMPUTED_VALUE"""),"Fully Remote with Options to travel as and when needed")</f>
        <v>Fully Remote with Options to travel as and when needed</v>
      </c>
      <c r="L1236" s="1" t="str">
        <f ca="1">IFERROR(__xludf.DUMMYFUNCTION("""COMPUTED_VALUE"""),"Employer who appreciates learning and enables that environment")</f>
        <v>Employer who appreciates learning and enables that environment</v>
      </c>
      <c r="M12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236" s="1"/>
      <c r="O1236" s="1" t="str">
        <f ca="1">IFERROR(__xludf.DUMMYFUNCTION("""COMPUTED_VALUE"""),"Manager who explains what is expected, sets a goal and helps achieve it")</f>
        <v>Manager who explains what is expected, sets a goal and helps achieve it</v>
      </c>
      <c r="P1236" s="1" t="str">
        <f ca="1">IFERROR(__xludf.DUMMYFUNCTION("""COMPUTED_VALUE"""),"Work &gt;10 people in Team")</f>
        <v>Work &gt;10 people in Team</v>
      </c>
      <c r="Q1236" s="1" t="s">
        <v>43</v>
      </c>
      <c r="R1236" s="1"/>
    </row>
    <row r="1237" spans="1:18" x14ac:dyDescent="0.25">
      <c r="A1237" s="2">
        <f ca="1">IFERROR(__xludf.DUMMYFUNCTION("""COMPUTED_VALUE"""),45044.5211523032)</f>
        <v>45044.521152303198</v>
      </c>
      <c r="B1237" s="1" t="str">
        <f ca="1">IFERROR(__xludf.DUMMYFUNCTION("""COMPUTED_VALUE"""),"India")</f>
        <v>India</v>
      </c>
      <c r="C1237" s="1">
        <f ca="1">IFERROR(__xludf.DUMMYFUNCTION("""COMPUTED_VALUE"""),390019)</f>
        <v>390019</v>
      </c>
      <c r="D1237" s="1" t="str">
        <f ca="1">IFERROR(__xludf.DUMMYFUNCTION("""COMPUTED_VALUE"""),"Female")</f>
        <v>Female</v>
      </c>
      <c r="E1237" s="1" t="str">
        <f ca="1">IFERROR(__xludf.DUMMYFUNCTION("""COMPUTED_VALUE"""),"My Parents")</f>
        <v>My Parents</v>
      </c>
      <c r="F1237" s="1" t="str">
        <f ca="1">IFERROR(__xludf.DUMMYFUNCTION("""COMPUTED_VALUE"""),"Yes, I will earn and do that")</f>
        <v>Yes, I will earn and do that</v>
      </c>
      <c r="G1237" s="1" t="str">
        <f ca="1">IFERROR(__xludf.DUMMYFUNCTION("""COMPUTED_VALUE"""),"Will work for 3 years or more")</f>
        <v>Will work for 3 years or more</v>
      </c>
      <c r="H1237" s="1" t="str">
        <f ca="1">IFERROR(__xludf.DUMMYFUNCTION("""COMPUTED_VALUE"""),"No")</f>
        <v>No</v>
      </c>
      <c r="I1237" s="1" t="str">
        <f ca="1">IFERROR(__xludf.DUMMYFUNCTION("""COMPUTED_VALUE"""),"Will NOT work for them")</f>
        <v>Will NOT work for them</v>
      </c>
      <c r="J1237" s="1">
        <f ca="1">IFERROR(__xludf.DUMMYFUNCTION("""COMPUTED_VALUE"""),5)</f>
        <v>5</v>
      </c>
      <c r="K1237" s="1" t="str">
        <f ca="1">IFERROR(__xludf.DUMMYFUNCTION("""COMPUTED_VALUE"""),"Fully Remote with Options to travel as and when needed")</f>
        <v>Fully Remote with Options to travel as and when needed</v>
      </c>
      <c r="L1237" s="1" t="str">
        <f ca="1">IFERROR(__xludf.DUMMYFUNCTION("""COMPUTED_VALUE"""),"Employer who appreciates learning and enables that environment")</f>
        <v>Employer who appreciates learning and enables that environment</v>
      </c>
      <c r="M1237" s="1" t="str">
        <f ca="1">IFERROR(__xludf.DUMMYFUNCTION("""COMPUTED_VALUE"""),"Design and Creative strategy in any company, Manage and drive End-to-End Projects or Products, Work in a BPO setup for some well known client, Work as a freelancer and do my thing my way")</f>
        <v>Design and Creative strategy in any company, Manage and drive End-to-End Projects or Products, Work in a BPO setup for some well known client, Work as a freelancer and do my thing my way</v>
      </c>
      <c r="N1237" s="1"/>
      <c r="O1237" s="1" t="str">
        <f ca="1">IFERROR(__xludf.DUMMYFUNCTION("""COMPUTED_VALUE"""),"Manager who sets goal and helps me achieve it")</f>
        <v>Manager who sets goal and helps me achieve it</v>
      </c>
      <c r="P1237" s="1" t="str">
        <f ca="1">IFERROR(__xludf.DUMMYFUNCTION("""COMPUTED_VALUE"""),"Work &lt;=6 People in the Team")</f>
        <v>Work &lt;=6 People in the Team</v>
      </c>
      <c r="Q1237" s="1" t="s">
        <v>40</v>
      </c>
      <c r="R1237" s="1"/>
    </row>
    <row r="1238" spans="1:18" x14ac:dyDescent="0.25">
      <c r="A1238" s="2">
        <f ca="1">IFERROR(__xludf.DUMMYFUNCTION("""COMPUTED_VALUE"""),45044.5215621527)</f>
        <v>45044.521562152702</v>
      </c>
      <c r="B1238" s="1" t="str">
        <f ca="1">IFERROR(__xludf.DUMMYFUNCTION("""COMPUTED_VALUE"""),"India")</f>
        <v>India</v>
      </c>
      <c r="C1238" s="1">
        <f ca="1">IFERROR(__xludf.DUMMYFUNCTION("""COMPUTED_VALUE"""),110093)</f>
        <v>110093</v>
      </c>
      <c r="D1238" s="1" t="str">
        <f ca="1">IFERROR(__xludf.DUMMYFUNCTION("""COMPUTED_VALUE"""),"Male")</f>
        <v>Male</v>
      </c>
      <c r="E1238" s="1" t="str">
        <f ca="1">IFERROR(__xludf.DUMMYFUNCTION("""COMPUTED_VALUE"""),"People who have changed the world for better")</f>
        <v>People who have changed the world for better</v>
      </c>
      <c r="F1238" s="1" t="str">
        <f ca="1">IFERROR(__xludf.DUMMYFUNCTION("""COMPUTED_VALUE"""),"Yes, I will earn and do that")</f>
        <v>Yes, I will earn and do that</v>
      </c>
      <c r="G1238" s="1" t="str">
        <f ca="1">IFERROR(__xludf.DUMMYFUNCTION("""COMPUTED_VALUE"""),"Will work for 3 years or more")</f>
        <v>Will work for 3 years or more</v>
      </c>
      <c r="H1238" s="1" t="str">
        <f ca="1">IFERROR(__xludf.DUMMYFUNCTION("""COMPUTED_VALUE"""),"No")</f>
        <v>No</v>
      </c>
      <c r="I1238" s="1" t="str">
        <f ca="1">IFERROR(__xludf.DUMMYFUNCTION("""COMPUTED_VALUE"""),"Will NOT work for them")</f>
        <v>Will NOT work for them</v>
      </c>
      <c r="J1238" s="1">
        <f ca="1">IFERROR(__xludf.DUMMYFUNCTION("""COMPUTED_VALUE"""),5)</f>
        <v>5</v>
      </c>
      <c r="K1238" s="1" t="str">
        <f ca="1">IFERROR(__xludf.DUMMYFUNCTION("""COMPUTED_VALUE"""),"Every Day Office Environment")</f>
        <v>Every Day Office Environment</v>
      </c>
      <c r="L1238" s="1" t="str">
        <f ca="1">IFERROR(__xludf.DUMMYFUNCTION("""COMPUTED_VALUE"""),"Employer who pushes your limits by enabling an learning environment, and rewards you at the end")</f>
        <v>Employer who pushes your limits by enabling an learning environment, and rewards you at the end</v>
      </c>
      <c r="M1238"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N1238" s="1"/>
      <c r="O1238" s="1" t="str">
        <f ca="1">IFERROR(__xludf.DUMMYFUNCTION("""COMPUTED_VALUE"""),"Manager who sets goal and helps me achieve it")</f>
        <v>Manager who sets goal and helps me achieve it</v>
      </c>
      <c r="P1238" s="1" t="str">
        <f ca="1">IFERROR(__xludf.DUMMYFUNCTION("""COMPUTED_VALUE"""),"Work &lt;=6 People in the Team")</f>
        <v>Work &lt;=6 People in the Team</v>
      </c>
      <c r="Q1238" s="1" t="s">
        <v>43</v>
      </c>
      <c r="R1238" s="1"/>
    </row>
    <row r="1239" spans="1:18" x14ac:dyDescent="0.25">
      <c r="A1239" s="2">
        <f ca="1">IFERROR(__xludf.DUMMYFUNCTION("""COMPUTED_VALUE"""),45044.5253124884)</f>
        <v>45044.525312488397</v>
      </c>
      <c r="B1239" s="1" t="str">
        <f ca="1">IFERROR(__xludf.DUMMYFUNCTION("""COMPUTED_VALUE"""),"India")</f>
        <v>India</v>
      </c>
      <c r="C1239" s="1">
        <f ca="1">IFERROR(__xludf.DUMMYFUNCTION("""COMPUTED_VALUE"""),411048)</f>
        <v>411048</v>
      </c>
      <c r="D1239" s="1" t="str">
        <f ca="1">IFERROR(__xludf.DUMMYFUNCTION("""COMPUTED_VALUE"""),"Male")</f>
        <v>Male</v>
      </c>
      <c r="E1239" s="1" t="str">
        <f ca="1">IFERROR(__xludf.DUMMYFUNCTION("""COMPUTED_VALUE"""),"My Parents")</f>
        <v>My Parents</v>
      </c>
      <c r="F1239" s="1" t="str">
        <f ca="1">IFERROR(__xludf.DUMMYFUNCTION("""COMPUTED_VALUE"""),"No I would not be pursuing Higher Education outside of India")</f>
        <v>No I would not be pursuing Higher Education outside of India</v>
      </c>
      <c r="G1239" s="1" t="str">
        <f ca="1">IFERROR(__xludf.DUMMYFUNCTION("""COMPUTED_VALUE"""),"Will work for 3 years or more")</f>
        <v>Will work for 3 years or more</v>
      </c>
      <c r="H1239" s="1" t="str">
        <f ca="1">IFERROR(__xludf.DUMMYFUNCTION("""COMPUTED_VALUE"""),"Yes")</f>
        <v>Yes</v>
      </c>
      <c r="I1239" s="1" t="str">
        <f ca="1">IFERROR(__xludf.DUMMYFUNCTION("""COMPUTED_VALUE"""),"Will work for them")</f>
        <v>Will work for them</v>
      </c>
      <c r="J1239" s="1">
        <f ca="1">IFERROR(__xludf.DUMMYFUNCTION("""COMPUTED_VALUE"""),8)</f>
        <v>8</v>
      </c>
      <c r="K1239" s="1" t="str">
        <f ca="1">IFERROR(__xludf.DUMMYFUNCTION("""COMPUTED_VALUE"""),"Hybrid Working Environment with more than 15 days a month at office")</f>
        <v>Hybrid Working Environment with more than 15 days a month at office</v>
      </c>
      <c r="L1239" s="1" t="str">
        <f ca="1">IFERROR(__xludf.DUMMYFUNCTION("""COMPUTED_VALUE"""),"Employer who pushes your limits by enabling an learning environment, and rewards you at the end")</f>
        <v>Employer who pushes your limits by enabling an learning environment, and rewards you at the end</v>
      </c>
      <c r="M1239"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N1239" s="1"/>
      <c r="O1239" s="1" t="str">
        <f ca="1">IFERROR(__xludf.DUMMYFUNCTION("""COMPUTED_VALUE"""),"Manager who explains what is expected, sets a goal and helps achieve it")</f>
        <v>Manager who explains what is expected, sets a goal and helps achieve it</v>
      </c>
      <c r="P1239" s="1" t="str">
        <f ca="1">IFERROR(__xludf.DUMMYFUNCTION("""COMPUTED_VALUE"""),"Work Alone, &lt;=6 in team")</f>
        <v>Work Alone, &lt;=6 in team</v>
      </c>
      <c r="Q1239" s="1" t="s">
        <v>43</v>
      </c>
      <c r="R1239" s="1"/>
    </row>
    <row r="1240" spans="1:18" x14ac:dyDescent="0.25">
      <c r="A1240" s="2">
        <f ca="1">IFERROR(__xludf.DUMMYFUNCTION("""COMPUTED_VALUE"""),45044.526830729)</f>
        <v>45044.526830729003</v>
      </c>
      <c r="B1240" s="1" t="str">
        <f ca="1">IFERROR(__xludf.DUMMYFUNCTION("""COMPUTED_VALUE"""),"India")</f>
        <v>India</v>
      </c>
      <c r="C1240" s="1">
        <f ca="1">IFERROR(__xludf.DUMMYFUNCTION("""COMPUTED_VALUE"""),828105)</f>
        <v>828105</v>
      </c>
      <c r="D1240" s="1" t="str">
        <f ca="1">IFERROR(__xludf.DUMMYFUNCTION("""COMPUTED_VALUE"""),"Female")</f>
        <v>Female</v>
      </c>
      <c r="E1240" s="1" t="str">
        <f ca="1">IFERROR(__xludf.DUMMYFUNCTION("""COMPUTED_VALUE"""),"My Parents")</f>
        <v>My Parents</v>
      </c>
      <c r="F1240" s="1" t="str">
        <f ca="1">IFERROR(__xludf.DUMMYFUNCTION("""COMPUTED_VALUE"""),"Yes, I will earn and do that")</f>
        <v>Yes, I will earn and do that</v>
      </c>
      <c r="G1240" s="1" t="str">
        <f ca="1">IFERROR(__xludf.DUMMYFUNCTION("""COMPUTED_VALUE"""),"Will work for 3 years or more")</f>
        <v>Will work for 3 years or more</v>
      </c>
      <c r="H1240" s="1" t="str">
        <f ca="1">IFERROR(__xludf.DUMMYFUNCTION("""COMPUTED_VALUE"""),"Yes")</f>
        <v>Yes</v>
      </c>
      <c r="I1240" s="1" t="str">
        <f ca="1">IFERROR(__xludf.DUMMYFUNCTION("""COMPUTED_VALUE"""),"Will NOT work for them")</f>
        <v>Will NOT work for them</v>
      </c>
      <c r="J1240" s="1">
        <f ca="1">IFERROR(__xludf.DUMMYFUNCTION("""COMPUTED_VALUE"""),5)</f>
        <v>5</v>
      </c>
      <c r="K1240" s="1" t="str">
        <f ca="1">IFERROR(__xludf.DUMMYFUNCTION("""COMPUTED_VALUE"""),"Every Day Office Environment")</f>
        <v>Every Day Office Environment</v>
      </c>
      <c r="L1240" s="1" t="str">
        <f ca="1">IFERROR(__xludf.DUMMYFUNCTION("""COMPUTED_VALUE"""),"Employer who appreciates learning and enables that environment")</f>
        <v>Employer who appreciates learning and enables that environment</v>
      </c>
      <c r="M1240"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240" s="1"/>
      <c r="O1240" s="1" t="str">
        <f ca="1">IFERROR(__xludf.DUMMYFUNCTION("""COMPUTED_VALUE"""),"Manager who sets goal and helps me achieve it")</f>
        <v>Manager who sets goal and helps me achieve it</v>
      </c>
      <c r="P1240" s="1" t="str">
        <f ca="1">IFERROR(__xludf.DUMMYFUNCTION("""COMPUTED_VALUE"""),"Work &lt;=6 People in the Team")</f>
        <v>Work &lt;=6 People in the Team</v>
      </c>
      <c r="Q1240" s="1" t="s">
        <v>40</v>
      </c>
      <c r="R1240" s="1"/>
    </row>
    <row r="1241" spans="1:18" x14ac:dyDescent="0.25">
      <c r="A1241" s="2">
        <f ca="1">IFERROR(__xludf.DUMMYFUNCTION("""COMPUTED_VALUE"""),45044.5276795485)</f>
        <v>45044.527679548497</v>
      </c>
      <c r="B1241" s="1" t="str">
        <f ca="1">IFERROR(__xludf.DUMMYFUNCTION("""COMPUTED_VALUE"""),"India")</f>
        <v>India</v>
      </c>
      <c r="C1241" s="1">
        <f ca="1">IFERROR(__xludf.DUMMYFUNCTION("""COMPUTED_VALUE"""),244412)</f>
        <v>244412</v>
      </c>
      <c r="D1241" s="1" t="str">
        <f ca="1">IFERROR(__xludf.DUMMYFUNCTION("""COMPUTED_VALUE"""),"Male")</f>
        <v>Male</v>
      </c>
      <c r="E1241" s="1" t="str">
        <f ca="1">IFERROR(__xludf.DUMMYFUNCTION("""COMPUTED_VALUE"""),"People who have changed the world for better")</f>
        <v>People who have changed the world for better</v>
      </c>
      <c r="F1241" s="1" t="str">
        <f ca="1">IFERROR(__xludf.DUMMYFUNCTION("""COMPUTED_VALUE"""),"Yes, I will earn and do that")</f>
        <v>Yes, I will earn and do that</v>
      </c>
      <c r="G1241" s="1" t="str">
        <f ca="1">IFERROR(__xludf.DUMMYFUNCTION("""COMPUTED_VALUE"""),"This will be hard to do, but if it is the right company I would try")</f>
        <v>This will be hard to do, but if it is the right company I would try</v>
      </c>
      <c r="H1241" s="1" t="str">
        <f ca="1">IFERROR(__xludf.DUMMYFUNCTION("""COMPUTED_VALUE"""),"No")</f>
        <v>No</v>
      </c>
      <c r="I1241" s="1" t="str">
        <f ca="1">IFERROR(__xludf.DUMMYFUNCTION("""COMPUTED_VALUE"""),"Will NOT work for them")</f>
        <v>Will NOT work for them</v>
      </c>
      <c r="J1241" s="1">
        <f ca="1">IFERROR(__xludf.DUMMYFUNCTION("""COMPUTED_VALUE"""),2)</f>
        <v>2</v>
      </c>
      <c r="K1241" s="1" t="str">
        <f ca="1">IFERROR(__xludf.DUMMYFUNCTION("""COMPUTED_VALUE"""),"Fully Remote with Options to travel as and when needed")</f>
        <v>Fully Remote with Options to travel as and when needed</v>
      </c>
      <c r="L1241" s="1" t="str">
        <f ca="1">IFERROR(__xludf.DUMMYFUNCTION("""COMPUTED_VALUE"""),"Employer who pushes your limits by enabling an learning environment, and rewards you at the end")</f>
        <v>Employer who pushes your limits by enabling an learning environment, and rewards you at the end</v>
      </c>
      <c r="M1241"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N1241" s="1"/>
      <c r="O1241" s="1" t="str">
        <f ca="1">IFERROR(__xludf.DUMMYFUNCTION("""COMPUTED_VALUE"""),"Manager who explains what is expected, sets a goal and helps achieve it")</f>
        <v>Manager who explains what is expected, sets a goal and helps achieve it</v>
      </c>
      <c r="P1241" s="1" t="str">
        <f ca="1">IFERROR(__xludf.DUMMYFUNCTION("""COMPUTED_VALUE"""),"Work &lt;67 People in the Team")</f>
        <v>Work &lt;67 People in the Team</v>
      </c>
      <c r="Q1241" s="1" t="s">
        <v>40</v>
      </c>
      <c r="R1241" s="1"/>
    </row>
    <row r="1242" spans="1:18" x14ac:dyDescent="0.25">
      <c r="A1242" s="2">
        <f ca="1">IFERROR(__xludf.DUMMYFUNCTION("""COMPUTED_VALUE"""),45044.5291791782)</f>
        <v>45044.5291791782</v>
      </c>
      <c r="B1242" s="1" t="str">
        <f ca="1">IFERROR(__xludf.DUMMYFUNCTION("""COMPUTED_VALUE"""),"India")</f>
        <v>India</v>
      </c>
      <c r="C1242" s="1">
        <f ca="1">IFERROR(__xludf.DUMMYFUNCTION("""COMPUTED_VALUE"""),560047)</f>
        <v>560047</v>
      </c>
      <c r="D1242" s="1" t="str">
        <f ca="1">IFERROR(__xludf.DUMMYFUNCTION("""COMPUTED_VALUE"""),"Female")</f>
        <v>Female</v>
      </c>
      <c r="E1242" s="1" t="str">
        <f ca="1">IFERROR(__xludf.DUMMYFUNCTION("""COMPUTED_VALUE"""),"Influencers who had successful careers")</f>
        <v>Influencers who had successful careers</v>
      </c>
      <c r="F1242" s="1" t="str">
        <f ca="1">IFERROR(__xludf.DUMMYFUNCTION("""COMPUTED_VALUE"""),"Yes, I will earn and do that")</f>
        <v>Yes, I will earn and do that</v>
      </c>
      <c r="G1242" s="1" t="str">
        <f ca="1">IFERROR(__xludf.DUMMYFUNCTION("""COMPUTED_VALUE"""),"This will be hard to do, but if it is the right company I would try")</f>
        <v>This will be hard to do, but if it is the right company I would try</v>
      </c>
      <c r="H1242" s="1" t="str">
        <f ca="1">IFERROR(__xludf.DUMMYFUNCTION("""COMPUTED_VALUE"""),"No")</f>
        <v>No</v>
      </c>
      <c r="I1242" s="1" t="str">
        <f ca="1">IFERROR(__xludf.DUMMYFUNCTION("""COMPUTED_VALUE"""),"Will NOT work for them")</f>
        <v>Will NOT work for them</v>
      </c>
      <c r="J1242" s="1">
        <f ca="1">IFERROR(__xludf.DUMMYFUNCTION("""COMPUTED_VALUE"""),5)</f>
        <v>5</v>
      </c>
      <c r="K1242" s="1" t="str">
        <f ca="1">IFERROR(__xludf.DUMMYFUNCTION("""COMPUTED_VALUE"""),"Fully Remote with Options to travel as and when needed")</f>
        <v>Fully Remote with Options to travel as and when needed</v>
      </c>
      <c r="L1242" s="1" t="str">
        <f ca="1">IFERROR(__xludf.DUMMYFUNCTION("""COMPUTED_VALUE"""),"Employer who appreciates learning and enables that environment")</f>
        <v>Employer who appreciates learning and enables that environment</v>
      </c>
      <c r="M1242"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N1242" s="1"/>
      <c r="O1242" s="1" t="str">
        <f ca="1">IFERROR(__xludf.DUMMYFUNCTION("""COMPUTED_VALUE"""),"Manager who sets goal and helps me achieve it")</f>
        <v>Manager who sets goal and helps me achieve it</v>
      </c>
      <c r="P1242" s="1" t="str">
        <f ca="1">IFERROR(__xludf.DUMMYFUNCTION("""COMPUTED_VALUE"""),"Work alone")</f>
        <v>Work alone</v>
      </c>
      <c r="Q1242" s="1" t="s">
        <v>43</v>
      </c>
      <c r="R1242" s="1"/>
    </row>
    <row r="1243" spans="1:18" x14ac:dyDescent="0.25">
      <c r="A1243" s="2">
        <f ca="1">IFERROR(__xludf.DUMMYFUNCTION("""COMPUTED_VALUE"""),45044.5302500925)</f>
        <v>45044.530250092503</v>
      </c>
      <c r="B1243" s="1" t="str">
        <f ca="1">IFERROR(__xludf.DUMMYFUNCTION("""COMPUTED_VALUE"""),"Others")</f>
        <v>Others</v>
      </c>
      <c r="C1243" s="1">
        <f ca="1">IFERROR(__xludf.DUMMYFUNCTION("""COMPUTED_VALUE"""),700032)</f>
        <v>700032</v>
      </c>
      <c r="D1243" s="1" t="str">
        <f ca="1">IFERROR(__xludf.DUMMYFUNCTION("""COMPUTED_VALUE"""),"Female")</f>
        <v>Female</v>
      </c>
      <c r="E1243" s="1" t="str">
        <f ca="1">IFERROR(__xludf.DUMMYFUNCTION("""COMPUTED_VALUE"""),"People who have changed the world for better")</f>
        <v>People who have changed the world for better</v>
      </c>
      <c r="F1243" s="1" t="str">
        <f ca="1">IFERROR(__xludf.DUMMYFUNCTION("""COMPUTED_VALUE"""),"No, But if someone could bare the cost I will")</f>
        <v>No, But if someone could bare the cost I will</v>
      </c>
      <c r="G1243" s="1" t="str">
        <f ca="1">IFERROR(__xludf.DUMMYFUNCTION("""COMPUTED_VALUE"""),"No way")</f>
        <v>No way</v>
      </c>
      <c r="H1243" s="1" t="str">
        <f ca="1">IFERROR(__xludf.DUMMYFUNCTION("""COMPUTED_VALUE"""),"Yes")</f>
        <v>Yes</v>
      </c>
      <c r="I1243" s="1" t="str">
        <f ca="1">IFERROR(__xludf.DUMMYFUNCTION("""COMPUTED_VALUE"""),"Will work for them")</f>
        <v>Will work for them</v>
      </c>
      <c r="J1243" s="1">
        <f ca="1">IFERROR(__xludf.DUMMYFUNCTION("""COMPUTED_VALUE"""),5)</f>
        <v>5</v>
      </c>
      <c r="K1243" s="1" t="str">
        <f ca="1">IFERROR(__xludf.DUMMYFUNCTION("""COMPUTED_VALUE"""),"Fully Remote with No option to visit offices")</f>
        <v>Fully Remote with No option to visit offices</v>
      </c>
      <c r="L1243" s="1" t="str">
        <f ca="1">IFERROR(__xludf.DUMMYFUNCTION("""COMPUTED_VALUE"""),"Employers who appreciates learning but doesn't enables an learning environment")</f>
        <v>Employers who appreciates learning but doesn't enables an learning environment</v>
      </c>
      <c r="M1243" s="1" t="str">
        <f ca="1">IFERROR(__xludf.DUMMYFUNCTION("""COMPUTED_VALUE"""),"Work in a BPO setup for some well known client, Work as a freelancer and do my thing my way, An Artificial Intelligence Specialist / Talking to Robots, Manufacturing / Oil and Gas/ Construction / Hard Physical Work related")</f>
        <v>Work in a BPO setup for some well known client, Work as a freelancer and do my thing my way, An Artificial Intelligence Specialist / Talking to Robots, Manufacturing / Oil and Gas/ Construction / Hard Physical Work related</v>
      </c>
      <c r="N1243" s="1"/>
      <c r="O1243" s="1" t="str">
        <f ca="1">IFERROR(__xludf.DUMMYFUNCTION("""COMPUTED_VALUE"""),"Manager who sets goal and helps me achieve it")</f>
        <v>Manager who sets goal and helps me achieve it</v>
      </c>
      <c r="P1243" s="1" t="str">
        <f ca="1">IFERROR(__xludf.DUMMYFUNCTION("""COMPUTED_VALUE"""),"Work &gt;10 people in Team")</f>
        <v>Work &gt;10 people in Team</v>
      </c>
      <c r="Q1243" s="1" t="s">
        <v>43</v>
      </c>
      <c r="R1243" s="1"/>
    </row>
    <row r="1244" spans="1:18" x14ac:dyDescent="0.25">
      <c r="A1244" s="2">
        <f ca="1">IFERROR(__xludf.DUMMYFUNCTION("""COMPUTED_VALUE"""),45044.5319288888)</f>
        <v>45044.531928888799</v>
      </c>
      <c r="B1244" s="1" t="str">
        <f ca="1">IFERROR(__xludf.DUMMYFUNCTION("""COMPUTED_VALUE"""),"India")</f>
        <v>India</v>
      </c>
      <c r="C1244" s="1">
        <f ca="1">IFERROR(__xludf.DUMMYFUNCTION("""COMPUTED_VALUE"""),508210)</f>
        <v>508210</v>
      </c>
      <c r="D1244" s="1" t="str">
        <f ca="1">IFERROR(__xludf.DUMMYFUNCTION("""COMPUTED_VALUE"""),"Male")</f>
        <v>Male</v>
      </c>
      <c r="E1244" s="1" t="str">
        <f ca="1">IFERROR(__xludf.DUMMYFUNCTION("""COMPUTED_VALUE"""),"Influencers who had successful careers")</f>
        <v>Influencers who had successful careers</v>
      </c>
      <c r="F1244" s="1" t="str">
        <f ca="1">IFERROR(__xludf.DUMMYFUNCTION("""COMPUTED_VALUE"""),"No I would not be pursuing Higher Education outside of India")</f>
        <v>No I would not be pursuing Higher Education outside of India</v>
      </c>
      <c r="G1244" s="1" t="str">
        <f ca="1">IFERROR(__xludf.DUMMYFUNCTION("""COMPUTED_VALUE"""),"This will be hard to do, but if it is the right company I would try")</f>
        <v>This will be hard to do, but if it is the right company I would try</v>
      </c>
      <c r="H1244" s="1" t="str">
        <f ca="1">IFERROR(__xludf.DUMMYFUNCTION("""COMPUTED_VALUE"""),"No")</f>
        <v>No</v>
      </c>
      <c r="I1244" s="1" t="str">
        <f ca="1">IFERROR(__xludf.DUMMYFUNCTION("""COMPUTED_VALUE"""),"Will NOT work for them")</f>
        <v>Will NOT work for them</v>
      </c>
      <c r="J1244" s="1">
        <f ca="1">IFERROR(__xludf.DUMMYFUNCTION("""COMPUTED_VALUE"""),8)</f>
        <v>8</v>
      </c>
      <c r="K1244" s="1" t="str">
        <f ca="1">IFERROR(__xludf.DUMMYFUNCTION("""COMPUTED_VALUE"""),"Fully Remote with Options to travel as and when needed")</f>
        <v>Fully Remote with Options to travel as and when needed</v>
      </c>
      <c r="L1244" s="1" t="str">
        <f ca="1">IFERROR(__xludf.DUMMYFUNCTION("""COMPUTED_VALUE"""),"Employer who pushes your limits by enabling an learning environment, and rewards you at the end")</f>
        <v>Employer who pushes your limits by enabling an learning environment, and rewards you at the end</v>
      </c>
      <c r="M124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1244" s="1"/>
      <c r="O1244" s="1" t="str">
        <f ca="1">IFERROR(__xludf.DUMMYFUNCTION("""COMPUTED_VALUE"""),"Manager who explains what is expected, sets a goal and helps achieve it")</f>
        <v>Manager who explains what is expected, sets a goal and helps achieve it</v>
      </c>
      <c r="P1244" s="1" t="str">
        <f ca="1">IFERROR(__xludf.DUMMYFUNCTION("""COMPUTED_VALUE"""),"Work &lt;=6 People in the Team")</f>
        <v>Work &lt;=6 People in the Team</v>
      </c>
      <c r="Q1244" s="1" t="s">
        <v>43</v>
      </c>
      <c r="R1244" s="1"/>
    </row>
    <row r="1245" spans="1:18" x14ac:dyDescent="0.25">
      <c r="A1245" s="2">
        <f ca="1">IFERROR(__xludf.DUMMYFUNCTION("""COMPUTED_VALUE"""),45044.532725405)</f>
        <v>45044.532725404999</v>
      </c>
      <c r="B1245" s="1" t="str">
        <f ca="1">IFERROR(__xludf.DUMMYFUNCTION("""COMPUTED_VALUE"""),"India")</f>
        <v>India</v>
      </c>
      <c r="C1245" s="1">
        <f ca="1">IFERROR(__xludf.DUMMYFUNCTION("""COMPUTED_VALUE"""),700006)</f>
        <v>700006</v>
      </c>
      <c r="D1245" s="1" t="str">
        <f ca="1">IFERROR(__xludf.DUMMYFUNCTION("""COMPUTED_VALUE"""),"Female")</f>
        <v>Female</v>
      </c>
      <c r="E1245" s="1" t="str">
        <f ca="1">IFERROR(__xludf.DUMMYFUNCTION("""COMPUTED_VALUE"""),"Influencers who had successful careers")</f>
        <v>Influencers who had successful careers</v>
      </c>
      <c r="F1245" s="1" t="str">
        <f ca="1">IFERROR(__xludf.DUMMYFUNCTION("""COMPUTED_VALUE"""),"No, But if someone could bare the cost I will")</f>
        <v>No, But if someone could bare the cost I will</v>
      </c>
      <c r="G1245" s="1" t="str">
        <f ca="1">IFERROR(__xludf.DUMMYFUNCTION("""COMPUTED_VALUE"""),"This will be hard to do, but if it is the right company I would try")</f>
        <v>This will be hard to do, but if it is the right company I would try</v>
      </c>
      <c r="H1245" s="1" t="str">
        <f ca="1">IFERROR(__xludf.DUMMYFUNCTION("""COMPUTED_VALUE"""),"Yes")</f>
        <v>Yes</v>
      </c>
      <c r="I1245" s="1" t="str">
        <f ca="1">IFERROR(__xludf.DUMMYFUNCTION("""COMPUTED_VALUE"""),"Will NOT work for them")</f>
        <v>Will NOT work for them</v>
      </c>
      <c r="J1245" s="1">
        <f ca="1">IFERROR(__xludf.DUMMYFUNCTION("""COMPUTED_VALUE"""),9)</f>
        <v>9</v>
      </c>
      <c r="K1245" s="1" t="str">
        <f ca="1">IFERROR(__xludf.DUMMYFUNCTION("""COMPUTED_VALUE"""),"Fully Remote with Options to travel as and when needed")</f>
        <v>Fully Remote with Options to travel as and when needed</v>
      </c>
      <c r="L1245" s="1" t="str">
        <f ca="1">IFERROR(__xludf.DUMMYFUNCTION("""COMPUTED_VALUE"""),"Employer who appreciates learning and enables that environment")</f>
        <v>Employer who appreciates learning and enables that environment</v>
      </c>
      <c r="M1245" s="1" t="str">
        <f ca="1">IFERROR(__xludf.DUMMYFUNCTION("""COMPUTED_VALUE"""),"Design and Creative strategy in any company, Teaching in any of the institutes/colleges/online or offline, I Want to sell things/Sales, An Artificial Intelligence Specialist / Talking to Robots")</f>
        <v>Design and Creative strategy in any company, Teaching in any of the institutes/colleges/online or offline, I Want to sell things/Sales, An Artificial Intelligence Specialist / Talking to Robots</v>
      </c>
      <c r="N1245" s="1"/>
      <c r="O1245" s="1" t="str">
        <f ca="1">IFERROR(__xludf.DUMMYFUNCTION("""COMPUTED_VALUE"""),"Manager who clearly describes what she/he needs")</f>
        <v>Manager who clearly describes what she/he needs</v>
      </c>
      <c r="P1245" s="1" t="str">
        <f ca="1">IFERROR(__xludf.DUMMYFUNCTION("""COMPUTED_VALUE"""),"Work &lt;=6 People in the Team")</f>
        <v>Work &lt;=6 People in the Team</v>
      </c>
      <c r="Q1245" s="1" t="s">
        <v>43</v>
      </c>
      <c r="R1245" s="1"/>
    </row>
    <row r="1246" spans="1:18" x14ac:dyDescent="0.25">
      <c r="A1246" s="2">
        <f ca="1">IFERROR(__xludf.DUMMYFUNCTION("""COMPUTED_VALUE"""),45044.5349920138)</f>
        <v>45044.534992013803</v>
      </c>
      <c r="B1246" s="1" t="str">
        <f ca="1">IFERROR(__xludf.DUMMYFUNCTION("""COMPUTED_VALUE"""),"India")</f>
        <v>India</v>
      </c>
      <c r="C1246" s="1">
        <f ca="1">IFERROR(__xludf.DUMMYFUNCTION("""COMPUTED_VALUE"""),637404)</f>
        <v>637404</v>
      </c>
      <c r="D1246" s="1" t="str">
        <f ca="1">IFERROR(__xludf.DUMMYFUNCTION("""COMPUTED_VALUE"""),"Female")</f>
        <v>Female</v>
      </c>
      <c r="E1246" s="1" t="str">
        <f ca="1">IFERROR(__xludf.DUMMYFUNCTION("""COMPUTED_VALUE"""),"Influencers who had successful careers")</f>
        <v>Influencers who had successful careers</v>
      </c>
      <c r="F1246" s="1" t="str">
        <f ca="1">IFERROR(__xludf.DUMMYFUNCTION("""COMPUTED_VALUE"""),"Yes, I will earn and do that")</f>
        <v>Yes, I will earn and do that</v>
      </c>
      <c r="G1246" s="1" t="str">
        <f ca="1">IFERROR(__xludf.DUMMYFUNCTION("""COMPUTED_VALUE"""),"This will be hard to do, but if it is the right company I would try")</f>
        <v>This will be hard to do, but if it is the right company I would try</v>
      </c>
      <c r="H1246" s="1" t="str">
        <f ca="1">IFERROR(__xludf.DUMMYFUNCTION("""COMPUTED_VALUE"""),"No")</f>
        <v>No</v>
      </c>
      <c r="I1246" s="1" t="str">
        <f ca="1">IFERROR(__xludf.DUMMYFUNCTION("""COMPUTED_VALUE"""),"Will NOT work for them")</f>
        <v>Will NOT work for them</v>
      </c>
      <c r="J1246" s="1">
        <f ca="1">IFERROR(__xludf.DUMMYFUNCTION("""COMPUTED_VALUE"""),7)</f>
        <v>7</v>
      </c>
      <c r="K1246" s="1" t="str">
        <f ca="1">IFERROR(__xludf.DUMMYFUNCTION("""COMPUTED_VALUE"""),"Hybrid Working Environment with less than 3 days a month at office")</f>
        <v>Hybrid Working Environment with less than 3 days a month at office</v>
      </c>
      <c r="L1246" s="1" t="str">
        <f ca="1">IFERROR(__xludf.DUMMYFUNCTION("""COMPUTED_VALUE"""),"Employer who appreciates learning and enables that environment")</f>
        <v>Employer who appreciates learning and enables that environment</v>
      </c>
      <c r="M124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N1246" s="1"/>
      <c r="O1246" s="1" t="str">
        <f ca="1">IFERROR(__xludf.DUMMYFUNCTION("""COMPUTED_VALUE"""),"Manager who explains what is expected, sets a goal and helps achieve it")</f>
        <v>Manager who explains what is expected, sets a goal and helps achieve it</v>
      </c>
      <c r="P1246" s="1" t="str">
        <f ca="1">IFERROR(__xludf.DUMMYFUNCTION("""COMPUTED_VALUE"""),"Work &gt;10 people in Team")</f>
        <v>Work &gt;10 people in Team</v>
      </c>
      <c r="Q1246" s="1" t="s">
        <v>43</v>
      </c>
      <c r="R1246" s="1"/>
    </row>
    <row r="1247" spans="1:18" x14ac:dyDescent="0.25">
      <c r="A1247" s="2">
        <f ca="1">IFERROR(__xludf.DUMMYFUNCTION("""COMPUTED_VALUE"""),45044.5353257754)</f>
        <v>45044.535325775403</v>
      </c>
      <c r="B1247" s="1" t="str">
        <f ca="1">IFERROR(__xludf.DUMMYFUNCTION("""COMPUTED_VALUE"""),"India")</f>
        <v>India</v>
      </c>
      <c r="C1247" s="1">
        <f ca="1">IFERROR(__xludf.DUMMYFUNCTION("""COMPUTED_VALUE"""),854305)</f>
        <v>854305</v>
      </c>
      <c r="D1247" s="1" t="str">
        <f ca="1">IFERROR(__xludf.DUMMYFUNCTION("""COMPUTED_VALUE"""),"Male")</f>
        <v>Male</v>
      </c>
      <c r="E1247" s="1" t="str">
        <f ca="1">IFERROR(__xludf.DUMMYFUNCTION("""COMPUTED_VALUE"""),"People from my circle, but not family members")</f>
        <v>People from my circle, but not family members</v>
      </c>
      <c r="F1247" s="1" t="str">
        <f ca="1">IFERROR(__xludf.DUMMYFUNCTION("""COMPUTED_VALUE"""),"Yes, I will earn and do that")</f>
        <v>Yes, I will earn and do that</v>
      </c>
      <c r="G1247" s="1" t="str">
        <f ca="1">IFERROR(__xludf.DUMMYFUNCTION("""COMPUTED_VALUE"""),"This will be hard to do, but if it is the right company I would try")</f>
        <v>This will be hard to do, but if it is the right company I would try</v>
      </c>
      <c r="H1247" s="1" t="str">
        <f ca="1">IFERROR(__xludf.DUMMYFUNCTION("""COMPUTED_VALUE"""),"No")</f>
        <v>No</v>
      </c>
      <c r="I1247" s="1" t="str">
        <f ca="1">IFERROR(__xludf.DUMMYFUNCTION("""COMPUTED_VALUE"""),"Will work for them")</f>
        <v>Will work for them</v>
      </c>
      <c r="J1247" s="1">
        <f ca="1">IFERROR(__xludf.DUMMYFUNCTION("""COMPUTED_VALUE"""),7)</f>
        <v>7</v>
      </c>
      <c r="K1247" s="1" t="str">
        <f ca="1">IFERROR(__xludf.DUMMYFUNCTION("""COMPUTED_VALUE"""),"Hybrid Working Environment with more than 15 days a month at office")</f>
        <v>Hybrid Working Environment with more than 15 days a month at office</v>
      </c>
      <c r="L1247" s="1" t="str">
        <f ca="1">IFERROR(__xludf.DUMMYFUNCTION("""COMPUTED_VALUE"""),"Employer who pushes your limits by enabling an learning environment, and rewards you at the end")</f>
        <v>Employer who pushes your limits by enabling an learning environment, and rewards you at the end</v>
      </c>
      <c r="M1247" s="1" t="str">
        <f ca="1">IFERROR(__xludf.DUMMYFUNCTION("""COMPUTED_VALUE"""),"Manage and drive End-to-End Projects or Products, Build and develop a Team, Look deeply into Data and generate insights, An Artificial Intelligence Specialist / Talking to Robots")</f>
        <v>Manage and drive End-to-End Projects or Products, Build and develop a Team, Look deeply into Data and generate insights, An Artificial Intelligence Specialist / Talking to Robots</v>
      </c>
      <c r="N1247" s="1"/>
      <c r="O1247" s="1" t="str">
        <f ca="1">IFERROR(__xludf.DUMMYFUNCTION("""COMPUTED_VALUE"""),"Manager who clearly describes what she/he needs")</f>
        <v>Manager who clearly describes what she/he needs</v>
      </c>
      <c r="P1247" s="1" t="str">
        <f ca="1">IFERROR(__xludf.DUMMYFUNCTION("""COMPUTED_VALUE"""),"Work &lt;=6 People in the Team")</f>
        <v>Work &lt;=6 People in the Team</v>
      </c>
      <c r="Q1247" s="1" t="s">
        <v>43</v>
      </c>
      <c r="R1247" s="1"/>
    </row>
    <row r="1248" spans="1:18" x14ac:dyDescent="0.25">
      <c r="A1248" s="2">
        <f ca="1">IFERROR(__xludf.DUMMYFUNCTION("""COMPUTED_VALUE"""),45044.535882581)</f>
        <v>45044.535882581004</v>
      </c>
      <c r="B1248" s="1" t="str">
        <f ca="1">IFERROR(__xludf.DUMMYFUNCTION("""COMPUTED_VALUE"""),"India")</f>
        <v>India</v>
      </c>
      <c r="C1248" s="1">
        <f ca="1">IFERROR(__xludf.DUMMYFUNCTION("""COMPUTED_VALUE"""),221011)</f>
        <v>221011</v>
      </c>
      <c r="D1248" s="1" t="str">
        <f ca="1">IFERROR(__xludf.DUMMYFUNCTION("""COMPUTED_VALUE"""),"Male")</f>
        <v>Male</v>
      </c>
      <c r="E1248" s="1" t="str">
        <f ca="1">IFERROR(__xludf.DUMMYFUNCTION("""COMPUTED_VALUE"""),"My Parents")</f>
        <v>My Parents</v>
      </c>
      <c r="F1248" s="1" t="str">
        <f ca="1">IFERROR(__xludf.DUMMYFUNCTION("""COMPUTED_VALUE"""),"Yes, I will earn and do that")</f>
        <v>Yes, I will earn and do that</v>
      </c>
      <c r="G1248" s="1" t="str">
        <f ca="1">IFERROR(__xludf.DUMMYFUNCTION("""COMPUTED_VALUE"""),"Will work for 3 years or more")</f>
        <v>Will work for 3 years or more</v>
      </c>
      <c r="H1248" s="1" t="str">
        <f ca="1">IFERROR(__xludf.DUMMYFUNCTION("""COMPUTED_VALUE"""),"Yes")</f>
        <v>Yes</v>
      </c>
      <c r="I1248" s="1" t="str">
        <f ca="1">IFERROR(__xludf.DUMMYFUNCTION("""COMPUTED_VALUE"""),"Will work for them")</f>
        <v>Will work for them</v>
      </c>
      <c r="J1248" s="1">
        <f ca="1">IFERROR(__xludf.DUMMYFUNCTION("""COMPUTED_VALUE"""),8)</f>
        <v>8</v>
      </c>
      <c r="K1248" s="1" t="str">
        <f ca="1">IFERROR(__xludf.DUMMYFUNCTION("""COMPUTED_VALUE"""),"Every Day Office Environment")</f>
        <v>Every Day Office Environment</v>
      </c>
      <c r="L1248" s="1" t="str">
        <f ca="1">IFERROR(__xludf.DUMMYFUNCTION("""COMPUTED_VALUE"""),"Employer who rewards learning and enables that environment")</f>
        <v>Employer who rewards learning and enables that environment</v>
      </c>
      <c r="M1248"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N1248" s="1"/>
      <c r="O1248" s="1" t="str">
        <f ca="1">IFERROR(__xludf.DUMMYFUNCTION("""COMPUTED_VALUE"""),"Manager who explains what is expected, sets a goal and helps achieve it")</f>
        <v>Manager who explains what is expected, sets a goal and helps achieve it</v>
      </c>
      <c r="P1248" s="1" t="str">
        <f ca="1">IFERROR(__xludf.DUMMYFUNCTION("""COMPUTED_VALUE"""),"Work &lt;=6 People in the Team")</f>
        <v>Work &lt;=6 People in the Team</v>
      </c>
      <c r="Q1248" s="1" t="s">
        <v>40</v>
      </c>
      <c r="R1248" s="1"/>
    </row>
    <row r="1249" spans="1:18" x14ac:dyDescent="0.25">
      <c r="A1249" s="2">
        <f ca="1">IFERROR(__xludf.DUMMYFUNCTION("""COMPUTED_VALUE"""),45044.5368618981)</f>
        <v>45044.536861898101</v>
      </c>
      <c r="B1249" s="1" t="str">
        <f ca="1">IFERROR(__xludf.DUMMYFUNCTION("""COMPUTED_VALUE"""),"India")</f>
        <v>India</v>
      </c>
      <c r="C1249" s="1">
        <f ca="1">IFERROR(__xludf.DUMMYFUNCTION("""COMPUTED_VALUE"""),91)</f>
        <v>91</v>
      </c>
      <c r="D1249" s="1" t="str">
        <f ca="1">IFERROR(__xludf.DUMMYFUNCTION("""COMPUTED_VALUE"""),"Female")</f>
        <v>Female</v>
      </c>
      <c r="E1249" s="1" t="str">
        <f ca="1">IFERROR(__xludf.DUMMYFUNCTION("""COMPUTED_VALUE"""),"Social Media like LinkedIn")</f>
        <v>Social Media like LinkedIn</v>
      </c>
      <c r="F1249" s="1" t="str">
        <f ca="1">IFERROR(__xludf.DUMMYFUNCTION("""COMPUTED_VALUE"""),"Yes, I will earn and do that")</f>
        <v>Yes, I will earn and do that</v>
      </c>
      <c r="G1249" s="1" t="str">
        <f ca="1">IFERROR(__xludf.DUMMYFUNCTION("""COMPUTED_VALUE"""),"This will be hard to do, but if it is the right company I would try")</f>
        <v>This will be hard to do, but if it is the right company I would try</v>
      </c>
      <c r="H1249" s="1" t="str">
        <f ca="1">IFERROR(__xludf.DUMMYFUNCTION("""COMPUTED_VALUE"""),"No")</f>
        <v>No</v>
      </c>
      <c r="I1249" s="1" t="str">
        <f ca="1">IFERROR(__xludf.DUMMYFUNCTION("""COMPUTED_VALUE"""),"Will NOT work for them")</f>
        <v>Will NOT work for them</v>
      </c>
      <c r="J1249" s="1">
        <f ca="1">IFERROR(__xludf.DUMMYFUNCTION("""COMPUTED_VALUE"""),5)</f>
        <v>5</v>
      </c>
      <c r="K1249" s="1" t="str">
        <f ca="1">IFERROR(__xludf.DUMMYFUNCTION("""COMPUTED_VALUE"""),"Fully Remote with Options to travel as and when needed")</f>
        <v>Fully Remote with Options to travel as and when needed</v>
      </c>
      <c r="L1249" s="1" t="str">
        <f ca="1">IFERROR(__xludf.DUMMYFUNCTION("""COMPUTED_VALUE"""),"Employer who appreciates learning and enables that environment")</f>
        <v>Employer who appreciates learning and enables that environment</v>
      </c>
      <c r="M1249"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N1249" s="1"/>
      <c r="O1249" s="1" t="str">
        <f ca="1">IFERROR(__xludf.DUMMYFUNCTION("""COMPUTED_VALUE"""),"Manager who sets goal and helps me achieve it")</f>
        <v>Manager who sets goal and helps me achieve it</v>
      </c>
      <c r="P1249" s="1" t="str">
        <f ca="1">IFERROR(__xludf.DUMMYFUNCTION("""COMPUTED_VALUE"""),"Work &lt;=6 People in the Team")</f>
        <v>Work &lt;=6 People in the Team</v>
      </c>
      <c r="Q1249" s="1" t="s">
        <v>43</v>
      </c>
      <c r="R1249" s="1"/>
    </row>
    <row r="1250" spans="1:18" x14ac:dyDescent="0.25">
      <c r="A1250" s="2">
        <f ca="1">IFERROR(__xludf.DUMMYFUNCTION("""COMPUTED_VALUE"""),45044.5382293287)</f>
        <v>45044.538229328697</v>
      </c>
      <c r="B1250" s="1" t="str">
        <f ca="1">IFERROR(__xludf.DUMMYFUNCTION("""COMPUTED_VALUE"""),"India")</f>
        <v>India</v>
      </c>
      <c r="C1250" s="1">
        <f ca="1">IFERROR(__xludf.DUMMYFUNCTION("""COMPUTED_VALUE"""),396436)</f>
        <v>396436</v>
      </c>
      <c r="D1250" s="1" t="str">
        <f ca="1">IFERROR(__xludf.DUMMYFUNCTION("""COMPUTED_VALUE"""),"Male")</f>
        <v>Male</v>
      </c>
      <c r="E1250" s="1" t="str">
        <f ca="1">IFERROR(__xludf.DUMMYFUNCTION("""COMPUTED_VALUE"""),"People who have changed the world for better")</f>
        <v>People who have changed the world for better</v>
      </c>
      <c r="F1250" s="1" t="str">
        <f ca="1">IFERROR(__xludf.DUMMYFUNCTION("""COMPUTED_VALUE"""),"Yes, I will earn and do that")</f>
        <v>Yes, I will earn and do that</v>
      </c>
      <c r="G1250" s="1" t="str">
        <f ca="1">IFERROR(__xludf.DUMMYFUNCTION("""COMPUTED_VALUE"""),"This will be hard to do, but if it is the right company I would try")</f>
        <v>This will be hard to do, but if it is the right company I would try</v>
      </c>
      <c r="H1250" s="1" t="str">
        <f ca="1">IFERROR(__xludf.DUMMYFUNCTION("""COMPUTED_VALUE"""),"No")</f>
        <v>No</v>
      </c>
      <c r="I1250" s="1" t="str">
        <f ca="1">IFERROR(__xludf.DUMMYFUNCTION("""COMPUTED_VALUE"""),"Will NOT work for them")</f>
        <v>Will NOT work for them</v>
      </c>
      <c r="J1250" s="1">
        <f ca="1">IFERROR(__xludf.DUMMYFUNCTION("""COMPUTED_VALUE"""),5)</f>
        <v>5</v>
      </c>
      <c r="K1250" s="1" t="str">
        <f ca="1">IFERROR(__xludf.DUMMYFUNCTION("""COMPUTED_VALUE"""),"Fully Remote with Options to travel as and when needed")</f>
        <v>Fully Remote with Options to travel as and when needed</v>
      </c>
      <c r="L1250" s="1" t="str">
        <f ca="1">IFERROR(__xludf.DUMMYFUNCTION("""COMPUTED_VALUE"""),"Employer who pushes your limits by enabling an learning environment, and rewards you at the end")</f>
        <v>Employer who pushes your limits by enabling an learning environment, and rewards you at the end</v>
      </c>
      <c r="M1250"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N1250" s="1"/>
      <c r="O1250" s="1" t="str">
        <f ca="1">IFERROR(__xludf.DUMMYFUNCTION("""COMPUTED_VALUE"""),"Manager who explains what is expected, sets a goal and helps achieve it")</f>
        <v>Manager who explains what is expected, sets a goal and helps achieve it</v>
      </c>
      <c r="P1250" s="1" t="str">
        <f ca="1">IFERROR(__xludf.DUMMYFUNCTION("""COMPUTED_VALUE"""),"Work &lt;=6 People in the Team")</f>
        <v>Work &lt;=6 People in the Team</v>
      </c>
      <c r="Q1250" s="1" t="s">
        <v>43</v>
      </c>
      <c r="R1250" s="1"/>
    </row>
    <row r="1251" spans="1:18" x14ac:dyDescent="0.25">
      <c r="A1251" s="2">
        <f ca="1">IFERROR(__xludf.DUMMYFUNCTION("""COMPUTED_VALUE"""),45044.5406293981)</f>
        <v>45044.5406293981</v>
      </c>
      <c r="B1251" s="1" t="str">
        <f ca="1">IFERROR(__xludf.DUMMYFUNCTION("""COMPUTED_VALUE"""),"India")</f>
        <v>India</v>
      </c>
      <c r="C1251" s="1">
        <f ca="1">IFERROR(__xludf.DUMMYFUNCTION("""COMPUTED_VALUE"""),533005)</f>
        <v>533005</v>
      </c>
      <c r="D1251" s="1" t="str">
        <f ca="1">IFERROR(__xludf.DUMMYFUNCTION("""COMPUTED_VALUE"""),"Female")</f>
        <v>Female</v>
      </c>
      <c r="E1251" s="1" t="str">
        <f ca="1">IFERROR(__xludf.DUMMYFUNCTION("""COMPUTED_VALUE"""),"Influencers who had successful careers")</f>
        <v>Influencers who had successful careers</v>
      </c>
      <c r="F1251" s="1" t="str">
        <f ca="1">IFERROR(__xludf.DUMMYFUNCTION("""COMPUTED_VALUE"""),"No I would not be pursuing Higher Education outside of India")</f>
        <v>No I would not be pursuing Higher Education outside of India</v>
      </c>
      <c r="G1251" s="1" t="str">
        <f ca="1">IFERROR(__xludf.DUMMYFUNCTION("""COMPUTED_VALUE"""),"This will be hard to do, but if it is the right company I would try")</f>
        <v>This will be hard to do, but if it is the right company I would try</v>
      </c>
      <c r="H1251" s="1" t="str">
        <f ca="1">IFERROR(__xludf.DUMMYFUNCTION("""COMPUTED_VALUE"""),"No")</f>
        <v>No</v>
      </c>
      <c r="I1251" s="1" t="str">
        <f ca="1">IFERROR(__xludf.DUMMYFUNCTION("""COMPUTED_VALUE"""),"Will work for them")</f>
        <v>Will work for them</v>
      </c>
      <c r="J1251" s="1">
        <f ca="1">IFERROR(__xludf.DUMMYFUNCTION("""COMPUTED_VALUE"""),8)</f>
        <v>8</v>
      </c>
      <c r="K1251" s="1" t="str">
        <f ca="1">IFERROR(__xludf.DUMMYFUNCTION("""COMPUTED_VALUE"""),"Hybrid Working Environment with less than 3 days a month at office")</f>
        <v>Hybrid Working Environment with less than 3 days a month at office</v>
      </c>
      <c r="L1251" s="1" t="str">
        <f ca="1">IFERROR(__xludf.DUMMYFUNCTION("""COMPUTED_VALUE"""),"Employer who appreciates learning and enables that environment")</f>
        <v>Employer who appreciates learning and enables that environment</v>
      </c>
      <c r="M125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251" s="1"/>
      <c r="O1251" s="1" t="str">
        <f ca="1">IFERROR(__xludf.DUMMYFUNCTION("""COMPUTED_VALUE"""),"Manager who sets goal and helps me achieve it")</f>
        <v>Manager who sets goal and helps me achieve it</v>
      </c>
      <c r="P1251" s="1" t="str">
        <f ca="1">IFERROR(__xludf.DUMMYFUNCTION("""COMPUTED_VALUE"""),"Work &lt;=6 People in the Team")</f>
        <v>Work &lt;=6 People in the Team</v>
      </c>
      <c r="Q1251" s="1" t="s">
        <v>40</v>
      </c>
      <c r="R1251" s="1"/>
    </row>
    <row r="1252" spans="1:18" x14ac:dyDescent="0.25">
      <c r="A1252" s="2">
        <f ca="1">IFERROR(__xludf.DUMMYFUNCTION("""COMPUTED_VALUE"""),45044.5415642361)</f>
        <v>45044.541564236097</v>
      </c>
      <c r="B1252" s="1" t="str">
        <f ca="1">IFERROR(__xludf.DUMMYFUNCTION("""COMPUTED_VALUE"""),"India")</f>
        <v>India</v>
      </c>
      <c r="C1252" s="1">
        <f ca="1">IFERROR(__xludf.DUMMYFUNCTION("""COMPUTED_VALUE"""),533005)</f>
        <v>533005</v>
      </c>
      <c r="D1252" s="1" t="str">
        <f ca="1">IFERROR(__xludf.DUMMYFUNCTION("""COMPUTED_VALUE"""),"Male")</f>
        <v>Male</v>
      </c>
      <c r="E1252" s="1" t="str">
        <f ca="1">IFERROR(__xludf.DUMMYFUNCTION("""COMPUTED_VALUE"""),"People from my circle, but not family members")</f>
        <v>People from my circle, but not family members</v>
      </c>
      <c r="F1252" s="1" t="str">
        <f ca="1">IFERROR(__xludf.DUMMYFUNCTION("""COMPUTED_VALUE"""),"No I would not be pursuing Higher Education outside of India")</f>
        <v>No I would not be pursuing Higher Education outside of India</v>
      </c>
      <c r="G1252" s="1" t="str">
        <f ca="1">IFERROR(__xludf.DUMMYFUNCTION("""COMPUTED_VALUE"""),"This will be hard to do, but if it is the right company I would try")</f>
        <v>This will be hard to do, but if it is the right company I would try</v>
      </c>
      <c r="H1252" s="1" t="str">
        <f ca="1">IFERROR(__xludf.DUMMYFUNCTION("""COMPUTED_VALUE"""),"No")</f>
        <v>No</v>
      </c>
      <c r="I1252" s="1" t="str">
        <f ca="1">IFERROR(__xludf.DUMMYFUNCTION("""COMPUTED_VALUE"""),"Will NOT work for them")</f>
        <v>Will NOT work for them</v>
      </c>
      <c r="J1252" s="1">
        <f ca="1">IFERROR(__xludf.DUMMYFUNCTION("""COMPUTED_VALUE"""),7)</f>
        <v>7</v>
      </c>
      <c r="K1252" s="1" t="str">
        <f ca="1">IFERROR(__xludf.DUMMYFUNCTION("""COMPUTED_VALUE"""),"Hybrid Working Environment with more than 15 days a month at office")</f>
        <v>Hybrid Working Environment with more than 15 days a month at office</v>
      </c>
      <c r="L1252" s="1" t="str">
        <f ca="1">IFERROR(__xludf.DUMMYFUNCTION("""COMPUTED_VALUE"""),"Employer who rewards learning and enables that environment")</f>
        <v>Employer who rewards learning and enables that environment</v>
      </c>
      <c r="M1252" s="1" t="str">
        <f ca="1">IFERROR(__xludf.DUMMYFUNCTION("""COMPUTED_VALUE"""),"Manage and drive End-to-End Projects or Products, Look deeply into Data and generate insights, Work in a BPO setup for some well known client, Manufacturing / Oil and Gas/ Construction / Hard Physical Work related")</f>
        <v>Manage and drive End-to-End Projects or Products, Look deeply into Data and generate insights, Work in a BPO setup for some well known client, Manufacturing / Oil and Gas/ Construction / Hard Physical Work related</v>
      </c>
      <c r="N1252" s="1"/>
      <c r="O1252" s="1" t="str">
        <f ca="1">IFERROR(__xludf.DUMMYFUNCTION("""COMPUTED_VALUE"""),"Manager who explains what is expected, sets a goal and helps achieve it")</f>
        <v>Manager who explains what is expected, sets a goal and helps achieve it</v>
      </c>
      <c r="P1252" s="1" t="str">
        <f ca="1">IFERROR(__xludf.DUMMYFUNCTION("""COMPUTED_VALUE"""),"Work &lt;=6 People in the Team")</f>
        <v>Work &lt;=6 People in the Team</v>
      </c>
      <c r="Q1252" s="1" t="s">
        <v>43</v>
      </c>
      <c r="R1252" s="1"/>
    </row>
    <row r="1253" spans="1:18" x14ac:dyDescent="0.25">
      <c r="A1253" s="2">
        <f ca="1">IFERROR(__xludf.DUMMYFUNCTION("""COMPUTED_VALUE"""),45044.5416172338)</f>
        <v>45044.541617233801</v>
      </c>
      <c r="B1253" s="1" t="str">
        <f ca="1">IFERROR(__xludf.DUMMYFUNCTION("""COMPUTED_VALUE"""),"India")</f>
        <v>India</v>
      </c>
      <c r="C1253" s="1">
        <f ca="1">IFERROR(__xludf.DUMMYFUNCTION("""COMPUTED_VALUE"""),506167)</f>
        <v>506167</v>
      </c>
      <c r="D1253" s="1" t="str">
        <f ca="1">IFERROR(__xludf.DUMMYFUNCTION("""COMPUTED_VALUE"""),"Male")</f>
        <v>Male</v>
      </c>
      <c r="E1253" s="1" t="str">
        <f ca="1">IFERROR(__xludf.DUMMYFUNCTION("""COMPUTED_VALUE"""),"People from my circle, but not family members")</f>
        <v>People from my circle, but not family members</v>
      </c>
      <c r="F1253" s="1" t="str">
        <f ca="1">IFERROR(__xludf.DUMMYFUNCTION("""COMPUTED_VALUE"""),"No, But if someone could bare the cost I will")</f>
        <v>No, But if someone could bare the cost I will</v>
      </c>
      <c r="G1253" s="1" t="str">
        <f ca="1">IFERROR(__xludf.DUMMYFUNCTION("""COMPUTED_VALUE"""),"This will be hard to do, but if it is the right company I would try")</f>
        <v>This will be hard to do, but if it is the right company I would try</v>
      </c>
      <c r="H1253" s="1" t="str">
        <f ca="1">IFERROR(__xludf.DUMMYFUNCTION("""COMPUTED_VALUE"""),"No")</f>
        <v>No</v>
      </c>
      <c r="I1253" s="1" t="str">
        <f ca="1">IFERROR(__xludf.DUMMYFUNCTION("""COMPUTED_VALUE"""),"Will NOT work for them")</f>
        <v>Will NOT work for them</v>
      </c>
      <c r="J1253" s="1">
        <f ca="1">IFERROR(__xludf.DUMMYFUNCTION("""COMPUTED_VALUE"""),4)</f>
        <v>4</v>
      </c>
      <c r="K1253" s="1" t="str">
        <f ca="1">IFERROR(__xludf.DUMMYFUNCTION("""COMPUTED_VALUE"""),"Hybrid Working Environment with more than 15 days a month at office")</f>
        <v>Hybrid Working Environment with more than 15 days a month at office</v>
      </c>
      <c r="L1253" s="1" t="str">
        <f ca="1">IFERROR(__xludf.DUMMYFUNCTION("""COMPUTED_VALUE"""),"Employer who pushes your limits by enabling an learning environment, and rewards you at the end")</f>
        <v>Employer who pushes your limits by enabling an learning environment, and rewards you at the end</v>
      </c>
      <c r="M125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N1253" s="1"/>
      <c r="O1253" s="1" t="str">
        <f ca="1">IFERROR(__xludf.DUMMYFUNCTION("""COMPUTED_VALUE"""),"Manager who explains what is expected, sets a goal and helps achieve it")</f>
        <v>Manager who explains what is expected, sets a goal and helps achieve it</v>
      </c>
      <c r="P1253" s="1" t="str">
        <f ca="1">IFERROR(__xludf.DUMMYFUNCTION("""COMPUTED_VALUE"""),"Work &lt;=6 People in the Team")</f>
        <v>Work &lt;=6 People in the Team</v>
      </c>
      <c r="Q1253" s="1" t="s">
        <v>40</v>
      </c>
      <c r="R1253" s="1"/>
    </row>
    <row r="1254" spans="1:18" x14ac:dyDescent="0.25">
      <c r="A1254" s="2">
        <f ca="1">IFERROR(__xludf.DUMMYFUNCTION("""COMPUTED_VALUE"""),45044.5417322916)</f>
        <v>45044.541732291596</v>
      </c>
      <c r="B1254" s="1" t="str">
        <f ca="1">IFERROR(__xludf.DUMMYFUNCTION("""COMPUTED_VALUE"""),"India")</f>
        <v>India</v>
      </c>
      <c r="C1254" s="1">
        <f ca="1">IFERROR(__xludf.DUMMYFUNCTION("""COMPUTED_VALUE"""),611001)</f>
        <v>611001</v>
      </c>
      <c r="D1254" s="1" t="str">
        <f ca="1">IFERROR(__xludf.DUMMYFUNCTION("""COMPUTED_VALUE"""),"Female")</f>
        <v>Female</v>
      </c>
      <c r="E1254" s="1" t="str">
        <f ca="1">IFERROR(__xludf.DUMMYFUNCTION("""COMPUTED_VALUE"""),"Social Media like LinkedIn")</f>
        <v>Social Media like LinkedIn</v>
      </c>
      <c r="F1254" s="1" t="str">
        <f ca="1">IFERROR(__xludf.DUMMYFUNCTION("""COMPUTED_VALUE"""),"Yes, I will earn and do that")</f>
        <v>Yes, I will earn and do that</v>
      </c>
      <c r="G1254" s="1" t="str">
        <f ca="1">IFERROR(__xludf.DUMMYFUNCTION("""COMPUTED_VALUE"""),"This will be hard to do, but if it is the right company I would try")</f>
        <v>This will be hard to do, but if it is the right company I would try</v>
      </c>
      <c r="H1254" s="1" t="str">
        <f ca="1">IFERROR(__xludf.DUMMYFUNCTION("""COMPUTED_VALUE"""),"Yes")</f>
        <v>Yes</v>
      </c>
      <c r="I1254" s="1" t="str">
        <f ca="1">IFERROR(__xludf.DUMMYFUNCTION("""COMPUTED_VALUE"""),"Will NOT work for them")</f>
        <v>Will NOT work for them</v>
      </c>
      <c r="J1254" s="1">
        <f ca="1">IFERROR(__xludf.DUMMYFUNCTION("""COMPUTED_VALUE"""),3)</f>
        <v>3</v>
      </c>
      <c r="K1254" s="1" t="str">
        <f ca="1">IFERROR(__xludf.DUMMYFUNCTION("""COMPUTED_VALUE"""),"Hybrid Working Environment with more than 15 days a month at office")</f>
        <v>Hybrid Working Environment with more than 15 days a month at office</v>
      </c>
      <c r="L1254" s="1" t="str">
        <f ca="1">IFERROR(__xludf.DUMMYFUNCTION("""COMPUTED_VALUE"""),"Employer who pushes your limits and doesn't enables learning environment and never rewards you")</f>
        <v>Employer who pushes your limits and doesn't enables learning environment and never rewards you</v>
      </c>
      <c r="M125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N1254" s="1"/>
      <c r="O1254" s="1" t="str">
        <f ca="1">IFERROR(__xludf.DUMMYFUNCTION("""COMPUTED_VALUE"""),"Manager who sets targets and expects me to achieve it")</f>
        <v>Manager who sets targets and expects me to achieve it</v>
      </c>
      <c r="P1254" s="1" t="str">
        <f ca="1">IFERROR(__xludf.DUMMYFUNCTION("""COMPUTED_VALUE"""),"Work &lt;67 People in the Team")</f>
        <v>Work &lt;67 People in the Team</v>
      </c>
      <c r="Q1254" s="1" t="s">
        <v>40</v>
      </c>
      <c r="R1254" s="1"/>
    </row>
    <row r="1255" spans="1:18" x14ac:dyDescent="0.25">
      <c r="A1255" s="2">
        <f ca="1">IFERROR(__xludf.DUMMYFUNCTION("""COMPUTED_VALUE"""),45044.5446995833)</f>
        <v>45044.544699583297</v>
      </c>
      <c r="B1255" s="1" t="str">
        <f ca="1">IFERROR(__xludf.DUMMYFUNCTION("""COMPUTED_VALUE"""),"India")</f>
        <v>India</v>
      </c>
      <c r="C1255" s="1">
        <f ca="1">IFERROR(__xludf.DUMMYFUNCTION("""COMPUTED_VALUE"""),324005)</f>
        <v>324005</v>
      </c>
      <c r="D1255" s="1" t="str">
        <f ca="1">IFERROR(__xludf.DUMMYFUNCTION("""COMPUTED_VALUE"""),"Male")</f>
        <v>Male</v>
      </c>
      <c r="E1255" s="1" t="str">
        <f ca="1">IFERROR(__xludf.DUMMYFUNCTION("""COMPUTED_VALUE"""),"People from my circle, but not family members")</f>
        <v>People from my circle, but not family members</v>
      </c>
      <c r="F1255" s="1" t="str">
        <f ca="1">IFERROR(__xludf.DUMMYFUNCTION("""COMPUTED_VALUE"""),"No, But if someone could bare the cost I will")</f>
        <v>No, But if someone could bare the cost I will</v>
      </c>
      <c r="G1255" s="1" t="str">
        <f ca="1">IFERROR(__xludf.DUMMYFUNCTION("""COMPUTED_VALUE"""),"This will be hard to do, but if it is the right company I would try")</f>
        <v>This will be hard to do, but if it is the right company I would try</v>
      </c>
      <c r="H1255" s="1" t="str">
        <f ca="1">IFERROR(__xludf.DUMMYFUNCTION("""COMPUTED_VALUE"""),"No")</f>
        <v>No</v>
      </c>
      <c r="I1255" s="1" t="str">
        <f ca="1">IFERROR(__xludf.DUMMYFUNCTION("""COMPUTED_VALUE"""),"Will NOT work for them")</f>
        <v>Will NOT work for them</v>
      </c>
      <c r="J1255" s="1">
        <f ca="1">IFERROR(__xludf.DUMMYFUNCTION("""COMPUTED_VALUE"""),7)</f>
        <v>7</v>
      </c>
      <c r="K1255" s="1" t="str">
        <f ca="1">IFERROR(__xludf.DUMMYFUNCTION("""COMPUTED_VALUE"""),"Hybrid Working Environment with more than 15 days a month at office")</f>
        <v>Hybrid Working Environment with more than 15 days a month at office</v>
      </c>
      <c r="L1255" s="1" t="str">
        <f ca="1">IFERROR(__xludf.DUMMYFUNCTION("""COMPUTED_VALUE"""),"Employer who pushes your limits by enabling an learning environment, and rewards you at the end")</f>
        <v>Employer who pushes your limits by enabling an learning environment, and rewards you at the end</v>
      </c>
      <c r="M1255"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N1255" s="1"/>
      <c r="O1255" s="1" t="str">
        <f ca="1">IFERROR(__xludf.DUMMYFUNCTION("""COMPUTED_VALUE"""),"Manager who explains what is expected, sets a goal and helps achieve it")</f>
        <v>Manager who explains what is expected, sets a goal and helps achieve it</v>
      </c>
      <c r="P1255" s="1" t="str">
        <f ca="1">IFERROR(__xludf.DUMMYFUNCTION("""COMPUTED_VALUE"""),"Work &lt;=6 People in the Team")</f>
        <v>Work &lt;=6 People in the Team</v>
      </c>
      <c r="Q1255" s="1" t="s">
        <v>43</v>
      </c>
      <c r="R1255" s="1"/>
    </row>
    <row r="1256" spans="1:18" x14ac:dyDescent="0.25">
      <c r="A1256" s="2">
        <f ca="1">IFERROR(__xludf.DUMMYFUNCTION("""COMPUTED_VALUE"""),45044.548194375)</f>
        <v>45044.548194374998</v>
      </c>
      <c r="B1256" s="1" t="str">
        <f ca="1">IFERROR(__xludf.DUMMYFUNCTION("""COMPUTED_VALUE"""),"India")</f>
        <v>India</v>
      </c>
      <c r="C1256" s="1">
        <f ca="1">IFERROR(__xludf.DUMMYFUNCTION("""COMPUTED_VALUE"""),411057)</f>
        <v>411057</v>
      </c>
      <c r="D1256" s="1" t="str">
        <f ca="1">IFERROR(__xludf.DUMMYFUNCTION("""COMPUTED_VALUE"""),"Male")</f>
        <v>Male</v>
      </c>
      <c r="E1256" s="1" t="str">
        <f ca="1">IFERROR(__xludf.DUMMYFUNCTION("""COMPUTED_VALUE"""),"People who have changed the world for better")</f>
        <v>People who have changed the world for better</v>
      </c>
      <c r="F1256" s="1" t="str">
        <f ca="1">IFERROR(__xludf.DUMMYFUNCTION("""COMPUTED_VALUE"""),"No I would not be pursuing Higher Education outside of India")</f>
        <v>No I would not be pursuing Higher Education outside of India</v>
      </c>
      <c r="G1256" s="1" t="str">
        <f ca="1">IFERROR(__xludf.DUMMYFUNCTION("""COMPUTED_VALUE"""),"This will be hard to do, but if it is the right company I would try")</f>
        <v>This will be hard to do, but if it is the right company I would try</v>
      </c>
      <c r="H1256" s="1" t="str">
        <f ca="1">IFERROR(__xludf.DUMMYFUNCTION("""COMPUTED_VALUE"""),"No")</f>
        <v>No</v>
      </c>
      <c r="I1256" s="1" t="str">
        <f ca="1">IFERROR(__xludf.DUMMYFUNCTION("""COMPUTED_VALUE"""),"Will NOT work for them")</f>
        <v>Will NOT work for them</v>
      </c>
      <c r="J1256" s="1">
        <f ca="1">IFERROR(__xludf.DUMMYFUNCTION("""COMPUTED_VALUE"""),7)</f>
        <v>7</v>
      </c>
      <c r="K1256" s="1" t="str">
        <f ca="1">IFERROR(__xludf.DUMMYFUNCTION("""COMPUTED_VALUE"""),"Fully Remote with Options to travel as and when needed")</f>
        <v>Fully Remote with Options to travel as and when needed</v>
      </c>
      <c r="L1256" s="1" t="str">
        <f ca="1">IFERROR(__xludf.DUMMYFUNCTION("""COMPUTED_VALUE"""),"Employer who rewards learning and enables that environment")</f>
        <v>Employer who rewards learning and enables that environment</v>
      </c>
      <c r="M125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256" s="1"/>
      <c r="O1256" s="1" t="str">
        <f ca="1">IFERROR(__xludf.DUMMYFUNCTION("""COMPUTED_VALUE"""),"Manager who clearly describes what she/he needs")</f>
        <v>Manager who clearly describes what she/he needs</v>
      </c>
      <c r="P1256" s="1" t="str">
        <f ca="1">IFERROR(__xludf.DUMMYFUNCTION("""COMPUTED_VALUE"""),"Work &lt;=6 People in the Team")</f>
        <v>Work &lt;=6 People in the Team</v>
      </c>
      <c r="Q1256" s="1" t="s">
        <v>43</v>
      </c>
      <c r="R1256" s="1"/>
    </row>
    <row r="1257" spans="1:18" x14ac:dyDescent="0.25">
      <c r="A1257" s="2">
        <f ca="1">IFERROR(__xludf.DUMMYFUNCTION("""COMPUTED_VALUE"""),45044.5486524189)</f>
        <v>45044.548652418896</v>
      </c>
      <c r="B1257" s="1" t="str">
        <f ca="1">IFERROR(__xludf.DUMMYFUNCTION("""COMPUTED_VALUE"""),"India")</f>
        <v>India</v>
      </c>
      <c r="C1257" s="1">
        <f ca="1">IFERROR(__xludf.DUMMYFUNCTION("""COMPUTED_VALUE"""),534245)</f>
        <v>534245</v>
      </c>
      <c r="D1257" s="1" t="str">
        <f ca="1">IFERROR(__xludf.DUMMYFUNCTION("""COMPUTED_VALUE"""),"Female")</f>
        <v>Female</v>
      </c>
      <c r="E1257" s="1" t="str">
        <f ca="1">IFERROR(__xludf.DUMMYFUNCTION("""COMPUTED_VALUE"""),"People from my circle, but not family members")</f>
        <v>People from my circle, but not family members</v>
      </c>
      <c r="F1257" s="1" t="str">
        <f ca="1">IFERROR(__xludf.DUMMYFUNCTION("""COMPUTED_VALUE"""),"Yes, I will earn and do that")</f>
        <v>Yes, I will earn and do that</v>
      </c>
      <c r="G1257" s="1" t="str">
        <f ca="1">IFERROR(__xludf.DUMMYFUNCTION("""COMPUTED_VALUE"""),"This will be hard to do, but if it is the right company I would try")</f>
        <v>This will be hard to do, but if it is the right company I would try</v>
      </c>
      <c r="H1257" s="1" t="str">
        <f ca="1">IFERROR(__xludf.DUMMYFUNCTION("""COMPUTED_VALUE"""),"No")</f>
        <v>No</v>
      </c>
      <c r="I1257" s="1" t="str">
        <f ca="1">IFERROR(__xludf.DUMMYFUNCTION("""COMPUTED_VALUE"""),"Will NOT work for them")</f>
        <v>Will NOT work for them</v>
      </c>
      <c r="J1257" s="1">
        <f ca="1">IFERROR(__xludf.DUMMYFUNCTION("""COMPUTED_VALUE"""),10)</f>
        <v>10</v>
      </c>
      <c r="K1257" s="1" t="str">
        <f ca="1">IFERROR(__xludf.DUMMYFUNCTION("""COMPUTED_VALUE"""),"Hybrid Working Environment with more than 15 days a month at office")</f>
        <v>Hybrid Working Environment with more than 15 days a month at office</v>
      </c>
      <c r="L1257" s="1" t="str">
        <f ca="1">IFERROR(__xludf.DUMMYFUNCTION("""COMPUTED_VALUE"""),"Employer who appreciates learning and enables that environment")</f>
        <v>Employer who appreciates learning and enables that environment</v>
      </c>
      <c r="M1257"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1257" s="1"/>
      <c r="O1257" s="1" t="str">
        <f ca="1">IFERROR(__xludf.DUMMYFUNCTION("""COMPUTED_VALUE"""),"Manager who sets goal and helps me achieve it")</f>
        <v>Manager who sets goal and helps me achieve it</v>
      </c>
      <c r="P1257" s="1" t="str">
        <f ca="1">IFERROR(__xludf.DUMMYFUNCTION("""COMPUTED_VALUE"""),"Work &gt;10 people in Team")</f>
        <v>Work &gt;10 people in Team</v>
      </c>
      <c r="Q1257" s="1" t="s">
        <v>43</v>
      </c>
      <c r="R1257" s="1"/>
    </row>
    <row r="1258" spans="1:18" x14ac:dyDescent="0.25">
      <c r="A1258" s="2">
        <f ca="1">IFERROR(__xludf.DUMMYFUNCTION("""COMPUTED_VALUE"""),45044.5518604976)</f>
        <v>45044.551860497602</v>
      </c>
      <c r="B1258" s="1" t="str">
        <f ca="1">IFERROR(__xludf.DUMMYFUNCTION("""COMPUTED_VALUE"""),"India")</f>
        <v>India</v>
      </c>
      <c r="C1258" s="1">
        <f ca="1">IFERROR(__xludf.DUMMYFUNCTION("""COMPUTED_VALUE"""),110085)</f>
        <v>110085</v>
      </c>
      <c r="D1258" s="1" t="str">
        <f ca="1">IFERROR(__xludf.DUMMYFUNCTION("""COMPUTED_VALUE"""),"Male")</f>
        <v>Male</v>
      </c>
      <c r="E1258" s="1" t="str">
        <f ca="1">IFERROR(__xludf.DUMMYFUNCTION("""COMPUTED_VALUE"""),"People from my circle, but not family members")</f>
        <v>People from my circle, but not family members</v>
      </c>
      <c r="F1258" s="1" t="str">
        <f ca="1">IFERROR(__xludf.DUMMYFUNCTION("""COMPUTED_VALUE"""),"No I would not be pursuing Higher Education outside of India")</f>
        <v>No I would not be pursuing Higher Education outside of India</v>
      </c>
      <c r="G1258" s="1" t="str">
        <f ca="1">IFERROR(__xludf.DUMMYFUNCTION("""COMPUTED_VALUE"""),"Will work for 3 years or more")</f>
        <v>Will work for 3 years or more</v>
      </c>
      <c r="H1258" s="1" t="str">
        <f ca="1">IFERROR(__xludf.DUMMYFUNCTION("""COMPUTED_VALUE"""),"No")</f>
        <v>No</v>
      </c>
      <c r="I1258" s="1" t="str">
        <f ca="1">IFERROR(__xludf.DUMMYFUNCTION("""COMPUTED_VALUE"""),"Will NOT work for them")</f>
        <v>Will NOT work for them</v>
      </c>
      <c r="J1258" s="1">
        <f ca="1">IFERROR(__xludf.DUMMYFUNCTION("""COMPUTED_VALUE"""),10)</f>
        <v>10</v>
      </c>
      <c r="K1258" s="1" t="str">
        <f ca="1">IFERROR(__xludf.DUMMYFUNCTION("""COMPUTED_VALUE"""),"Hybrid Working Environment with more than 15 days a month at office")</f>
        <v>Hybrid Working Environment with more than 15 days a month at office</v>
      </c>
      <c r="L1258" s="1" t="str">
        <f ca="1">IFERROR(__xludf.DUMMYFUNCTION("""COMPUTED_VALUE"""),"Employer who rewards learning and enables that environment")</f>
        <v>Employer who rewards learning and enables that environment</v>
      </c>
      <c r="M1258"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N1258" s="1"/>
      <c r="O1258" s="1" t="str">
        <f ca="1">IFERROR(__xludf.DUMMYFUNCTION("""COMPUTED_VALUE"""),"Manager who explains what is expected, sets a goal and helps achieve it")</f>
        <v>Manager who explains what is expected, sets a goal and helps achieve it</v>
      </c>
      <c r="P1258" s="1" t="str">
        <f ca="1">IFERROR(__xludf.DUMMYFUNCTION("""COMPUTED_VALUE"""),"Work &gt;10 people in Team")</f>
        <v>Work &gt;10 people in Team</v>
      </c>
      <c r="Q1258" s="1" t="s">
        <v>42</v>
      </c>
      <c r="R1258" s="1"/>
    </row>
    <row r="1259" spans="1:18" x14ac:dyDescent="0.25">
      <c r="A1259" s="2">
        <f ca="1">IFERROR(__xludf.DUMMYFUNCTION("""COMPUTED_VALUE"""),45044.5547216203)</f>
        <v>45044.554721620298</v>
      </c>
      <c r="B1259" s="1" t="str">
        <f ca="1">IFERROR(__xludf.DUMMYFUNCTION("""COMPUTED_VALUE"""),"India")</f>
        <v>India</v>
      </c>
      <c r="C1259" s="1">
        <f ca="1">IFERROR(__xludf.DUMMYFUNCTION("""COMPUTED_VALUE"""),506167)</f>
        <v>506167</v>
      </c>
      <c r="D1259" s="1" t="str">
        <f ca="1">IFERROR(__xludf.DUMMYFUNCTION("""COMPUTED_VALUE"""),"Male")</f>
        <v>Male</v>
      </c>
      <c r="E1259" s="1" t="str">
        <f ca="1">IFERROR(__xludf.DUMMYFUNCTION("""COMPUTED_VALUE"""),"Social Media like LinkedIn")</f>
        <v>Social Media like LinkedIn</v>
      </c>
      <c r="F1259" s="1" t="str">
        <f ca="1">IFERROR(__xludf.DUMMYFUNCTION("""COMPUTED_VALUE"""),"No I would not be pursuing Higher Education outside of India")</f>
        <v>No I would not be pursuing Higher Education outside of India</v>
      </c>
      <c r="G1259" s="1" t="str">
        <f ca="1">IFERROR(__xludf.DUMMYFUNCTION("""COMPUTED_VALUE"""),"Will work for 3 years or more")</f>
        <v>Will work for 3 years or more</v>
      </c>
      <c r="H1259" s="1" t="str">
        <f ca="1">IFERROR(__xludf.DUMMYFUNCTION("""COMPUTED_VALUE"""),"Yes")</f>
        <v>Yes</v>
      </c>
      <c r="I1259" s="1" t="str">
        <f ca="1">IFERROR(__xludf.DUMMYFUNCTION("""COMPUTED_VALUE"""),"Will work for them")</f>
        <v>Will work for them</v>
      </c>
      <c r="J1259" s="1">
        <f ca="1">IFERROR(__xludf.DUMMYFUNCTION("""COMPUTED_VALUE"""),8)</f>
        <v>8</v>
      </c>
      <c r="K1259" s="1" t="str">
        <f ca="1">IFERROR(__xludf.DUMMYFUNCTION("""COMPUTED_VALUE"""),"Fully Remote with Options to travel as and when needed")</f>
        <v>Fully Remote with Options to travel as and when needed</v>
      </c>
      <c r="L1259" s="1" t="str">
        <f ca="1">IFERROR(__xludf.DUMMYFUNCTION("""COMPUTED_VALUE"""),"Employer who appreciates learning and enables that environment")</f>
        <v>Employer who appreciates learning and enables that environment</v>
      </c>
      <c r="M1259"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1259" s="1"/>
      <c r="O1259" s="1" t="str">
        <f ca="1">IFERROR(__xludf.DUMMYFUNCTION("""COMPUTED_VALUE"""),"Manager who clearly describes what she/he needs")</f>
        <v>Manager who clearly describes what she/he needs</v>
      </c>
      <c r="P1259" s="1" t="str">
        <f ca="1">IFERROR(__xludf.DUMMYFUNCTION("""COMPUTED_VALUE"""),"Work &gt;10 people in Team")</f>
        <v>Work &gt;10 people in Team</v>
      </c>
      <c r="Q1259" s="1" t="s">
        <v>43</v>
      </c>
      <c r="R1259" s="1"/>
    </row>
    <row r="1260" spans="1:18" x14ac:dyDescent="0.25">
      <c r="A1260" s="2">
        <f ca="1">IFERROR(__xludf.DUMMYFUNCTION("""COMPUTED_VALUE"""),45044.5550505439)</f>
        <v>45044.555050543902</v>
      </c>
      <c r="B1260" s="1" t="str">
        <f ca="1">IFERROR(__xludf.DUMMYFUNCTION("""COMPUTED_VALUE"""),"India")</f>
        <v>India</v>
      </c>
      <c r="C1260" s="1">
        <f ca="1">IFERROR(__xludf.DUMMYFUNCTION("""COMPUTED_VALUE"""),500056)</f>
        <v>500056</v>
      </c>
      <c r="D1260" s="1" t="str">
        <f ca="1">IFERROR(__xludf.DUMMYFUNCTION("""COMPUTED_VALUE"""),"Male")</f>
        <v>Male</v>
      </c>
      <c r="E1260" s="1" t="str">
        <f ca="1">IFERROR(__xludf.DUMMYFUNCTION("""COMPUTED_VALUE"""),"My Parents")</f>
        <v>My Parents</v>
      </c>
      <c r="F1260" s="1" t="str">
        <f ca="1">IFERROR(__xludf.DUMMYFUNCTION("""COMPUTED_VALUE"""),"Yes, I will earn and do that")</f>
        <v>Yes, I will earn and do that</v>
      </c>
      <c r="G1260" s="1" t="str">
        <f ca="1">IFERROR(__xludf.DUMMYFUNCTION("""COMPUTED_VALUE"""),"Will work for 3 years or more")</f>
        <v>Will work for 3 years or more</v>
      </c>
      <c r="H1260" s="1" t="str">
        <f ca="1">IFERROR(__xludf.DUMMYFUNCTION("""COMPUTED_VALUE"""),"Yes")</f>
        <v>Yes</v>
      </c>
      <c r="I1260" s="1" t="str">
        <f ca="1">IFERROR(__xludf.DUMMYFUNCTION("""COMPUTED_VALUE"""),"Will NOT work for them")</f>
        <v>Will NOT work for them</v>
      </c>
      <c r="J1260" s="1">
        <f ca="1">IFERROR(__xludf.DUMMYFUNCTION("""COMPUTED_VALUE"""),10)</f>
        <v>10</v>
      </c>
      <c r="K1260" s="1" t="str">
        <f ca="1">IFERROR(__xludf.DUMMYFUNCTION("""COMPUTED_VALUE"""),"Hybrid Working Environment with less than 3 days a month at office")</f>
        <v>Hybrid Working Environment with less than 3 days a month at office</v>
      </c>
      <c r="L1260" s="1" t="str">
        <f ca="1">IFERROR(__xludf.DUMMYFUNCTION("""COMPUTED_VALUE"""),"Employer who appreciates learning and enables that environment")</f>
        <v>Employer who appreciates learning and enables that environment</v>
      </c>
      <c r="M1260"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260" s="1"/>
      <c r="O1260" s="1" t="str">
        <f ca="1">IFERROR(__xludf.DUMMYFUNCTION("""COMPUTED_VALUE"""),"Manager who clearly describes what she/he needs")</f>
        <v>Manager who clearly describes what she/he needs</v>
      </c>
      <c r="P1260" s="1" t="str">
        <f ca="1">IFERROR(__xludf.DUMMYFUNCTION("""COMPUTED_VALUE"""),"Work &gt;10 people in Team")</f>
        <v>Work &gt;10 people in Team</v>
      </c>
      <c r="Q1260" s="1" t="s">
        <v>40</v>
      </c>
      <c r="R1260" s="1"/>
    </row>
    <row r="1261" spans="1:18" x14ac:dyDescent="0.25">
      <c r="A1261" s="2">
        <f ca="1">IFERROR(__xludf.DUMMYFUNCTION("""COMPUTED_VALUE"""),45044.556126412)</f>
        <v>45044.556126411997</v>
      </c>
      <c r="B1261" s="1" t="str">
        <f ca="1">IFERROR(__xludf.DUMMYFUNCTION("""COMPUTED_VALUE"""),"India")</f>
        <v>India</v>
      </c>
      <c r="C1261" s="1">
        <f ca="1">IFERROR(__xludf.DUMMYFUNCTION("""COMPUTED_VALUE"""),502279)</f>
        <v>502279</v>
      </c>
      <c r="D1261" s="1" t="str">
        <f ca="1">IFERROR(__xludf.DUMMYFUNCTION("""COMPUTED_VALUE"""),"Female")</f>
        <v>Female</v>
      </c>
      <c r="E1261" s="1" t="str">
        <f ca="1">IFERROR(__xludf.DUMMYFUNCTION("""COMPUTED_VALUE"""),"My Parents")</f>
        <v>My Parents</v>
      </c>
      <c r="F1261" s="1" t="str">
        <f ca="1">IFERROR(__xludf.DUMMYFUNCTION("""COMPUTED_VALUE"""),"No I would not be pursuing Higher Education outside of India")</f>
        <v>No I would not be pursuing Higher Education outside of India</v>
      </c>
      <c r="G1261" s="1" t="str">
        <f ca="1">IFERROR(__xludf.DUMMYFUNCTION("""COMPUTED_VALUE"""),"This will be hard to do, but if it is the right company I would try")</f>
        <v>This will be hard to do, but if it is the right company I would try</v>
      </c>
      <c r="H1261" s="1" t="str">
        <f ca="1">IFERROR(__xludf.DUMMYFUNCTION("""COMPUTED_VALUE"""),"No")</f>
        <v>No</v>
      </c>
      <c r="I1261" s="1" t="str">
        <f ca="1">IFERROR(__xludf.DUMMYFUNCTION("""COMPUTED_VALUE"""),"Will NOT work for them")</f>
        <v>Will NOT work for them</v>
      </c>
      <c r="J1261" s="1">
        <f ca="1">IFERROR(__xludf.DUMMYFUNCTION("""COMPUTED_VALUE"""),5)</f>
        <v>5</v>
      </c>
      <c r="K1261" s="1" t="str">
        <f ca="1">IFERROR(__xludf.DUMMYFUNCTION("""COMPUTED_VALUE"""),"Hybrid Working Environment with more than 15 days a month at office")</f>
        <v>Hybrid Working Environment with more than 15 days a month at office</v>
      </c>
      <c r="L1261" s="1" t="str">
        <f ca="1">IFERROR(__xludf.DUMMYFUNCTION("""COMPUTED_VALUE"""),"Employer who appreciates learning and enables that environment")</f>
        <v>Employer who appreciates learning and enables that environment</v>
      </c>
      <c r="M1261"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N1261" s="1"/>
      <c r="O1261" s="1" t="str">
        <f ca="1">IFERROR(__xludf.DUMMYFUNCTION("""COMPUTED_VALUE"""),"Manager who explains what is expected, sets a goal and helps achieve it")</f>
        <v>Manager who explains what is expected, sets a goal and helps achieve it</v>
      </c>
      <c r="P1261" s="1" t="str">
        <f ca="1">IFERROR(__xludf.DUMMYFUNCTION("""COMPUTED_VALUE"""),"Work &lt;=6 People in the Team")</f>
        <v>Work &lt;=6 People in the Team</v>
      </c>
      <c r="Q1261" s="1" t="s">
        <v>43</v>
      </c>
      <c r="R1261" s="1"/>
    </row>
    <row r="1262" spans="1:18" x14ac:dyDescent="0.25">
      <c r="A1262" s="2">
        <f ca="1">IFERROR(__xludf.DUMMYFUNCTION("""COMPUTED_VALUE"""),45044.5567264814)</f>
        <v>45044.556726481402</v>
      </c>
      <c r="B1262" s="1" t="str">
        <f ca="1">IFERROR(__xludf.DUMMYFUNCTION("""COMPUTED_VALUE"""),"India")</f>
        <v>India</v>
      </c>
      <c r="C1262" s="1">
        <f ca="1">IFERROR(__xludf.DUMMYFUNCTION("""COMPUTED_VALUE"""),533448)</f>
        <v>533448</v>
      </c>
      <c r="D1262" s="1" t="str">
        <f ca="1">IFERROR(__xludf.DUMMYFUNCTION("""COMPUTED_VALUE"""),"Female")</f>
        <v>Female</v>
      </c>
      <c r="E1262" s="1" t="str">
        <f ca="1">IFERROR(__xludf.DUMMYFUNCTION("""COMPUTED_VALUE"""),"My Parents")</f>
        <v>My Parents</v>
      </c>
      <c r="F1262" s="1" t="str">
        <f ca="1">IFERROR(__xludf.DUMMYFUNCTION("""COMPUTED_VALUE"""),"No, But if someone could bare the cost I will")</f>
        <v>No, But if someone could bare the cost I will</v>
      </c>
      <c r="G1262" s="1" t="str">
        <f ca="1">IFERROR(__xludf.DUMMYFUNCTION("""COMPUTED_VALUE"""),"This will be hard to do, but if it is the right company I would try")</f>
        <v>This will be hard to do, but if it is the right company I would try</v>
      </c>
      <c r="H1262" s="1" t="str">
        <f ca="1">IFERROR(__xludf.DUMMYFUNCTION("""COMPUTED_VALUE"""),"No")</f>
        <v>No</v>
      </c>
      <c r="I1262" s="1" t="str">
        <f ca="1">IFERROR(__xludf.DUMMYFUNCTION("""COMPUTED_VALUE"""),"Will NOT work for them")</f>
        <v>Will NOT work for them</v>
      </c>
      <c r="J1262" s="1">
        <f ca="1">IFERROR(__xludf.DUMMYFUNCTION("""COMPUTED_VALUE"""),5)</f>
        <v>5</v>
      </c>
      <c r="K1262" s="1" t="str">
        <f ca="1">IFERROR(__xludf.DUMMYFUNCTION("""COMPUTED_VALUE"""),"Fully Remote with Options to travel as and when needed")</f>
        <v>Fully Remote with Options to travel as and when needed</v>
      </c>
      <c r="L1262" s="1" t="str">
        <f ca="1">IFERROR(__xludf.DUMMYFUNCTION("""COMPUTED_VALUE"""),"Employer who pushes your limits by enabling an learning environment, and rewards you at the end")</f>
        <v>Employer who pushes your limits by enabling an learning environment, and rewards you at the end</v>
      </c>
      <c r="M126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262" s="1"/>
      <c r="O1262" s="1" t="str">
        <f ca="1">IFERROR(__xludf.DUMMYFUNCTION("""COMPUTED_VALUE"""),"Manager who explains what is expected, sets a goal and helps achieve it")</f>
        <v>Manager who explains what is expected, sets a goal and helps achieve it</v>
      </c>
      <c r="P1262" s="1" t="str">
        <f ca="1">IFERROR(__xludf.DUMMYFUNCTION("""COMPUTED_VALUE"""),"Work Alone, &lt;67 people in team")</f>
        <v>Work Alone, &lt;67 people in team</v>
      </c>
      <c r="Q1262" s="1" t="s">
        <v>43</v>
      </c>
      <c r="R1262" s="1"/>
    </row>
    <row r="1263" spans="1:18" x14ac:dyDescent="0.25">
      <c r="A1263" s="2">
        <f ca="1">IFERROR(__xludf.DUMMYFUNCTION("""COMPUTED_VALUE"""),45044.5592689814)</f>
        <v>45044.5592689814</v>
      </c>
      <c r="B1263" s="1" t="str">
        <f ca="1">IFERROR(__xludf.DUMMYFUNCTION("""COMPUTED_VALUE"""),"India")</f>
        <v>India</v>
      </c>
      <c r="C1263" s="1">
        <f ca="1">IFERROR(__xludf.DUMMYFUNCTION("""COMPUTED_VALUE"""),533201)</f>
        <v>533201</v>
      </c>
      <c r="D1263" s="1" t="str">
        <f ca="1">IFERROR(__xludf.DUMMYFUNCTION("""COMPUTED_VALUE"""),"Male")</f>
        <v>Male</v>
      </c>
      <c r="E1263" s="1" t="str">
        <f ca="1">IFERROR(__xludf.DUMMYFUNCTION("""COMPUTED_VALUE"""),"People from my circle, but not family members")</f>
        <v>People from my circle, but not family members</v>
      </c>
      <c r="F1263" s="1" t="str">
        <f ca="1">IFERROR(__xludf.DUMMYFUNCTION("""COMPUTED_VALUE"""),"No, But if someone could bare the cost I will")</f>
        <v>No, But if someone could bare the cost I will</v>
      </c>
      <c r="G1263" s="1" t="str">
        <f ca="1">IFERROR(__xludf.DUMMYFUNCTION("""COMPUTED_VALUE"""),"Will work for 3 years or more")</f>
        <v>Will work for 3 years or more</v>
      </c>
      <c r="H1263" s="1" t="str">
        <f ca="1">IFERROR(__xludf.DUMMYFUNCTION("""COMPUTED_VALUE"""),"Yes")</f>
        <v>Yes</v>
      </c>
      <c r="I1263" s="1" t="str">
        <f ca="1">IFERROR(__xludf.DUMMYFUNCTION("""COMPUTED_VALUE"""),"Will NOT work for them")</f>
        <v>Will NOT work for them</v>
      </c>
      <c r="J1263" s="1">
        <f ca="1">IFERROR(__xludf.DUMMYFUNCTION("""COMPUTED_VALUE"""),8)</f>
        <v>8</v>
      </c>
      <c r="K1263" s="1" t="str">
        <f ca="1">IFERROR(__xludf.DUMMYFUNCTION("""COMPUTED_VALUE"""),"Hybrid Working Environment with more than 15 days a month at office")</f>
        <v>Hybrid Working Environment with more than 15 days a month at office</v>
      </c>
      <c r="L1263" s="1" t="str">
        <f ca="1">IFERROR(__xludf.DUMMYFUNCTION("""COMPUTED_VALUE"""),"Employer who pushes your limits by enabling an learning environment, and rewards you at the end")</f>
        <v>Employer who pushes your limits by enabling an learning environment, and rewards you at the end</v>
      </c>
      <c r="M1263"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1263" s="1"/>
      <c r="O1263" s="1" t="str">
        <f ca="1">IFERROR(__xludf.DUMMYFUNCTION("""COMPUTED_VALUE"""),"Manager who explains what is expected, sets a goal and helps achieve it")</f>
        <v>Manager who explains what is expected, sets a goal and helps achieve it</v>
      </c>
      <c r="P1263" s="1" t="str">
        <f ca="1">IFERROR(__xludf.DUMMYFUNCTION("""COMPUTED_VALUE"""),"Work &lt;=6 People in the Team")</f>
        <v>Work &lt;=6 People in the Team</v>
      </c>
      <c r="Q1263" s="1" t="s">
        <v>43</v>
      </c>
      <c r="R1263" s="1"/>
    </row>
    <row r="1264" spans="1:18" x14ac:dyDescent="0.25">
      <c r="A1264" s="2">
        <f ca="1">IFERROR(__xludf.DUMMYFUNCTION("""COMPUTED_VALUE"""),45044.5637063773)</f>
        <v>45044.563706377303</v>
      </c>
      <c r="B1264" s="1" t="str">
        <f ca="1">IFERROR(__xludf.DUMMYFUNCTION("""COMPUTED_VALUE"""),"India")</f>
        <v>India</v>
      </c>
      <c r="C1264" s="1">
        <f ca="1">IFERROR(__xludf.DUMMYFUNCTION("""COMPUTED_VALUE"""),560076)</f>
        <v>560076</v>
      </c>
      <c r="D1264" s="1" t="str">
        <f ca="1">IFERROR(__xludf.DUMMYFUNCTION("""COMPUTED_VALUE"""),"Female")</f>
        <v>Female</v>
      </c>
      <c r="E1264" s="1" t="str">
        <f ca="1">IFERROR(__xludf.DUMMYFUNCTION("""COMPUTED_VALUE"""),"People who have changed the world for better")</f>
        <v>People who have changed the world for better</v>
      </c>
      <c r="F1264" s="1" t="str">
        <f ca="1">IFERROR(__xludf.DUMMYFUNCTION("""COMPUTED_VALUE"""),"No, But if someone could bare the cost I will")</f>
        <v>No, But if someone could bare the cost I will</v>
      </c>
      <c r="G1264" s="1" t="str">
        <f ca="1">IFERROR(__xludf.DUMMYFUNCTION("""COMPUTED_VALUE"""),"This will be hard to do, but if it is the right company I would try")</f>
        <v>This will be hard to do, but if it is the right company I would try</v>
      </c>
      <c r="H1264" s="1" t="str">
        <f ca="1">IFERROR(__xludf.DUMMYFUNCTION("""COMPUTED_VALUE"""),"No")</f>
        <v>No</v>
      </c>
      <c r="I1264" s="1" t="str">
        <f ca="1">IFERROR(__xludf.DUMMYFUNCTION("""COMPUTED_VALUE"""),"Will NOT work for them")</f>
        <v>Will NOT work for them</v>
      </c>
      <c r="J1264" s="1">
        <f ca="1">IFERROR(__xludf.DUMMYFUNCTION("""COMPUTED_VALUE"""),1)</f>
        <v>1</v>
      </c>
      <c r="K1264" s="1" t="str">
        <f ca="1">IFERROR(__xludf.DUMMYFUNCTION("""COMPUTED_VALUE"""),"Fully Remote with Options to travel as and when needed")</f>
        <v>Fully Remote with Options to travel as and when needed</v>
      </c>
      <c r="L1264" s="1" t="str">
        <f ca="1">IFERROR(__xludf.DUMMYFUNCTION("""COMPUTED_VALUE"""),"Employer who pushes your limits by enabling an learning environment, and rewards you at the end")</f>
        <v>Employer who pushes your limits by enabling an learning environment, and rewards you at the end</v>
      </c>
      <c r="M1264"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N1264" s="1"/>
      <c r="O1264" s="1" t="str">
        <f ca="1">IFERROR(__xludf.DUMMYFUNCTION("""COMPUTED_VALUE"""),"Manager who explains what is expected, sets a goal and helps achieve it")</f>
        <v>Manager who explains what is expected, sets a goal and helps achieve it</v>
      </c>
      <c r="P1264" s="1" t="str">
        <f ca="1">IFERROR(__xludf.DUMMYFUNCTION("""COMPUTED_VALUE"""),"Work &gt;10 people in Team")</f>
        <v>Work &gt;10 people in Team</v>
      </c>
      <c r="Q1264" s="1" t="s">
        <v>43</v>
      </c>
      <c r="R1264" s="1"/>
    </row>
    <row r="1265" spans="1:18" x14ac:dyDescent="0.25">
      <c r="A1265" s="2">
        <f ca="1">IFERROR(__xludf.DUMMYFUNCTION("""COMPUTED_VALUE"""),45044.5678331828)</f>
        <v>45044.567833182802</v>
      </c>
      <c r="B1265" s="1" t="str">
        <f ca="1">IFERROR(__xludf.DUMMYFUNCTION("""COMPUTED_VALUE"""),"India")</f>
        <v>India</v>
      </c>
      <c r="C1265" s="1">
        <f ca="1">IFERROR(__xludf.DUMMYFUNCTION("""COMPUTED_VALUE"""),440024)</f>
        <v>440024</v>
      </c>
      <c r="D1265" s="1" t="str">
        <f ca="1">IFERROR(__xludf.DUMMYFUNCTION("""COMPUTED_VALUE"""),"Male")</f>
        <v>Male</v>
      </c>
      <c r="E1265" s="1" t="str">
        <f ca="1">IFERROR(__xludf.DUMMYFUNCTION("""COMPUTED_VALUE"""),"People who have changed the world for better")</f>
        <v>People who have changed the world for better</v>
      </c>
      <c r="F1265" s="1" t="str">
        <f ca="1">IFERROR(__xludf.DUMMYFUNCTION("""COMPUTED_VALUE"""),"No I would not be pursuing Higher Education outside of India")</f>
        <v>No I would not be pursuing Higher Education outside of India</v>
      </c>
      <c r="G1265" s="1" t="str">
        <f ca="1">IFERROR(__xludf.DUMMYFUNCTION("""COMPUTED_VALUE"""),"Will work for 3 years or more")</f>
        <v>Will work for 3 years or more</v>
      </c>
      <c r="H1265" s="1" t="str">
        <f ca="1">IFERROR(__xludf.DUMMYFUNCTION("""COMPUTED_VALUE"""),"No")</f>
        <v>No</v>
      </c>
      <c r="I1265" s="1" t="str">
        <f ca="1">IFERROR(__xludf.DUMMYFUNCTION("""COMPUTED_VALUE"""),"Will NOT work for them")</f>
        <v>Will NOT work for them</v>
      </c>
      <c r="J1265" s="1">
        <f ca="1">IFERROR(__xludf.DUMMYFUNCTION("""COMPUTED_VALUE"""),6)</f>
        <v>6</v>
      </c>
      <c r="K1265" s="1" t="str">
        <f ca="1">IFERROR(__xludf.DUMMYFUNCTION("""COMPUTED_VALUE"""),"Every Day Office Environment")</f>
        <v>Every Day Office Environment</v>
      </c>
      <c r="L1265" s="1" t="str">
        <f ca="1">IFERROR(__xludf.DUMMYFUNCTION("""COMPUTED_VALUE"""),"Employer who pushes your limits by enabling an learning environment, and rewards you at the end")</f>
        <v>Employer who pushes your limits by enabling an learning environment, and rewards you at the end</v>
      </c>
      <c r="M1265"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N1265" s="1"/>
      <c r="O1265" s="1" t="str">
        <f ca="1">IFERROR(__xludf.DUMMYFUNCTION("""COMPUTED_VALUE"""),"Manager who explains what is expected, sets a goal and helps achieve it")</f>
        <v>Manager who explains what is expected, sets a goal and helps achieve it</v>
      </c>
      <c r="P1265" s="1" t="str">
        <f ca="1">IFERROR(__xludf.DUMMYFUNCTION("""COMPUTED_VALUE"""),"Work Alone, &lt;67 people in team")</f>
        <v>Work Alone, &lt;67 people in team</v>
      </c>
      <c r="Q1265" s="1" t="s">
        <v>40</v>
      </c>
      <c r="R1265" s="1"/>
    </row>
    <row r="1266" spans="1:18" x14ac:dyDescent="0.25">
      <c r="A1266" s="2">
        <f ca="1">IFERROR(__xludf.DUMMYFUNCTION("""COMPUTED_VALUE"""),45044.5715935185)</f>
        <v>45044.5715935185</v>
      </c>
      <c r="B1266" s="1" t="str">
        <f ca="1">IFERROR(__xludf.DUMMYFUNCTION("""COMPUTED_VALUE"""),"India")</f>
        <v>India</v>
      </c>
      <c r="C1266" s="1">
        <f ca="1">IFERROR(__xludf.DUMMYFUNCTION("""COMPUTED_VALUE"""),533201)</f>
        <v>533201</v>
      </c>
      <c r="D1266" s="1" t="str">
        <f ca="1">IFERROR(__xludf.DUMMYFUNCTION("""COMPUTED_VALUE"""),"Male")</f>
        <v>Male</v>
      </c>
      <c r="E1266" s="1" t="str">
        <f ca="1">IFERROR(__xludf.DUMMYFUNCTION("""COMPUTED_VALUE"""),"My Parents")</f>
        <v>My Parents</v>
      </c>
      <c r="F1266" s="1" t="str">
        <f ca="1">IFERROR(__xludf.DUMMYFUNCTION("""COMPUTED_VALUE"""),"No I would not be pursuing Higher Education outside of India")</f>
        <v>No I would not be pursuing Higher Education outside of India</v>
      </c>
      <c r="G1266" s="1" t="str">
        <f ca="1">IFERROR(__xludf.DUMMYFUNCTION("""COMPUTED_VALUE"""),"This will be hard to do, but if it is the right company I would try")</f>
        <v>This will be hard to do, but if it is the right company I would try</v>
      </c>
      <c r="H1266" s="1" t="str">
        <f ca="1">IFERROR(__xludf.DUMMYFUNCTION("""COMPUTED_VALUE"""),"No")</f>
        <v>No</v>
      </c>
      <c r="I1266" s="1" t="str">
        <f ca="1">IFERROR(__xludf.DUMMYFUNCTION("""COMPUTED_VALUE"""),"Will NOT work for them")</f>
        <v>Will NOT work for them</v>
      </c>
      <c r="J1266" s="1">
        <f ca="1">IFERROR(__xludf.DUMMYFUNCTION("""COMPUTED_VALUE"""),7)</f>
        <v>7</v>
      </c>
      <c r="K1266" s="1" t="str">
        <f ca="1">IFERROR(__xludf.DUMMYFUNCTION("""COMPUTED_VALUE"""),"Fully Remote with Options to travel as and when needed")</f>
        <v>Fully Remote with Options to travel as and when needed</v>
      </c>
      <c r="L1266" s="1" t="str">
        <f ca="1">IFERROR(__xludf.DUMMYFUNCTION("""COMPUTED_VALUE"""),"Employer who pushes your limits by enabling an learning environment, and rewards you at the end")</f>
        <v>Employer who pushes your limits by enabling an learning environment, and rewards you at the end</v>
      </c>
      <c r="M1266"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N1266" s="1"/>
      <c r="O1266" s="1" t="str">
        <f ca="1">IFERROR(__xludf.DUMMYFUNCTION("""COMPUTED_VALUE"""),"Manager who sets goal and helps me achieve it")</f>
        <v>Manager who sets goal and helps me achieve it</v>
      </c>
      <c r="P1266" s="1" t="str">
        <f ca="1">IFERROR(__xludf.DUMMYFUNCTION("""COMPUTED_VALUE"""),"Work &gt;=7 People in the Team")</f>
        <v>Work &gt;=7 People in the Team</v>
      </c>
      <c r="Q1266" s="1" t="s">
        <v>43</v>
      </c>
      <c r="R1266" s="1"/>
    </row>
    <row r="1267" spans="1:18" x14ac:dyDescent="0.25">
      <c r="A1267" s="2">
        <f ca="1">IFERROR(__xludf.DUMMYFUNCTION("""COMPUTED_VALUE"""),45044.5754720601)</f>
        <v>45044.575472060103</v>
      </c>
      <c r="B1267" s="1" t="str">
        <f ca="1">IFERROR(__xludf.DUMMYFUNCTION("""COMPUTED_VALUE"""),"India")</f>
        <v>India</v>
      </c>
      <c r="C1267" s="1">
        <f ca="1">IFERROR(__xludf.DUMMYFUNCTION("""COMPUTED_VALUE"""),413001)</f>
        <v>413001</v>
      </c>
      <c r="D1267" s="1" t="str">
        <f ca="1">IFERROR(__xludf.DUMMYFUNCTION("""COMPUTED_VALUE"""),"Male")</f>
        <v>Male</v>
      </c>
      <c r="E1267" s="1" t="str">
        <f ca="1">IFERROR(__xludf.DUMMYFUNCTION("""COMPUTED_VALUE"""),"People who have changed the world for better")</f>
        <v>People who have changed the world for better</v>
      </c>
      <c r="F1267" s="1" t="str">
        <f ca="1">IFERROR(__xludf.DUMMYFUNCTION("""COMPUTED_VALUE"""),"Yes, I will earn and do that")</f>
        <v>Yes, I will earn and do that</v>
      </c>
      <c r="G1267" s="1" t="str">
        <f ca="1">IFERROR(__xludf.DUMMYFUNCTION("""COMPUTED_VALUE"""),"This will be hard to do, but if it is the right company I would try")</f>
        <v>This will be hard to do, but if it is the right company I would try</v>
      </c>
      <c r="H1267" s="1" t="str">
        <f ca="1">IFERROR(__xludf.DUMMYFUNCTION("""COMPUTED_VALUE"""),"No")</f>
        <v>No</v>
      </c>
      <c r="I1267" s="1" t="str">
        <f ca="1">IFERROR(__xludf.DUMMYFUNCTION("""COMPUTED_VALUE"""),"Will NOT work for them")</f>
        <v>Will NOT work for them</v>
      </c>
      <c r="J1267" s="1">
        <f ca="1">IFERROR(__xludf.DUMMYFUNCTION("""COMPUTED_VALUE"""),5)</f>
        <v>5</v>
      </c>
      <c r="K1267" s="1" t="str">
        <f ca="1">IFERROR(__xludf.DUMMYFUNCTION("""COMPUTED_VALUE"""),"Fully Remote with Options to travel as and when needed")</f>
        <v>Fully Remote with Options to travel as and when needed</v>
      </c>
      <c r="L1267" s="1" t="str">
        <f ca="1">IFERROR(__xludf.DUMMYFUNCTION("""COMPUTED_VALUE"""),"Employer who rewards learning and enables that environment")</f>
        <v>Employer who rewards learning and enables that environment</v>
      </c>
      <c r="M126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267" s="1"/>
      <c r="O1267" s="1" t="str">
        <f ca="1">IFERROR(__xludf.DUMMYFUNCTION("""COMPUTED_VALUE"""),"Manager who explains what is expected, sets a goal and helps achieve it")</f>
        <v>Manager who explains what is expected, sets a goal and helps achieve it</v>
      </c>
      <c r="P1267" s="1" t="str">
        <f ca="1">IFERROR(__xludf.DUMMYFUNCTION("""COMPUTED_VALUE"""),"Work &lt;=6 People in the Team")</f>
        <v>Work &lt;=6 People in the Team</v>
      </c>
      <c r="Q1267" s="1" t="s">
        <v>43</v>
      </c>
      <c r="R1267" s="1"/>
    </row>
    <row r="1268" spans="1:18" x14ac:dyDescent="0.25">
      <c r="A1268" s="2">
        <f ca="1">IFERROR(__xludf.DUMMYFUNCTION("""COMPUTED_VALUE"""),45044.5770264351)</f>
        <v>45044.577026435101</v>
      </c>
      <c r="B1268" s="1" t="str">
        <f ca="1">IFERROR(__xludf.DUMMYFUNCTION("""COMPUTED_VALUE"""),"India")</f>
        <v>India</v>
      </c>
      <c r="C1268" s="1">
        <f ca="1">IFERROR(__xludf.DUMMYFUNCTION("""COMPUTED_VALUE"""),518512)</f>
        <v>518512</v>
      </c>
      <c r="D1268" s="1" t="str">
        <f ca="1">IFERROR(__xludf.DUMMYFUNCTION("""COMPUTED_VALUE"""),"Male")</f>
        <v>Male</v>
      </c>
      <c r="E1268" s="1" t="str">
        <f ca="1">IFERROR(__xludf.DUMMYFUNCTION("""COMPUTED_VALUE"""),"My Parents")</f>
        <v>My Parents</v>
      </c>
      <c r="F1268" s="1" t="str">
        <f ca="1">IFERROR(__xludf.DUMMYFUNCTION("""COMPUTED_VALUE"""),"No I would not be pursuing Higher Education outside of India")</f>
        <v>No I would not be pursuing Higher Education outside of India</v>
      </c>
      <c r="G1268" s="1" t="str">
        <f ca="1">IFERROR(__xludf.DUMMYFUNCTION("""COMPUTED_VALUE"""),"Will work for 3 years or more")</f>
        <v>Will work for 3 years or more</v>
      </c>
      <c r="H1268" s="1" t="str">
        <f ca="1">IFERROR(__xludf.DUMMYFUNCTION("""COMPUTED_VALUE"""),"No")</f>
        <v>No</v>
      </c>
      <c r="I1268" s="1" t="str">
        <f ca="1">IFERROR(__xludf.DUMMYFUNCTION("""COMPUTED_VALUE"""),"Will NOT work for them")</f>
        <v>Will NOT work for them</v>
      </c>
      <c r="J1268" s="1">
        <f ca="1">IFERROR(__xludf.DUMMYFUNCTION("""COMPUTED_VALUE"""),5)</f>
        <v>5</v>
      </c>
      <c r="K1268" s="1" t="str">
        <f ca="1">IFERROR(__xludf.DUMMYFUNCTION("""COMPUTED_VALUE"""),"Hybrid Working Environment with more than 15 days a month at office")</f>
        <v>Hybrid Working Environment with more than 15 days a month at office</v>
      </c>
      <c r="L1268" s="1" t="str">
        <f ca="1">IFERROR(__xludf.DUMMYFUNCTION("""COMPUTED_VALUE"""),"Employer who appreciates learning and enables that environment")</f>
        <v>Employer who appreciates learning and enables that environment</v>
      </c>
      <c r="M126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268" s="1"/>
      <c r="O1268" s="1" t="str">
        <f ca="1">IFERROR(__xludf.DUMMYFUNCTION("""COMPUTED_VALUE"""),"Manager who explains what is expected, sets a goal and helps achieve it")</f>
        <v>Manager who explains what is expected, sets a goal and helps achieve it</v>
      </c>
      <c r="P1268" s="1" t="str">
        <f ca="1">IFERROR(__xludf.DUMMYFUNCTION("""COMPUTED_VALUE"""),"Work &gt;10 people in Team")</f>
        <v>Work &gt;10 people in Team</v>
      </c>
      <c r="Q1268" s="1" t="s">
        <v>40</v>
      </c>
      <c r="R1268" s="1"/>
    </row>
    <row r="1269" spans="1:18" x14ac:dyDescent="0.25">
      <c r="A1269" s="2">
        <f ca="1">IFERROR(__xludf.DUMMYFUNCTION("""COMPUTED_VALUE"""),45044.5775888773)</f>
        <v>45044.577588877299</v>
      </c>
      <c r="B1269" s="1" t="str">
        <f ca="1">IFERROR(__xludf.DUMMYFUNCTION("""COMPUTED_VALUE"""),"India")</f>
        <v>India</v>
      </c>
      <c r="C1269" s="1">
        <f ca="1">IFERROR(__xludf.DUMMYFUNCTION("""COMPUTED_VALUE"""),506314)</f>
        <v>506314</v>
      </c>
      <c r="D1269" s="1" t="str">
        <f ca="1">IFERROR(__xludf.DUMMYFUNCTION("""COMPUTED_VALUE"""),"Male")</f>
        <v>Male</v>
      </c>
      <c r="E1269" s="1" t="str">
        <f ca="1">IFERROR(__xludf.DUMMYFUNCTION("""COMPUTED_VALUE"""),"People who have changed the world for better")</f>
        <v>People who have changed the world for better</v>
      </c>
      <c r="F1269" s="1" t="str">
        <f ca="1">IFERROR(__xludf.DUMMYFUNCTION("""COMPUTED_VALUE"""),"No I would not be pursuing Higher Education outside of India")</f>
        <v>No I would not be pursuing Higher Education outside of India</v>
      </c>
      <c r="G1269" s="1" t="str">
        <f ca="1">IFERROR(__xludf.DUMMYFUNCTION("""COMPUTED_VALUE"""),"This will be hard to do, but if it is the right company I would try")</f>
        <v>This will be hard to do, but if it is the right company I would try</v>
      </c>
      <c r="H1269" s="1" t="str">
        <f ca="1">IFERROR(__xludf.DUMMYFUNCTION("""COMPUTED_VALUE"""),"No")</f>
        <v>No</v>
      </c>
      <c r="I1269" s="1" t="str">
        <f ca="1">IFERROR(__xludf.DUMMYFUNCTION("""COMPUTED_VALUE"""),"Will work for them")</f>
        <v>Will work for them</v>
      </c>
      <c r="J1269" s="1">
        <f ca="1">IFERROR(__xludf.DUMMYFUNCTION("""COMPUTED_VALUE"""),8)</f>
        <v>8</v>
      </c>
      <c r="K1269" s="1" t="str">
        <f ca="1">IFERROR(__xludf.DUMMYFUNCTION("""COMPUTED_VALUE"""),"Fully Remote with No option to visit offices")</f>
        <v>Fully Remote with No option to visit offices</v>
      </c>
      <c r="L1269" s="1" t="str">
        <f ca="1">IFERROR(__xludf.DUMMYFUNCTION("""COMPUTED_VALUE"""),"Employer who appreciates learning and enables that environment")</f>
        <v>Employer who appreciates learning and enables that environment</v>
      </c>
      <c r="M1269"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N1269" s="1"/>
      <c r="O1269" s="1" t="str">
        <f ca="1">IFERROR(__xludf.DUMMYFUNCTION("""COMPUTED_VALUE"""),"Manager who clearly describes what she/he needs")</f>
        <v>Manager who clearly describes what she/he needs</v>
      </c>
      <c r="P1269" s="1" t="str">
        <f ca="1">IFERROR(__xludf.DUMMYFUNCTION("""COMPUTED_VALUE"""),"Work &lt;67 People in the Team")</f>
        <v>Work &lt;67 People in the Team</v>
      </c>
      <c r="Q1269" s="1" t="s">
        <v>40</v>
      </c>
      <c r="R1269" s="1"/>
    </row>
    <row r="1270" spans="1:18" x14ac:dyDescent="0.25">
      <c r="A1270" s="2">
        <f ca="1">IFERROR(__xludf.DUMMYFUNCTION("""COMPUTED_VALUE"""),45044.5776126967)</f>
        <v>45044.577612696703</v>
      </c>
      <c r="B1270" s="1" t="str">
        <f ca="1">IFERROR(__xludf.DUMMYFUNCTION("""COMPUTED_VALUE"""),"India")</f>
        <v>India</v>
      </c>
      <c r="C1270" s="1">
        <f ca="1">IFERROR(__xludf.DUMMYFUNCTION("""COMPUTED_VALUE"""),500018)</f>
        <v>500018</v>
      </c>
      <c r="D1270" s="1" t="str">
        <f ca="1">IFERROR(__xludf.DUMMYFUNCTION("""COMPUTED_VALUE"""),"Male")</f>
        <v>Male</v>
      </c>
      <c r="E1270" s="1" t="str">
        <f ca="1">IFERROR(__xludf.DUMMYFUNCTION("""COMPUTED_VALUE"""),"People who have changed the world for better")</f>
        <v>People who have changed the world for better</v>
      </c>
      <c r="F1270" s="1" t="str">
        <f ca="1">IFERROR(__xludf.DUMMYFUNCTION("""COMPUTED_VALUE"""),"No, But if someone could bare the cost I will")</f>
        <v>No, But if someone could bare the cost I will</v>
      </c>
      <c r="G1270" s="1" t="str">
        <f ca="1">IFERROR(__xludf.DUMMYFUNCTION("""COMPUTED_VALUE"""),"Will work for 3 years or more")</f>
        <v>Will work for 3 years or more</v>
      </c>
      <c r="H1270" s="1" t="str">
        <f ca="1">IFERROR(__xludf.DUMMYFUNCTION("""COMPUTED_VALUE"""),"No")</f>
        <v>No</v>
      </c>
      <c r="I1270" s="1" t="str">
        <f ca="1">IFERROR(__xludf.DUMMYFUNCTION("""COMPUTED_VALUE"""),"Will NOT work for them")</f>
        <v>Will NOT work for them</v>
      </c>
      <c r="J1270" s="1">
        <f ca="1">IFERROR(__xludf.DUMMYFUNCTION("""COMPUTED_VALUE"""),1)</f>
        <v>1</v>
      </c>
      <c r="K1270" s="1" t="str">
        <f ca="1">IFERROR(__xludf.DUMMYFUNCTION("""COMPUTED_VALUE"""),"Every Day Office Environment")</f>
        <v>Every Day Office Environment</v>
      </c>
      <c r="L1270" s="1" t="str">
        <f ca="1">IFERROR(__xludf.DUMMYFUNCTION("""COMPUTED_VALUE"""),"Employer who pushes your limits by enabling an learning environment, and rewards you at the end")</f>
        <v>Employer who pushes your limits by enabling an learning environment, and rewards you at the end</v>
      </c>
      <c r="M1270" s="1" t="str">
        <f ca="1">IFERROR(__xludf.DUMMYFUNCTION("""COMPUTED_VALUE"""),"Become a content Creator in some platform, Entrepreneur or Start Up, I Want to sell things/Sales, Manufacturing / Oil and Gas/ Construction / Hard Physical Work related")</f>
        <v>Become a content Creator in some platform, Entrepreneur or Start Up, I Want to sell things/Sales, Manufacturing / Oil and Gas/ Construction / Hard Physical Work related</v>
      </c>
      <c r="N1270" s="1"/>
      <c r="O1270" s="1" t="str">
        <f ca="1">IFERROR(__xludf.DUMMYFUNCTION("""COMPUTED_VALUE"""),"Manager who explains what is expected, sets a goal and helps achieve it")</f>
        <v>Manager who explains what is expected, sets a goal and helps achieve it</v>
      </c>
      <c r="P1270" s="1" t="str">
        <f ca="1">IFERROR(__xludf.DUMMYFUNCTION("""COMPUTED_VALUE"""),"Work &lt;=6 People in the Team")</f>
        <v>Work &lt;=6 People in the Team</v>
      </c>
      <c r="Q1270" s="1" t="s">
        <v>43</v>
      </c>
      <c r="R1270" s="1"/>
    </row>
    <row r="1271" spans="1:18" x14ac:dyDescent="0.25">
      <c r="A1271" s="2">
        <f ca="1">IFERROR(__xludf.DUMMYFUNCTION("""COMPUTED_VALUE"""),45044.5784124652)</f>
        <v>45044.578412465198</v>
      </c>
      <c r="B1271" s="1" t="str">
        <f ca="1">IFERROR(__xludf.DUMMYFUNCTION("""COMPUTED_VALUE"""),"India")</f>
        <v>India</v>
      </c>
      <c r="C1271" s="1">
        <f ca="1">IFERROR(__xludf.DUMMYFUNCTION("""COMPUTED_VALUE"""),421503)</f>
        <v>421503</v>
      </c>
      <c r="D1271" s="1" t="str">
        <f ca="1">IFERROR(__xludf.DUMMYFUNCTION("""COMPUTED_VALUE"""),"Male")</f>
        <v>Male</v>
      </c>
      <c r="E1271" s="1" t="str">
        <f ca="1">IFERROR(__xludf.DUMMYFUNCTION("""COMPUTED_VALUE"""),"People who have changed the world for better")</f>
        <v>People who have changed the world for better</v>
      </c>
      <c r="F1271" s="1" t="str">
        <f ca="1">IFERROR(__xludf.DUMMYFUNCTION("""COMPUTED_VALUE"""),"No, But if someone could bare the cost I will")</f>
        <v>No, But if someone could bare the cost I will</v>
      </c>
      <c r="G1271" s="1" t="str">
        <f ca="1">IFERROR(__xludf.DUMMYFUNCTION("""COMPUTED_VALUE"""),"This will be hard to do, but if it is the right company I would try")</f>
        <v>This will be hard to do, but if it is the right company I would try</v>
      </c>
      <c r="H1271" s="1" t="str">
        <f ca="1">IFERROR(__xludf.DUMMYFUNCTION("""COMPUTED_VALUE"""),"No")</f>
        <v>No</v>
      </c>
      <c r="I1271" s="1" t="str">
        <f ca="1">IFERROR(__xludf.DUMMYFUNCTION("""COMPUTED_VALUE"""),"Will NOT work for them")</f>
        <v>Will NOT work for them</v>
      </c>
      <c r="J1271" s="1">
        <f ca="1">IFERROR(__xludf.DUMMYFUNCTION("""COMPUTED_VALUE"""),8)</f>
        <v>8</v>
      </c>
      <c r="K1271" s="1" t="str">
        <f ca="1">IFERROR(__xludf.DUMMYFUNCTION("""COMPUTED_VALUE"""),"Hybrid Working Environment with less than 3 days a month at office")</f>
        <v>Hybrid Working Environment with less than 3 days a month at office</v>
      </c>
      <c r="L1271" s="1" t="str">
        <f ca="1">IFERROR(__xludf.DUMMYFUNCTION("""COMPUTED_VALUE"""),"Employer who pushes your limits by enabling an learning environment, and rewards you at the end")</f>
        <v>Employer who pushes your limits by enabling an learning environment, and rewards you at the end</v>
      </c>
      <c r="M1271"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271" s="1"/>
      <c r="O1271" s="1" t="str">
        <f ca="1">IFERROR(__xludf.DUMMYFUNCTION("""COMPUTED_VALUE"""),"Manager who clearly describes what she/he needs")</f>
        <v>Manager who clearly describes what she/he needs</v>
      </c>
      <c r="P1271" s="1" t="str">
        <f ca="1">IFERROR(__xludf.DUMMYFUNCTION("""COMPUTED_VALUE"""),"Work &lt;=6 People in the Team")</f>
        <v>Work &lt;=6 People in the Team</v>
      </c>
      <c r="Q1271" s="1" t="s">
        <v>40</v>
      </c>
      <c r="R1271" s="1"/>
    </row>
    <row r="1272" spans="1:18" x14ac:dyDescent="0.25">
      <c r="A1272" s="2">
        <f ca="1">IFERROR(__xludf.DUMMYFUNCTION("""COMPUTED_VALUE"""),45044.5788726273)</f>
        <v>45044.578872627302</v>
      </c>
      <c r="B1272" s="1" t="str">
        <f ca="1">IFERROR(__xludf.DUMMYFUNCTION("""COMPUTED_VALUE"""),"India")</f>
        <v>India</v>
      </c>
      <c r="C1272" s="1">
        <f ca="1">IFERROR(__xludf.DUMMYFUNCTION("""COMPUTED_VALUE"""),411057)</f>
        <v>411057</v>
      </c>
      <c r="D1272" s="1" t="str">
        <f ca="1">IFERROR(__xludf.DUMMYFUNCTION("""COMPUTED_VALUE"""),"Male")</f>
        <v>Male</v>
      </c>
      <c r="E1272" s="1" t="str">
        <f ca="1">IFERROR(__xludf.DUMMYFUNCTION("""COMPUTED_VALUE"""),"People who have changed the world for better")</f>
        <v>People who have changed the world for better</v>
      </c>
      <c r="F1272" s="1" t="str">
        <f ca="1">IFERROR(__xludf.DUMMYFUNCTION("""COMPUTED_VALUE"""),"No, But if someone could bare the cost I will")</f>
        <v>No, But if someone could bare the cost I will</v>
      </c>
      <c r="G1272" s="1" t="str">
        <f ca="1">IFERROR(__xludf.DUMMYFUNCTION("""COMPUTED_VALUE"""),"This will be hard to do, but if it is the right company I would try")</f>
        <v>This will be hard to do, but if it is the right company I would try</v>
      </c>
      <c r="H1272" s="1" t="str">
        <f ca="1">IFERROR(__xludf.DUMMYFUNCTION("""COMPUTED_VALUE"""),"Yes")</f>
        <v>Yes</v>
      </c>
      <c r="I1272" s="1" t="str">
        <f ca="1">IFERROR(__xludf.DUMMYFUNCTION("""COMPUTED_VALUE"""),"Will work for them")</f>
        <v>Will work for them</v>
      </c>
      <c r="J1272" s="1">
        <f ca="1">IFERROR(__xludf.DUMMYFUNCTION("""COMPUTED_VALUE"""),8)</f>
        <v>8</v>
      </c>
      <c r="K1272" s="1" t="str">
        <f ca="1">IFERROR(__xludf.DUMMYFUNCTION("""COMPUTED_VALUE"""),"Fully Remote with Options to travel as and when needed")</f>
        <v>Fully Remote with Options to travel as and when needed</v>
      </c>
      <c r="L1272" s="1" t="str">
        <f ca="1">IFERROR(__xludf.DUMMYFUNCTION("""COMPUTED_VALUE"""),"Employer who appreciates learning and enables that environment")</f>
        <v>Employer who appreciates learning and enables that environment</v>
      </c>
      <c r="M1272"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N1272" s="1"/>
      <c r="O1272" s="1" t="str">
        <f ca="1">IFERROR(__xludf.DUMMYFUNCTION("""COMPUTED_VALUE"""),"Manager who clearly describes what she/he needs")</f>
        <v>Manager who clearly describes what she/he needs</v>
      </c>
      <c r="P1272" s="1" t="str">
        <f ca="1">IFERROR(__xludf.DUMMYFUNCTION("""COMPUTED_VALUE"""),"Work Alone, &lt;=6 in team")</f>
        <v>Work Alone, &lt;=6 in team</v>
      </c>
      <c r="Q1272" s="1" t="s">
        <v>43</v>
      </c>
      <c r="R1272" s="1"/>
    </row>
    <row r="1273" spans="1:18" x14ac:dyDescent="0.25">
      <c r="A1273" s="2">
        <f ca="1">IFERROR(__xludf.DUMMYFUNCTION("""COMPUTED_VALUE"""),45044.5817074768)</f>
        <v>45044.581707476798</v>
      </c>
      <c r="B1273" s="1" t="str">
        <f ca="1">IFERROR(__xludf.DUMMYFUNCTION("""COMPUTED_VALUE"""),"India")</f>
        <v>India</v>
      </c>
      <c r="C1273" s="1">
        <f ca="1">IFERROR(__xludf.DUMMYFUNCTION("""COMPUTED_VALUE"""),700029)</f>
        <v>700029</v>
      </c>
      <c r="D1273" s="1" t="str">
        <f ca="1">IFERROR(__xludf.DUMMYFUNCTION("""COMPUTED_VALUE"""),"Male")</f>
        <v>Male</v>
      </c>
      <c r="E1273" s="1" t="str">
        <f ca="1">IFERROR(__xludf.DUMMYFUNCTION("""COMPUTED_VALUE"""),"Social Media like LinkedIn")</f>
        <v>Social Media like LinkedIn</v>
      </c>
      <c r="F1273" s="1" t="str">
        <f ca="1">IFERROR(__xludf.DUMMYFUNCTION("""COMPUTED_VALUE"""),"Yes, I will earn and do that")</f>
        <v>Yes, I will earn and do that</v>
      </c>
      <c r="G1273" s="1" t="str">
        <f ca="1">IFERROR(__xludf.DUMMYFUNCTION("""COMPUTED_VALUE"""),"Will work for 3 years or more")</f>
        <v>Will work for 3 years or more</v>
      </c>
      <c r="H1273" s="1" t="str">
        <f ca="1">IFERROR(__xludf.DUMMYFUNCTION("""COMPUTED_VALUE"""),"No")</f>
        <v>No</v>
      </c>
      <c r="I1273" s="1" t="str">
        <f ca="1">IFERROR(__xludf.DUMMYFUNCTION("""COMPUTED_VALUE"""),"Will NOT work for them")</f>
        <v>Will NOT work for them</v>
      </c>
      <c r="J1273" s="1">
        <f ca="1">IFERROR(__xludf.DUMMYFUNCTION("""COMPUTED_VALUE"""),4)</f>
        <v>4</v>
      </c>
      <c r="K1273" s="1" t="str">
        <f ca="1">IFERROR(__xludf.DUMMYFUNCTION("""COMPUTED_VALUE"""),"Hybrid Working Environment with more than 15 days a month at office")</f>
        <v>Hybrid Working Environment with more than 15 days a month at office</v>
      </c>
      <c r="L1273" s="1" t="str">
        <f ca="1">IFERROR(__xludf.DUMMYFUNCTION("""COMPUTED_VALUE"""),"Employer who pushes your limits by enabling an learning environment, and rewards you at the end")</f>
        <v>Employer who pushes your limits by enabling an learning environment, and rewards you at the end</v>
      </c>
      <c r="M127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273" s="1"/>
      <c r="O1273" s="1" t="str">
        <f ca="1">IFERROR(__xludf.DUMMYFUNCTION("""COMPUTED_VALUE"""),"Manager who explains what is expected, sets a goal and helps achieve it")</f>
        <v>Manager who explains what is expected, sets a goal and helps achieve it</v>
      </c>
      <c r="P1273" s="1" t="str">
        <f ca="1">IFERROR(__xludf.DUMMYFUNCTION("""COMPUTED_VALUE"""),"Work &lt;=6 People in the Team")</f>
        <v>Work &lt;=6 People in the Team</v>
      </c>
      <c r="Q1273" s="1" t="s">
        <v>40</v>
      </c>
      <c r="R1273" s="1"/>
    </row>
    <row r="1274" spans="1:18" x14ac:dyDescent="0.25">
      <c r="A1274" s="2">
        <f ca="1">IFERROR(__xludf.DUMMYFUNCTION("""COMPUTED_VALUE"""),45044.5859137615)</f>
        <v>45044.585913761497</v>
      </c>
      <c r="B1274" s="1" t="str">
        <f ca="1">IFERROR(__xludf.DUMMYFUNCTION("""COMPUTED_VALUE"""),"India")</f>
        <v>India</v>
      </c>
      <c r="C1274" s="1">
        <f ca="1">IFERROR(__xludf.DUMMYFUNCTION("""COMPUTED_VALUE"""),400009)</f>
        <v>400009</v>
      </c>
      <c r="D1274" s="1" t="str">
        <f ca="1">IFERROR(__xludf.DUMMYFUNCTION("""COMPUTED_VALUE"""),"Female")</f>
        <v>Female</v>
      </c>
      <c r="E1274" s="1" t="str">
        <f ca="1">IFERROR(__xludf.DUMMYFUNCTION("""COMPUTED_VALUE"""),"My Parents")</f>
        <v>My Parents</v>
      </c>
      <c r="F1274" s="1" t="str">
        <f ca="1">IFERROR(__xludf.DUMMYFUNCTION("""COMPUTED_VALUE"""),"No, But if someone could bare the cost I will")</f>
        <v>No, But if someone could bare the cost I will</v>
      </c>
      <c r="G1274" s="1" t="str">
        <f ca="1">IFERROR(__xludf.DUMMYFUNCTION("""COMPUTED_VALUE"""),"Will work for 3 years or more")</f>
        <v>Will work for 3 years or more</v>
      </c>
      <c r="H1274" s="1" t="str">
        <f ca="1">IFERROR(__xludf.DUMMYFUNCTION("""COMPUTED_VALUE"""),"No")</f>
        <v>No</v>
      </c>
      <c r="I1274" s="1" t="str">
        <f ca="1">IFERROR(__xludf.DUMMYFUNCTION("""COMPUTED_VALUE"""),"Will NOT work for them")</f>
        <v>Will NOT work for them</v>
      </c>
      <c r="J1274" s="1">
        <f ca="1">IFERROR(__xludf.DUMMYFUNCTION("""COMPUTED_VALUE"""),3)</f>
        <v>3</v>
      </c>
      <c r="K1274" s="1" t="str">
        <f ca="1">IFERROR(__xludf.DUMMYFUNCTION("""COMPUTED_VALUE"""),"Hybrid Working Environment with more than 15 days a month at office")</f>
        <v>Hybrid Working Environment with more than 15 days a month at office</v>
      </c>
      <c r="L1274" s="1" t="str">
        <f ca="1">IFERROR(__xludf.DUMMYFUNCTION("""COMPUTED_VALUE"""),"Employer who pushes your limits by enabling an learning environment, and rewards you at the end")</f>
        <v>Employer who pushes your limits by enabling an learning environment, and rewards you at the end</v>
      </c>
      <c r="M1274"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N1274" s="1"/>
      <c r="O1274" s="1" t="str">
        <f ca="1">IFERROR(__xludf.DUMMYFUNCTION("""COMPUTED_VALUE"""),"Manager who explains what is expected, sets a goal and helps achieve it")</f>
        <v>Manager who explains what is expected, sets a goal and helps achieve it</v>
      </c>
      <c r="P1274" s="1" t="str">
        <f ca="1">IFERROR(__xludf.DUMMYFUNCTION("""COMPUTED_VALUE"""),"Work &lt;67 People in the Team")</f>
        <v>Work &lt;67 People in the Team</v>
      </c>
      <c r="Q1274" s="1" t="s">
        <v>40</v>
      </c>
      <c r="R1274" s="1"/>
    </row>
    <row r="1275" spans="1:18" x14ac:dyDescent="0.25">
      <c r="A1275" s="2">
        <f ca="1">IFERROR(__xludf.DUMMYFUNCTION("""COMPUTED_VALUE"""),45044.5884275925)</f>
        <v>45044.588427592498</v>
      </c>
      <c r="B1275" s="1" t="str">
        <f ca="1">IFERROR(__xludf.DUMMYFUNCTION("""COMPUTED_VALUE"""),"India")</f>
        <v>India</v>
      </c>
      <c r="C1275" s="1">
        <f ca="1">IFERROR(__xludf.DUMMYFUNCTION("""COMPUTED_VALUE"""),411044)</f>
        <v>411044</v>
      </c>
      <c r="D1275" s="1" t="str">
        <f ca="1">IFERROR(__xludf.DUMMYFUNCTION("""COMPUTED_VALUE"""),"Male")</f>
        <v>Male</v>
      </c>
      <c r="E1275" s="1" t="str">
        <f ca="1">IFERROR(__xludf.DUMMYFUNCTION("""COMPUTED_VALUE"""),"People who have changed the world for better")</f>
        <v>People who have changed the world for better</v>
      </c>
      <c r="F1275" s="1" t="str">
        <f ca="1">IFERROR(__xludf.DUMMYFUNCTION("""COMPUTED_VALUE"""),"Yes, I will earn and do that")</f>
        <v>Yes, I will earn and do that</v>
      </c>
      <c r="G1275" s="1" t="str">
        <f ca="1">IFERROR(__xludf.DUMMYFUNCTION("""COMPUTED_VALUE"""),"This will be hard to do, but if it is the right company I would try")</f>
        <v>This will be hard to do, but if it is the right company I would try</v>
      </c>
      <c r="H1275" s="1" t="str">
        <f ca="1">IFERROR(__xludf.DUMMYFUNCTION("""COMPUTED_VALUE"""),"No")</f>
        <v>No</v>
      </c>
      <c r="I1275" s="1" t="str">
        <f ca="1">IFERROR(__xludf.DUMMYFUNCTION("""COMPUTED_VALUE"""),"Will NOT work for them")</f>
        <v>Will NOT work for them</v>
      </c>
      <c r="J1275" s="1">
        <f ca="1">IFERROR(__xludf.DUMMYFUNCTION("""COMPUTED_VALUE"""),4)</f>
        <v>4</v>
      </c>
      <c r="K1275" s="1" t="str">
        <f ca="1">IFERROR(__xludf.DUMMYFUNCTION("""COMPUTED_VALUE"""),"Hybrid Working Environment with less than 3 days a month at office")</f>
        <v>Hybrid Working Environment with less than 3 days a month at office</v>
      </c>
      <c r="L1275" s="1" t="str">
        <f ca="1">IFERROR(__xludf.DUMMYFUNCTION("""COMPUTED_VALUE"""),"Employer who pushes your limits by enabling an learning environment, and rewards you at the end")</f>
        <v>Employer who pushes your limits by enabling an learning environment, and rewards you at the end</v>
      </c>
      <c r="M1275"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N1275" s="1"/>
      <c r="O1275" s="1" t="str">
        <f ca="1">IFERROR(__xludf.DUMMYFUNCTION("""COMPUTED_VALUE"""),"Manager who explains what is expected, sets a goal and helps achieve it")</f>
        <v>Manager who explains what is expected, sets a goal and helps achieve it</v>
      </c>
      <c r="P1275" s="1" t="str">
        <f ca="1">IFERROR(__xludf.DUMMYFUNCTION("""COMPUTED_VALUE"""),"Work &lt;=6 People in the Team")</f>
        <v>Work &lt;=6 People in the Team</v>
      </c>
      <c r="Q1275" s="1" t="s">
        <v>43</v>
      </c>
      <c r="R1275" s="1"/>
    </row>
    <row r="1276" spans="1:18" x14ac:dyDescent="0.25">
      <c r="A1276" s="2">
        <f ca="1">IFERROR(__xludf.DUMMYFUNCTION("""COMPUTED_VALUE"""),45044.588718773)</f>
        <v>45044.588718772997</v>
      </c>
      <c r="B1276" s="1" t="str">
        <f ca="1">IFERROR(__xludf.DUMMYFUNCTION("""COMPUTED_VALUE"""),"India")</f>
        <v>India</v>
      </c>
      <c r="C1276" s="1">
        <f ca="1">IFERROR(__xludf.DUMMYFUNCTION("""COMPUTED_VALUE"""),560036)</f>
        <v>560036</v>
      </c>
      <c r="D1276" s="1" t="str">
        <f ca="1">IFERROR(__xludf.DUMMYFUNCTION("""COMPUTED_VALUE"""),"Male")</f>
        <v>Male</v>
      </c>
      <c r="E1276" s="1" t="str">
        <f ca="1">IFERROR(__xludf.DUMMYFUNCTION("""COMPUTED_VALUE"""),"Social Media like LinkedIn")</f>
        <v>Social Media like LinkedIn</v>
      </c>
      <c r="F1276" s="1" t="str">
        <f ca="1">IFERROR(__xludf.DUMMYFUNCTION("""COMPUTED_VALUE"""),"No I would not be pursuing Higher Education outside of India")</f>
        <v>No I would not be pursuing Higher Education outside of India</v>
      </c>
      <c r="G1276" s="1" t="str">
        <f ca="1">IFERROR(__xludf.DUMMYFUNCTION("""COMPUTED_VALUE"""),"This will be hard to do, but if it is the right company I would try")</f>
        <v>This will be hard to do, but if it is the right company I would try</v>
      </c>
      <c r="H1276" s="1" t="str">
        <f ca="1">IFERROR(__xludf.DUMMYFUNCTION("""COMPUTED_VALUE"""),"Yes")</f>
        <v>Yes</v>
      </c>
      <c r="I1276" s="1" t="str">
        <f ca="1">IFERROR(__xludf.DUMMYFUNCTION("""COMPUTED_VALUE"""),"Will work for them")</f>
        <v>Will work for them</v>
      </c>
      <c r="J1276" s="1">
        <f ca="1">IFERROR(__xludf.DUMMYFUNCTION("""COMPUTED_VALUE"""),9)</f>
        <v>9</v>
      </c>
      <c r="K1276" s="1" t="str">
        <f ca="1">IFERROR(__xludf.DUMMYFUNCTION("""COMPUTED_VALUE"""),"Hybrid Working Environment with more than 15 days a month at office")</f>
        <v>Hybrid Working Environment with more than 15 days a month at office</v>
      </c>
      <c r="L1276" s="1" t="str">
        <f ca="1">IFERROR(__xludf.DUMMYFUNCTION("""COMPUTED_VALUE"""),"Employer who rewards learning and enables that environment")</f>
        <v>Employer who rewards learning and enables that environment</v>
      </c>
      <c r="M127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276" s="1"/>
      <c r="O1276" s="1" t="str">
        <f ca="1">IFERROR(__xludf.DUMMYFUNCTION("""COMPUTED_VALUE"""),"Manager who explains what is expected, sets a goal and helps achieve it")</f>
        <v>Manager who explains what is expected, sets a goal and helps achieve it</v>
      </c>
      <c r="P1276" s="1" t="str">
        <f ca="1">IFERROR(__xludf.DUMMYFUNCTION("""COMPUTED_VALUE"""),"Work &gt;10 people in Team")</f>
        <v>Work &gt;10 people in Team</v>
      </c>
      <c r="Q1276" s="1" t="s">
        <v>43</v>
      </c>
      <c r="R1276" s="1"/>
    </row>
    <row r="1277" spans="1:18" x14ac:dyDescent="0.25">
      <c r="A1277" s="2">
        <f ca="1">IFERROR(__xludf.DUMMYFUNCTION("""COMPUTED_VALUE"""),45044.5896024074)</f>
        <v>45044.589602407403</v>
      </c>
      <c r="B1277" s="1" t="str">
        <f ca="1">IFERROR(__xludf.DUMMYFUNCTION("""COMPUTED_VALUE"""),"India")</f>
        <v>India</v>
      </c>
      <c r="C1277" s="1">
        <f ca="1">IFERROR(__xludf.DUMMYFUNCTION("""COMPUTED_VALUE"""),500053)</f>
        <v>500053</v>
      </c>
      <c r="D1277" s="1" t="str">
        <f ca="1">IFERROR(__xludf.DUMMYFUNCTION("""COMPUTED_VALUE"""),"Male")</f>
        <v>Male</v>
      </c>
      <c r="E1277" s="1" t="str">
        <f ca="1">IFERROR(__xludf.DUMMYFUNCTION("""COMPUTED_VALUE"""),"People who have changed the world for better")</f>
        <v>People who have changed the world for better</v>
      </c>
      <c r="F1277" s="1" t="str">
        <f ca="1">IFERROR(__xludf.DUMMYFUNCTION("""COMPUTED_VALUE"""),"No I would not be pursuing Higher Education outside of India")</f>
        <v>No I would not be pursuing Higher Education outside of India</v>
      </c>
      <c r="G1277" s="1" t="str">
        <f ca="1">IFERROR(__xludf.DUMMYFUNCTION("""COMPUTED_VALUE"""),"Will work for 3 years or more")</f>
        <v>Will work for 3 years or more</v>
      </c>
      <c r="H1277" s="1" t="str">
        <f ca="1">IFERROR(__xludf.DUMMYFUNCTION("""COMPUTED_VALUE"""),"No")</f>
        <v>No</v>
      </c>
      <c r="I1277" s="1" t="str">
        <f ca="1">IFERROR(__xludf.DUMMYFUNCTION("""COMPUTED_VALUE"""),"Will NOT work for them")</f>
        <v>Will NOT work for them</v>
      </c>
      <c r="J1277" s="1">
        <f ca="1">IFERROR(__xludf.DUMMYFUNCTION("""COMPUTED_VALUE"""),1)</f>
        <v>1</v>
      </c>
      <c r="K1277" s="1" t="str">
        <f ca="1">IFERROR(__xludf.DUMMYFUNCTION("""COMPUTED_VALUE"""),"Fully Remote with Options to travel as and when needed")</f>
        <v>Fully Remote with Options to travel as and when needed</v>
      </c>
      <c r="L1277" s="1" t="str">
        <f ca="1">IFERROR(__xludf.DUMMYFUNCTION("""COMPUTED_VALUE"""),"Employer who pushes your limits by enabling an learning environment, and rewards you at the end")</f>
        <v>Employer who pushes your limits by enabling an learning environment, and rewards you at the end</v>
      </c>
      <c r="M1277"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N1277" s="1"/>
      <c r="O1277" s="1" t="str">
        <f ca="1">IFERROR(__xludf.DUMMYFUNCTION("""COMPUTED_VALUE"""),"Manager who clearly describes what she/he needs")</f>
        <v>Manager who clearly describes what she/he needs</v>
      </c>
      <c r="P1277" s="1" t="str">
        <f ca="1">IFERROR(__xludf.DUMMYFUNCTION("""COMPUTED_VALUE"""),"Work alone")</f>
        <v>Work alone</v>
      </c>
      <c r="Q1277" s="1" t="s">
        <v>43</v>
      </c>
      <c r="R1277" s="1"/>
    </row>
    <row r="1278" spans="1:18" x14ac:dyDescent="0.25">
      <c r="A1278" s="2">
        <f ca="1">IFERROR(__xludf.DUMMYFUNCTION("""COMPUTED_VALUE"""),45044.5902179513)</f>
        <v>45044.5902179513</v>
      </c>
      <c r="B1278" s="1" t="str">
        <f ca="1">IFERROR(__xludf.DUMMYFUNCTION("""COMPUTED_VALUE"""),"India")</f>
        <v>India</v>
      </c>
      <c r="C1278" s="1">
        <f ca="1">IFERROR(__xludf.DUMMYFUNCTION("""COMPUTED_VALUE"""),440013)</f>
        <v>440013</v>
      </c>
      <c r="D1278" s="1" t="str">
        <f ca="1">IFERROR(__xludf.DUMMYFUNCTION("""COMPUTED_VALUE"""),"Male")</f>
        <v>Male</v>
      </c>
      <c r="E1278" s="1" t="str">
        <f ca="1">IFERROR(__xludf.DUMMYFUNCTION("""COMPUTED_VALUE"""),"Influencers who had successful careers")</f>
        <v>Influencers who had successful careers</v>
      </c>
      <c r="F1278" s="1" t="str">
        <f ca="1">IFERROR(__xludf.DUMMYFUNCTION("""COMPUTED_VALUE"""),"No, But if someone could bare the cost I will")</f>
        <v>No, But if someone could bare the cost I will</v>
      </c>
      <c r="G1278" s="1" t="str">
        <f ca="1">IFERROR(__xludf.DUMMYFUNCTION("""COMPUTED_VALUE"""),"This will be hard to do, but if it is the right company I would try")</f>
        <v>This will be hard to do, but if it is the right company I would try</v>
      </c>
      <c r="H1278" s="1" t="str">
        <f ca="1">IFERROR(__xludf.DUMMYFUNCTION("""COMPUTED_VALUE"""),"Yes")</f>
        <v>Yes</v>
      </c>
      <c r="I1278" s="1" t="str">
        <f ca="1">IFERROR(__xludf.DUMMYFUNCTION("""COMPUTED_VALUE"""),"Will NOT work for them")</f>
        <v>Will NOT work for them</v>
      </c>
      <c r="J1278" s="1">
        <f ca="1">IFERROR(__xludf.DUMMYFUNCTION("""COMPUTED_VALUE"""),7)</f>
        <v>7</v>
      </c>
      <c r="K1278" s="1" t="str">
        <f ca="1">IFERROR(__xludf.DUMMYFUNCTION("""COMPUTED_VALUE"""),"Fully Remote with No option to visit offices")</f>
        <v>Fully Remote with No option to visit offices</v>
      </c>
      <c r="L1278" s="1" t="str">
        <f ca="1">IFERROR(__xludf.DUMMYFUNCTION("""COMPUTED_VALUE"""),"Employer who rewards learning and enables that environment")</f>
        <v>Employer who rewards learning and enables that environment</v>
      </c>
      <c r="M127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N1278" s="1"/>
      <c r="O1278" s="1" t="str">
        <f ca="1">IFERROR(__xludf.DUMMYFUNCTION("""COMPUTED_VALUE"""),"Manager who explains what is expected, sets a goal and helps achieve it")</f>
        <v>Manager who explains what is expected, sets a goal and helps achieve it</v>
      </c>
      <c r="P1278" s="1" t="str">
        <f ca="1">IFERROR(__xludf.DUMMYFUNCTION("""COMPUTED_VALUE"""),"Work &gt;10 people in Team")</f>
        <v>Work &gt;10 people in Team</v>
      </c>
      <c r="Q1278" s="1" t="s">
        <v>40</v>
      </c>
      <c r="R1278" s="1"/>
    </row>
    <row r="1279" spans="1:18" x14ac:dyDescent="0.25">
      <c r="A1279" s="2">
        <f ca="1">IFERROR(__xludf.DUMMYFUNCTION("""COMPUTED_VALUE"""),45044.5909910763)</f>
        <v>45044.5909910763</v>
      </c>
      <c r="B1279" s="1" t="str">
        <f ca="1">IFERROR(__xludf.DUMMYFUNCTION("""COMPUTED_VALUE"""),"India")</f>
        <v>India</v>
      </c>
      <c r="C1279" s="1">
        <f ca="1">IFERROR(__xludf.DUMMYFUNCTION("""COMPUTED_VALUE"""),221405)</f>
        <v>221405</v>
      </c>
      <c r="D1279" s="1" t="str">
        <f ca="1">IFERROR(__xludf.DUMMYFUNCTION("""COMPUTED_VALUE"""),"Female")</f>
        <v>Female</v>
      </c>
      <c r="E1279" s="1" t="str">
        <f ca="1">IFERROR(__xludf.DUMMYFUNCTION("""COMPUTED_VALUE"""),"My Parents")</f>
        <v>My Parents</v>
      </c>
      <c r="F1279" s="1" t="str">
        <f ca="1">IFERROR(__xludf.DUMMYFUNCTION("""COMPUTED_VALUE"""),"No, But if someone could bare the cost I will")</f>
        <v>No, But if someone could bare the cost I will</v>
      </c>
      <c r="G1279" s="1" t="str">
        <f ca="1">IFERROR(__xludf.DUMMYFUNCTION("""COMPUTED_VALUE"""),"Will work for 3 years or more")</f>
        <v>Will work for 3 years or more</v>
      </c>
      <c r="H1279" s="1" t="str">
        <f ca="1">IFERROR(__xludf.DUMMYFUNCTION("""COMPUTED_VALUE"""),"No")</f>
        <v>No</v>
      </c>
      <c r="I1279" s="1" t="str">
        <f ca="1">IFERROR(__xludf.DUMMYFUNCTION("""COMPUTED_VALUE"""),"Will NOT work for them")</f>
        <v>Will NOT work for them</v>
      </c>
      <c r="J1279" s="1">
        <f ca="1">IFERROR(__xludf.DUMMYFUNCTION("""COMPUTED_VALUE"""),6)</f>
        <v>6</v>
      </c>
      <c r="K1279" s="1" t="str">
        <f ca="1">IFERROR(__xludf.DUMMYFUNCTION("""COMPUTED_VALUE"""),"Every Day Office Environment")</f>
        <v>Every Day Office Environment</v>
      </c>
      <c r="L1279" s="1" t="str">
        <f ca="1">IFERROR(__xludf.DUMMYFUNCTION("""COMPUTED_VALUE"""),"Employer who appreciates learning and enables that environment")</f>
        <v>Employer who appreciates learning and enables that environment</v>
      </c>
      <c r="M1279"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N1279" s="1"/>
      <c r="O1279" s="1" t="str">
        <f ca="1">IFERROR(__xludf.DUMMYFUNCTION("""COMPUTED_VALUE"""),"Manager who sets goal and helps me achieve it")</f>
        <v>Manager who sets goal and helps me achieve it</v>
      </c>
      <c r="P1279" s="1" t="str">
        <f ca="1">IFERROR(__xludf.DUMMYFUNCTION("""COMPUTED_VALUE"""),"Work &lt;=6 People in the Team")</f>
        <v>Work &lt;=6 People in the Team</v>
      </c>
      <c r="Q1279" s="1" t="s">
        <v>43</v>
      </c>
      <c r="R1279" s="1"/>
    </row>
    <row r="1280" spans="1:18" x14ac:dyDescent="0.25">
      <c r="A1280" s="2">
        <f ca="1">IFERROR(__xludf.DUMMYFUNCTION("""COMPUTED_VALUE"""),45044.5945166319)</f>
        <v>45044.5945166319</v>
      </c>
      <c r="B1280" s="1" t="str">
        <f ca="1">IFERROR(__xludf.DUMMYFUNCTION("""COMPUTED_VALUE"""),"India")</f>
        <v>India</v>
      </c>
      <c r="C1280" s="1">
        <f ca="1">IFERROR(__xludf.DUMMYFUNCTION("""COMPUTED_VALUE"""),411058)</f>
        <v>411058</v>
      </c>
      <c r="D1280" s="1" t="str">
        <f ca="1">IFERROR(__xludf.DUMMYFUNCTION("""COMPUTED_VALUE"""),"Male")</f>
        <v>Male</v>
      </c>
      <c r="E1280" s="1" t="str">
        <f ca="1">IFERROR(__xludf.DUMMYFUNCTION("""COMPUTED_VALUE"""),"People from my circle, but not family members")</f>
        <v>People from my circle, but not family members</v>
      </c>
      <c r="F1280" s="1" t="str">
        <f ca="1">IFERROR(__xludf.DUMMYFUNCTION("""COMPUTED_VALUE"""),"No, But if someone could bare the cost I will")</f>
        <v>No, But if someone could bare the cost I will</v>
      </c>
      <c r="G1280" s="1" t="str">
        <f ca="1">IFERROR(__xludf.DUMMYFUNCTION("""COMPUTED_VALUE"""),"This will be hard to do, but if it is the right company I would try")</f>
        <v>This will be hard to do, but if it is the right company I would try</v>
      </c>
      <c r="H1280" s="1" t="str">
        <f ca="1">IFERROR(__xludf.DUMMYFUNCTION("""COMPUTED_VALUE"""),"Yes")</f>
        <v>Yes</v>
      </c>
      <c r="I1280" s="1" t="str">
        <f ca="1">IFERROR(__xludf.DUMMYFUNCTION("""COMPUTED_VALUE"""),"Will NOT work for them")</f>
        <v>Will NOT work for them</v>
      </c>
      <c r="J1280" s="1">
        <f ca="1">IFERROR(__xludf.DUMMYFUNCTION("""COMPUTED_VALUE"""),8)</f>
        <v>8</v>
      </c>
      <c r="K1280" s="1" t="str">
        <f ca="1">IFERROR(__xludf.DUMMYFUNCTION("""COMPUTED_VALUE"""),"Fully Remote with Options to travel as and when needed")</f>
        <v>Fully Remote with Options to travel as and when needed</v>
      </c>
      <c r="L1280" s="1" t="str">
        <f ca="1">IFERROR(__xludf.DUMMYFUNCTION("""COMPUTED_VALUE"""),"Employer who rewards learning and enables that environment")</f>
        <v>Employer who rewards learning and enables that environment</v>
      </c>
      <c r="M1280"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N1280" s="1"/>
      <c r="O1280" s="1" t="str">
        <f ca="1">IFERROR(__xludf.DUMMYFUNCTION("""COMPUTED_VALUE"""),"Manager who clearly describes what she/he needs")</f>
        <v>Manager who clearly describes what she/he needs</v>
      </c>
      <c r="P1280" s="1" t="str">
        <f ca="1">IFERROR(__xludf.DUMMYFUNCTION("""COMPUTED_VALUE"""),"Work &lt;=6 People in the Team")</f>
        <v>Work &lt;=6 People in the Team</v>
      </c>
      <c r="Q1280" s="1" t="s">
        <v>43</v>
      </c>
      <c r="R1280" s="1"/>
    </row>
    <row r="1281" spans="1:18" x14ac:dyDescent="0.25">
      <c r="A1281" s="2">
        <f ca="1">IFERROR(__xludf.DUMMYFUNCTION("""COMPUTED_VALUE"""),45044.5969660416)</f>
        <v>45044.596966041601</v>
      </c>
      <c r="B1281" s="1" t="str">
        <f ca="1">IFERROR(__xludf.DUMMYFUNCTION("""COMPUTED_VALUE"""),"India")</f>
        <v>India</v>
      </c>
      <c r="C1281" s="1">
        <f ca="1">IFERROR(__xludf.DUMMYFUNCTION("""COMPUTED_VALUE"""),520012)</f>
        <v>520012</v>
      </c>
      <c r="D1281" s="1" t="str">
        <f ca="1">IFERROR(__xludf.DUMMYFUNCTION("""COMPUTED_VALUE"""),"Female")</f>
        <v>Female</v>
      </c>
      <c r="E1281" s="1" t="str">
        <f ca="1">IFERROR(__xludf.DUMMYFUNCTION("""COMPUTED_VALUE"""),"People from my circle, but not family members")</f>
        <v>People from my circle, but not family members</v>
      </c>
      <c r="F1281" s="1" t="str">
        <f ca="1">IFERROR(__xludf.DUMMYFUNCTION("""COMPUTED_VALUE"""),"No I would not be pursuing Higher Education outside of India")</f>
        <v>No I would not be pursuing Higher Education outside of India</v>
      </c>
      <c r="G1281" s="1" t="str">
        <f ca="1">IFERROR(__xludf.DUMMYFUNCTION("""COMPUTED_VALUE"""),"This will be hard to do, but if it is the right company I would try")</f>
        <v>This will be hard to do, but if it is the right company I would try</v>
      </c>
      <c r="H1281" s="1" t="str">
        <f ca="1">IFERROR(__xludf.DUMMYFUNCTION("""COMPUTED_VALUE"""),"No")</f>
        <v>No</v>
      </c>
      <c r="I1281" s="1" t="str">
        <f ca="1">IFERROR(__xludf.DUMMYFUNCTION("""COMPUTED_VALUE"""),"Will NOT work for them")</f>
        <v>Will NOT work for them</v>
      </c>
      <c r="J1281" s="1">
        <f ca="1">IFERROR(__xludf.DUMMYFUNCTION("""COMPUTED_VALUE"""),5)</f>
        <v>5</v>
      </c>
      <c r="K1281" s="1" t="str">
        <f ca="1">IFERROR(__xludf.DUMMYFUNCTION("""COMPUTED_VALUE"""),"Every Day Office Environment")</f>
        <v>Every Day Office Environment</v>
      </c>
      <c r="L1281" s="1" t="str">
        <f ca="1">IFERROR(__xludf.DUMMYFUNCTION("""COMPUTED_VALUE"""),"Employer who appreciates learning and enables that environment")</f>
        <v>Employer who appreciates learning and enables that environment</v>
      </c>
      <c r="M1281"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N1281" s="1"/>
      <c r="O1281" s="1" t="str">
        <f ca="1">IFERROR(__xludf.DUMMYFUNCTION("""COMPUTED_VALUE"""),"Manager who clearly describes what she/he needs")</f>
        <v>Manager who clearly describes what she/he needs</v>
      </c>
      <c r="P1281" s="1" t="str">
        <f ca="1">IFERROR(__xludf.DUMMYFUNCTION("""COMPUTED_VALUE"""),"Work &lt;=6 People in the Team")</f>
        <v>Work &lt;=6 People in the Team</v>
      </c>
      <c r="Q1281" s="1" t="s">
        <v>40</v>
      </c>
      <c r="R1281" s="1"/>
    </row>
    <row r="1282" spans="1:18" x14ac:dyDescent="0.25">
      <c r="A1282" s="2">
        <f ca="1">IFERROR(__xludf.DUMMYFUNCTION("""COMPUTED_VALUE"""),45044.5971199884)</f>
        <v>45044.597119988401</v>
      </c>
      <c r="B1282" s="1" t="str">
        <f ca="1">IFERROR(__xludf.DUMMYFUNCTION("""COMPUTED_VALUE"""),"India")</f>
        <v>India</v>
      </c>
      <c r="C1282" s="1">
        <f ca="1">IFERROR(__xludf.DUMMYFUNCTION("""COMPUTED_VALUE"""),535002)</f>
        <v>535002</v>
      </c>
      <c r="D1282" s="1" t="str">
        <f ca="1">IFERROR(__xludf.DUMMYFUNCTION("""COMPUTED_VALUE"""),"Female")</f>
        <v>Female</v>
      </c>
      <c r="E1282" s="1" t="str">
        <f ca="1">IFERROR(__xludf.DUMMYFUNCTION("""COMPUTED_VALUE"""),"Social Media like LinkedIn")</f>
        <v>Social Media like LinkedIn</v>
      </c>
      <c r="F1282" s="1" t="str">
        <f ca="1">IFERROR(__xludf.DUMMYFUNCTION("""COMPUTED_VALUE"""),"No, But if someone could bare the cost I will")</f>
        <v>No, But if someone could bare the cost I will</v>
      </c>
      <c r="G1282" s="1" t="str">
        <f ca="1">IFERROR(__xludf.DUMMYFUNCTION("""COMPUTED_VALUE"""),"This will be hard to do, but if it is the right company I would try")</f>
        <v>This will be hard to do, but if it is the right company I would try</v>
      </c>
      <c r="H1282" s="1" t="str">
        <f ca="1">IFERROR(__xludf.DUMMYFUNCTION("""COMPUTED_VALUE"""),"No")</f>
        <v>No</v>
      </c>
      <c r="I1282" s="1" t="str">
        <f ca="1">IFERROR(__xludf.DUMMYFUNCTION("""COMPUTED_VALUE"""),"Will NOT work for them")</f>
        <v>Will NOT work for them</v>
      </c>
      <c r="J1282" s="1">
        <f ca="1">IFERROR(__xludf.DUMMYFUNCTION("""COMPUTED_VALUE"""),10)</f>
        <v>10</v>
      </c>
      <c r="K1282" s="1" t="str">
        <f ca="1">IFERROR(__xludf.DUMMYFUNCTION("""COMPUTED_VALUE"""),"Fully Remote with Options to travel as and when needed")</f>
        <v>Fully Remote with Options to travel as and when needed</v>
      </c>
      <c r="L1282" s="1" t="str">
        <f ca="1">IFERROR(__xludf.DUMMYFUNCTION("""COMPUTED_VALUE"""),"Employer who pushes your limits by enabling an learning environment, and rewards you at the end")</f>
        <v>Employer who pushes your limits by enabling an learning environment, and rewards you at the end</v>
      </c>
      <c r="M1282" s="1" t="str">
        <f ca="1">IFERROR(__xludf.DUMMYFUNCTION("""COMPUTED_VALUE"""),"Design and Creative strategy in any company, Business Operations in any organization, Work in a BPO setup for some well known client, Work as a freelancer and do my thing my way")</f>
        <v>Design and Creative strategy in any company, Business Operations in any organization, Work in a BPO setup for some well known client, Work as a freelancer and do my thing my way</v>
      </c>
      <c r="N1282" s="1"/>
      <c r="O1282" s="1" t="str">
        <f ca="1">IFERROR(__xludf.DUMMYFUNCTION("""COMPUTED_VALUE"""),"Manager who explains what is expected, sets a goal and helps achieve it")</f>
        <v>Manager who explains what is expected, sets a goal and helps achieve it</v>
      </c>
      <c r="P1282" s="1" t="str">
        <f ca="1">IFERROR(__xludf.DUMMYFUNCTION("""COMPUTED_VALUE"""),"Work  &lt;67 people in team")</f>
        <v>Work  &lt;67 people in team</v>
      </c>
      <c r="Q1282" s="1" t="s">
        <v>43</v>
      </c>
      <c r="R1282" s="1"/>
    </row>
    <row r="1283" spans="1:18" x14ac:dyDescent="0.25">
      <c r="A1283" s="2">
        <f ca="1">IFERROR(__xludf.DUMMYFUNCTION("""COMPUTED_VALUE"""),45044.597342905)</f>
        <v>45044.597342904999</v>
      </c>
      <c r="B1283" s="1" t="str">
        <f ca="1">IFERROR(__xludf.DUMMYFUNCTION("""COMPUTED_VALUE"""),"India")</f>
        <v>India</v>
      </c>
      <c r="C1283" s="1">
        <f ca="1">IFERROR(__xludf.DUMMYFUNCTION("""COMPUTED_VALUE"""),638401)</f>
        <v>638401</v>
      </c>
      <c r="D1283" s="1" t="str">
        <f ca="1">IFERROR(__xludf.DUMMYFUNCTION("""COMPUTED_VALUE"""),"Female")</f>
        <v>Female</v>
      </c>
      <c r="E1283" s="1" t="str">
        <f ca="1">IFERROR(__xludf.DUMMYFUNCTION("""COMPUTED_VALUE"""),"Influencers who had successful careers")</f>
        <v>Influencers who had successful careers</v>
      </c>
      <c r="F1283" s="1" t="str">
        <f ca="1">IFERROR(__xludf.DUMMYFUNCTION("""COMPUTED_VALUE"""),"Yes, I will earn and do that")</f>
        <v>Yes, I will earn and do that</v>
      </c>
      <c r="G1283" s="1" t="str">
        <f ca="1">IFERROR(__xludf.DUMMYFUNCTION("""COMPUTED_VALUE"""),"Will work for 3 years or more")</f>
        <v>Will work for 3 years or more</v>
      </c>
      <c r="H1283" s="1" t="str">
        <f ca="1">IFERROR(__xludf.DUMMYFUNCTION("""COMPUTED_VALUE"""),"Yes")</f>
        <v>Yes</v>
      </c>
      <c r="I1283" s="1" t="str">
        <f ca="1">IFERROR(__xludf.DUMMYFUNCTION("""COMPUTED_VALUE"""),"Will work for them")</f>
        <v>Will work for them</v>
      </c>
      <c r="J1283" s="1">
        <f ca="1">IFERROR(__xludf.DUMMYFUNCTION("""COMPUTED_VALUE"""),3)</f>
        <v>3</v>
      </c>
      <c r="K1283" s="1" t="str">
        <f ca="1">IFERROR(__xludf.DUMMYFUNCTION("""COMPUTED_VALUE"""),"Hybrid Working Environment with more than 15 days a month at office")</f>
        <v>Hybrid Working Environment with more than 15 days a month at office</v>
      </c>
      <c r="L1283" s="1" t="str">
        <f ca="1">IFERROR(__xludf.DUMMYFUNCTION("""COMPUTED_VALUE"""),"Employer who appreciates learning and enables that environment")</f>
        <v>Employer who appreciates learning and enables that environment</v>
      </c>
      <c r="M1283" s="1" t="str">
        <f ca="1">IFERROR(__xludf.DUMMYFUNCTION("""COMPUTED_VALUE"""),"Design and Creative strategy in any company, Manage and drive End-to-End Projects or Products, Design and Develop amazing software, Manufacturing / Oil and Gas/ Construction / Hard Physical Work related")</f>
        <v>Design and Creative strategy in any company, Manage and drive End-to-End Projects or Products, Design and Develop amazing software, Manufacturing / Oil and Gas/ Construction / Hard Physical Work related</v>
      </c>
      <c r="N1283" s="1"/>
      <c r="O1283" s="1" t="str">
        <f ca="1">IFERROR(__xludf.DUMMYFUNCTION("""COMPUTED_VALUE"""),"Manager who explains what is expected, sets a goal and helps achieve it")</f>
        <v>Manager who explains what is expected, sets a goal and helps achieve it</v>
      </c>
      <c r="P1283" s="1" t="str">
        <f ca="1">IFERROR(__xludf.DUMMYFUNCTION("""COMPUTED_VALUE"""),"Work &lt;67 People in the Team")</f>
        <v>Work &lt;67 People in the Team</v>
      </c>
      <c r="Q1283" s="1" t="s">
        <v>42</v>
      </c>
      <c r="R1283" s="1"/>
    </row>
    <row r="1284" spans="1:18" x14ac:dyDescent="0.25">
      <c r="A1284" s="2">
        <f ca="1">IFERROR(__xludf.DUMMYFUNCTION("""COMPUTED_VALUE"""),45044.597407743)</f>
        <v>45044.597407743</v>
      </c>
      <c r="B1284" s="1" t="str">
        <f ca="1">IFERROR(__xludf.DUMMYFUNCTION("""COMPUTED_VALUE"""),"India")</f>
        <v>India</v>
      </c>
      <c r="C1284" s="1">
        <f ca="1">IFERROR(__xludf.DUMMYFUNCTION("""COMPUTED_VALUE"""),500040)</f>
        <v>500040</v>
      </c>
      <c r="D1284" s="1" t="str">
        <f ca="1">IFERROR(__xludf.DUMMYFUNCTION("""COMPUTED_VALUE"""),"Female")</f>
        <v>Female</v>
      </c>
      <c r="E1284" s="1" t="str">
        <f ca="1">IFERROR(__xludf.DUMMYFUNCTION("""COMPUTED_VALUE"""),"People from my circle, but not family members")</f>
        <v>People from my circle, but not family members</v>
      </c>
      <c r="F1284" s="1" t="str">
        <f ca="1">IFERROR(__xludf.DUMMYFUNCTION("""COMPUTED_VALUE"""),"Yes, I will earn and do that")</f>
        <v>Yes, I will earn and do that</v>
      </c>
      <c r="G1284" s="1" t="str">
        <f ca="1">IFERROR(__xludf.DUMMYFUNCTION("""COMPUTED_VALUE"""),"Will work for 3 years or more")</f>
        <v>Will work for 3 years or more</v>
      </c>
      <c r="H1284" s="1" t="str">
        <f ca="1">IFERROR(__xludf.DUMMYFUNCTION("""COMPUTED_VALUE"""),"No")</f>
        <v>No</v>
      </c>
      <c r="I1284" s="1" t="str">
        <f ca="1">IFERROR(__xludf.DUMMYFUNCTION("""COMPUTED_VALUE"""),"Will NOT work for them")</f>
        <v>Will NOT work for them</v>
      </c>
      <c r="J1284" s="1">
        <f ca="1">IFERROR(__xludf.DUMMYFUNCTION("""COMPUTED_VALUE"""),6)</f>
        <v>6</v>
      </c>
      <c r="K1284" s="1" t="str">
        <f ca="1">IFERROR(__xludf.DUMMYFUNCTION("""COMPUTED_VALUE"""),"Fully Remote with Options to travel as and when needed")</f>
        <v>Fully Remote with Options to travel as and when needed</v>
      </c>
      <c r="L1284" s="1" t="str">
        <f ca="1">IFERROR(__xludf.DUMMYFUNCTION("""COMPUTED_VALUE"""),"Employer who pushes your limits by enabling an learning environment, and rewards you at the end")</f>
        <v>Employer who pushes your limits by enabling an learning environment, and rewards you at the end</v>
      </c>
      <c r="M128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284" s="1"/>
      <c r="O1284" s="1" t="str">
        <f ca="1">IFERROR(__xludf.DUMMYFUNCTION("""COMPUTED_VALUE"""),"Manager who explains what is expected, sets a goal and helps achieve it")</f>
        <v>Manager who explains what is expected, sets a goal and helps achieve it</v>
      </c>
      <c r="P1284" s="1" t="str">
        <f ca="1">IFERROR(__xludf.DUMMYFUNCTION("""COMPUTED_VALUE"""),"Work &lt;=6 People in the Team")</f>
        <v>Work &lt;=6 People in the Team</v>
      </c>
      <c r="Q1284" s="1" t="s">
        <v>40</v>
      </c>
      <c r="R1284" s="1"/>
    </row>
    <row r="1285" spans="1:18" x14ac:dyDescent="0.25">
      <c r="A1285" s="2">
        <f ca="1">IFERROR(__xludf.DUMMYFUNCTION("""COMPUTED_VALUE"""),45044.5997195485)</f>
        <v>45044.599719548503</v>
      </c>
      <c r="B1285" s="1" t="str">
        <f ca="1">IFERROR(__xludf.DUMMYFUNCTION("""COMPUTED_VALUE"""),"India")</f>
        <v>India</v>
      </c>
      <c r="C1285" s="1">
        <f ca="1">IFERROR(__xludf.DUMMYFUNCTION("""COMPUTED_VALUE"""),641006)</f>
        <v>641006</v>
      </c>
      <c r="D1285" s="1" t="str">
        <f ca="1">IFERROR(__xludf.DUMMYFUNCTION("""COMPUTED_VALUE"""),"Female")</f>
        <v>Female</v>
      </c>
      <c r="E1285" s="1" t="str">
        <f ca="1">IFERROR(__xludf.DUMMYFUNCTION("""COMPUTED_VALUE"""),"My Parents")</f>
        <v>My Parents</v>
      </c>
      <c r="F1285" s="1" t="str">
        <f ca="1">IFERROR(__xludf.DUMMYFUNCTION("""COMPUTED_VALUE"""),"No I would not be pursuing Higher Education outside of India")</f>
        <v>No I would not be pursuing Higher Education outside of India</v>
      </c>
      <c r="G1285" s="1" t="str">
        <f ca="1">IFERROR(__xludf.DUMMYFUNCTION("""COMPUTED_VALUE"""),"This will be hard to do, but if it is the right company I would try")</f>
        <v>This will be hard to do, but if it is the right company I would try</v>
      </c>
      <c r="H1285" s="1" t="str">
        <f ca="1">IFERROR(__xludf.DUMMYFUNCTION("""COMPUTED_VALUE"""),"No")</f>
        <v>No</v>
      </c>
      <c r="I1285" s="1" t="str">
        <f ca="1">IFERROR(__xludf.DUMMYFUNCTION("""COMPUTED_VALUE"""),"Will NOT work for them")</f>
        <v>Will NOT work for them</v>
      </c>
      <c r="J1285" s="1">
        <f ca="1">IFERROR(__xludf.DUMMYFUNCTION("""COMPUTED_VALUE"""),1)</f>
        <v>1</v>
      </c>
      <c r="K1285" s="1" t="str">
        <f ca="1">IFERROR(__xludf.DUMMYFUNCTION("""COMPUTED_VALUE"""),"Fully Remote with Options to travel as and when needed")</f>
        <v>Fully Remote with Options to travel as and when needed</v>
      </c>
      <c r="L1285" s="1" t="str">
        <f ca="1">IFERROR(__xludf.DUMMYFUNCTION("""COMPUTED_VALUE"""),"Employer who pushes your limits by enabling an learning environment, and rewards you at the end")</f>
        <v>Employer who pushes your limits by enabling an learning environment, and rewards you at the end</v>
      </c>
      <c r="M1285" s="1" t="str">
        <f ca="1">IFERROR(__xludf.DUMMYFUNCTION("""COMPUTED_VALUE"""),"Design and Creative strategy in any company, Manage and drive End-to-End Projects or Products, Design and Develop amazing software, Become a content Creator in some platform")</f>
        <v>Design and Creative strategy in any company, Manage and drive End-to-End Projects or Products, Design and Develop amazing software, Become a content Creator in some platform</v>
      </c>
      <c r="N1285" s="1"/>
      <c r="O1285" s="1" t="str">
        <f ca="1">IFERROR(__xludf.DUMMYFUNCTION("""COMPUTED_VALUE"""),"Manager who explains what is expected, sets a goal and helps achieve it")</f>
        <v>Manager who explains what is expected, sets a goal and helps achieve it</v>
      </c>
      <c r="P1285" s="1" t="str">
        <f ca="1">IFERROR(__xludf.DUMMYFUNCTION("""COMPUTED_VALUE"""),"Work &gt;=7 People in the Team")</f>
        <v>Work &gt;=7 People in the Team</v>
      </c>
      <c r="Q1285" s="1" t="s">
        <v>43</v>
      </c>
      <c r="R1285" s="1"/>
    </row>
    <row r="1286" spans="1:18" x14ac:dyDescent="0.25">
      <c r="A1286" s="2">
        <f ca="1">IFERROR(__xludf.DUMMYFUNCTION("""COMPUTED_VALUE"""),45044.5998415625)</f>
        <v>45044.5998415625</v>
      </c>
      <c r="B1286" s="1" t="str">
        <f ca="1">IFERROR(__xludf.DUMMYFUNCTION("""COMPUTED_VALUE"""),"India")</f>
        <v>India</v>
      </c>
      <c r="C1286" s="1">
        <f ca="1">IFERROR(__xludf.DUMMYFUNCTION("""COMPUTED_VALUE"""),600097)</f>
        <v>600097</v>
      </c>
      <c r="D1286" s="1" t="str">
        <f ca="1">IFERROR(__xludf.DUMMYFUNCTION("""COMPUTED_VALUE"""),"Female")</f>
        <v>Female</v>
      </c>
      <c r="E1286" s="1" t="str">
        <f ca="1">IFERROR(__xludf.DUMMYFUNCTION("""COMPUTED_VALUE"""),"Social Media like LinkedIn")</f>
        <v>Social Media like LinkedIn</v>
      </c>
      <c r="F1286" s="1" t="str">
        <f ca="1">IFERROR(__xludf.DUMMYFUNCTION("""COMPUTED_VALUE"""),"No I would not be pursuing Higher Education outside of India")</f>
        <v>No I would not be pursuing Higher Education outside of India</v>
      </c>
      <c r="G1286" s="1" t="str">
        <f ca="1">IFERROR(__xludf.DUMMYFUNCTION("""COMPUTED_VALUE"""),"Will work for 3 years or more")</f>
        <v>Will work for 3 years or more</v>
      </c>
      <c r="H1286" s="1" t="str">
        <f ca="1">IFERROR(__xludf.DUMMYFUNCTION("""COMPUTED_VALUE"""),"Yes")</f>
        <v>Yes</v>
      </c>
      <c r="I1286" s="1" t="str">
        <f ca="1">IFERROR(__xludf.DUMMYFUNCTION("""COMPUTED_VALUE"""),"Will work for them")</f>
        <v>Will work for them</v>
      </c>
      <c r="J1286" s="1">
        <f ca="1">IFERROR(__xludf.DUMMYFUNCTION("""COMPUTED_VALUE"""),7)</f>
        <v>7</v>
      </c>
      <c r="K1286" s="1" t="str">
        <f ca="1">IFERROR(__xludf.DUMMYFUNCTION("""COMPUTED_VALUE"""),"Every Day Office Environment")</f>
        <v>Every Day Office Environment</v>
      </c>
      <c r="L1286" s="1" t="str">
        <f ca="1">IFERROR(__xludf.DUMMYFUNCTION("""COMPUTED_VALUE"""),"Employer who appreciates learning and enables that environment")</f>
        <v>Employer who appreciates learning and enables that environment</v>
      </c>
      <c r="M128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286" s="1"/>
      <c r="O1286" s="1" t="str">
        <f ca="1">IFERROR(__xludf.DUMMYFUNCTION("""COMPUTED_VALUE"""),"Manager who sets goal and helps me achieve it")</f>
        <v>Manager who sets goal and helps me achieve it</v>
      </c>
      <c r="P1286" s="1" t="str">
        <f ca="1">IFERROR(__xludf.DUMMYFUNCTION("""COMPUTED_VALUE"""),"Work &lt;=6 People in the Team")</f>
        <v>Work &lt;=6 People in the Team</v>
      </c>
      <c r="Q1286" s="1" t="s">
        <v>43</v>
      </c>
      <c r="R1286" s="1"/>
    </row>
    <row r="1287" spans="1:18" x14ac:dyDescent="0.25">
      <c r="A1287" s="2">
        <f ca="1">IFERROR(__xludf.DUMMYFUNCTION("""COMPUTED_VALUE"""),45044.6019964814)</f>
        <v>45044.601996481397</v>
      </c>
      <c r="B1287" s="1" t="str">
        <f ca="1">IFERROR(__xludf.DUMMYFUNCTION("""COMPUTED_VALUE"""),"India")</f>
        <v>India</v>
      </c>
      <c r="C1287" s="1">
        <f ca="1">IFERROR(__xludf.DUMMYFUNCTION("""COMPUTED_VALUE"""),620002)</f>
        <v>620002</v>
      </c>
      <c r="D1287" s="1" t="str">
        <f ca="1">IFERROR(__xludf.DUMMYFUNCTION("""COMPUTED_VALUE"""),"Male")</f>
        <v>Male</v>
      </c>
      <c r="E1287" s="1" t="str">
        <f ca="1">IFERROR(__xludf.DUMMYFUNCTION("""COMPUTED_VALUE"""),"People from my circle, but not family members")</f>
        <v>People from my circle, but not family members</v>
      </c>
      <c r="F1287" s="1" t="str">
        <f ca="1">IFERROR(__xludf.DUMMYFUNCTION("""COMPUTED_VALUE"""),"No I would not be pursuing Higher Education outside of India")</f>
        <v>No I would not be pursuing Higher Education outside of India</v>
      </c>
      <c r="G1287" s="1" t="str">
        <f ca="1">IFERROR(__xludf.DUMMYFUNCTION("""COMPUTED_VALUE"""),"This will be hard to do, but if it is the right company I would try")</f>
        <v>This will be hard to do, but if it is the right company I would try</v>
      </c>
      <c r="H1287" s="1" t="str">
        <f ca="1">IFERROR(__xludf.DUMMYFUNCTION("""COMPUTED_VALUE"""),"Yes")</f>
        <v>Yes</v>
      </c>
      <c r="I1287" s="1" t="str">
        <f ca="1">IFERROR(__xludf.DUMMYFUNCTION("""COMPUTED_VALUE"""),"Will work for them")</f>
        <v>Will work for them</v>
      </c>
      <c r="J1287" s="1">
        <f ca="1">IFERROR(__xludf.DUMMYFUNCTION("""COMPUTED_VALUE"""),8)</f>
        <v>8</v>
      </c>
      <c r="K1287" s="1" t="str">
        <f ca="1">IFERROR(__xludf.DUMMYFUNCTION("""COMPUTED_VALUE"""),"Fully Remote with Options to travel as and when needed")</f>
        <v>Fully Remote with Options to travel as and when needed</v>
      </c>
      <c r="L1287" s="1" t="str">
        <f ca="1">IFERROR(__xludf.DUMMYFUNCTION("""COMPUTED_VALUE"""),"Employer who pushes your limits by enabling an learning environment, and rewards you at the end")</f>
        <v>Employer who pushes your limits by enabling an learning environment, and rewards you at the end</v>
      </c>
      <c r="M1287"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N1287" s="1"/>
      <c r="O1287" s="1" t="str">
        <f ca="1">IFERROR(__xludf.DUMMYFUNCTION("""COMPUTED_VALUE"""),"Manager who explains what is expected, sets a goal and helps achieve it")</f>
        <v>Manager who explains what is expected, sets a goal and helps achieve it</v>
      </c>
      <c r="P1287" s="1" t="str">
        <f ca="1">IFERROR(__xludf.DUMMYFUNCTION("""COMPUTED_VALUE"""),"Work &lt;=6 People in the Team")</f>
        <v>Work &lt;=6 People in the Team</v>
      </c>
      <c r="Q1287" s="1" t="s">
        <v>43</v>
      </c>
      <c r="R1287" s="1"/>
    </row>
    <row r="1288" spans="1:18" x14ac:dyDescent="0.25">
      <c r="A1288" s="2">
        <f ca="1">IFERROR(__xludf.DUMMYFUNCTION("""COMPUTED_VALUE"""),45044.6062491087)</f>
        <v>45044.6062491087</v>
      </c>
      <c r="B1288" s="1" t="str">
        <f ca="1">IFERROR(__xludf.DUMMYFUNCTION("""COMPUTED_VALUE"""),"India")</f>
        <v>India</v>
      </c>
      <c r="C1288" s="1">
        <f ca="1">IFERROR(__xludf.DUMMYFUNCTION("""COMPUTED_VALUE"""),642114)</f>
        <v>642114</v>
      </c>
      <c r="D1288" s="1" t="str">
        <f ca="1">IFERROR(__xludf.DUMMYFUNCTION("""COMPUTED_VALUE"""),"Male")</f>
        <v>Male</v>
      </c>
      <c r="E1288" s="1" t="str">
        <f ca="1">IFERROR(__xludf.DUMMYFUNCTION("""COMPUTED_VALUE"""),"People from my circle, but not family members")</f>
        <v>People from my circle, but not family members</v>
      </c>
      <c r="F1288" s="1" t="str">
        <f ca="1">IFERROR(__xludf.DUMMYFUNCTION("""COMPUTED_VALUE"""),"No I would not be pursuing Higher Education outside of India")</f>
        <v>No I would not be pursuing Higher Education outside of India</v>
      </c>
      <c r="G1288" s="1" t="str">
        <f ca="1">IFERROR(__xludf.DUMMYFUNCTION("""COMPUTED_VALUE"""),"No way")</f>
        <v>No way</v>
      </c>
      <c r="H1288" s="1" t="str">
        <f ca="1">IFERROR(__xludf.DUMMYFUNCTION("""COMPUTED_VALUE"""),"No")</f>
        <v>No</v>
      </c>
      <c r="I1288" s="1" t="str">
        <f ca="1">IFERROR(__xludf.DUMMYFUNCTION("""COMPUTED_VALUE"""),"Will NOT work for them")</f>
        <v>Will NOT work for them</v>
      </c>
      <c r="J1288" s="1">
        <f ca="1">IFERROR(__xludf.DUMMYFUNCTION("""COMPUTED_VALUE"""),1)</f>
        <v>1</v>
      </c>
      <c r="K1288" s="1" t="str">
        <f ca="1">IFERROR(__xludf.DUMMYFUNCTION("""COMPUTED_VALUE"""),"Hybrid Working Environment with more than 15 days a month at office")</f>
        <v>Hybrid Working Environment with more than 15 days a month at office</v>
      </c>
      <c r="L1288" s="1" t="str">
        <f ca="1">IFERROR(__xludf.DUMMYFUNCTION("""COMPUTED_VALUE"""),"Employers who appreciates learning but doesn't enables an learning environment")</f>
        <v>Employers who appreciates learning but doesn't enables an learning environment</v>
      </c>
      <c r="M128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288" s="1"/>
      <c r="O1288" s="1" t="str">
        <f ca="1">IFERROR(__xludf.DUMMYFUNCTION("""COMPUTED_VALUE"""),"Manager who clearly describes what she/he needs")</f>
        <v>Manager who clearly describes what she/he needs</v>
      </c>
      <c r="P1288" s="1" t="str">
        <f ca="1">IFERROR(__xludf.DUMMYFUNCTION("""COMPUTED_VALUE"""),"Work &lt;67 People in the Team")</f>
        <v>Work &lt;67 People in the Team</v>
      </c>
      <c r="Q1288" s="1" t="s">
        <v>43</v>
      </c>
      <c r="R1288" s="1"/>
    </row>
    <row r="1289" spans="1:18" x14ac:dyDescent="0.25">
      <c r="A1289" s="2">
        <f ca="1">IFERROR(__xludf.DUMMYFUNCTION("""COMPUTED_VALUE"""),45044.608626956)</f>
        <v>45044.608626955996</v>
      </c>
      <c r="B1289" s="1" t="str">
        <f ca="1">IFERROR(__xludf.DUMMYFUNCTION("""COMPUTED_VALUE"""),"India")</f>
        <v>India</v>
      </c>
      <c r="C1289" s="1">
        <f ca="1">IFERROR(__xludf.DUMMYFUNCTION("""COMPUTED_VALUE"""),122016)</f>
        <v>122016</v>
      </c>
      <c r="D1289" s="1" t="str">
        <f ca="1">IFERROR(__xludf.DUMMYFUNCTION("""COMPUTED_VALUE"""),"Male")</f>
        <v>Male</v>
      </c>
      <c r="E1289" s="1" t="str">
        <f ca="1">IFERROR(__xludf.DUMMYFUNCTION("""COMPUTED_VALUE"""),"People who have changed the world for better")</f>
        <v>People who have changed the world for better</v>
      </c>
      <c r="F1289" s="1" t="str">
        <f ca="1">IFERROR(__xludf.DUMMYFUNCTION("""COMPUTED_VALUE"""),"No, But if someone could bare the cost I will")</f>
        <v>No, But if someone could bare the cost I will</v>
      </c>
      <c r="G1289" s="1" t="str">
        <f ca="1">IFERROR(__xludf.DUMMYFUNCTION("""COMPUTED_VALUE"""),"Will work for 3 years or more")</f>
        <v>Will work for 3 years or more</v>
      </c>
      <c r="H1289" s="1" t="str">
        <f ca="1">IFERROR(__xludf.DUMMYFUNCTION("""COMPUTED_VALUE"""),"Yes")</f>
        <v>Yes</v>
      </c>
      <c r="I1289" s="1" t="str">
        <f ca="1">IFERROR(__xludf.DUMMYFUNCTION("""COMPUTED_VALUE"""),"Will NOT work for them")</f>
        <v>Will NOT work for them</v>
      </c>
      <c r="J1289" s="1">
        <f ca="1">IFERROR(__xludf.DUMMYFUNCTION("""COMPUTED_VALUE"""),8)</f>
        <v>8</v>
      </c>
      <c r="K1289" s="1" t="str">
        <f ca="1">IFERROR(__xludf.DUMMYFUNCTION("""COMPUTED_VALUE"""),"Hybrid Working Environment with more than 15 days a month at office")</f>
        <v>Hybrid Working Environment with more than 15 days a month at office</v>
      </c>
      <c r="L1289" s="1" t="str">
        <f ca="1">IFERROR(__xludf.DUMMYFUNCTION("""COMPUTED_VALUE"""),"Employer who pushes your limits by enabling an learning environment, and rewards you at the end")</f>
        <v>Employer who pushes your limits by enabling an learning environment, and rewards you at the end</v>
      </c>
      <c r="M1289"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N1289" s="1"/>
      <c r="O1289" s="1" t="str">
        <f ca="1">IFERROR(__xludf.DUMMYFUNCTION("""COMPUTED_VALUE"""),"Manager who explains what is expected, sets a goal and helps achieve it")</f>
        <v>Manager who explains what is expected, sets a goal and helps achieve it</v>
      </c>
      <c r="P1289" s="1" t="str">
        <f ca="1">IFERROR(__xludf.DUMMYFUNCTION("""COMPUTED_VALUE"""),"Work Alone, &lt;67 people in team")</f>
        <v>Work Alone, &lt;67 people in team</v>
      </c>
      <c r="Q1289" s="1" t="s">
        <v>43</v>
      </c>
      <c r="R1289" s="1"/>
    </row>
    <row r="1290" spans="1:18" x14ac:dyDescent="0.25">
      <c r="A1290" s="2">
        <f ca="1">IFERROR(__xludf.DUMMYFUNCTION("""COMPUTED_VALUE"""),45044.6097373958)</f>
        <v>45044.609737395796</v>
      </c>
      <c r="B1290" s="1" t="str">
        <f ca="1">IFERROR(__xludf.DUMMYFUNCTION("""COMPUTED_VALUE"""),"India")</f>
        <v>India</v>
      </c>
      <c r="C1290" s="1">
        <f ca="1">IFERROR(__xludf.DUMMYFUNCTION("""COMPUTED_VALUE"""),631151)</f>
        <v>631151</v>
      </c>
      <c r="D1290" s="1" t="str">
        <f ca="1">IFERROR(__xludf.DUMMYFUNCTION("""COMPUTED_VALUE"""),"Male")</f>
        <v>Male</v>
      </c>
      <c r="E1290" s="1" t="str">
        <f ca="1">IFERROR(__xludf.DUMMYFUNCTION("""COMPUTED_VALUE"""),"My Parents")</f>
        <v>My Parents</v>
      </c>
      <c r="F1290" s="1" t="str">
        <f ca="1">IFERROR(__xludf.DUMMYFUNCTION("""COMPUTED_VALUE"""),"Yes, I will earn and do that")</f>
        <v>Yes, I will earn and do that</v>
      </c>
      <c r="G1290" s="1" t="str">
        <f ca="1">IFERROR(__xludf.DUMMYFUNCTION("""COMPUTED_VALUE"""),"Will work for 3 years or more")</f>
        <v>Will work for 3 years or more</v>
      </c>
      <c r="H1290" s="1" t="str">
        <f ca="1">IFERROR(__xludf.DUMMYFUNCTION("""COMPUTED_VALUE"""),"No")</f>
        <v>No</v>
      </c>
      <c r="I1290" s="1" t="str">
        <f ca="1">IFERROR(__xludf.DUMMYFUNCTION("""COMPUTED_VALUE"""),"Will NOT work for them")</f>
        <v>Will NOT work for them</v>
      </c>
      <c r="J1290" s="1">
        <f ca="1">IFERROR(__xludf.DUMMYFUNCTION("""COMPUTED_VALUE"""),5)</f>
        <v>5</v>
      </c>
      <c r="K1290" s="1" t="str">
        <f ca="1">IFERROR(__xludf.DUMMYFUNCTION("""COMPUTED_VALUE"""),"Every Day Office Environment")</f>
        <v>Every Day Office Environment</v>
      </c>
      <c r="L1290" s="1" t="str">
        <f ca="1">IFERROR(__xludf.DUMMYFUNCTION("""COMPUTED_VALUE"""),"Employer who pushes your limits by enabling an learning environment, and rewards you at the end")</f>
        <v>Employer who pushes your limits by enabling an learning environment, and rewards you at the end</v>
      </c>
      <c r="M12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290" s="1"/>
      <c r="O1290" s="1" t="str">
        <f ca="1">IFERROR(__xludf.DUMMYFUNCTION("""COMPUTED_VALUE"""),"Manager who clearly describes what she/he needs")</f>
        <v>Manager who clearly describes what she/he needs</v>
      </c>
      <c r="P1290" s="1" t="str">
        <f ca="1">IFERROR(__xludf.DUMMYFUNCTION("""COMPUTED_VALUE"""),"Work &lt;=6 People in the Team")</f>
        <v>Work &lt;=6 People in the Team</v>
      </c>
      <c r="Q1290" s="1" t="s">
        <v>43</v>
      </c>
      <c r="R1290" s="1"/>
    </row>
    <row r="1291" spans="1:18" x14ac:dyDescent="0.25">
      <c r="A1291" s="2">
        <f ca="1">IFERROR(__xludf.DUMMYFUNCTION("""COMPUTED_VALUE"""),45044.6097680555)</f>
        <v>45044.609768055503</v>
      </c>
      <c r="B1291" s="1" t="str">
        <f ca="1">IFERROR(__xludf.DUMMYFUNCTION("""COMPUTED_VALUE"""),"India")</f>
        <v>India</v>
      </c>
      <c r="C1291" s="1">
        <f ca="1">IFERROR(__xludf.DUMMYFUNCTION("""COMPUTED_VALUE"""),411044)</f>
        <v>411044</v>
      </c>
      <c r="D1291" s="1" t="str">
        <f ca="1">IFERROR(__xludf.DUMMYFUNCTION("""COMPUTED_VALUE"""),"Male")</f>
        <v>Male</v>
      </c>
      <c r="E1291" s="1" t="str">
        <f ca="1">IFERROR(__xludf.DUMMYFUNCTION("""COMPUTED_VALUE"""),"People who have changed the world for better")</f>
        <v>People who have changed the world for better</v>
      </c>
      <c r="F1291" s="1" t="str">
        <f ca="1">IFERROR(__xludf.DUMMYFUNCTION("""COMPUTED_VALUE"""),"No I would not be pursuing Higher Education outside of India")</f>
        <v>No I would not be pursuing Higher Education outside of India</v>
      </c>
      <c r="G1291" s="1" t="str">
        <f ca="1">IFERROR(__xludf.DUMMYFUNCTION("""COMPUTED_VALUE"""),"This will be hard to do, but if it is the right company I would try")</f>
        <v>This will be hard to do, but if it is the right company I would try</v>
      </c>
      <c r="H1291" s="1" t="str">
        <f ca="1">IFERROR(__xludf.DUMMYFUNCTION("""COMPUTED_VALUE"""),"No")</f>
        <v>No</v>
      </c>
      <c r="I1291" s="1" t="str">
        <f ca="1">IFERROR(__xludf.DUMMYFUNCTION("""COMPUTED_VALUE"""),"Will NOT work for them")</f>
        <v>Will NOT work for them</v>
      </c>
      <c r="J1291" s="1">
        <f ca="1">IFERROR(__xludf.DUMMYFUNCTION("""COMPUTED_VALUE"""),5)</f>
        <v>5</v>
      </c>
      <c r="K1291" s="1" t="str">
        <f ca="1">IFERROR(__xludf.DUMMYFUNCTION("""COMPUTED_VALUE"""),"Hybrid Working Environment with more than 15 days a month at office")</f>
        <v>Hybrid Working Environment with more than 15 days a month at office</v>
      </c>
      <c r="L1291" s="1" t="str">
        <f ca="1">IFERROR(__xludf.DUMMYFUNCTION("""COMPUTED_VALUE"""),"Employer who pushes your limits by enabling an learning environment, and rewards you at the end")</f>
        <v>Employer who pushes your limits by enabling an learning environment, and rewards you at the end</v>
      </c>
      <c r="M1291" s="1" t="str">
        <f ca="1">IFERROR(__xludf.DUMMYFUNCTION("""COMPUTED_VALUE"""),"Teaching in any of the institutes/colleges/online or offline, Manage and drive End-to-End Projects or Products, Become a content Creator in some platform, Entrepreneur or Start Up")</f>
        <v>Teaching in any of the institutes/colleges/online or offline, Manage and drive End-to-End Projects or Products, Become a content Creator in some platform, Entrepreneur or Start Up</v>
      </c>
      <c r="N1291" s="1"/>
      <c r="O1291" s="1" t="str">
        <f ca="1">IFERROR(__xludf.DUMMYFUNCTION("""COMPUTED_VALUE"""),"Manager who explains what is expected, sets a goal and helps achieve it")</f>
        <v>Manager who explains what is expected, sets a goal and helps achieve it</v>
      </c>
      <c r="P1291" s="1" t="str">
        <f ca="1">IFERROR(__xludf.DUMMYFUNCTION("""COMPUTED_VALUE"""),"Work Alone, &lt;67 people in team")</f>
        <v>Work Alone, &lt;67 people in team</v>
      </c>
      <c r="Q1291" s="1" t="s">
        <v>43</v>
      </c>
      <c r="R1291" s="1"/>
    </row>
    <row r="1292" spans="1:18" x14ac:dyDescent="0.25">
      <c r="A1292" s="2">
        <f ca="1">IFERROR(__xludf.DUMMYFUNCTION("""COMPUTED_VALUE"""),45044.6108370949)</f>
        <v>45044.6108370949</v>
      </c>
      <c r="B1292" s="1" t="str">
        <f ca="1">IFERROR(__xludf.DUMMYFUNCTION("""COMPUTED_VALUE"""),"India")</f>
        <v>India</v>
      </c>
      <c r="C1292" s="1">
        <f ca="1">IFERROR(__xludf.DUMMYFUNCTION("""COMPUTED_VALUE"""),440013)</f>
        <v>440013</v>
      </c>
      <c r="D1292" s="1" t="str">
        <f ca="1">IFERROR(__xludf.DUMMYFUNCTION("""COMPUTED_VALUE"""),"Male")</f>
        <v>Male</v>
      </c>
      <c r="E1292" s="1" t="str">
        <f ca="1">IFERROR(__xludf.DUMMYFUNCTION("""COMPUTED_VALUE"""),"Influencers who had successful careers")</f>
        <v>Influencers who had successful careers</v>
      </c>
      <c r="F1292" s="1" t="str">
        <f ca="1">IFERROR(__xludf.DUMMYFUNCTION("""COMPUTED_VALUE"""),"No, But if someone could bare the cost I will")</f>
        <v>No, But if someone could bare the cost I will</v>
      </c>
      <c r="G1292" s="1" t="str">
        <f ca="1">IFERROR(__xludf.DUMMYFUNCTION("""COMPUTED_VALUE"""),"This will be hard to do, but if it is the right company I would try")</f>
        <v>This will be hard to do, but if it is the right company I would try</v>
      </c>
      <c r="H1292" s="1" t="str">
        <f ca="1">IFERROR(__xludf.DUMMYFUNCTION("""COMPUTED_VALUE"""),"No")</f>
        <v>No</v>
      </c>
      <c r="I1292" s="1" t="str">
        <f ca="1">IFERROR(__xludf.DUMMYFUNCTION("""COMPUTED_VALUE"""),"Will NOT work for them")</f>
        <v>Will NOT work for them</v>
      </c>
      <c r="J1292" s="1">
        <f ca="1">IFERROR(__xludf.DUMMYFUNCTION("""COMPUTED_VALUE"""),10)</f>
        <v>10</v>
      </c>
      <c r="K1292" s="1" t="str">
        <f ca="1">IFERROR(__xludf.DUMMYFUNCTION("""COMPUTED_VALUE"""),"Every Day Office Environment")</f>
        <v>Every Day Office Environment</v>
      </c>
      <c r="L1292" s="1" t="str">
        <f ca="1">IFERROR(__xludf.DUMMYFUNCTION("""COMPUTED_VALUE"""),"Employer who appreciates learning and enables that environment")</f>
        <v>Employer who appreciates learning and enables that environment</v>
      </c>
      <c r="M129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N1292" s="1"/>
      <c r="O1292" s="1" t="str">
        <f ca="1">IFERROR(__xludf.DUMMYFUNCTION("""COMPUTED_VALUE"""),"Manager who sets goal and helps me achieve it")</f>
        <v>Manager who sets goal and helps me achieve it</v>
      </c>
      <c r="P1292" s="1" t="str">
        <f ca="1">IFERROR(__xludf.DUMMYFUNCTION("""COMPUTED_VALUE"""),"Work &lt;=6 People in the Team")</f>
        <v>Work &lt;=6 People in the Team</v>
      </c>
      <c r="Q1292" s="1" t="s">
        <v>43</v>
      </c>
      <c r="R1292" s="1"/>
    </row>
    <row r="1293" spans="1:18" x14ac:dyDescent="0.25">
      <c r="A1293" s="2">
        <f ca="1">IFERROR(__xludf.DUMMYFUNCTION("""COMPUTED_VALUE"""),45044.611605)</f>
        <v>45044.611604999998</v>
      </c>
      <c r="B1293" s="1" t="str">
        <f ca="1">IFERROR(__xludf.DUMMYFUNCTION("""COMPUTED_VALUE"""),"India")</f>
        <v>India</v>
      </c>
      <c r="C1293" s="1">
        <f ca="1">IFERROR(__xludf.DUMMYFUNCTION("""COMPUTED_VALUE"""),110006)</f>
        <v>110006</v>
      </c>
      <c r="D1293" s="1" t="str">
        <f ca="1">IFERROR(__xludf.DUMMYFUNCTION("""COMPUTED_VALUE"""),"Male")</f>
        <v>Male</v>
      </c>
      <c r="E1293" s="1" t="str">
        <f ca="1">IFERROR(__xludf.DUMMYFUNCTION("""COMPUTED_VALUE"""),"People who have changed the world for better")</f>
        <v>People who have changed the world for better</v>
      </c>
      <c r="F1293" s="1" t="str">
        <f ca="1">IFERROR(__xludf.DUMMYFUNCTION("""COMPUTED_VALUE"""),"Yes, I will earn and do that")</f>
        <v>Yes, I will earn and do that</v>
      </c>
      <c r="G1293" s="1" t="str">
        <f ca="1">IFERROR(__xludf.DUMMYFUNCTION("""COMPUTED_VALUE"""),"Will work for 3 years or more")</f>
        <v>Will work for 3 years or more</v>
      </c>
      <c r="H1293" s="1" t="str">
        <f ca="1">IFERROR(__xludf.DUMMYFUNCTION("""COMPUTED_VALUE"""),"Yes")</f>
        <v>Yes</v>
      </c>
      <c r="I1293" s="1" t="str">
        <f ca="1">IFERROR(__xludf.DUMMYFUNCTION("""COMPUTED_VALUE"""),"Will NOT work for them")</f>
        <v>Will NOT work for them</v>
      </c>
      <c r="J1293" s="1">
        <f ca="1">IFERROR(__xludf.DUMMYFUNCTION("""COMPUTED_VALUE"""),5)</f>
        <v>5</v>
      </c>
      <c r="K1293" s="1" t="str">
        <f ca="1">IFERROR(__xludf.DUMMYFUNCTION("""COMPUTED_VALUE"""),"Fully Remote with Options to travel as and when needed")</f>
        <v>Fully Remote with Options to travel as and when needed</v>
      </c>
      <c r="L1293" s="1" t="str">
        <f ca="1">IFERROR(__xludf.DUMMYFUNCTION("""COMPUTED_VALUE"""),"Employer who pushes your limits by enabling an learning environment, and rewards you at the end")</f>
        <v>Employer who pushes your limits by enabling an learning environment, and rewards you at the end</v>
      </c>
      <c r="M1293" s="1" t="str">
        <f ca="1">IFERROR(__xludf.DUMMYFUNCTION("""COMPUTED_VALUE"""),"Design and Develop amazing software, Work as a freelancer and do my thing my way, Become a content Creator in some platform, Entrepreneur or Start Up")</f>
        <v>Design and Develop amazing software, Work as a freelancer and do my thing my way, Become a content Creator in some platform, Entrepreneur or Start Up</v>
      </c>
      <c r="N1293" s="1"/>
      <c r="O1293" s="1" t="str">
        <f ca="1">IFERROR(__xludf.DUMMYFUNCTION("""COMPUTED_VALUE"""),"Manager who explains what is expected, sets a goal and helps achieve it")</f>
        <v>Manager who explains what is expected, sets a goal and helps achieve it</v>
      </c>
      <c r="P1293" s="1" t="str">
        <f ca="1">IFERROR(__xludf.DUMMYFUNCTION("""COMPUTED_VALUE"""),"Work &lt;=6 People in the Team")</f>
        <v>Work &lt;=6 People in the Team</v>
      </c>
      <c r="Q1293" s="1" t="s">
        <v>40</v>
      </c>
      <c r="R1293" s="1"/>
    </row>
    <row r="1294" spans="1:18" x14ac:dyDescent="0.25">
      <c r="A1294" s="2">
        <f ca="1">IFERROR(__xludf.DUMMYFUNCTION("""COMPUTED_VALUE"""),45044.6116065972)</f>
        <v>45044.611606597202</v>
      </c>
      <c r="B1294" s="1" t="str">
        <f ca="1">IFERROR(__xludf.DUMMYFUNCTION("""COMPUTED_VALUE"""),"India")</f>
        <v>India</v>
      </c>
      <c r="C1294" s="1">
        <f ca="1">IFERROR(__xludf.DUMMYFUNCTION("""COMPUTED_VALUE"""),410210)</f>
        <v>410210</v>
      </c>
      <c r="D1294" s="1" t="str">
        <f ca="1">IFERROR(__xludf.DUMMYFUNCTION("""COMPUTED_VALUE"""),"Male")</f>
        <v>Male</v>
      </c>
      <c r="E1294" s="1" t="str">
        <f ca="1">IFERROR(__xludf.DUMMYFUNCTION("""COMPUTED_VALUE"""),"People who have changed the world for better")</f>
        <v>People who have changed the world for better</v>
      </c>
      <c r="F1294" s="1" t="str">
        <f ca="1">IFERROR(__xludf.DUMMYFUNCTION("""COMPUTED_VALUE"""),"No I would not be pursuing Higher Education outside of India")</f>
        <v>No I would not be pursuing Higher Education outside of India</v>
      </c>
      <c r="G1294" s="1" t="str">
        <f ca="1">IFERROR(__xludf.DUMMYFUNCTION("""COMPUTED_VALUE"""),"Will work for 3 years or more")</f>
        <v>Will work for 3 years or more</v>
      </c>
      <c r="H1294" s="1" t="str">
        <f ca="1">IFERROR(__xludf.DUMMYFUNCTION("""COMPUTED_VALUE"""),"Yes")</f>
        <v>Yes</v>
      </c>
      <c r="I1294" s="1" t="str">
        <f ca="1">IFERROR(__xludf.DUMMYFUNCTION("""COMPUTED_VALUE"""),"Will work for them")</f>
        <v>Will work for them</v>
      </c>
      <c r="J1294" s="1">
        <f ca="1">IFERROR(__xludf.DUMMYFUNCTION("""COMPUTED_VALUE"""),7)</f>
        <v>7</v>
      </c>
      <c r="K1294" s="1" t="str">
        <f ca="1">IFERROR(__xludf.DUMMYFUNCTION("""COMPUTED_VALUE"""),"Hybrid Working Environment with more than 15 days a month at office")</f>
        <v>Hybrid Working Environment with more than 15 days a month at office</v>
      </c>
      <c r="L1294" s="1" t="str">
        <f ca="1">IFERROR(__xludf.DUMMYFUNCTION("""COMPUTED_VALUE"""),"Employer who pushes your limits by enabling an learning environment, and rewards you at the end")</f>
        <v>Employer who pushes your limits by enabling an learning environment, and rewards you at the end</v>
      </c>
      <c r="M12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294" s="1"/>
      <c r="O1294" s="1" t="str">
        <f ca="1">IFERROR(__xludf.DUMMYFUNCTION("""COMPUTED_VALUE"""),"Manager who sets goal and helps me achieve it")</f>
        <v>Manager who sets goal and helps me achieve it</v>
      </c>
      <c r="P1294" s="1" t="str">
        <f ca="1">IFERROR(__xludf.DUMMYFUNCTION("""COMPUTED_VALUE"""),"Work Alone, &lt;67 people in team")</f>
        <v>Work Alone, &lt;67 people in team</v>
      </c>
      <c r="Q1294" s="1" t="s">
        <v>43</v>
      </c>
      <c r="R1294" s="1"/>
    </row>
    <row r="1295" spans="1:18" x14ac:dyDescent="0.25">
      <c r="A1295" s="2">
        <f ca="1">IFERROR(__xludf.DUMMYFUNCTION("""COMPUTED_VALUE"""),45044.6117060995)</f>
        <v>45044.611706099502</v>
      </c>
      <c r="B1295" s="1" t="str">
        <f ca="1">IFERROR(__xludf.DUMMYFUNCTION("""COMPUTED_VALUE"""),"India")</f>
        <v>India</v>
      </c>
      <c r="C1295" s="1">
        <f ca="1">IFERROR(__xludf.DUMMYFUNCTION("""COMPUTED_VALUE"""),603102)</f>
        <v>603102</v>
      </c>
      <c r="D1295" s="1" t="str">
        <f ca="1">IFERROR(__xludf.DUMMYFUNCTION("""COMPUTED_VALUE"""),"Male")</f>
        <v>Male</v>
      </c>
      <c r="E1295" s="1" t="str">
        <f ca="1">IFERROR(__xludf.DUMMYFUNCTION("""COMPUTED_VALUE"""),"People who have changed the world for better")</f>
        <v>People who have changed the world for better</v>
      </c>
      <c r="F1295" s="1" t="str">
        <f ca="1">IFERROR(__xludf.DUMMYFUNCTION("""COMPUTED_VALUE"""),"Yes, I will earn and do that")</f>
        <v>Yes, I will earn and do that</v>
      </c>
      <c r="G1295" s="1" t="str">
        <f ca="1">IFERROR(__xludf.DUMMYFUNCTION("""COMPUTED_VALUE"""),"This will be hard to do, but if it is the right company I would try")</f>
        <v>This will be hard to do, but if it is the right company I would try</v>
      </c>
      <c r="H1295" s="1" t="str">
        <f ca="1">IFERROR(__xludf.DUMMYFUNCTION("""COMPUTED_VALUE"""),"No")</f>
        <v>No</v>
      </c>
      <c r="I1295" s="1" t="str">
        <f ca="1">IFERROR(__xludf.DUMMYFUNCTION("""COMPUTED_VALUE"""),"Will NOT work for them")</f>
        <v>Will NOT work for them</v>
      </c>
      <c r="J1295" s="1">
        <f ca="1">IFERROR(__xludf.DUMMYFUNCTION("""COMPUTED_VALUE"""),2)</f>
        <v>2</v>
      </c>
      <c r="K1295" s="1" t="str">
        <f ca="1">IFERROR(__xludf.DUMMYFUNCTION("""COMPUTED_VALUE"""),"Hybrid Working Environment with more than 15 days a month at office")</f>
        <v>Hybrid Working Environment with more than 15 days a month at office</v>
      </c>
      <c r="L1295" s="1" t="str">
        <f ca="1">IFERROR(__xludf.DUMMYFUNCTION("""COMPUTED_VALUE"""),"Employer who appreciates learning and enables that environment")</f>
        <v>Employer who appreciates learning and enables that environment</v>
      </c>
      <c r="M1295"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N1295" s="1"/>
      <c r="O1295" s="1" t="str">
        <f ca="1">IFERROR(__xludf.DUMMYFUNCTION("""COMPUTED_VALUE"""),"Manager who explains what is expected, sets a goal and helps achieve it")</f>
        <v>Manager who explains what is expected, sets a goal and helps achieve it</v>
      </c>
      <c r="P1295" s="1" t="str">
        <f ca="1">IFERROR(__xludf.DUMMYFUNCTION("""COMPUTED_VALUE"""),"Work &gt;=7 People in the Team")</f>
        <v>Work &gt;=7 People in the Team</v>
      </c>
      <c r="Q1295" s="1" t="s">
        <v>43</v>
      </c>
      <c r="R1295" s="1"/>
    </row>
    <row r="1296" spans="1:18" x14ac:dyDescent="0.25">
      <c r="A1296" s="2">
        <f ca="1">IFERROR(__xludf.DUMMYFUNCTION("""COMPUTED_VALUE"""),45044.6130770717)</f>
        <v>45044.613077071699</v>
      </c>
      <c r="B1296" s="1" t="str">
        <f ca="1">IFERROR(__xludf.DUMMYFUNCTION("""COMPUTED_VALUE"""),"India")</f>
        <v>India</v>
      </c>
      <c r="C1296" s="1">
        <f ca="1">IFERROR(__xludf.DUMMYFUNCTION("""COMPUTED_VALUE"""),828307)</f>
        <v>828307</v>
      </c>
      <c r="D1296" s="1" t="str">
        <f ca="1">IFERROR(__xludf.DUMMYFUNCTION("""COMPUTED_VALUE"""),"Female")</f>
        <v>Female</v>
      </c>
      <c r="E1296" s="1" t="str">
        <f ca="1">IFERROR(__xludf.DUMMYFUNCTION("""COMPUTED_VALUE"""),"People who have changed the world for better")</f>
        <v>People who have changed the world for better</v>
      </c>
      <c r="F1296" s="1" t="str">
        <f ca="1">IFERROR(__xludf.DUMMYFUNCTION("""COMPUTED_VALUE"""),"No I would not be pursuing Higher Education outside of India")</f>
        <v>No I would not be pursuing Higher Education outside of India</v>
      </c>
      <c r="G1296" s="1" t="str">
        <f ca="1">IFERROR(__xludf.DUMMYFUNCTION("""COMPUTED_VALUE"""),"This will be hard to do, but if it is the right company I would try")</f>
        <v>This will be hard to do, but if it is the right company I would try</v>
      </c>
      <c r="H1296" s="1" t="str">
        <f ca="1">IFERROR(__xludf.DUMMYFUNCTION("""COMPUTED_VALUE"""),"Yes")</f>
        <v>Yes</v>
      </c>
      <c r="I1296" s="1" t="str">
        <f ca="1">IFERROR(__xludf.DUMMYFUNCTION("""COMPUTED_VALUE"""),"Will NOT work for them")</f>
        <v>Will NOT work for them</v>
      </c>
      <c r="J1296" s="1">
        <f ca="1">IFERROR(__xludf.DUMMYFUNCTION("""COMPUTED_VALUE"""),5)</f>
        <v>5</v>
      </c>
      <c r="K1296" s="1" t="str">
        <f ca="1">IFERROR(__xludf.DUMMYFUNCTION("""COMPUTED_VALUE"""),"Fully Remote with Options to travel as and when needed")</f>
        <v>Fully Remote with Options to travel as and when needed</v>
      </c>
      <c r="L1296" s="1" t="str">
        <f ca="1">IFERROR(__xludf.DUMMYFUNCTION("""COMPUTED_VALUE"""),"Employer who appreciates learning and enables that environment")</f>
        <v>Employer who appreciates learning and enables that environment</v>
      </c>
      <c r="M1296"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1296" s="1"/>
      <c r="O1296" s="1" t="str">
        <f ca="1">IFERROR(__xludf.DUMMYFUNCTION("""COMPUTED_VALUE"""),"Manager who clearly describes what she/he needs")</f>
        <v>Manager who clearly describes what she/he needs</v>
      </c>
      <c r="P1296" s="1" t="str">
        <f ca="1">IFERROR(__xludf.DUMMYFUNCTION("""COMPUTED_VALUE"""),"Work &lt;=6 People in the Team")</f>
        <v>Work &lt;=6 People in the Team</v>
      </c>
      <c r="Q1296" s="1" t="s">
        <v>43</v>
      </c>
      <c r="R1296" s="1"/>
    </row>
    <row r="1297" spans="1:18" x14ac:dyDescent="0.25">
      <c r="A1297" s="2">
        <f ca="1">IFERROR(__xludf.DUMMYFUNCTION("""COMPUTED_VALUE"""),45044.6144742708)</f>
        <v>45044.614474270798</v>
      </c>
      <c r="B1297" s="1" t="str">
        <f ca="1">IFERROR(__xludf.DUMMYFUNCTION("""COMPUTED_VALUE"""),"India")</f>
        <v>India</v>
      </c>
      <c r="C1297" s="1">
        <f ca="1">IFERROR(__xludf.DUMMYFUNCTION("""COMPUTED_VALUE"""),600049)</f>
        <v>600049</v>
      </c>
      <c r="D1297" s="1" t="str">
        <f ca="1">IFERROR(__xludf.DUMMYFUNCTION("""COMPUTED_VALUE"""),"Female")</f>
        <v>Female</v>
      </c>
      <c r="E1297" s="1" t="str">
        <f ca="1">IFERROR(__xludf.DUMMYFUNCTION("""COMPUTED_VALUE"""),"My Parents")</f>
        <v>My Parents</v>
      </c>
      <c r="F1297" s="1" t="str">
        <f ca="1">IFERROR(__xludf.DUMMYFUNCTION("""COMPUTED_VALUE"""),"No, But if someone could bare the cost I will")</f>
        <v>No, But if someone could bare the cost I will</v>
      </c>
      <c r="G1297" s="1" t="str">
        <f ca="1">IFERROR(__xludf.DUMMYFUNCTION("""COMPUTED_VALUE"""),"Will work for 3 years or more")</f>
        <v>Will work for 3 years or more</v>
      </c>
      <c r="H1297" s="1" t="str">
        <f ca="1">IFERROR(__xludf.DUMMYFUNCTION("""COMPUTED_VALUE"""),"No")</f>
        <v>No</v>
      </c>
      <c r="I1297" s="1" t="str">
        <f ca="1">IFERROR(__xludf.DUMMYFUNCTION("""COMPUTED_VALUE"""),"Will NOT work for them")</f>
        <v>Will NOT work for them</v>
      </c>
      <c r="J1297" s="1">
        <f ca="1">IFERROR(__xludf.DUMMYFUNCTION("""COMPUTED_VALUE"""),10)</f>
        <v>10</v>
      </c>
      <c r="K1297" s="1" t="str">
        <f ca="1">IFERROR(__xludf.DUMMYFUNCTION("""COMPUTED_VALUE"""),"Hybrid Working Environment with more than 15 days a month at office")</f>
        <v>Hybrid Working Environment with more than 15 days a month at office</v>
      </c>
      <c r="L1297" s="1" t="str">
        <f ca="1">IFERROR(__xludf.DUMMYFUNCTION("""COMPUTED_VALUE"""),"Employer who appreciates learning and enables that environment")</f>
        <v>Employer who appreciates learning and enables that environment</v>
      </c>
      <c r="M1297" s="1" t="str">
        <f ca="1">IFERROR(__xludf.DUMMYFUNCTION("""COMPUTED_VALUE"""),"Business Operations in any organization, Manage and drive End-to-End Projects or Products, Build and develop a Team, Become a content Creator in some platform")</f>
        <v>Business Operations in any organization, Manage and drive End-to-End Projects or Products, Build and develop a Team, Become a content Creator in some platform</v>
      </c>
      <c r="N1297" s="1"/>
      <c r="O1297" s="1" t="str">
        <f ca="1">IFERROR(__xludf.DUMMYFUNCTION("""COMPUTED_VALUE"""),"Manager who sets goal and helps me achieve it")</f>
        <v>Manager who sets goal and helps me achieve it</v>
      </c>
      <c r="P1297" s="1" t="str">
        <f ca="1">IFERROR(__xludf.DUMMYFUNCTION("""COMPUTED_VALUE"""),"Work &gt;10 people in Team")</f>
        <v>Work &gt;10 people in Team</v>
      </c>
      <c r="Q1297" s="1" t="s">
        <v>40</v>
      </c>
      <c r="R1297" s="1"/>
    </row>
    <row r="1298" spans="1:18" x14ac:dyDescent="0.25">
      <c r="A1298" s="2">
        <f ca="1">IFERROR(__xludf.DUMMYFUNCTION("""COMPUTED_VALUE"""),45044.6196870486)</f>
        <v>45044.619687048602</v>
      </c>
      <c r="B1298" s="1" t="str">
        <f ca="1">IFERROR(__xludf.DUMMYFUNCTION("""COMPUTED_VALUE"""),"India")</f>
        <v>India</v>
      </c>
      <c r="C1298" s="1">
        <f ca="1">IFERROR(__xludf.DUMMYFUNCTION("""COMPUTED_VALUE"""),600032)</f>
        <v>600032</v>
      </c>
      <c r="D1298" s="1" t="str">
        <f ca="1">IFERROR(__xludf.DUMMYFUNCTION("""COMPUTED_VALUE"""),"Male")</f>
        <v>Male</v>
      </c>
      <c r="E1298" s="1" t="str">
        <f ca="1">IFERROR(__xludf.DUMMYFUNCTION("""COMPUTED_VALUE"""),"People from my circle, but not family members")</f>
        <v>People from my circle, but not family members</v>
      </c>
      <c r="F1298" s="1" t="str">
        <f ca="1">IFERROR(__xludf.DUMMYFUNCTION("""COMPUTED_VALUE"""),"No I would not be pursuing Higher Education outside of India")</f>
        <v>No I would not be pursuing Higher Education outside of India</v>
      </c>
      <c r="G1298" s="1" t="str">
        <f ca="1">IFERROR(__xludf.DUMMYFUNCTION("""COMPUTED_VALUE"""),"This will be hard to do, but if it is the right company I would try")</f>
        <v>This will be hard to do, but if it is the right company I would try</v>
      </c>
      <c r="H1298" s="1" t="str">
        <f ca="1">IFERROR(__xludf.DUMMYFUNCTION("""COMPUTED_VALUE"""),"No")</f>
        <v>No</v>
      </c>
      <c r="I1298" s="1" t="str">
        <f ca="1">IFERROR(__xludf.DUMMYFUNCTION("""COMPUTED_VALUE"""),"Will NOT work for them")</f>
        <v>Will NOT work for them</v>
      </c>
      <c r="J1298" s="1">
        <f ca="1">IFERROR(__xludf.DUMMYFUNCTION("""COMPUTED_VALUE"""),8)</f>
        <v>8</v>
      </c>
      <c r="K1298" s="1" t="str">
        <f ca="1">IFERROR(__xludf.DUMMYFUNCTION("""COMPUTED_VALUE"""),"Hybrid Working Environment with less than 3 days a month at office")</f>
        <v>Hybrid Working Environment with less than 3 days a month at office</v>
      </c>
      <c r="L1298" s="1" t="str">
        <f ca="1">IFERROR(__xludf.DUMMYFUNCTION("""COMPUTED_VALUE"""),"Employer who appreciates learning and enables that environment")</f>
        <v>Employer who appreciates learning and enables that environment</v>
      </c>
      <c r="M1298" s="1" t="str">
        <f ca="1">IFERROR(__xludf.DUMMYFUNCTION("""COMPUTED_VALUE"""),"Business Operations in any organization, Build and develop a Team, Look deeply into Data and generate insights, I Want to sell things/Sales")</f>
        <v>Business Operations in any organization, Build and develop a Team, Look deeply into Data and generate insights, I Want to sell things/Sales</v>
      </c>
      <c r="N1298" s="1"/>
      <c r="O1298" s="1" t="str">
        <f ca="1">IFERROR(__xludf.DUMMYFUNCTION("""COMPUTED_VALUE"""),"Manager who sets goal and helps me achieve it")</f>
        <v>Manager who sets goal and helps me achieve it</v>
      </c>
      <c r="P1298" s="1" t="str">
        <f ca="1">IFERROR(__xludf.DUMMYFUNCTION("""COMPUTED_VALUE"""),"Work &gt;=7 People in the Team")</f>
        <v>Work &gt;=7 People in the Team</v>
      </c>
      <c r="Q1298" s="1" t="s">
        <v>43</v>
      </c>
      <c r="R1298" s="1"/>
    </row>
    <row r="1299" spans="1:18" x14ac:dyDescent="0.25">
      <c r="A1299" s="2">
        <f ca="1">IFERROR(__xludf.DUMMYFUNCTION("""COMPUTED_VALUE"""),45044.6204785185)</f>
        <v>45044.620478518496</v>
      </c>
      <c r="B1299" s="1" t="str">
        <f ca="1">IFERROR(__xludf.DUMMYFUNCTION("""COMPUTED_VALUE"""),"India")</f>
        <v>India</v>
      </c>
      <c r="C1299" s="1">
        <f ca="1">IFERROR(__xludf.DUMMYFUNCTION("""COMPUTED_VALUE"""),89)</f>
        <v>89</v>
      </c>
      <c r="D1299" s="1" t="str">
        <f ca="1">IFERROR(__xludf.DUMMYFUNCTION("""COMPUTED_VALUE"""),"Male")</f>
        <v>Male</v>
      </c>
      <c r="E1299" s="1" t="str">
        <f ca="1">IFERROR(__xludf.DUMMYFUNCTION("""COMPUTED_VALUE"""),"People from my circle, but not family members")</f>
        <v>People from my circle, but not family members</v>
      </c>
      <c r="F1299" s="1" t="str">
        <f ca="1">IFERROR(__xludf.DUMMYFUNCTION("""COMPUTED_VALUE"""),"Yes, I will earn and do that")</f>
        <v>Yes, I will earn and do that</v>
      </c>
      <c r="G1299" s="1" t="str">
        <f ca="1">IFERROR(__xludf.DUMMYFUNCTION("""COMPUTED_VALUE"""),"This will be hard to do, but if it is the right company I would try")</f>
        <v>This will be hard to do, but if it is the right company I would try</v>
      </c>
      <c r="H1299" s="1" t="str">
        <f ca="1">IFERROR(__xludf.DUMMYFUNCTION("""COMPUTED_VALUE"""),"Yes")</f>
        <v>Yes</v>
      </c>
      <c r="I1299" s="1" t="str">
        <f ca="1">IFERROR(__xludf.DUMMYFUNCTION("""COMPUTED_VALUE"""),"Will NOT work for them")</f>
        <v>Will NOT work for them</v>
      </c>
      <c r="J1299" s="1">
        <f ca="1">IFERROR(__xludf.DUMMYFUNCTION("""COMPUTED_VALUE"""),5)</f>
        <v>5</v>
      </c>
      <c r="K1299" s="1" t="str">
        <f ca="1">IFERROR(__xludf.DUMMYFUNCTION("""COMPUTED_VALUE"""),"Fully Remote with No option to visit offices")</f>
        <v>Fully Remote with No option to visit offices</v>
      </c>
      <c r="L1299" s="1" t="str">
        <f ca="1">IFERROR(__xludf.DUMMYFUNCTION("""COMPUTED_VALUE"""),"Employer who rewards learning and enables that environment")</f>
        <v>Employer who rewards learning and enables that environment</v>
      </c>
      <c r="M129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N1299" s="1"/>
      <c r="O1299" s="1" t="str">
        <f ca="1">IFERROR(__xludf.DUMMYFUNCTION("""COMPUTED_VALUE"""),"Manager who sets goal and helps me achieve it")</f>
        <v>Manager who sets goal and helps me achieve it</v>
      </c>
      <c r="P1299" s="1" t="str">
        <f ca="1">IFERROR(__xludf.DUMMYFUNCTION("""COMPUTED_VALUE"""),"Work &lt;=6 People in the Team")</f>
        <v>Work &lt;=6 People in the Team</v>
      </c>
      <c r="Q1299" s="1" t="s">
        <v>43</v>
      </c>
      <c r="R1299" s="1"/>
    </row>
    <row r="1300" spans="1:18" x14ac:dyDescent="0.25">
      <c r="A1300" s="2">
        <f ca="1">IFERROR(__xludf.DUMMYFUNCTION("""COMPUTED_VALUE"""),45044.6238727777)</f>
        <v>45044.623872777702</v>
      </c>
      <c r="B1300" s="1" t="str">
        <f ca="1">IFERROR(__xludf.DUMMYFUNCTION("""COMPUTED_VALUE"""),"India")</f>
        <v>India</v>
      </c>
      <c r="C1300" s="1">
        <f ca="1">IFERROR(__xludf.DUMMYFUNCTION("""COMPUTED_VALUE"""),600083)</f>
        <v>600083</v>
      </c>
      <c r="D1300" s="1" t="str">
        <f ca="1">IFERROR(__xludf.DUMMYFUNCTION("""COMPUTED_VALUE"""),"Female")</f>
        <v>Female</v>
      </c>
      <c r="E1300" s="1" t="str">
        <f ca="1">IFERROR(__xludf.DUMMYFUNCTION("""COMPUTED_VALUE"""),"People who have changed the world for better")</f>
        <v>People who have changed the world for better</v>
      </c>
      <c r="F1300" s="1" t="str">
        <f ca="1">IFERROR(__xludf.DUMMYFUNCTION("""COMPUTED_VALUE"""),"Yes, I will earn and do that")</f>
        <v>Yes, I will earn and do that</v>
      </c>
      <c r="G1300" s="1" t="str">
        <f ca="1">IFERROR(__xludf.DUMMYFUNCTION("""COMPUTED_VALUE"""),"Will work for 3 years or more")</f>
        <v>Will work for 3 years or more</v>
      </c>
      <c r="H1300" s="1" t="str">
        <f ca="1">IFERROR(__xludf.DUMMYFUNCTION("""COMPUTED_VALUE"""),"No")</f>
        <v>No</v>
      </c>
      <c r="I1300" s="1" t="str">
        <f ca="1">IFERROR(__xludf.DUMMYFUNCTION("""COMPUTED_VALUE"""),"Will NOT work for them")</f>
        <v>Will NOT work for them</v>
      </c>
      <c r="J1300" s="1">
        <f ca="1">IFERROR(__xludf.DUMMYFUNCTION("""COMPUTED_VALUE"""),3)</f>
        <v>3</v>
      </c>
      <c r="K1300" s="1" t="str">
        <f ca="1">IFERROR(__xludf.DUMMYFUNCTION("""COMPUTED_VALUE"""),"Fully Remote with Options to travel as and when needed")</f>
        <v>Fully Remote with Options to travel as and when needed</v>
      </c>
      <c r="L1300" s="1" t="str">
        <f ca="1">IFERROR(__xludf.DUMMYFUNCTION("""COMPUTED_VALUE"""),"Employer who pushes your limits and doesn't enables learning environment and never rewards you")</f>
        <v>Employer who pushes your limits and doesn't enables learning environment and never rewards you</v>
      </c>
      <c r="M1300" s="1" t="str">
        <f ca="1">IFERROR(__xludf.DUMMYFUNCTION("""COMPUTED_VALUE"""),"Design and Creative strategy in any company, Manage and drive End-to-End Projects or Products, Work in a BPO setup for some well known client, I Want to sell things/Sales")</f>
        <v>Design and Creative strategy in any company, Manage and drive End-to-End Projects or Products, Work in a BPO setup for some well known client, I Want to sell things/Sales</v>
      </c>
      <c r="N1300" s="1"/>
      <c r="O1300" s="1" t="str">
        <f ca="1">IFERROR(__xludf.DUMMYFUNCTION("""COMPUTED_VALUE"""),"Manager who sets goal and helps me achieve it")</f>
        <v>Manager who sets goal and helps me achieve it</v>
      </c>
      <c r="P1300" s="1" t="str">
        <f ca="1">IFERROR(__xludf.DUMMYFUNCTION("""COMPUTED_VALUE"""),"Work &gt;10 people in Team")</f>
        <v>Work &gt;10 people in Team</v>
      </c>
      <c r="Q1300" s="1" t="s">
        <v>42</v>
      </c>
      <c r="R1300" s="1"/>
    </row>
    <row r="1301" spans="1:18" x14ac:dyDescent="0.25">
      <c r="A1301" s="2">
        <f ca="1">IFERROR(__xludf.DUMMYFUNCTION("""COMPUTED_VALUE"""),45044.6260945486)</f>
        <v>45044.626094548599</v>
      </c>
      <c r="B1301" s="1" t="str">
        <f ca="1">IFERROR(__xludf.DUMMYFUNCTION("""COMPUTED_VALUE"""),"India")</f>
        <v>India</v>
      </c>
      <c r="C1301" s="1">
        <f ca="1">IFERROR(__xludf.DUMMYFUNCTION("""COMPUTED_VALUE"""),562106)</f>
        <v>562106</v>
      </c>
      <c r="D1301" s="1" t="str">
        <f ca="1">IFERROR(__xludf.DUMMYFUNCTION("""COMPUTED_VALUE"""),"Female")</f>
        <v>Female</v>
      </c>
      <c r="E1301" s="1" t="str">
        <f ca="1">IFERROR(__xludf.DUMMYFUNCTION("""COMPUTED_VALUE"""),"Social Media like LinkedIn")</f>
        <v>Social Media like LinkedIn</v>
      </c>
      <c r="F1301" s="1" t="str">
        <f ca="1">IFERROR(__xludf.DUMMYFUNCTION("""COMPUTED_VALUE"""),"Yes, I will earn and do that")</f>
        <v>Yes, I will earn and do that</v>
      </c>
      <c r="G1301" s="1" t="str">
        <f ca="1">IFERROR(__xludf.DUMMYFUNCTION("""COMPUTED_VALUE"""),"This will be hard to do, but if it is the right company I would try")</f>
        <v>This will be hard to do, but if it is the right company I would try</v>
      </c>
      <c r="H1301" s="1" t="str">
        <f ca="1">IFERROR(__xludf.DUMMYFUNCTION("""COMPUTED_VALUE"""),"No")</f>
        <v>No</v>
      </c>
      <c r="I1301" s="1" t="str">
        <f ca="1">IFERROR(__xludf.DUMMYFUNCTION("""COMPUTED_VALUE"""),"Will NOT work for them")</f>
        <v>Will NOT work for them</v>
      </c>
      <c r="J1301" s="1">
        <f ca="1">IFERROR(__xludf.DUMMYFUNCTION("""COMPUTED_VALUE"""),10)</f>
        <v>10</v>
      </c>
      <c r="K1301" s="1" t="str">
        <f ca="1">IFERROR(__xludf.DUMMYFUNCTION("""COMPUTED_VALUE"""),"Hybrid Working Environment with more than 15 days a month at office")</f>
        <v>Hybrid Working Environment with more than 15 days a month at office</v>
      </c>
      <c r="L1301" s="1" t="str">
        <f ca="1">IFERROR(__xludf.DUMMYFUNCTION("""COMPUTED_VALUE"""),"Employer who pushes your limits by enabling an learning environment, and rewards you at the end")</f>
        <v>Employer who pushes your limits by enabling an learning environment, and rewards you at the end</v>
      </c>
      <c r="M13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301" s="1"/>
      <c r="O1301" s="1" t="str">
        <f ca="1">IFERROR(__xludf.DUMMYFUNCTION("""COMPUTED_VALUE"""),"Manager who explains what is expected, sets a goal and helps achieve it")</f>
        <v>Manager who explains what is expected, sets a goal and helps achieve it</v>
      </c>
      <c r="P1301" s="1" t="str">
        <f ca="1">IFERROR(__xludf.DUMMYFUNCTION("""COMPUTED_VALUE"""),"Work &lt;=6 People in the Team")</f>
        <v>Work &lt;=6 People in the Team</v>
      </c>
      <c r="Q1301" s="1" t="s">
        <v>43</v>
      </c>
      <c r="R1301" s="1"/>
    </row>
    <row r="1302" spans="1:18" x14ac:dyDescent="0.25">
      <c r="A1302" s="2">
        <f ca="1">IFERROR(__xludf.DUMMYFUNCTION("""COMPUTED_VALUE"""),45044.6261850115)</f>
        <v>45044.626185011497</v>
      </c>
      <c r="B1302" s="1" t="str">
        <f ca="1">IFERROR(__xludf.DUMMYFUNCTION("""COMPUTED_VALUE"""),"India")</f>
        <v>India</v>
      </c>
      <c r="C1302" s="1">
        <f ca="1">IFERROR(__xludf.DUMMYFUNCTION("""COMPUTED_VALUE"""),201003)</f>
        <v>201003</v>
      </c>
      <c r="D1302" s="1" t="str">
        <f ca="1">IFERROR(__xludf.DUMMYFUNCTION("""COMPUTED_VALUE"""),"Female")</f>
        <v>Female</v>
      </c>
      <c r="E1302" s="1" t="str">
        <f ca="1">IFERROR(__xludf.DUMMYFUNCTION("""COMPUTED_VALUE"""),"My Parents")</f>
        <v>My Parents</v>
      </c>
      <c r="F1302" s="1" t="str">
        <f ca="1">IFERROR(__xludf.DUMMYFUNCTION("""COMPUTED_VALUE"""),"Yes, I will earn and do that")</f>
        <v>Yes, I will earn and do that</v>
      </c>
      <c r="G1302" s="1" t="str">
        <f ca="1">IFERROR(__xludf.DUMMYFUNCTION("""COMPUTED_VALUE"""),"Will work for 3 years or more")</f>
        <v>Will work for 3 years or more</v>
      </c>
      <c r="H1302" s="1" t="str">
        <f ca="1">IFERROR(__xludf.DUMMYFUNCTION("""COMPUTED_VALUE"""),"No")</f>
        <v>No</v>
      </c>
      <c r="I1302" s="1" t="str">
        <f ca="1">IFERROR(__xludf.DUMMYFUNCTION("""COMPUTED_VALUE"""),"Will NOT work for them")</f>
        <v>Will NOT work for them</v>
      </c>
      <c r="J1302" s="1">
        <f ca="1">IFERROR(__xludf.DUMMYFUNCTION("""COMPUTED_VALUE"""),5)</f>
        <v>5</v>
      </c>
      <c r="K1302" s="1" t="str">
        <f ca="1">IFERROR(__xludf.DUMMYFUNCTION("""COMPUTED_VALUE"""),"Every Day Office Environment")</f>
        <v>Every Day Office Environment</v>
      </c>
      <c r="L1302" s="1" t="str">
        <f ca="1">IFERROR(__xludf.DUMMYFUNCTION("""COMPUTED_VALUE"""),"Employer who appreciates learning and enables that environment")</f>
        <v>Employer who appreciates learning and enables that environment</v>
      </c>
      <c r="M130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302" s="1"/>
      <c r="O1302" s="1" t="str">
        <f ca="1">IFERROR(__xludf.DUMMYFUNCTION("""COMPUTED_VALUE"""),"Manager who explains what is expected, sets a goal and helps achieve it")</f>
        <v>Manager who explains what is expected, sets a goal and helps achieve it</v>
      </c>
      <c r="P1302" s="1" t="str">
        <f ca="1">IFERROR(__xludf.DUMMYFUNCTION("""COMPUTED_VALUE"""),"Work &lt;=6 People in the Team")</f>
        <v>Work &lt;=6 People in the Team</v>
      </c>
      <c r="Q1302" s="1" t="s">
        <v>40</v>
      </c>
      <c r="R1302" s="1"/>
    </row>
    <row r="1303" spans="1:18" x14ac:dyDescent="0.25">
      <c r="A1303" s="2">
        <f ca="1">IFERROR(__xludf.DUMMYFUNCTION("""COMPUTED_VALUE"""),45044.6294174074)</f>
        <v>45044.629417407399</v>
      </c>
      <c r="B1303" s="1" t="str">
        <f ca="1">IFERROR(__xludf.DUMMYFUNCTION("""COMPUTED_VALUE"""),"India")</f>
        <v>India</v>
      </c>
      <c r="C1303" s="1">
        <f ca="1">IFERROR(__xludf.DUMMYFUNCTION("""COMPUTED_VALUE"""),500072)</f>
        <v>500072</v>
      </c>
      <c r="D1303" s="1" t="str">
        <f ca="1">IFERROR(__xludf.DUMMYFUNCTION("""COMPUTED_VALUE"""),"Male")</f>
        <v>Male</v>
      </c>
      <c r="E1303" s="1" t="str">
        <f ca="1">IFERROR(__xludf.DUMMYFUNCTION("""COMPUTED_VALUE"""),"Influencers who had successful careers")</f>
        <v>Influencers who had successful careers</v>
      </c>
      <c r="F1303" s="1" t="str">
        <f ca="1">IFERROR(__xludf.DUMMYFUNCTION("""COMPUTED_VALUE"""),"Yes, I will earn and do that")</f>
        <v>Yes, I will earn and do that</v>
      </c>
      <c r="G1303" s="1" t="str">
        <f ca="1">IFERROR(__xludf.DUMMYFUNCTION("""COMPUTED_VALUE"""),"This will be hard to do, but if it is the right company I would try")</f>
        <v>This will be hard to do, but if it is the right company I would try</v>
      </c>
      <c r="H1303" s="1" t="str">
        <f ca="1">IFERROR(__xludf.DUMMYFUNCTION("""COMPUTED_VALUE"""),"No")</f>
        <v>No</v>
      </c>
      <c r="I1303" s="1" t="str">
        <f ca="1">IFERROR(__xludf.DUMMYFUNCTION("""COMPUTED_VALUE"""),"Will NOT work for them")</f>
        <v>Will NOT work for them</v>
      </c>
      <c r="J1303" s="1">
        <f ca="1">IFERROR(__xludf.DUMMYFUNCTION("""COMPUTED_VALUE"""),5)</f>
        <v>5</v>
      </c>
      <c r="K1303" s="1" t="str">
        <f ca="1">IFERROR(__xludf.DUMMYFUNCTION("""COMPUTED_VALUE"""),"Hybrid Working Environment with less than 3 days a month at office")</f>
        <v>Hybrid Working Environment with less than 3 days a month at office</v>
      </c>
      <c r="L1303" s="1" t="str">
        <f ca="1">IFERROR(__xludf.DUMMYFUNCTION("""COMPUTED_VALUE"""),"Employer who appreciates learning and enables that environment")</f>
        <v>Employer who appreciates learning and enables that environment</v>
      </c>
      <c r="M1303" s="1" t="str">
        <f ca="1">IFERROR(__xludf.DUMMYFUNCTION("""COMPUTED_VALUE"""),"Business Operations in any organization, Manage and drive End-to-End Projects or Products, Work as a freelancer and do my thing my way, I Want to sell things/Sales")</f>
        <v>Business Operations in any organization, Manage and drive End-to-End Projects or Products, Work as a freelancer and do my thing my way, I Want to sell things/Sales</v>
      </c>
      <c r="N1303" s="1"/>
      <c r="O1303" s="1" t="str">
        <f ca="1">IFERROR(__xludf.DUMMYFUNCTION("""COMPUTED_VALUE"""),"Manager who explains what is expected, sets a goal and helps achieve it")</f>
        <v>Manager who explains what is expected, sets a goal and helps achieve it</v>
      </c>
      <c r="P1303" s="1" t="str">
        <f ca="1">IFERROR(__xludf.DUMMYFUNCTION("""COMPUTED_VALUE"""),"Work &lt;=6 People in the Team")</f>
        <v>Work &lt;=6 People in the Team</v>
      </c>
      <c r="Q1303" s="1" t="s">
        <v>43</v>
      </c>
      <c r="R1303" s="1"/>
    </row>
    <row r="1304" spans="1:18" x14ac:dyDescent="0.25">
      <c r="A1304" s="2">
        <f ca="1">IFERROR(__xludf.DUMMYFUNCTION("""COMPUTED_VALUE"""),45044.6302281134)</f>
        <v>45044.630228113398</v>
      </c>
      <c r="B1304" s="1" t="str">
        <f ca="1">IFERROR(__xludf.DUMMYFUNCTION("""COMPUTED_VALUE"""),"India")</f>
        <v>India</v>
      </c>
      <c r="C1304" s="1">
        <f ca="1">IFERROR(__xludf.DUMMYFUNCTION("""COMPUTED_VALUE"""),520007)</f>
        <v>520007</v>
      </c>
      <c r="D1304" s="1" t="str">
        <f ca="1">IFERROR(__xludf.DUMMYFUNCTION("""COMPUTED_VALUE"""),"Male")</f>
        <v>Male</v>
      </c>
      <c r="E1304" s="1" t="str">
        <f ca="1">IFERROR(__xludf.DUMMYFUNCTION("""COMPUTED_VALUE"""),"My Parents")</f>
        <v>My Parents</v>
      </c>
      <c r="F1304" s="1" t="str">
        <f ca="1">IFERROR(__xludf.DUMMYFUNCTION("""COMPUTED_VALUE"""),"Yes, I will earn and do that")</f>
        <v>Yes, I will earn and do that</v>
      </c>
      <c r="G1304" s="1" t="str">
        <f ca="1">IFERROR(__xludf.DUMMYFUNCTION("""COMPUTED_VALUE"""),"Will work for 3 years or more")</f>
        <v>Will work for 3 years or more</v>
      </c>
      <c r="H1304" s="1" t="str">
        <f ca="1">IFERROR(__xludf.DUMMYFUNCTION("""COMPUTED_VALUE"""),"No")</f>
        <v>No</v>
      </c>
      <c r="I1304" s="1" t="str">
        <f ca="1">IFERROR(__xludf.DUMMYFUNCTION("""COMPUTED_VALUE"""),"Will NOT work for them")</f>
        <v>Will NOT work for them</v>
      </c>
      <c r="J1304" s="1">
        <f ca="1">IFERROR(__xludf.DUMMYFUNCTION("""COMPUTED_VALUE"""),3)</f>
        <v>3</v>
      </c>
      <c r="K1304" s="1" t="str">
        <f ca="1">IFERROR(__xludf.DUMMYFUNCTION("""COMPUTED_VALUE"""),"Hybrid Working Environment with more than 15 days a month at office")</f>
        <v>Hybrid Working Environment with more than 15 days a month at office</v>
      </c>
      <c r="L1304" s="1" t="str">
        <f ca="1">IFERROR(__xludf.DUMMYFUNCTION("""COMPUTED_VALUE"""),"Employer who pushes your limits by enabling an learning environment, and rewards you at the end")</f>
        <v>Employer who pushes your limits by enabling an learning environment, and rewards you at the end</v>
      </c>
      <c r="M13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304" s="1"/>
      <c r="O1304" s="1" t="str">
        <f ca="1">IFERROR(__xludf.DUMMYFUNCTION("""COMPUTED_VALUE"""),"Manager who clearly describes what she/he needs")</f>
        <v>Manager who clearly describes what she/he needs</v>
      </c>
      <c r="P1304" s="1" t="str">
        <f ca="1">IFERROR(__xludf.DUMMYFUNCTION("""COMPUTED_VALUE"""),"Work &gt;10 people in Team")</f>
        <v>Work &gt;10 people in Team</v>
      </c>
      <c r="Q1304" s="1" t="s">
        <v>43</v>
      </c>
      <c r="R1304" s="1"/>
    </row>
    <row r="1305" spans="1:18" x14ac:dyDescent="0.25">
      <c r="A1305" s="2">
        <f ca="1">IFERROR(__xludf.DUMMYFUNCTION("""COMPUTED_VALUE"""),45044.6357211574)</f>
        <v>45044.6357211574</v>
      </c>
      <c r="B1305" s="1" t="str">
        <f ca="1">IFERROR(__xludf.DUMMYFUNCTION("""COMPUTED_VALUE"""),"India")</f>
        <v>India</v>
      </c>
      <c r="C1305" s="1">
        <f ca="1">IFERROR(__xludf.DUMMYFUNCTION("""COMPUTED_VALUE"""),600095)</f>
        <v>600095</v>
      </c>
      <c r="D1305" s="1" t="str">
        <f ca="1">IFERROR(__xludf.DUMMYFUNCTION("""COMPUTED_VALUE"""),"Male")</f>
        <v>Male</v>
      </c>
      <c r="E1305" s="1" t="str">
        <f ca="1">IFERROR(__xludf.DUMMYFUNCTION("""COMPUTED_VALUE"""),"People from my circle, but not family members")</f>
        <v>People from my circle, but not family members</v>
      </c>
      <c r="F1305" s="1" t="str">
        <f ca="1">IFERROR(__xludf.DUMMYFUNCTION("""COMPUTED_VALUE"""),"No I would not be pursuing Higher Education outside of India")</f>
        <v>No I would not be pursuing Higher Education outside of India</v>
      </c>
      <c r="G1305" s="1" t="str">
        <f ca="1">IFERROR(__xludf.DUMMYFUNCTION("""COMPUTED_VALUE"""),"This will be hard to do, but if it is the right company I would try")</f>
        <v>This will be hard to do, but if it is the right company I would try</v>
      </c>
      <c r="H1305" s="1" t="str">
        <f ca="1">IFERROR(__xludf.DUMMYFUNCTION("""COMPUTED_VALUE"""),"No")</f>
        <v>No</v>
      </c>
      <c r="I1305" s="1" t="str">
        <f ca="1">IFERROR(__xludf.DUMMYFUNCTION("""COMPUTED_VALUE"""),"Will NOT work for them")</f>
        <v>Will NOT work for them</v>
      </c>
      <c r="J1305" s="1">
        <f ca="1">IFERROR(__xludf.DUMMYFUNCTION("""COMPUTED_VALUE"""),6)</f>
        <v>6</v>
      </c>
      <c r="K1305" s="1" t="str">
        <f ca="1">IFERROR(__xludf.DUMMYFUNCTION("""COMPUTED_VALUE"""),"Hybrid Working Environment with more than 15 days a month at office")</f>
        <v>Hybrid Working Environment with more than 15 days a month at office</v>
      </c>
      <c r="L1305" s="1" t="str">
        <f ca="1">IFERROR(__xludf.DUMMYFUNCTION("""COMPUTED_VALUE"""),"Employer who appreciates learning and enables that environment")</f>
        <v>Employer who appreciates learning and enables that environment</v>
      </c>
      <c r="M130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N1305" s="1"/>
      <c r="O1305" s="1" t="str">
        <f ca="1">IFERROR(__xludf.DUMMYFUNCTION("""COMPUTED_VALUE"""),"Manager who explains what is expected, sets a goal and helps achieve it")</f>
        <v>Manager who explains what is expected, sets a goal and helps achieve it</v>
      </c>
      <c r="P1305" s="1" t="str">
        <f ca="1">IFERROR(__xludf.DUMMYFUNCTION("""COMPUTED_VALUE"""),"Work &lt;=6 People in the Team")</f>
        <v>Work &lt;=6 People in the Team</v>
      </c>
      <c r="Q1305" s="1" t="s">
        <v>40</v>
      </c>
      <c r="R1305" s="1"/>
    </row>
    <row r="1306" spans="1:18" x14ac:dyDescent="0.25">
      <c r="A1306" s="2">
        <f ca="1">IFERROR(__xludf.DUMMYFUNCTION("""COMPUTED_VALUE"""),45044.6384857986)</f>
        <v>45044.638485798598</v>
      </c>
      <c r="B1306" s="1" t="str">
        <f ca="1">IFERROR(__xludf.DUMMYFUNCTION("""COMPUTED_VALUE"""),"India")</f>
        <v>India</v>
      </c>
      <c r="C1306" s="1">
        <f ca="1">IFERROR(__xludf.DUMMYFUNCTION("""COMPUTED_VALUE"""),400601)</f>
        <v>400601</v>
      </c>
      <c r="D1306" s="1" t="str">
        <f ca="1">IFERROR(__xludf.DUMMYFUNCTION("""COMPUTED_VALUE"""),"Male")</f>
        <v>Male</v>
      </c>
      <c r="E1306" s="1" t="str">
        <f ca="1">IFERROR(__xludf.DUMMYFUNCTION("""COMPUTED_VALUE"""),"People who have changed the world for better")</f>
        <v>People who have changed the world for better</v>
      </c>
      <c r="F1306" s="1" t="str">
        <f ca="1">IFERROR(__xludf.DUMMYFUNCTION("""COMPUTED_VALUE"""),"Yes, I will earn and do that")</f>
        <v>Yes, I will earn and do that</v>
      </c>
      <c r="G1306" s="1" t="str">
        <f ca="1">IFERROR(__xludf.DUMMYFUNCTION("""COMPUTED_VALUE"""),"Will work for 3 years or more")</f>
        <v>Will work for 3 years or more</v>
      </c>
      <c r="H1306" s="1" t="str">
        <f ca="1">IFERROR(__xludf.DUMMYFUNCTION("""COMPUTED_VALUE"""),"No")</f>
        <v>No</v>
      </c>
      <c r="I1306" s="1" t="str">
        <f ca="1">IFERROR(__xludf.DUMMYFUNCTION("""COMPUTED_VALUE"""),"Will NOT work for them")</f>
        <v>Will NOT work for them</v>
      </c>
      <c r="J1306" s="1">
        <f ca="1">IFERROR(__xludf.DUMMYFUNCTION("""COMPUTED_VALUE"""),3)</f>
        <v>3</v>
      </c>
      <c r="K1306" s="1" t="str">
        <f ca="1">IFERROR(__xludf.DUMMYFUNCTION("""COMPUTED_VALUE"""),"Every Day Office Environment")</f>
        <v>Every Day Office Environment</v>
      </c>
      <c r="L1306" s="1" t="str">
        <f ca="1">IFERROR(__xludf.DUMMYFUNCTION("""COMPUTED_VALUE"""),"Employer who appreciates learning and enables that environment")</f>
        <v>Employer who appreciates learning and enables that environment</v>
      </c>
      <c r="M1306"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306" s="1"/>
      <c r="O1306" s="1" t="str">
        <f ca="1">IFERROR(__xludf.DUMMYFUNCTION("""COMPUTED_VALUE"""),"Manager who sets targets and expects me to achieve it")</f>
        <v>Manager who sets targets and expects me to achieve it</v>
      </c>
      <c r="P1306" s="1" t="str">
        <f ca="1">IFERROR(__xludf.DUMMYFUNCTION("""COMPUTED_VALUE"""),"Work alone, Work &gt;=7 People in the Team")</f>
        <v>Work alone, Work &gt;=7 People in the Team</v>
      </c>
      <c r="Q1306" s="1" t="s">
        <v>43</v>
      </c>
      <c r="R1306" s="1"/>
    </row>
    <row r="1307" spans="1:18" x14ac:dyDescent="0.25">
      <c r="A1307" s="2">
        <f ca="1">IFERROR(__xludf.DUMMYFUNCTION("""COMPUTED_VALUE"""),45044.6425078009)</f>
        <v>45044.642507800898</v>
      </c>
      <c r="B1307" s="1" t="str">
        <f ca="1">IFERROR(__xludf.DUMMYFUNCTION("""COMPUTED_VALUE"""),"India")</f>
        <v>India</v>
      </c>
      <c r="C1307" s="1">
        <f ca="1">IFERROR(__xludf.DUMMYFUNCTION("""COMPUTED_VALUE"""),410206)</f>
        <v>410206</v>
      </c>
      <c r="D1307" s="1" t="str">
        <f ca="1">IFERROR(__xludf.DUMMYFUNCTION("""COMPUTED_VALUE"""),"Male")</f>
        <v>Male</v>
      </c>
      <c r="E1307" s="1" t="str">
        <f ca="1">IFERROR(__xludf.DUMMYFUNCTION("""COMPUTED_VALUE"""),"People from my circle, but not family members")</f>
        <v>People from my circle, but not family members</v>
      </c>
      <c r="F1307" s="1" t="str">
        <f ca="1">IFERROR(__xludf.DUMMYFUNCTION("""COMPUTED_VALUE"""),"No I would not be pursuing Higher Education outside of India")</f>
        <v>No I would not be pursuing Higher Education outside of India</v>
      </c>
      <c r="G1307" s="1" t="str">
        <f ca="1">IFERROR(__xludf.DUMMYFUNCTION("""COMPUTED_VALUE"""),"This will be hard to do, but if it is the right company I would try")</f>
        <v>This will be hard to do, but if it is the right company I would try</v>
      </c>
      <c r="H1307" s="1" t="str">
        <f ca="1">IFERROR(__xludf.DUMMYFUNCTION("""COMPUTED_VALUE"""),"No")</f>
        <v>No</v>
      </c>
      <c r="I1307" s="1" t="str">
        <f ca="1">IFERROR(__xludf.DUMMYFUNCTION("""COMPUTED_VALUE"""),"Will NOT work for them")</f>
        <v>Will NOT work for them</v>
      </c>
      <c r="J1307" s="1">
        <f ca="1">IFERROR(__xludf.DUMMYFUNCTION("""COMPUTED_VALUE"""),3)</f>
        <v>3</v>
      </c>
      <c r="K1307" s="1" t="str">
        <f ca="1">IFERROR(__xludf.DUMMYFUNCTION("""COMPUTED_VALUE"""),"Hybrid Working Environment with more than 15 days a month at office")</f>
        <v>Hybrid Working Environment with more than 15 days a month at office</v>
      </c>
      <c r="L1307" s="1" t="str">
        <f ca="1">IFERROR(__xludf.DUMMYFUNCTION("""COMPUTED_VALUE"""),"Employer who pushes your limits by enabling an learning environment, and rewards you at the end")</f>
        <v>Employer who pushes your limits by enabling an learning environment, and rewards you at the end</v>
      </c>
      <c r="M1307"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N1307" s="1"/>
      <c r="O1307" s="1" t="str">
        <f ca="1">IFERROR(__xludf.DUMMYFUNCTION("""COMPUTED_VALUE"""),"Manager who explains what is expected, sets a goal and helps achieve it")</f>
        <v>Manager who explains what is expected, sets a goal and helps achieve it</v>
      </c>
      <c r="P1307" s="1" t="str">
        <f ca="1">IFERROR(__xludf.DUMMYFUNCTION("""COMPUTED_VALUE"""),"Work &gt;=7 People in the Team")</f>
        <v>Work &gt;=7 People in the Team</v>
      </c>
      <c r="Q1307" s="1" t="s">
        <v>43</v>
      </c>
      <c r="R1307" s="1"/>
    </row>
    <row r="1308" spans="1:18" x14ac:dyDescent="0.25">
      <c r="A1308" s="2">
        <f ca="1">IFERROR(__xludf.DUMMYFUNCTION("""COMPUTED_VALUE"""),45044.6582473611)</f>
        <v>45044.658247361098</v>
      </c>
      <c r="B1308" s="1" t="str">
        <f ca="1">IFERROR(__xludf.DUMMYFUNCTION("""COMPUTED_VALUE"""),"India")</f>
        <v>India</v>
      </c>
      <c r="C1308" s="1">
        <f ca="1">IFERROR(__xludf.DUMMYFUNCTION("""COMPUTED_VALUE"""),122101)</f>
        <v>122101</v>
      </c>
      <c r="D1308" s="1" t="str">
        <f ca="1">IFERROR(__xludf.DUMMYFUNCTION("""COMPUTED_VALUE"""),"Male")</f>
        <v>Male</v>
      </c>
      <c r="E1308" s="1" t="str">
        <f ca="1">IFERROR(__xludf.DUMMYFUNCTION("""COMPUTED_VALUE"""),"People who have changed the world for better")</f>
        <v>People who have changed the world for better</v>
      </c>
      <c r="F1308" s="1" t="str">
        <f ca="1">IFERROR(__xludf.DUMMYFUNCTION("""COMPUTED_VALUE"""),"No, But if someone could bare the cost I will")</f>
        <v>No, But if someone could bare the cost I will</v>
      </c>
      <c r="G1308" s="1" t="str">
        <f ca="1">IFERROR(__xludf.DUMMYFUNCTION("""COMPUTED_VALUE"""),"This will be hard to do, but if it is the right company I would try")</f>
        <v>This will be hard to do, but if it is the right company I would try</v>
      </c>
      <c r="H1308" s="1" t="str">
        <f ca="1">IFERROR(__xludf.DUMMYFUNCTION("""COMPUTED_VALUE"""),"Yes")</f>
        <v>Yes</v>
      </c>
      <c r="I1308" s="1" t="str">
        <f ca="1">IFERROR(__xludf.DUMMYFUNCTION("""COMPUTED_VALUE"""),"Will NOT work for them")</f>
        <v>Will NOT work for them</v>
      </c>
      <c r="J1308" s="1">
        <f ca="1">IFERROR(__xludf.DUMMYFUNCTION("""COMPUTED_VALUE"""),10)</f>
        <v>10</v>
      </c>
      <c r="K1308" s="1" t="str">
        <f ca="1">IFERROR(__xludf.DUMMYFUNCTION("""COMPUTED_VALUE"""),"Fully Remote with Options to travel as and when needed")</f>
        <v>Fully Remote with Options to travel as and when needed</v>
      </c>
      <c r="L1308" s="1" t="str">
        <f ca="1">IFERROR(__xludf.DUMMYFUNCTION("""COMPUTED_VALUE"""),"Employer who pushes your limits by enabling an learning environment, and rewards you at the end")</f>
        <v>Employer who pushes your limits by enabling an learning environment, and rewards you at the end</v>
      </c>
      <c r="M130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308" s="1"/>
      <c r="O1308" s="1" t="str">
        <f ca="1">IFERROR(__xludf.DUMMYFUNCTION("""COMPUTED_VALUE"""),"Manager who explains what is expected, sets a goal and helps achieve it")</f>
        <v>Manager who explains what is expected, sets a goal and helps achieve it</v>
      </c>
      <c r="P1308" s="1" t="str">
        <f ca="1">IFERROR(__xludf.DUMMYFUNCTION("""COMPUTED_VALUE"""),"Work &lt;=6 People in the Team")</f>
        <v>Work &lt;=6 People in the Team</v>
      </c>
      <c r="Q1308" s="1" t="s">
        <v>43</v>
      </c>
      <c r="R1308" s="1"/>
    </row>
    <row r="1309" spans="1:18" x14ac:dyDescent="0.25">
      <c r="A1309" s="2">
        <f ca="1">IFERROR(__xludf.DUMMYFUNCTION("""COMPUTED_VALUE"""),45044.6650627893)</f>
        <v>45044.665062789303</v>
      </c>
      <c r="B1309" s="1" t="str">
        <f ca="1">IFERROR(__xludf.DUMMYFUNCTION("""COMPUTED_VALUE"""),"United States of America")</f>
        <v>United States of America</v>
      </c>
      <c r="C1309" s="1">
        <f ca="1">IFERROR(__xludf.DUMMYFUNCTION("""COMPUTED_VALUE"""),21228)</f>
        <v>21228</v>
      </c>
      <c r="D1309" s="1" t="str">
        <f ca="1">IFERROR(__xludf.DUMMYFUNCTION("""COMPUTED_VALUE"""),"Female")</f>
        <v>Female</v>
      </c>
      <c r="E1309" s="1" t="str">
        <f ca="1">IFERROR(__xludf.DUMMYFUNCTION("""COMPUTED_VALUE"""),"People who have changed the world for better")</f>
        <v>People who have changed the world for better</v>
      </c>
      <c r="F1309" s="1" t="str">
        <f ca="1">IFERROR(__xludf.DUMMYFUNCTION("""COMPUTED_VALUE"""),"Yes, I will earn and do that")</f>
        <v>Yes, I will earn and do that</v>
      </c>
      <c r="G1309" s="1" t="str">
        <f ca="1">IFERROR(__xludf.DUMMYFUNCTION("""COMPUTED_VALUE"""),"This will be hard to do, but if it is the right company I would try")</f>
        <v>This will be hard to do, but if it is the right company I would try</v>
      </c>
      <c r="H1309" s="1" t="str">
        <f ca="1">IFERROR(__xludf.DUMMYFUNCTION("""COMPUTED_VALUE"""),"No")</f>
        <v>No</v>
      </c>
      <c r="I1309" s="1" t="str">
        <f ca="1">IFERROR(__xludf.DUMMYFUNCTION("""COMPUTED_VALUE"""),"Will NOT work for them")</f>
        <v>Will NOT work for them</v>
      </c>
      <c r="J1309" s="1">
        <f ca="1">IFERROR(__xludf.DUMMYFUNCTION("""COMPUTED_VALUE"""),3)</f>
        <v>3</v>
      </c>
      <c r="K1309" s="1" t="str">
        <f ca="1">IFERROR(__xludf.DUMMYFUNCTION("""COMPUTED_VALUE"""),"Hybrid Working Environment with more than 15 days a month at office")</f>
        <v>Hybrid Working Environment with more than 15 days a month at office</v>
      </c>
      <c r="L1309" s="1" t="str">
        <f ca="1">IFERROR(__xludf.DUMMYFUNCTION("""COMPUTED_VALUE"""),"Employer who appreciates learning and enables that environment")</f>
        <v>Employer who appreciates learning and enables that environment</v>
      </c>
      <c r="M1309" s="1" t="str">
        <f ca="1">IFERROR(__xludf.DUMMYFUNCTION("""COMPUTED_VALUE"""),"Teaching in any of the institutes/colleges/online or offline, Work as a freelancer and do my thing my way, Become a content Creator in some platform, I Want to sell things/Sales")</f>
        <v>Teaching in any of the institutes/colleges/online or offline, Work as a freelancer and do my thing my way, Become a content Creator in some platform, I Want to sell things/Sales</v>
      </c>
      <c r="N1309" s="1"/>
      <c r="O1309" s="1" t="str">
        <f ca="1">IFERROR(__xludf.DUMMYFUNCTION("""COMPUTED_VALUE"""),"Manager who explains what is expected, sets a goal and helps achieve it")</f>
        <v>Manager who explains what is expected, sets a goal and helps achieve it</v>
      </c>
      <c r="P1309" s="1" t="str">
        <f ca="1">IFERROR(__xludf.DUMMYFUNCTION("""COMPUTED_VALUE"""),"Work Alone, &lt;=6 in team")</f>
        <v>Work Alone, &lt;=6 in team</v>
      </c>
      <c r="Q1309" s="1" t="s">
        <v>40</v>
      </c>
      <c r="R1309" s="1"/>
    </row>
    <row r="1310" spans="1:18" x14ac:dyDescent="0.25">
      <c r="A1310" s="2">
        <f ca="1">IFERROR(__xludf.DUMMYFUNCTION("""COMPUTED_VALUE"""),45044.6667686458)</f>
        <v>45044.666768645802</v>
      </c>
      <c r="B1310" s="1" t="str">
        <f ca="1">IFERROR(__xludf.DUMMYFUNCTION("""COMPUTED_VALUE"""),"India")</f>
        <v>India</v>
      </c>
      <c r="C1310" s="1">
        <f ca="1">IFERROR(__xludf.DUMMYFUNCTION("""COMPUTED_VALUE"""),600083)</f>
        <v>600083</v>
      </c>
      <c r="D1310" s="1" t="str">
        <f ca="1">IFERROR(__xludf.DUMMYFUNCTION("""COMPUTED_VALUE"""),"Male")</f>
        <v>Male</v>
      </c>
      <c r="E1310" s="1" t="str">
        <f ca="1">IFERROR(__xludf.DUMMYFUNCTION("""COMPUTED_VALUE"""),"Influencers who had successful careers")</f>
        <v>Influencers who had successful careers</v>
      </c>
      <c r="F1310" s="1" t="str">
        <f ca="1">IFERROR(__xludf.DUMMYFUNCTION("""COMPUTED_VALUE"""),"No I would not be pursuing Higher Education outside of India")</f>
        <v>No I would not be pursuing Higher Education outside of India</v>
      </c>
      <c r="G1310" s="1" t="str">
        <f ca="1">IFERROR(__xludf.DUMMYFUNCTION("""COMPUTED_VALUE"""),"This will be hard to do, but if it is the right company I would try")</f>
        <v>This will be hard to do, but if it is the right company I would try</v>
      </c>
      <c r="H1310" s="1" t="str">
        <f ca="1">IFERROR(__xludf.DUMMYFUNCTION("""COMPUTED_VALUE"""),"No")</f>
        <v>No</v>
      </c>
      <c r="I1310" s="1" t="str">
        <f ca="1">IFERROR(__xludf.DUMMYFUNCTION("""COMPUTED_VALUE"""),"Will NOT work for them")</f>
        <v>Will NOT work for them</v>
      </c>
      <c r="J1310" s="1">
        <f ca="1">IFERROR(__xludf.DUMMYFUNCTION("""COMPUTED_VALUE"""),6)</f>
        <v>6</v>
      </c>
      <c r="K1310" s="1" t="str">
        <f ca="1">IFERROR(__xludf.DUMMYFUNCTION("""COMPUTED_VALUE"""),"Hybrid Working Environment with more than 15 days a month at office")</f>
        <v>Hybrid Working Environment with more than 15 days a month at office</v>
      </c>
      <c r="L1310" s="1" t="str">
        <f ca="1">IFERROR(__xludf.DUMMYFUNCTION("""COMPUTED_VALUE"""),"Employer who pushes your limits and doesn't enables learning environment and never rewards you")</f>
        <v>Employer who pushes your limits and doesn't enables learning environment and never rewards you</v>
      </c>
      <c r="M1310"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1310" s="1"/>
      <c r="O1310" s="1" t="str">
        <f ca="1">IFERROR(__xludf.DUMMYFUNCTION("""COMPUTED_VALUE"""),"Manager who explains what is expected, sets a goal and helps achieve it")</f>
        <v>Manager who explains what is expected, sets a goal and helps achieve it</v>
      </c>
      <c r="P1310" s="1" t="str">
        <f ca="1">IFERROR(__xludf.DUMMYFUNCTION("""COMPUTED_VALUE"""),"Work &gt;=7 People in the Team")</f>
        <v>Work &gt;=7 People in the Team</v>
      </c>
      <c r="Q1310" s="1" t="s">
        <v>43</v>
      </c>
      <c r="R1310" s="1"/>
    </row>
    <row r="1311" spans="1:18" x14ac:dyDescent="0.25">
      <c r="A1311" s="2">
        <f ca="1">IFERROR(__xludf.DUMMYFUNCTION("""COMPUTED_VALUE"""),45044.6694953472)</f>
        <v>45044.669495347203</v>
      </c>
      <c r="B1311" s="1" t="str">
        <f ca="1">IFERROR(__xludf.DUMMYFUNCTION("""COMPUTED_VALUE"""),"India")</f>
        <v>India</v>
      </c>
      <c r="C1311" s="1">
        <f ca="1">IFERROR(__xludf.DUMMYFUNCTION("""COMPUTED_VALUE"""),110045)</f>
        <v>110045</v>
      </c>
      <c r="D1311" s="1" t="str">
        <f ca="1">IFERROR(__xludf.DUMMYFUNCTION("""COMPUTED_VALUE"""),"Male")</f>
        <v>Male</v>
      </c>
      <c r="E1311" s="1" t="str">
        <f ca="1">IFERROR(__xludf.DUMMYFUNCTION("""COMPUTED_VALUE"""),"My Parents")</f>
        <v>My Parents</v>
      </c>
      <c r="F1311" s="1" t="str">
        <f ca="1">IFERROR(__xludf.DUMMYFUNCTION("""COMPUTED_VALUE"""),"Yes, I will earn and do that")</f>
        <v>Yes, I will earn and do that</v>
      </c>
      <c r="G1311" s="1" t="str">
        <f ca="1">IFERROR(__xludf.DUMMYFUNCTION("""COMPUTED_VALUE"""),"Will work for 3 years or more")</f>
        <v>Will work for 3 years or more</v>
      </c>
      <c r="H1311" s="1" t="str">
        <f ca="1">IFERROR(__xludf.DUMMYFUNCTION("""COMPUTED_VALUE"""),"No")</f>
        <v>No</v>
      </c>
      <c r="I1311" s="1" t="str">
        <f ca="1">IFERROR(__xludf.DUMMYFUNCTION("""COMPUTED_VALUE"""),"Will work for them")</f>
        <v>Will work for them</v>
      </c>
      <c r="J1311" s="1">
        <f ca="1">IFERROR(__xludf.DUMMYFUNCTION("""COMPUTED_VALUE"""),3)</f>
        <v>3</v>
      </c>
      <c r="K1311" s="1" t="str">
        <f ca="1">IFERROR(__xludf.DUMMYFUNCTION("""COMPUTED_VALUE"""),"Hybrid Working Environment with more than 15 days a month at office")</f>
        <v>Hybrid Working Environment with more than 15 days a month at office</v>
      </c>
      <c r="L1311" s="1" t="str">
        <f ca="1">IFERROR(__xludf.DUMMYFUNCTION("""COMPUTED_VALUE"""),"Employer who appreciates learning and enables that environment")</f>
        <v>Employer who appreciates learning and enables that environment</v>
      </c>
      <c r="M131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1311" s="1"/>
      <c r="O1311" s="1" t="str">
        <f ca="1">IFERROR(__xludf.DUMMYFUNCTION("""COMPUTED_VALUE"""),"Manager who clearly describes what she/he needs")</f>
        <v>Manager who clearly describes what she/he needs</v>
      </c>
      <c r="P1311" s="1" t="str">
        <f ca="1">IFERROR(__xludf.DUMMYFUNCTION("""COMPUTED_VALUE"""),"Work &gt;=7 People in the Team")</f>
        <v>Work &gt;=7 People in the Team</v>
      </c>
      <c r="Q1311" s="1" t="s">
        <v>43</v>
      </c>
      <c r="R1311" s="1"/>
    </row>
    <row r="1312" spans="1:18" x14ac:dyDescent="0.25">
      <c r="A1312" s="2">
        <f ca="1">IFERROR(__xludf.DUMMYFUNCTION("""COMPUTED_VALUE"""),45044.6698394791)</f>
        <v>45044.669839479102</v>
      </c>
      <c r="B1312" s="1" t="str">
        <f ca="1">IFERROR(__xludf.DUMMYFUNCTION("""COMPUTED_VALUE"""),"India")</f>
        <v>India</v>
      </c>
      <c r="C1312" s="1">
        <f ca="1">IFERROR(__xludf.DUMMYFUNCTION("""COMPUTED_VALUE"""),522007)</f>
        <v>522007</v>
      </c>
      <c r="D1312" s="1" t="str">
        <f ca="1">IFERROR(__xludf.DUMMYFUNCTION("""COMPUTED_VALUE"""),"Male")</f>
        <v>Male</v>
      </c>
      <c r="E1312" s="1" t="str">
        <f ca="1">IFERROR(__xludf.DUMMYFUNCTION("""COMPUTED_VALUE"""),"My Parents")</f>
        <v>My Parents</v>
      </c>
      <c r="F1312" s="1" t="str">
        <f ca="1">IFERROR(__xludf.DUMMYFUNCTION("""COMPUTED_VALUE"""),"No, But if someone could bare the cost I will")</f>
        <v>No, But if someone could bare the cost I will</v>
      </c>
      <c r="G1312" s="1" t="str">
        <f ca="1">IFERROR(__xludf.DUMMYFUNCTION("""COMPUTED_VALUE"""),"Will work for 3 years or more")</f>
        <v>Will work for 3 years or more</v>
      </c>
      <c r="H1312" s="1" t="str">
        <f ca="1">IFERROR(__xludf.DUMMYFUNCTION("""COMPUTED_VALUE"""),"No")</f>
        <v>No</v>
      </c>
      <c r="I1312" s="1" t="str">
        <f ca="1">IFERROR(__xludf.DUMMYFUNCTION("""COMPUTED_VALUE"""),"Will NOT work for them")</f>
        <v>Will NOT work for them</v>
      </c>
      <c r="J1312" s="1">
        <f ca="1">IFERROR(__xludf.DUMMYFUNCTION("""COMPUTED_VALUE"""),5)</f>
        <v>5</v>
      </c>
      <c r="K1312" s="1" t="str">
        <f ca="1">IFERROR(__xludf.DUMMYFUNCTION("""COMPUTED_VALUE"""),"Every Day Office Environment")</f>
        <v>Every Day Office Environment</v>
      </c>
      <c r="L1312" s="1" t="str">
        <f ca="1">IFERROR(__xludf.DUMMYFUNCTION("""COMPUTED_VALUE"""),"Employer who pushes your limits by enabling an learning environment, and rewards you at the end")</f>
        <v>Employer who pushes your limits by enabling an learning environment, and rewards you at the end</v>
      </c>
      <c r="M1312"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312" s="1"/>
      <c r="O1312" s="1" t="str">
        <f ca="1">IFERROR(__xludf.DUMMYFUNCTION("""COMPUTED_VALUE"""),"Manager who explains what is expected, sets a goal and helps achieve it")</f>
        <v>Manager who explains what is expected, sets a goal and helps achieve it</v>
      </c>
      <c r="P1312" s="1" t="str">
        <f ca="1">IFERROR(__xludf.DUMMYFUNCTION("""COMPUTED_VALUE"""),"Work &gt;10 people in Team")</f>
        <v>Work &gt;10 people in Team</v>
      </c>
      <c r="Q1312" s="1" t="s">
        <v>43</v>
      </c>
      <c r="R1312" s="1"/>
    </row>
    <row r="1313" spans="1:18" x14ac:dyDescent="0.25">
      <c r="A1313" s="2">
        <f ca="1">IFERROR(__xludf.DUMMYFUNCTION("""COMPUTED_VALUE"""),45044.6701403009)</f>
        <v>45044.670140300899</v>
      </c>
      <c r="B1313" s="1" t="str">
        <f ca="1">IFERROR(__xludf.DUMMYFUNCTION("""COMPUTED_VALUE"""),"India")</f>
        <v>India</v>
      </c>
      <c r="C1313" s="1">
        <f ca="1">IFERROR(__xludf.DUMMYFUNCTION("""COMPUTED_VALUE"""),636302)</f>
        <v>636302</v>
      </c>
      <c r="D1313" s="1" t="str">
        <f ca="1">IFERROR(__xludf.DUMMYFUNCTION("""COMPUTED_VALUE"""),"Male")</f>
        <v>Male</v>
      </c>
      <c r="E1313" s="1" t="str">
        <f ca="1">IFERROR(__xludf.DUMMYFUNCTION("""COMPUTED_VALUE"""),"People who have changed the world for better")</f>
        <v>People who have changed the world for better</v>
      </c>
      <c r="F1313" s="1" t="str">
        <f ca="1">IFERROR(__xludf.DUMMYFUNCTION("""COMPUTED_VALUE"""),"Yes, I will earn and do that")</f>
        <v>Yes, I will earn and do that</v>
      </c>
      <c r="G1313" s="1" t="str">
        <f ca="1">IFERROR(__xludf.DUMMYFUNCTION("""COMPUTED_VALUE"""),"This will be hard to do, but if it is the right company I would try")</f>
        <v>This will be hard to do, but if it is the right company I would try</v>
      </c>
      <c r="H1313" s="1" t="str">
        <f ca="1">IFERROR(__xludf.DUMMYFUNCTION("""COMPUTED_VALUE"""),"Yes")</f>
        <v>Yes</v>
      </c>
      <c r="I1313" s="1" t="str">
        <f ca="1">IFERROR(__xludf.DUMMYFUNCTION("""COMPUTED_VALUE"""),"Will NOT work for them")</f>
        <v>Will NOT work for them</v>
      </c>
      <c r="J1313" s="1">
        <f ca="1">IFERROR(__xludf.DUMMYFUNCTION("""COMPUTED_VALUE"""),3)</f>
        <v>3</v>
      </c>
      <c r="K1313" s="1" t="str">
        <f ca="1">IFERROR(__xludf.DUMMYFUNCTION("""COMPUTED_VALUE"""),"Hybrid Working Environment with less than 3 days a month at office")</f>
        <v>Hybrid Working Environment with less than 3 days a month at office</v>
      </c>
      <c r="L1313" s="1" t="str">
        <f ca="1">IFERROR(__xludf.DUMMYFUNCTION("""COMPUTED_VALUE"""),"Employer who appreciates learning and enables that environment")</f>
        <v>Employer who appreciates learning and enables that environment</v>
      </c>
      <c r="M1313"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N1313" s="1"/>
      <c r="O1313" s="1" t="str">
        <f ca="1">IFERROR(__xludf.DUMMYFUNCTION("""COMPUTED_VALUE"""),"Manager who explains what is expected, sets a goal and helps achieve it")</f>
        <v>Manager who explains what is expected, sets a goal and helps achieve it</v>
      </c>
      <c r="P1313" s="1" t="str">
        <f ca="1">IFERROR(__xludf.DUMMYFUNCTION("""COMPUTED_VALUE"""),"Work &lt;=6 People in the Team")</f>
        <v>Work &lt;=6 People in the Team</v>
      </c>
      <c r="Q1313" s="1" t="s">
        <v>42</v>
      </c>
      <c r="R1313" s="1"/>
    </row>
    <row r="1314" spans="1:18" x14ac:dyDescent="0.25">
      <c r="A1314" s="2">
        <f ca="1">IFERROR(__xludf.DUMMYFUNCTION("""COMPUTED_VALUE"""),45044.6724894444)</f>
        <v>45044.672489444398</v>
      </c>
      <c r="B1314" s="1" t="str">
        <f ca="1">IFERROR(__xludf.DUMMYFUNCTION("""COMPUTED_VALUE"""),"India")</f>
        <v>India</v>
      </c>
      <c r="C1314" s="1">
        <f ca="1">IFERROR(__xludf.DUMMYFUNCTION("""COMPUTED_VALUE"""),492008)</f>
        <v>492008</v>
      </c>
      <c r="D1314" s="1" t="str">
        <f ca="1">IFERROR(__xludf.DUMMYFUNCTION("""COMPUTED_VALUE"""),"Female")</f>
        <v>Female</v>
      </c>
      <c r="E1314" s="1" t="str">
        <f ca="1">IFERROR(__xludf.DUMMYFUNCTION("""COMPUTED_VALUE"""),"Influencers who had successful careers")</f>
        <v>Influencers who had successful careers</v>
      </c>
      <c r="F1314" s="1" t="str">
        <f ca="1">IFERROR(__xludf.DUMMYFUNCTION("""COMPUTED_VALUE"""),"Yes, I will earn and do that")</f>
        <v>Yes, I will earn and do that</v>
      </c>
      <c r="G1314" s="1" t="str">
        <f ca="1">IFERROR(__xludf.DUMMYFUNCTION("""COMPUTED_VALUE"""),"Will work for 3 years or more")</f>
        <v>Will work for 3 years or more</v>
      </c>
      <c r="H1314" s="1" t="str">
        <f ca="1">IFERROR(__xludf.DUMMYFUNCTION("""COMPUTED_VALUE"""),"No")</f>
        <v>No</v>
      </c>
      <c r="I1314" s="1" t="str">
        <f ca="1">IFERROR(__xludf.DUMMYFUNCTION("""COMPUTED_VALUE"""),"Will NOT work for them")</f>
        <v>Will NOT work for them</v>
      </c>
      <c r="J1314" s="1">
        <f ca="1">IFERROR(__xludf.DUMMYFUNCTION("""COMPUTED_VALUE"""),7)</f>
        <v>7</v>
      </c>
      <c r="K1314" s="1" t="str">
        <f ca="1">IFERROR(__xludf.DUMMYFUNCTION("""COMPUTED_VALUE"""),"Fully Remote with Options to travel as and when needed")</f>
        <v>Fully Remote with Options to travel as and when needed</v>
      </c>
      <c r="L1314" s="1" t="str">
        <f ca="1">IFERROR(__xludf.DUMMYFUNCTION("""COMPUTED_VALUE"""),"Employer who rewards learning and enables that environment")</f>
        <v>Employer who rewards learning and enables that environment</v>
      </c>
      <c r="M1314" s="1" t="str">
        <f ca="1">IFERROR(__xludf.DUMMYFUNCTION("""COMPUTED_VALUE"""),"Teaching in any of the institutes/colleges/online or offline, Business Operations in any organization, An Artificial Intelligence Specialist / Talking to Robots, Manufacturing / Oil and Gas/ Construction / Hard Physical Work related")</f>
        <v>Teaching in any of the institutes/colleges/online or offline, Business Operations in any organization, An Artificial Intelligence Specialist / Talking to Robots, Manufacturing / Oil and Gas/ Construction / Hard Physical Work related</v>
      </c>
      <c r="N1314" s="1"/>
      <c r="O1314" s="1" t="str">
        <f ca="1">IFERROR(__xludf.DUMMYFUNCTION("""COMPUTED_VALUE"""),"Manager who explains what is expected, sets a goal and helps achieve it")</f>
        <v>Manager who explains what is expected, sets a goal and helps achieve it</v>
      </c>
      <c r="P1314" s="1" t="str">
        <f ca="1">IFERROR(__xludf.DUMMYFUNCTION("""COMPUTED_VALUE"""),"Work &lt;=6 People in the Team")</f>
        <v>Work &lt;=6 People in the Team</v>
      </c>
      <c r="Q1314" s="1" t="s">
        <v>43</v>
      </c>
      <c r="R1314" s="1"/>
    </row>
    <row r="1315" spans="1:18" x14ac:dyDescent="0.25">
      <c r="A1315" s="2">
        <f ca="1">IFERROR(__xludf.DUMMYFUNCTION("""COMPUTED_VALUE"""),45044.6731247222)</f>
        <v>45044.673124722198</v>
      </c>
      <c r="B1315" s="1" t="str">
        <f ca="1">IFERROR(__xludf.DUMMYFUNCTION("""COMPUTED_VALUE"""),"India")</f>
        <v>India</v>
      </c>
      <c r="C1315" s="1">
        <f ca="1">IFERROR(__xludf.DUMMYFUNCTION("""COMPUTED_VALUE"""),500074)</f>
        <v>500074</v>
      </c>
      <c r="D1315" s="1" t="str">
        <f ca="1">IFERROR(__xludf.DUMMYFUNCTION("""COMPUTED_VALUE"""),"Male")</f>
        <v>Male</v>
      </c>
      <c r="E1315" s="1" t="str">
        <f ca="1">IFERROR(__xludf.DUMMYFUNCTION("""COMPUTED_VALUE"""),"My Parents")</f>
        <v>My Parents</v>
      </c>
      <c r="F1315" s="1" t="str">
        <f ca="1">IFERROR(__xludf.DUMMYFUNCTION("""COMPUTED_VALUE"""),"Yes, I will earn and do that")</f>
        <v>Yes, I will earn and do that</v>
      </c>
      <c r="G1315" s="1" t="str">
        <f ca="1">IFERROR(__xludf.DUMMYFUNCTION("""COMPUTED_VALUE"""),"Will work for 3 years or more")</f>
        <v>Will work for 3 years or more</v>
      </c>
      <c r="H1315" s="1" t="str">
        <f ca="1">IFERROR(__xludf.DUMMYFUNCTION("""COMPUTED_VALUE"""),"Yes")</f>
        <v>Yes</v>
      </c>
      <c r="I1315" s="1" t="str">
        <f ca="1">IFERROR(__xludf.DUMMYFUNCTION("""COMPUTED_VALUE"""),"Will work for them")</f>
        <v>Will work for them</v>
      </c>
      <c r="J1315" s="1">
        <f ca="1">IFERROR(__xludf.DUMMYFUNCTION("""COMPUTED_VALUE"""),10)</f>
        <v>10</v>
      </c>
      <c r="K1315" s="1" t="str">
        <f ca="1">IFERROR(__xludf.DUMMYFUNCTION("""COMPUTED_VALUE"""),"Every Day Office Environment")</f>
        <v>Every Day Office Environment</v>
      </c>
      <c r="L1315" s="1" t="str">
        <f ca="1">IFERROR(__xludf.DUMMYFUNCTION("""COMPUTED_VALUE"""),"Employer who appreciates learning and enables that environment")</f>
        <v>Employer who appreciates learning and enables that environment</v>
      </c>
      <c r="M131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315" s="1"/>
      <c r="O1315" s="1" t="str">
        <f ca="1">IFERROR(__xludf.DUMMYFUNCTION("""COMPUTED_VALUE"""),"Manager who explains what is expected, sets a goal and helps achieve it")</f>
        <v>Manager who explains what is expected, sets a goal and helps achieve it</v>
      </c>
      <c r="P1315" s="1" t="str">
        <f ca="1">IFERROR(__xludf.DUMMYFUNCTION("""COMPUTED_VALUE"""),"Work &gt;10 people in Team")</f>
        <v>Work &gt;10 people in Team</v>
      </c>
      <c r="Q1315" s="1" t="s">
        <v>43</v>
      </c>
      <c r="R1315" s="1"/>
    </row>
    <row r="1316" spans="1:18" x14ac:dyDescent="0.25">
      <c r="A1316" s="2">
        <f ca="1">IFERROR(__xludf.DUMMYFUNCTION("""COMPUTED_VALUE"""),45044.6737376851)</f>
        <v>45044.673737685102</v>
      </c>
      <c r="B1316" s="1" t="str">
        <f ca="1">IFERROR(__xludf.DUMMYFUNCTION("""COMPUTED_VALUE"""),"India")</f>
        <v>India</v>
      </c>
      <c r="C1316" s="1">
        <f ca="1">IFERROR(__xludf.DUMMYFUNCTION("""COMPUTED_VALUE"""),482003)</f>
        <v>482003</v>
      </c>
      <c r="D1316" s="1" t="str">
        <f ca="1">IFERROR(__xludf.DUMMYFUNCTION("""COMPUTED_VALUE"""),"Female")</f>
        <v>Female</v>
      </c>
      <c r="E1316" s="1" t="str">
        <f ca="1">IFERROR(__xludf.DUMMYFUNCTION("""COMPUTED_VALUE"""),"Influencers who had successful careers")</f>
        <v>Influencers who had successful careers</v>
      </c>
      <c r="F1316" s="1" t="str">
        <f ca="1">IFERROR(__xludf.DUMMYFUNCTION("""COMPUTED_VALUE"""),"No I would not be pursuing Higher Education outside of India")</f>
        <v>No I would not be pursuing Higher Education outside of India</v>
      </c>
      <c r="G1316" s="1" t="str">
        <f ca="1">IFERROR(__xludf.DUMMYFUNCTION("""COMPUTED_VALUE"""),"Will work for 3 years or more")</f>
        <v>Will work for 3 years or more</v>
      </c>
      <c r="H1316" s="1" t="str">
        <f ca="1">IFERROR(__xludf.DUMMYFUNCTION("""COMPUTED_VALUE"""),"No")</f>
        <v>No</v>
      </c>
      <c r="I1316" s="1" t="str">
        <f ca="1">IFERROR(__xludf.DUMMYFUNCTION("""COMPUTED_VALUE"""),"Will NOT work for them")</f>
        <v>Will NOT work for them</v>
      </c>
      <c r="J1316" s="1">
        <f ca="1">IFERROR(__xludf.DUMMYFUNCTION("""COMPUTED_VALUE"""),6)</f>
        <v>6</v>
      </c>
      <c r="K1316" s="1" t="str">
        <f ca="1">IFERROR(__xludf.DUMMYFUNCTION("""COMPUTED_VALUE"""),"Every Day Office Environment")</f>
        <v>Every Day Office Environment</v>
      </c>
      <c r="L1316" s="1" t="str">
        <f ca="1">IFERROR(__xludf.DUMMYFUNCTION("""COMPUTED_VALUE"""),"Employer who appreciates learning and enables that environment")</f>
        <v>Employer who appreciates learning and enables that environment</v>
      </c>
      <c r="M13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316" s="1"/>
      <c r="O1316" s="1" t="str">
        <f ca="1">IFERROR(__xludf.DUMMYFUNCTION("""COMPUTED_VALUE"""),"Manager who sets goal and helps me achieve it")</f>
        <v>Manager who sets goal and helps me achieve it</v>
      </c>
      <c r="P1316" s="1" t="str">
        <f ca="1">IFERROR(__xludf.DUMMYFUNCTION("""COMPUTED_VALUE"""),"Work &lt;=6 People in the Team")</f>
        <v>Work &lt;=6 People in the Team</v>
      </c>
      <c r="Q1316" s="1" t="s">
        <v>43</v>
      </c>
      <c r="R1316" s="1"/>
    </row>
    <row r="1317" spans="1:18" x14ac:dyDescent="0.25">
      <c r="A1317" s="2">
        <f ca="1">IFERROR(__xludf.DUMMYFUNCTION("""COMPUTED_VALUE"""),45044.6748163078)</f>
        <v>45044.674816307801</v>
      </c>
      <c r="B1317" s="1" t="str">
        <f ca="1">IFERROR(__xludf.DUMMYFUNCTION("""COMPUTED_VALUE"""),"India")</f>
        <v>India</v>
      </c>
      <c r="C1317" s="1">
        <f ca="1">IFERROR(__xludf.DUMMYFUNCTION("""COMPUTED_VALUE"""),760002)</f>
        <v>760002</v>
      </c>
      <c r="D1317" s="1" t="str">
        <f ca="1">IFERROR(__xludf.DUMMYFUNCTION("""COMPUTED_VALUE"""),"Male")</f>
        <v>Male</v>
      </c>
      <c r="E1317" s="1" t="str">
        <f ca="1">IFERROR(__xludf.DUMMYFUNCTION("""COMPUTED_VALUE"""),"My Parents")</f>
        <v>My Parents</v>
      </c>
      <c r="F1317" s="1" t="str">
        <f ca="1">IFERROR(__xludf.DUMMYFUNCTION("""COMPUTED_VALUE"""),"No I would not be pursuing Higher Education outside of India")</f>
        <v>No I would not be pursuing Higher Education outside of India</v>
      </c>
      <c r="G1317" s="1" t="str">
        <f ca="1">IFERROR(__xludf.DUMMYFUNCTION("""COMPUTED_VALUE"""),"Will work for 3 years or more")</f>
        <v>Will work for 3 years or more</v>
      </c>
      <c r="H1317" s="1" t="str">
        <f ca="1">IFERROR(__xludf.DUMMYFUNCTION("""COMPUTED_VALUE"""),"No")</f>
        <v>No</v>
      </c>
      <c r="I1317" s="1" t="str">
        <f ca="1">IFERROR(__xludf.DUMMYFUNCTION("""COMPUTED_VALUE"""),"Will NOT work for them")</f>
        <v>Will NOT work for them</v>
      </c>
      <c r="J1317" s="1">
        <f ca="1">IFERROR(__xludf.DUMMYFUNCTION("""COMPUTED_VALUE"""),3)</f>
        <v>3</v>
      </c>
      <c r="K1317" s="1" t="str">
        <f ca="1">IFERROR(__xludf.DUMMYFUNCTION("""COMPUTED_VALUE"""),"Every Day Office Environment")</f>
        <v>Every Day Office Environment</v>
      </c>
      <c r="L1317" s="1" t="str">
        <f ca="1">IFERROR(__xludf.DUMMYFUNCTION("""COMPUTED_VALUE"""),"Employer who pushes your limits by enabling an learning environment, and rewards you at the end")</f>
        <v>Employer who pushes your limits by enabling an learning environment, and rewards you at the end</v>
      </c>
      <c r="M13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317" s="1"/>
      <c r="O1317" s="1" t="str">
        <f ca="1">IFERROR(__xludf.DUMMYFUNCTION("""COMPUTED_VALUE"""),"Manager who explains what is expected, sets a goal and helps achieve it")</f>
        <v>Manager who explains what is expected, sets a goal and helps achieve it</v>
      </c>
      <c r="P1317" s="1" t="str">
        <f ca="1">IFERROR(__xludf.DUMMYFUNCTION("""COMPUTED_VALUE"""),"Work Alone, &lt;67 people in team")</f>
        <v>Work Alone, &lt;67 people in team</v>
      </c>
      <c r="Q1317" s="1" t="s">
        <v>43</v>
      </c>
      <c r="R1317" s="1"/>
    </row>
    <row r="1318" spans="1:18" x14ac:dyDescent="0.25">
      <c r="A1318" s="2">
        <f ca="1">IFERROR(__xludf.DUMMYFUNCTION("""COMPUTED_VALUE"""),45044.6749024884)</f>
        <v>45044.674902488397</v>
      </c>
      <c r="B1318" s="1" t="str">
        <f ca="1">IFERROR(__xludf.DUMMYFUNCTION("""COMPUTED_VALUE"""),"India")</f>
        <v>India</v>
      </c>
      <c r="C1318" s="1">
        <f ca="1">IFERROR(__xludf.DUMMYFUNCTION("""COMPUTED_VALUE"""),600033)</f>
        <v>600033</v>
      </c>
      <c r="D1318" s="1" t="str">
        <f ca="1">IFERROR(__xludf.DUMMYFUNCTION("""COMPUTED_VALUE"""),"Female")</f>
        <v>Female</v>
      </c>
      <c r="E1318" s="1" t="str">
        <f ca="1">IFERROR(__xludf.DUMMYFUNCTION("""COMPUTED_VALUE"""),"Social Media like LinkedIn")</f>
        <v>Social Media like LinkedIn</v>
      </c>
      <c r="F1318" s="1" t="str">
        <f ca="1">IFERROR(__xludf.DUMMYFUNCTION("""COMPUTED_VALUE"""),"Yes, I will earn and do that")</f>
        <v>Yes, I will earn and do that</v>
      </c>
      <c r="G1318" s="1" t="str">
        <f ca="1">IFERROR(__xludf.DUMMYFUNCTION("""COMPUTED_VALUE"""),"Will work for 3 years or more")</f>
        <v>Will work for 3 years or more</v>
      </c>
      <c r="H1318" s="1" t="str">
        <f ca="1">IFERROR(__xludf.DUMMYFUNCTION("""COMPUTED_VALUE"""),"No")</f>
        <v>No</v>
      </c>
      <c r="I1318" s="1" t="str">
        <f ca="1">IFERROR(__xludf.DUMMYFUNCTION("""COMPUTED_VALUE"""),"Will NOT work for them")</f>
        <v>Will NOT work for them</v>
      </c>
      <c r="J1318" s="1">
        <f ca="1">IFERROR(__xludf.DUMMYFUNCTION("""COMPUTED_VALUE"""),5)</f>
        <v>5</v>
      </c>
      <c r="K1318" s="1" t="str">
        <f ca="1">IFERROR(__xludf.DUMMYFUNCTION("""COMPUTED_VALUE"""),"Every Day Office Environment")</f>
        <v>Every Day Office Environment</v>
      </c>
      <c r="L1318" s="1" t="str">
        <f ca="1">IFERROR(__xludf.DUMMYFUNCTION("""COMPUTED_VALUE"""),"Employer who pushes your limits by enabling an learning environment, and rewards you at the end")</f>
        <v>Employer who pushes your limits by enabling an learning environment, and rewards you at the end</v>
      </c>
      <c r="M131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318" s="1"/>
      <c r="O1318" s="1" t="str">
        <f ca="1">IFERROR(__xludf.DUMMYFUNCTION("""COMPUTED_VALUE"""),"Manager who explains what is expected, sets a goal and helps achieve it")</f>
        <v>Manager who explains what is expected, sets a goal and helps achieve it</v>
      </c>
      <c r="P1318" s="1" t="str">
        <f ca="1">IFERROR(__xludf.DUMMYFUNCTION("""COMPUTED_VALUE"""),"Work &lt;=6 People in the Team")</f>
        <v>Work &lt;=6 People in the Team</v>
      </c>
      <c r="Q1318" s="1" t="s">
        <v>40</v>
      </c>
      <c r="R1318" s="1"/>
    </row>
    <row r="1319" spans="1:18" x14ac:dyDescent="0.25">
      <c r="A1319" s="2">
        <f ca="1">IFERROR(__xludf.DUMMYFUNCTION("""COMPUTED_VALUE"""),45044.6759563078)</f>
        <v>45044.675956307801</v>
      </c>
      <c r="B1319" s="1" t="str">
        <f ca="1">IFERROR(__xludf.DUMMYFUNCTION("""COMPUTED_VALUE"""),"India")</f>
        <v>India</v>
      </c>
      <c r="C1319" s="1">
        <f ca="1">IFERROR(__xludf.DUMMYFUNCTION("""COMPUTED_VALUE"""),411041)</f>
        <v>411041</v>
      </c>
      <c r="D1319" s="1" t="str">
        <f ca="1">IFERROR(__xludf.DUMMYFUNCTION("""COMPUTED_VALUE"""),"Female")</f>
        <v>Female</v>
      </c>
      <c r="E1319" s="1" t="str">
        <f ca="1">IFERROR(__xludf.DUMMYFUNCTION("""COMPUTED_VALUE"""),"People from my circle, but not family members")</f>
        <v>People from my circle, but not family members</v>
      </c>
      <c r="F1319" s="1" t="str">
        <f ca="1">IFERROR(__xludf.DUMMYFUNCTION("""COMPUTED_VALUE"""),"No I would not be pursuing Higher Education outside of India")</f>
        <v>No I would not be pursuing Higher Education outside of India</v>
      </c>
      <c r="G1319" s="1" t="str">
        <f ca="1">IFERROR(__xludf.DUMMYFUNCTION("""COMPUTED_VALUE"""),"Will work for 3 years or more")</f>
        <v>Will work for 3 years or more</v>
      </c>
      <c r="H1319" s="1" t="str">
        <f ca="1">IFERROR(__xludf.DUMMYFUNCTION("""COMPUTED_VALUE"""),"No")</f>
        <v>No</v>
      </c>
      <c r="I1319" s="1" t="str">
        <f ca="1">IFERROR(__xludf.DUMMYFUNCTION("""COMPUTED_VALUE"""),"Will NOT work for them")</f>
        <v>Will NOT work for them</v>
      </c>
      <c r="J1319" s="1">
        <f ca="1">IFERROR(__xludf.DUMMYFUNCTION("""COMPUTED_VALUE"""),4)</f>
        <v>4</v>
      </c>
      <c r="K1319" s="1" t="str">
        <f ca="1">IFERROR(__xludf.DUMMYFUNCTION("""COMPUTED_VALUE"""),"Hybrid Working Environment with more than 15 days a month at office")</f>
        <v>Hybrid Working Environment with more than 15 days a month at office</v>
      </c>
      <c r="L1319" s="1" t="str">
        <f ca="1">IFERROR(__xludf.DUMMYFUNCTION("""COMPUTED_VALUE"""),"Employer who pushes your limits by enabling an learning environment, and rewards you at the end")</f>
        <v>Employer who pushes your limits by enabling an learning environment, and rewards you at the end</v>
      </c>
      <c r="M131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N1319" s="1"/>
      <c r="O1319" s="1" t="str">
        <f ca="1">IFERROR(__xludf.DUMMYFUNCTION("""COMPUTED_VALUE"""),"Manager who explains what is expected, sets a goal and helps achieve it")</f>
        <v>Manager who explains what is expected, sets a goal and helps achieve it</v>
      </c>
      <c r="P1319" s="1" t="str">
        <f ca="1">IFERROR(__xludf.DUMMYFUNCTION("""COMPUTED_VALUE"""),"Work &lt;=6 People in the Team")</f>
        <v>Work &lt;=6 People in the Team</v>
      </c>
      <c r="Q1319" s="1" t="s">
        <v>43</v>
      </c>
      <c r="R1319" s="1"/>
    </row>
    <row r="1320" spans="1:18" x14ac:dyDescent="0.25">
      <c r="A1320" s="2">
        <f ca="1">IFERROR(__xludf.DUMMYFUNCTION("""COMPUTED_VALUE"""),45044.6763970601)</f>
        <v>45044.676397060102</v>
      </c>
      <c r="B1320" s="1" t="str">
        <f ca="1">IFERROR(__xludf.DUMMYFUNCTION("""COMPUTED_VALUE"""),"India")</f>
        <v>India</v>
      </c>
      <c r="C1320" s="1">
        <f ca="1">IFERROR(__xludf.DUMMYFUNCTION("""COMPUTED_VALUE"""),560100)</f>
        <v>560100</v>
      </c>
      <c r="D1320" s="1" t="str">
        <f ca="1">IFERROR(__xludf.DUMMYFUNCTION("""COMPUTED_VALUE"""),"Female")</f>
        <v>Female</v>
      </c>
      <c r="E1320" s="1" t="str">
        <f ca="1">IFERROR(__xludf.DUMMYFUNCTION("""COMPUTED_VALUE"""),"My Parents")</f>
        <v>My Parents</v>
      </c>
      <c r="F1320" s="1" t="str">
        <f ca="1">IFERROR(__xludf.DUMMYFUNCTION("""COMPUTED_VALUE"""),"No I would not be pursuing Higher Education outside of India")</f>
        <v>No I would not be pursuing Higher Education outside of India</v>
      </c>
      <c r="G1320" s="1" t="str">
        <f ca="1">IFERROR(__xludf.DUMMYFUNCTION("""COMPUTED_VALUE"""),"This will be hard to do, but if it is the right company I would try")</f>
        <v>This will be hard to do, but if it is the right company I would try</v>
      </c>
      <c r="H1320" s="1" t="str">
        <f ca="1">IFERROR(__xludf.DUMMYFUNCTION("""COMPUTED_VALUE"""),"No")</f>
        <v>No</v>
      </c>
      <c r="I1320" s="1" t="str">
        <f ca="1">IFERROR(__xludf.DUMMYFUNCTION("""COMPUTED_VALUE"""),"Will NOT work for them")</f>
        <v>Will NOT work for them</v>
      </c>
      <c r="J1320" s="1">
        <f ca="1">IFERROR(__xludf.DUMMYFUNCTION("""COMPUTED_VALUE"""),1)</f>
        <v>1</v>
      </c>
      <c r="K1320" s="1" t="str">
        <f ca="1">IFERROR(__xludf.DUMMYFUNCTION("""COMPUTED_VALUE"""),"Hybrid Working Environment with more than 15 days a month at office")</f>
        <v>Hybrid Working Environment with more than 15 days a month at office</v>
      </c>
      <c r="L1320" s="1" t="str">
        <f ca="1">IFERROR(__xludf.DUMMYFUNCTION("""COMPUTED_VALUE"""),"Employer who pushes your limits by enabling an learning environment, and rewards you at the end")</f>
        <v>Employer who pushes your limits by enabling an learning environment, and rewards you at the end</v>
      </c>
      <c r="M1320"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N1320" s="1"/>
      <c r="O1320" s="1" t="str">
        <f ca="1">IFERROR(__xludf.DUMMYFUNCTION("""COMPUTED_VALUE"""),"Manager who clearly describes what she/he needs")</f>
        <v>Manager who clearly describes what she/he needs</v>
      </c>
      <c r="P1320" s="1" t="str">
        <f ca="1">IFERROR(__xludf.DUMMYFUNCTION("""COMPUTED_VALUE"""),"Work &lt;=6 People in the Team")</f>
        <v>Work &lt;=6 People in the Team</v>
      </c>
      <c r="Q1320" s="1" t="s">
        <v>40</v>
      </c>
      <c r="R1320" s="1"/>
    </row>
    <row r="1321" spans="1:18" x14ac:dyDescent="0.25">
      <c r="A1321" s="2">
        <f ca="1">IFERROR(__xludf.DUMMYFUNCTION("""COMPUTED_VALUE"""),45044.6849245717)</f>
        <v>45044.684924571702</v>
      </c>
      <c r="B1321" s="1" t="str">
        <f ca="1">IFERROR(__xludf.DUMMYFUNCTION("""COMPUTED_VALUE"""),"India")</f>
        <v>India</v>
      </c>
      <c r="C1321" s="1">
        <f ca="1">IFERROR(__xludf.DUMMYFUNCTION("""COMPUTED_VALUE"""),505208)</f>
        <v>505208</v>
      </c>
      <c r="D1321" s="1" t="str">
        <f ca="1">IFERROR(__xludf.DUMMYFUNCTION("""COMPUTED_VALUE"""),"Female")</f>
        <v>Female</v>
      </c>
      <c r="E1321" s="1" t="str">
        <f ca="1">IFERROR(__xludf.DUMMYFUNCTION("""COMPUTED_VALUE"""),"People from my circle, but not family members")</f>
        <v>People from my circle, but not family members</v>
      </c>
      <c r="F1321" s="1" t="str">
        <f ca="1">IFERROR(__xludf.DUMMYFUNCTION("""COMPUTED_VALUE"""),"Yes, I will earn and do that")</f>
        <v>Yes, I will earn and do that</v>
      </c>
      <c r="G1321" s="1" t="str">
        <f ca="1">IFERROR(__xludf.DUMMYFUNCTION("""COMPUTED_VALUE"""),"This will be hard to do, but if it is the right company I would try")</f>
        <v>This will be hard to do, but if it is the right company I would try</v>
      </c>
      <c r="H1321" s="1" t="str">
        <f ca="1">IFERROR(__xludf.DUMMYFUNCTION("""COMPUTED_VALUE"""),"No")</f>
        <v>No</v>
      </c>
      <c r="I1321" s="1" t="str">
        <f ca="1">IFERROR(__xludf.DUMMYFUNCTION("""COMPUTED_VALUE"""),"Will NOT work for them")</f>
        <v>Will NOT work for them</v>
      </c>
      <c r="J1321" s="1">
        <f ca="1">IFERROR(__xludf.DUMMYFUNCTION("""COMPUTED_VALUE"""),4)</f>
        <v>4</v>
      </c>
      <c r="K1321" s="1" t="str">
        <f ca="1">IFERROR(__xludf.DUMMYFUNCTION("""COMPUTED_VALUE"""),"Fully Remote with Options to travel as and when needed")</f>
        <v>Fully Remote with Options to travel as and when needed</v>
      </c>
      <c r="L1321" s="1" t="str">
        <f ca="1">IFERROR(__xludf.DUMMYFUNCTION("""COMPUTED_VALUE"""),"Employer who pushes your limits by enabling an learning environment, and rewards you at the end")</f>
        <v>Employer who pushes your limits by enabling an learning environment, and rewards you at the end</v>
      </c>
      <c r="M1321"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1321" s="1"/>
      <c r="O1321" s="1" t="str">
        <f ca="1">IFERROR(__xludf.DUMMYFUNCTION("""COMPUTED_VALUE"""),"Manager who clearly describes what she/he needs")</f>
        <v>Manager who clearly describes what she/he needs</v>
      </c>
      <c r="P1321" s="1" t="str">
        <f ca="1">IFERROR(__xludf.DUMMYFUNCTION("""COMPUTED_VALUE"""),"Work &lt;=6 People in the Team")</f>
        <v>Work &lt;=6 People in the Team</v>
      </c>
      <c r="Q1321" s="1" t="s">
        <v>43</v>
      </c>
      <c r="R1321" s="1"/>
    </row>
    <row r="1322" spans="1:18" x14ac:dyDescent="0.25">
      <c r="A1322" s="2">
        <f ca="1">IFERROR(__xludf.DUMMYFUNCTION("""COMPUTED_VALUE"""),45044.6873048379)</f>
        <v>45044.687304837898</v>
      </c>
      <c r="B1322" s="1" t="str">
        <f ca="1">IFERROR(__xludf.DUMMYFUNCTION("""COMPUTED_VALUE"""),"India")</f>
        <v>India</v>
      </c>
      <c r="C1322" s="1">
        <f ca="1">IFERROR(__xludf.DUMMYFUNCTION("""COMPUTED_VALUE"""),637107)</f>
        <v>637107</v>
      </c>
      <c r="D1322" s="1" t="str">
        <f ca="1">IFERROR(__xludf.DUMMYFUNCTION("""COMPUTED_VALUE"""),"Female")</f>
        <v>Female</v>
      </c>
      <c r="E1322" s="1" t="str">
        <f ca="1">IFERROR(__xludf.DUMMYFUNCTION("""COMPUTED_VALUE"""),"People who have changed the world for better")</f>
        <v>People who have changed the world for better</v>
      </c>
      <c r="F1322" s="1" t="str">
        <f ca="1">IFERROR(__xludf.DUMMYFUNCTION("""COMPUTED_VALUE"""),"Yes, I will earn and do that")</f>
        <v>Yes, I will earn and do that</v>
      </c>
      <c r="G1322" s="1" t="str">
        <f ca="1">IFERROR(__xludf.DUMMYFUNCTION("""COMPUTED_VALUE"""),"This will be hard to do, but if it is the right company I would try")</f>
        <v>This will be hard to do, but if it is the right company I would try</v>
      </c>
      <c r="H1322" s="1" t="str">
        <f ca="1">IFERROR(__xludf.DUMMYFUNCTION("""COMPUTED_VALUE"""),"No")</f>
        <v>No</v>
      </c>
      <c r="I1322" s="1" t="str">
        <f ca="1">IFERROR(__xludf.DUMMYFUNCTION("""COMPUTED_VALUE"""),"Will NOT work for them")</f>
        <v>Will NOT work for them</v>
      </c>
      <c r="J1322" s="1">
        <f ca="1">IFERROR(__xludf.DUMMYFUNCTION("""COMPUTED_VALUE"""),5)</f>
        <v>5</v>
      </c>
      <c r="K1322" s="1" t="str">
        <f ca="1">IFERROR(__xludf.DUMMYFUNCTION("""COMPUTED_VALUE"""),"Every Day Office Environment")</f>
        <v>Every Day Office Environment</v>
      </c>
      <c r="L1322" s="1" t="str">
        <f ca="1">IFERROR(__xludf.DUMMYFUNCTION("""COMPUTED_VALUE"""),"Employer who rewards learning and enables that environment")</f>
        <v>Employer who rewards learning and enables that environment</v>
      </c>
      <c r="M132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322" s="1"/>
      <c r="O1322" s="1" t="str">
        <f ca="1">IFERROR(__xludf.DUMMYFUNCTION("""COMPUTED_VALUE"""),"Manager who sets goal and helps me achieve it")</f>
        <v>Manager who sets goal and helps me achieve it</v>
      </c>
      <c r="P1322" s="1" t="str">
        <f ca="1">IFERROR(__xludf.DUMMYFUNCTION("""COMPUTED_VALUE"""),"Work &lt;=6 People in the Team")</f>
        <v>Work &lt;=6 People in the Team</v>
      </c>
      <c r="Q1322" s="1" t="s">
        <v>43</v>
      </c>
      <c r="R1322" s="1"/>
    </row>
    <row r="1323" spans="1:18" x14ac:dyDescent="0.25">
      <c r="A1323" s="2">
        <f ca="1">IFERROR(__xludf.DUMMYFUNCTION("""COMPUTED_VALUE"""),45044.6894450463)</f>
        <v>45044.689445046301</v>
      </c>
      <c r="B1323" s="1" t="str">
        <f ca="1">IFERROR(__xludf.DUMMYFUNCTION("""COMPUTED_VALUE"""),"India")</f>
        <v>India</v>
      </c>
      <c r="C1323" s="1">
        <f ca="1">IFERROR(__xludf.DUMMYFUNCTION("""COMPUTED_VALUE"""),678706)</f>
        <v>678706</v>
      </c>
      <c r="D1323" s="1" t="str">
        <f ca="1">IFERROR(__xludf.DUMMYFUNCTION("""COMPUTED_VALUE"""),"Male")</f>
        <v>Male</v>
      </c>
      <c r="E1323" s="1" t="str">
        <f ca="1">IFERROR(__xludf.DUMMYFUNCTION("""COMPUTED_VALUE"""),"People from my circle, but not family members")</f>
        <v>People from my circle, but not family members</v>
      </c>
      <c r="F1323" s="1" t="str">
        <f ca="1">IFERROR(__xludf.DUMMYFUNCTION("""COMPUTED_VALUE"""),"No, But if someone could bare the cost I will")</f>
        <v>No, But if someone could bare the cost I will</v>
      </c>
      <c r="G1323" s="1" t="str">
        <f ca="1">IFERROR(__xludf.DUMMYFUNCTION("""COMPUTED_VALUE"""),"This will be hard to do, but if it is the right company I would try")</f>
        <v>This will be hard to do, but if it is the right company I would try</v>
      </c>
      <c r="H1323" s="1" t="str">
        <f ca="1">IFERROR(__xludf.DUMMYFUNCTION("""COMPUTED_VALUE"""),"No")</f>
        <v>No</v>
      </c>
      <c r="I1323" s="1" t="str">
        <f ca="1">IFERROR(__xludf.DUMMYFUNCTION("""COMPUTED_VALUE"""),"Will NOT work for them")</f>
        <v>Will NOT work for them</v>
      </c>
      <c r="J1323" s="1">
        <f ca="1">IFERROR(__xludf.DUMMYFUNCTION("""COMPUTED_VALUE"""),10)</f>
        <v>10</v>
      </c>
      <c r="K1323" s="1" t="str">
        <f ca="1">IFERROR(__xludf.DUMMYFUNCTION("""COMPUTED_VALUE"""),"Hybrid Working Environment with more than 15 days a month at office")</f>
        <v>Hybrid Working Environment with more than 15 days a month at office</v>
      </c>
      <c r="L1323" s="1" t="str">
        <f ca="1">IFERROR(__xludf.DUMMYFUNCTION("""COMPUTED_VALUE"""),"Employer who pushes your limits by enabling an learning environment, and rewards you at the end")</f>
        <v>Employer who pushes your limits by enabling an learning environment, and rewards you at the end</v>
      </c>
      <c r="M1323" s="1" t="str">
        <f ca="1">IFERROR(__xludf.DUMMYFUNCTION("""COMPUTED_VALUE"""),"Teaching in any of the institutes/colleges/online or offline, Look deeply into Data and generate insights, Work in a BPO setup for some well known client, An Artificial Intelligence Specialist / Talking to Robots")</f>
        <v>Teaching in any of the institutes/colleges/online or offline, Look deeply into Data and generate insights, Work in a BPO setup for some well known client, An Artificial Intelligence Specialist / Talking to Robots</v>
      </c>
      <c r="N1323" s="1"/>
      <c r="O1323" s="1" t="str">
        <f ca="1">IFERROR(__xludf.DUMMYFUNCTION("""COMPUTED_VALUE"""),"Manager who sets goal and helps me achieve it")</f>
        <v>Manager who sets goal and helps me achieve it</v>
      </c>
      <c r="P1323" s="1" t="str">
        <f ca="1">IFERROR(__xludf.DUMMYFUNCTION("""COMPUTED_VALUE"""),"Work &lt;=6 People in the Team")</f>
        <v>Work &lt;=6 People in the Team</v>
      </c>
      <c r="Q1323" s="1" t="s">
        <v>40</v>
      </c>
      <c r="R1323" s="1"/>
    </row>
    <row r="1324" spans="1:18" x14ac:dyDescent="0.25">
      <c r="A1324" s="2">
        <f ca="1">IFERROR(__xludf.DUMMYFUNCTION("""COMPUTED_VALUE"""),45044.6924717592)</f>
        <v>45044.692471759197</v>
      </c>
      <c r="B1324" s="1" t="str">
        <f ca="1">IFERROR(__xludf.DUMMYFUNCTION("""COMPUTED_VALUE"""),"India")</f>
        <v>India</v>
      </c>
      <c r="C1324" s="1">
        <f ca="1">IFERROR(__xludf.DUMMYFUNCTION("""COMPUTED_VALUE"""),506366)</f>
        <v>506366</v>
      </c>
      <c r="D1324" s="1" t="str">
        <f ca="1">IFERROR(__xludf.DUMMYFUNCTION("""COMPUTED_VALUE"""),"Male")</f>
        <v>Male</v>
      </c>
      <c r="E1324" s="1" t="str">
        <f ca="1">IFERROR(__xludf.DUMMYFUNCTION("""COMPUTED_VALUE"""),"My Parents")</f>
        <v>My Parents</v>
      </c>
      <c r="F1324" s="1" t="str">
        <f ca="1">IFERROR(__xludf.DUMMYFUNCTION("""COMPUTED_VALUE"""),"No I would not be pursuing Higher Education outside of India")</f>
        <v>No I would not be pursuing Higher Education outside of India</v>
      </c>
      <c r="G1324" s="1" t="str">
        <f ca="1">IFERROR(__xludf.DUMMYFUNCTION("""COMPUTED_VALUE"""),"Will work for 3 years or more")</f>
        <v>Will work for 3 years or more</v>
      </c>
      <c r="H1324" s="1" t="str">
        <f ca="1">IFERROR(__xludf.DUMMYFUNCTION("""COMPUTED_VALUE"""),"No")</f>
        <v>No</v>
      </c>
      <c r="I1324" s="1" t="str">
        <f ca="1">IFERROR(__xludf.DUMMYFUNCTION("""COMPUTED_VALUE"""),"Will work for them")</f>
        <v>Will work for them</v>
      </c>
      <c r="J1324" s="1">
        <f ca="1">IFERROR(__xludf.DUMMYFUNCTION("""COMPUTED_VALUE"""),5)</f>
        <v>5</v>
      </c>
      <c r="K1324" s="1" t="str">
        <f ca="1">IFERROR(__xludf.DUMMYFUNCTION("""COMPUTED_VALUE"""),"Fully Remote with Options to travel as and when needed")</f>
        <v>Fully Remote with Options to travel as and when needed</v>
      </c>
      <c r="L1324" s="1" t="str">
        <f ca="1">IFERROR(__xludf.DUMMYFUNCTION("""COMPUTED_VALUE"""),"Employer who appreciates learning and enables that environment")</f>
        <v>Employer who appreciates learning and enables that environment</v>
      </c>
      <c r="M1324"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N1324" s="1"/>
      <c r="O1324" s="1" t="str">
        <f ca="1">IFERROR(__xludf.DUMMYFUNCTION("""COMPUTED_VALUE"""),"Manager who explains what is expected, sets a goal and helps achieve it")</f>
        <v>Manager who explains what is expected, sets a goal and helps achieve it</v>
      </c>
      <c r="P1324" s="1" t="str">
        <f ca="1">IFERROR(__xludf.DUMMYFUNCTION("""COMPUTED_VALUE"""),"Work &gt;=7 People in the Team")</f>
        <v>Work &gt;=7 People in the Team</v>
      </c>
      <c r="Q1324" s="1" t="s">
        <v>43</v>
      </c>
      <c r="R1324" s="1"/>
    </row>
    <row r="1325" spans="1:18" x14ac:dyDescent="0.25">
      <c r="A1325" s="2">
        <f ca="1">IFERROR(__xludf.DUMMYFUNCTION("""COMPUTED_VALUE"""),45044.6924887847)</f>
        <v>45044.692488784698</v>
      </c>
      <c r="B1325" s="1" t="str">
        <f ca="1">IFERROR(__xludf.DUMMYFUNCTION("""COMPUTED_VALUE"""),"India")</f>
        <v>India</v>
      </c>
      <c r="C1325" s="1">
        <f ca="1">IFERROR(__xludf.DUMMYFUNCTION("""COMPUTED_VALUE"""),600056)</f>
        <v>600056</v>
      </c>
      <c r="D1325" s="1" t="str">
        <f ca="1">IFERROR(__xludf.DUMMYFUNCTION("""COMPUTED_VALUE"""),"Male")</f>
        <v>Male</v>
      </c>
      <c r="E1325" s="1" t="str">
        <f ca="1">IFERROR(__xludf.DUMMYFUNCTION("""COMPUTED_VALUE"""),"Influencers who had successful careers")</f>
        <v>Influencers who had successful careers</v>
      </c>
      <c r="F1325" s="1" t="str">
        <f ca="1">IFERROR(__xludf.DUMMYFUNCTION("""COMPUTED_VALUE"""),"No I would not be pursuing Higher Education outside of India")</f>
        <v>No I would not be pursuing Higher Education outside of India</v>
      </c>
      <c r="G1325" s="1" t="str">
        <f ca="1">IFERROR(__xludf.DUMMYFUNCTION("""COMPUTED_VALUE"""),"Will work for 3 years or more")</f>
        <v>Will work for 3 years or more</v>
      </c>
      <c r="H1325" s="1" t="str">
        <f ca="1">IFERROR(__xludf.DUMMYFUNCTION("""COMPUTED_VALUE"""),"No")</f>
        <v>No</v>
      </c>
      <c r="I1325" s="1" t="str">
        <f ca="1">IFERROR(__xludf.DUMMYFUNCTION("""COMPUTED_VALUE"""),"Will NOT work for them")</f>
        <v>Will NOT work for them</v>
      </c>
      <c r="J1325" s="1">
        <f ca="1">IFERROR(__xludf.DUMMYFUNCTION("""COMPUTED_VALUE"""),3)</f>
        <v>3</v>
      </c>
      <c r="K1325" s="1" t="str">
        <f ca="1">IFERROR(__xludf.DUMMYFUNCTION("""COMPUTED_VALUE"""),"Hybrid Working Environment with less than 3 days a month at office")</f>
        <v>Hybrid Working Environment with less than 3 days a month at office</v>
      </c>
      <c r="L1325" s="1" t="str">
        <f ca="1">IFERROR(__xludf.DUMMYFUNCTION("""COMPUTED_VALUE"""),"Employer who pushes your limits and doesn't enables learning environment and never rewards you")</f>
        <v>Employer who pushes your limits and doesn't enables learning environment and never rewards you</v>
      </c>
      <c r="M132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N1325" s="1"/>
      <c r="O1325" s="1" t="str">
        <f ca="1">IFERROR(__xludf.DUMMYFUNCTION("""COMPUTED_VALUE"""),"Manager who explains what is expected, sets a goal and helps achieve it")</f>
        <v>Manager who explains what is expected, sets a goal and helps achieve it</v>
      </c>
      <c r="P1325" s="1" t="str">
        <f ca="1">IFERROR(__xludf.DUMMYFUNCTION("""COMPUTED_VALUE"""),"Work  &lt;67 people in team")</f>
        <v>Work  &lt;67 people in team</v>
      </c>
      <c r="Q1325" s="1" t="s">
        <v>43</v>
      </c>
      <c r="R1325" s="1"/>
    </row>
    <row r="1326" spans="1:18" x14ac:dyDescent="0.25">
      <c r="A1326" s="2">
        <f ca="1">IFERROR(__xludf.DUMMYFUNCTION("""COMPUTED_VALUE"""),45044.6937636574)</f>
        <v>45044.6937636574</v>
      </c>
      <c r="B1326" s="1" t="str">
        <f ca="1">IFERROR(__xludf.DUMMYFUNCTION("""COMPUTED_VALUE"""),"India")</f>
        <v>India</v>
      </c>
      <c r="C1326" s="1">
        <f ca="1">IFERROR(__xludf.DUMMYFUNCTION("""COMPUTED_VALUE"""),627117)</f>
        <v>627117</v>
      </c>
      <c r="D1326" s="1" t="str">
        <f ca="1">IFERROR(__xludf.DUMMYFUNCTION("""COMPUTED_VALUE"""),"Female")</f>
        <v>Female</v>
      </c>
      <c r="E1326" s="1" t="str">
        <f ca="1">IFERROR(__xludf.DUMMYFUNCTION("""COMPUTED_VALUE"""),"My Parents")</f>
        <v>My Parents</v>
      </c>
      <c r="F1326" s="1" t="str">
        <f ca="1">IFERROR(__xludf.DUMMYFUNCTION("""COMPUTED_VALUE"""),"No, But if someone could bare the cost I will")</f>
        <v>No, But if someone could bare the cost I will</v>
      </c>
      <c r="G1326" s="1" t="str">
        <f ca="1">IFERROR(__xludf.DUMMYFUNCTION("""COMPUTED_VALUE"""),"Will work for 3 years or more")</f>
        <v>Will work for 3 years or more</v>
      </c>
      <c r="H1326" s="1" t="str">
        <f ca="1">IFERROR(__xludf.DUMMYFUNCTION("""COMPUTED_VALUE"""),"No")</f>
        <v>No</v>
      </c>
      <c r="I1326" s="1" t="str">
        <f ca="1">IFERROR(__xludf.DUMMYFUNCTION("""COMPUTED_VALUE"""),"Will NOT work for them")</f>
        <v>Will NOT work for them</v>
      </c>
      <c r="J1326" s="1">
        <f ca="1">IFERROR(__xludf.DUMMYFUNCTION("""COMPUTED_VALUE"""),5)</f>
        <v>5</v>
      </c>
      <c r="K1326" s="1" t="str">
        <f ca="1">IFERROR(__xludf.DUMMYFUNCTION("""COMPUTED_VALUE"""),"Fully Remote with No option to visit offices")</f>
        <v>Fully Remote with No option to visit offices</v>
      </c>
      <c r="L1326" s="1" t="str">
        <f ca="1">IFERROR(__xludf.DUMMYFUNCTION("""COMPUTED_VALUE"""),"Employer who appreciates learning and enables that environment")</f>
        <v>Employer who appreciates learning and enables that environment</v>
      </c>
      <c r="M1326"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N1326" s="1"/>
      <c r="O1326" s="1" t="str">
        <f ca="1">IFERROR(__xludf.DUMMYFUNCTION("""COMPUTED_VALUE"""),"Manager who explains what is expected, sets a goal and helps achieve it")</f>
        <v>Manager who explains what is expected, sets a goal and helps achieve it</v>
      </c>
      <c r="P1326" s="1" t="str">
        <f ca="1">IFERROR(__xludf.DUMMYFUNCTION("""COMPUTED_VALUE"""),"Work &lt;=6 People in the Team")</f>
        <v>Work &lt;=6 People in the Team</v>
      </c>
      <c r="Q1326" s="1" t="s">
        <v>43</v>
      </c>
      <c r="R1326" s="1"/>
    </row>
    <row r="1327" spans="1:18" x14ac:dyDescent="0.25">
      <c r="A1327" s="2">
        <f ca="1">IFERROR(__xludf.DUMMYFUNCTION("""COMPUTED_VALUE"""),45044.6943559027)</f>
        <v>45044.694355902699</v>
      </c>
      <c r="B1327" s="1" t="str">
        <f ca="1">IFERROR(__xludf.DUMMYFUNCTION("""COMPUTED_VALUE"""),"India")</f>
        <v>India</v>
      </c>
      <c r="C1327" s="1">
        <f ca="1">IFERROR(__xludf.DUMMYFUNCTION("""COMPUTED_VALUE"""),226017)</f>
        <v>226017</v>
      </c>
      <c r="D1327" s="1" t="str">
        <f ca="1">IFERROR(__xludf.DUMMYFUNCTION("""COMPUTED_VALUE"""),"Female")</f>
        <v>Female</v>
      </c>
      <c r="E1327" s="1" t="str">
        <f ca="1">IFERROR(__xludf.DUMMYFUNCTION("""COMPUTED_VALUE"""),"Influencers who had successful careers")</f>
        <v>Influencers who had successful careers</v>
      </c>
      <c r="F1327" s="1" t="str">
        <f ca="1">IFERROR(__xludf.DUMMYFUNCTION("""COMPUTED_VALUE"""),"Yes, I will earn and do that")</f>
        <v>Yes, I will earn and do that</v>
      </c>
      <c r="G1327" s="1" t="str">
        <f ca="1">IFERROR(__xludf.DUMMYFUNCTION("""COMPUTED_VALUE"""),"This will be hard to do, but if it is the right company I would try")</f>
        <v>This will be hard to do, but if it is the right company I would try</v>
      </c>
      <c r="H1327" s="1" t="str">
        <f ca="1">IFERROR(__xludf.DUMMYFUNCTION("""COMPUTED_VALUE"""),"No")</f>
        <v>No</v>
      </c>
      <c r="I1327" s="1" t="str">
        <f ca="1">IFERROR(__xludf.DUMMYFUNCTION("""COMPUTED_VALUE"""),"Will NOT work for them")</f>
        <v>Will NOT work for them</v>
      </c>
      <c r="J1327" s="1">
        <f ca="1">IFERROR(__xludf.DUMMYFUNCTION("""COMPUTED_VALUE"""),1)</f>
        <v>1</v>
      </c>
      <c r="K1327" s="1" t="str">
        <f ca="1">IFERROR(__xludf.DUMMYFUNCTION("""COMPUTED_VALUE"""),"Fully Remote with Options to travel as and when needed")</f>
        <v>Fully Remote with Options to travel as and when needed</v>
      </c>
      <c r="L1327" s="1" t="str">
        <f ca="1">IFERROR(__xludf.DUMMYFUNCTION("""COMPUTED_VALUE"""),"Employer who appreciates learning and enables that environment")</f>
        <v>Employer who appreciates learning and enables that environment</v>
      </c>
      <c r="M1327"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N1327" s="1"/>
      <c r="O1327" s="1" t="str">
        <f ca="1">IFERROR(__xludf.DUMMYFUNCTION("""COMPUTED_VALUE"""),"Manager who explains what is expected, sets a goal and helps achieve it")</f>
        <v>Manager who explains what is expected, sets a goal and helps achieve it</v>
      </c>
      <c r="P1327" s="1" t="str">
        <f ca="1">IFERROR(__xludf.DUMMYFUNCTION("""COMPUTED_VALUE"""),"Work &lt;=6 People in the Team")</f>
        <v>Work &lt;=6 People in the Team</v>
      </c>
      <c r="Q1327" s="1" t="s">
        <v>40</v>
      </c>
      <c r="R1327" s="1"/>
    </row>
    <row r="1328" spans="1:18" x14ac:dyDescent="0.25">
      <c r="A1328" s="2">
        <f ca="1">IFERROR(__xludf.DUMMYFUNCTION("""COMPUTED_VALUE"""),45044.6953382754)</f>
        <v>45044.6953382754</v>
      </c>
      <c r="B1328" s="1" t="str">
        <f ca="1">IFERROR(__xludf.DUMMYFUNCTION("""COMPUTED_VALUE"""),"India")</f>
        <v>India</v>
      </c>
      <c r="C1328" s="1">
        <f ca="1">IFERROR(__xludf.DUMMYFUNCTION("""COMPUTED_VALUE"""),201013)</f>
        <v>201013</v>
      </c>
      <c r="D1328" s="1" t="str">
        <f ca="1">IFERROR(__xludf.DUMMYFUNCTION("""COMPUTED_VALUE"""),"Female")</f>
        <v>Female</v>
      </c>
      <c r="E1328" s="1" t="str">
        <f ca="1">IFERROR(__xludf.DUMMYFUNCTION("""COMPUTED_VALUE"""),"My Parents")</f>
        <v>My Parents</v>
      </c>
      <c r="F1328" s="1" t="str">
        <f ca="1">IFERROR(__xludf.DUMMYFUNCTION("""COMPUTED_VALUE"""),"No, But if someone could bare the cost I will")</f>
        <v>No, But if someone could bare the cost I will</v>
      </c>
      <c r="G1328" s="1" t="str">
        <f ca="1">IFERROR(__xludf.DUMMYFUNCTION("""COMPUTED_VALUE"""),"Will work for 3 years or more")</f>
        <v>Will work for 3 years or more</v>
      </c>
      <c r="H1328" s="1" t="str">
        <f ca="1">IFERROR(__xludf.DUMMYFUNCTION("""COMPUTED_VALUE"""),"Yes")</f>
        <v>Yes</v>
      </c>
      <c r="I1328" s="1" t="str">
        <f ca="1">IFERROR(__xludf.DUMMYFUNCTION("""COMPUTED_VALUE"""),"Will work for them")</f>
        <v>Will work for them</v>
      </c>
      <c r="J1328" s="1">
        <f ca="1">IFERROR(__xludf.DUMMYFUNCTION("""COMPUTED_VALUE"""),8)</f>
        <v>8</v>
      </c>
      <c r="K1328" s="1" t="str">
        <f ca="1">IFERROR(__xludf.DUMMYFUNCTION("""COMPUTED_VALUE"""),"Hybrid Working Environment with less than 3 days a month at office")</f>
        <v>Hybrid Working Environment with less than 3 days a month at office</v>
      </c>
      <c r="L1328" s="1" t="str">
        <f ca="1">IFERROR(__xludf.DUMMYFUNCTION("""COMPUTED_VALUE"""),"Employer who pushes your limits by enabling an learning environment, and rewards you at the end")</f>
        <v>Employer who pushes your limits by enabling an learning environment, and rewards you at the end</v>
      </c>
      <c r="M1328"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N1328" s="1"/>
      <c r="O1328" s="1" t="str">
        <f ca="1">IFERROR(__xludf.DUMMYFUNCTION("""COMPUTED_VALUE"""),"Manager who explains what is expected, sets a goal and helps achieve it")</f>
        <v>Manager who explains what is expected, sets a goal and helps achieve it</v>
      </c>
      <c r="P1328" s="1" t="str">
        <f ca="1">IFERROR(__xludf.DUMMYFUNCTION("""COMPUTED_VALUE"""),"Work &lt;=6 People in the Team")</f>
        <v>Work &lt;=6 People in the Team</v>
      </c>
      <c r="Q1328" s="1" t="s">
        <v>43</v>
      </c>
      <c r="R1328" s="1"/>
    </row>
    <row r="1329" spans="1:18" x14ac:dyDescent="0.25">
      <c r="A1329" s="2">
        <f ca="1">IFERROR(__xludf.DUMMYFUNCTION("""COMPUTED_VALUE"""),45044.6964483564)</f>
        <v>45044.696448356401</v>
      </c>
      <c r="B1329" s="1" t="str">
        <f ca="1">IFERROR(__xludf.DUMMYFUNCTION("""COMPUTED_VALUE"""),"India")</f>
        <v>India</v>
      </c>
      <c r="C1329" s="1">
        <f ca="1">IFERROR(__xludf.DUMMYFUNCTION("""COMPUTED_VALUE"""),505001)</f>
        <v>505001</v>
      </c>
      <c r="D1329" s="1" t="str">
        <f ca="1">IFERROR(__xludf.DUMMYFUNCTION("""COMPUTED_VALUE"""),"Male")</f>
        <v>Male</v>
      </c>
      <c r="E1329" s="1" t="str">
        <f ca="1">IFERROR(__xludf.DUMMYFUNCTION("""COMPUTED_VALUE"""),"Influencers who had successful careers")</f>
        <v>Influencers who had successful careers</v>
      </c>
      <c r="F1329" s="1" t="str">
        <f ca="1">IFERROR(__xludf.DUMMYFUNCTION("""COMPUTED_VALUE"""),"Yes, I will earn and do that")</f>
        <v>Yes, I will earn and do that</v>
      </c>
      <c r="G1329" s="1" t="str">
        <f ca="1">IFERROR(__xludf.DUMMYFUNCTION("""COMPUTED_VALUE"""),"This will be hard to do, but if it is the right company I would try")</f>
        <v>This will be hard to do, but if it is the right company I would try</v>
      </c>
      <c r="H1329" s="1" t="str">
        <f ca="1">IFERROR(__xludf.DUMMYFUNCTION("""COMPUTED_VALUE"""),"Yes")</f>
        <v>Yes</v>
      </c>
      <c r="I1329" s="1" t="str">
        <f ca="1">IFERROR(__xludf.DUMMYFUNCTION("""COMPUTED_VALUE"""),"Will work for them")</f>
        <v>Will work for them</v>
      </c>
      <c r="J1329" s="1">
        <f ca="1">IFERROR(__xludf.DUMMYFUNCTION("""COMPUTED_VALUE"""),9)</f>
        <v>9</v>
      </c>
      <c r="K1329" s="1" t="str">
        <f ca="1">IFERROR(__xludf.DUMMYFUNCTION("""COMPUTED_VALUE"""),"Hybrid Working Environment with more than 15 days a month at office")</f>
        <v>Hybrid Working Environment with more than 15 days a month at office</v>
      </c>
      <c r="L1329" s="1" t="str">
        <f ca="1">IFERROR(__xludf.DUMMYFUNCTION("""COMPUTED_VALUE"""),"Employer who pushes your limits by enabling an learning environment, and rewards you at the end")</f>
        <v>Employer who pushes your limits by enabling an learning environment, and rewards you at the end</v>
      </c>
      <c r="M1329"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N1329" s="1"/>
      <c r="O1329" s="1" t="str">
        <f ca="1">IFERROR(__xludf.DUMMYFUNCTION("""COMPUTED_VALUE"""),"Manager who explains what is expected, sets a goal and helps achieve it")</f>
        <v>Manager who explains what is expected, sets a goal and helps achieve it</v>
      </c>
      <c r="P1329" s="1" t="str">
        <f ca="1">IFERROR(__xludf.DUMMYFUNCTION("""COMPUTED_VALUE"""),"Work &gt;=7 People in the Team")</f>
        <v>Work &gt;=7 People in the Team</v>
      </c>
      <c r="Q1329" s="1" t="s">
        <v>40</v>
      </c>
      <c r="R1329" s="1"/>
    </row>
    <row r="1330" spans="1:18" x14ac:dyDescent="0.25">
      <c r="A1330" s="2">
        <f ca="1">IFERROR(__xludf.DUMMYFUNCTION("""COMPUTED_VALUE"""),45044.696481875)</f>
        <v>45044.696481874998</v>
      </c>
      <c r="B1330" s="1" t="str">
        <f ca="1">IFERROR(__xludf.DUMMYFUNCTION("""COMPUTED_VALUE"""),"India")</f>
        <v>India</v>
      </c>
      <c r="C1330" s="1">
        <f ca="1">IFERROR(__xludf.DUMMYFUNCTION("""COMPUTED_VALUE"""),638401)</f>
        <v>638401</v>
      </c>
      <c r="D1330" s="1" t="str">
        <f ca="1">IFERROR(__xludf.DUMMYFUNCTION("""COMPUTED_VALUE"""),"Female")</f>
        <v>Female</v>
      </c>
      <c r="E1330" s="1" t="str">
        <f ca="1">IFERROR(__xludf.DUMMYFUNCTION("""COMPUTED_VALUE"""),"People from my circle, but not family members")</f>
        <v>People from my circle, but not family members</v>
      </c>
      <c r="F1330" s="1" t="str">
        <f ca="1">IFERROR(__xludf.DUMMYFUNCTION("""COMPUTED_VALUE"""),"Yes, I will earn and do that")</f>
        <v>Yes, I will earn and do that</v>
      </c>
      <c r="G1330" s="1" t="str">
        <f ca="1">IFERROR(__xludf.DUMMYFUNCTION("""COMPUTED_VALUE"""),"Will work for 3 years or more")</f>
        <v>Will work for 3 years or more</v>
      </c>
      <c r="H1330" s="1" t="str">
        <f ca="1">IFERROR(__xludf.DUMMYFUNCTION("""COMPUTED_VALUE"""),"No")</f>
        <v>No</v>
      </c>
      <c r="I1330" s="1" t="str">
        <f ca="1">IFERROR(__xludf.DUMMYFUNCTION("""COMPUTED_VALUE"""),"Will NOT work for them")</f>
        <v>Will NOT work for them</v>
      </c>
      <c r="J1330" s="1">
        <f ca="1">IFERROR(__xludf.DUMMYFUNCTION("""COMPUTED_VALUE"""),4)</f>
        <v>4</v>
      </c>
      <c r="K1330" s="1" t="str">
        <f ca="1">IFERROR(__xludf.DUMMYFUNCTION("""COMPUTED_VALUE"""),"Hybrid Working Environment with less than 3 days a month at office")</f>
        <v>Hybrid Working Environment with less than 3 days a month at office</v>
      </c>
      <c r="L1330" s="1" t="str">
        <f ca="1">IFERROR(__xludf.DUMMYFUNCTION("""COMPUTED_VALUE"""),"Employer who rewards learning and enables that environment")</f>
        <v>Employer who rewards learning and enables that environment</v>
      </c>
      <c r="M1330" s="1" t="str">
        <f ca="1">IFERROR(__xludf.DUMMYFUNCTION("""COMPUTED_VALUE"""),"Business Operations in any organization, Manage and drive End-to-End Projects or Products, Work as a freelancer and do my thing my way, An Artificial Intelligence Specialist / Talking to Robots")</f>
        <v>Business Operations in any organization, Manage and drive End-to-End Projects or Products, Work as a freelancer and do my thing my way, An Artificial Intelligence Specialist / Talking to Robots</v>
      </c>
      <c r="N1330" s="1"/>
      <c r="O1330" s="1" t="str">
        <f ca="1">IFERROR(__xludf.DUMMYFUNCTION("""COMPUTED_VALUE"""),"Manager who sets targets and expects me to achieve it")</f>
        <v>Manager who sets targets and expects me to achieve it</v>
      </c>
      <c r="P1330" s="1" t="str">
        <f ca="1">IFERROR(__xludf.DUMMYFUNCTION("""COMPUTED_VALUE"""),"Work &gt;10 people in Team")</f>
        <v>Work &gt;10 people in Team</v>
      </c>
      <c r="Q1330" s="1" t="s">
        <v>43</v>
      </c>
      <c r="R1330" s="1"/>
    </row>
    <row r="1331" spans="1:18" x14ac:dyDescent="0.25">
      <c r="A1331" s="2">
        <f ca="1">IFERROR(__xludf.DUMMYFUNCTION("""COMPUTED_VALUE"""),45044.6985170833)</f>
        <v>45044.6985170833</v>
      </c>
      <c r="B1331" s="1" t="str">
        <f ca="1">IFERROR(__xludf.DUMMYFUNCTION("""COMPUTED_VALUE"""),"India")</f>
        <v>India</v>
      </c>
      <c r="C1331" s="1">
        <f ca="1">IFERROR(__xludf.DUMMYFUNCTION("""COMPUTED_VALUE"""),505209)</f>
        <v>505209</v>
      </c>
      <c r="D1331" s="1" t="str">
        <f ca="1">IFERROR(__xludf.DUMMYFUNCTION("""COMPUTED_VALUE"""),"Female")</f>
        <v>Female</v>
      </c>
      <c r="E1331" s="1" t="str">
        <f ca="1">IFERROR(__xludf.DUMMYFUNCTION("""COMPUTED_VALUE"""),"Social Media like LinkedIn")</f>
        <v>Social Media like LinkedIn</v>
      </c>
      <c r="F1331" s="1" t="str">
        <f ca="1">IFERROR(__xludf.DUMMYFUNCTION("""COMPUTED_VALUE"""),"Yes, I will earn and do that")</f>
        <v>Yes, I will earn and do that</v>
      </c>
      <c r="G1331" s="1" t="str">
        <f ca="1">IFERROR(__xludf.DUMMYFUNCTION("""COMPUTED_VALUE"""),"This will be hard to do, but if it is the right company I would try")</f>
        <v>This will be hard to do, but if it is the right company I would try</v>
      </c>
      <c r="H1331" s="1" t="str">
        <f ca="1">IFERROR(__xludf.DUMMYFUNCTION("""COMPUTED_VALUE"""),"No")</f>
        <v>No</v>
      </c>
      <c r="I1331" s="1" t="str">
        <f ca="1">IFERROR(__xludf.DUMMYFUNCTION("""COMPUTED_VALUE"""),"Will NOT work for them")</f>
        <v>Will NOT work for them</v>
      </c>
      <c r="J1331" s="1">
        <f ca="1">IFERROR(__xludf.DUMMYFUNCTION("""COMPUTED_VALUE"""),8)</f>
        <v>8</v>
      </c>
      <c r="K1331" s="1" t="str">
        <f ca="1">IFERROR(__xludf.DUMMYFUNCTION("""COMPUTED_VALUE"""),"Fully Remote with Options to travel as and when needed")</f>
        <v>Fully Remote with Options to travel as and when needed</v>
      </c>
      <c r="L1331" s="1" t="str">
        <f ca="1">IFERROR(__xludf.DUMMYFUNCTION("""COMPUTED_VALUE"""),"Employer who appreciates learning and enables that environment")</f>
        <v>Employer who appreciates learning and enables that environment</v>
      </c>
      <c r="M1331"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N1331" s="1"/>
      <c r="O1331" s="1" t="str">
        <f ca="1">IFERROR(__xludf.DUMMYFUNCTION("""COMPUTED_VALUE"""),"Manager who explains what is expected, sets a goal and helps achieve it")</f>
        <v>Manager who explains what is expected, sets a goal and helps achieve it</v>
      </c>
      <c r="P1331" s="1" t="str">
        <f ca="1">IFERROR(__xludf.DUMMYFUNCTION("""COMPUTED_VALUE"""),"Work &lt;=6 People in the Team")</f>
        <v>Work &lt;=6 People in the Team</v>
      </c>
      <c r="Q1331" s="1" t="s">
        <v>40</v>
      </c>
      <c r="R1331" s="1"/>
    </row>
    <row r="1332" spans="1:18" x14ac:dyDescent="0.25">
      <c r="A1332" s="2">
        <f ca="1">IFERROR(__xludf.DUMMYFUNCTION("""COMPUTED_VALUE"""),45044.7001212268)</f>
        <v>45044.700121226801</v>
      </c>
      <c r="B1332" s="1" t="str">
        <f ca="1">IFERROR(__xludf.DUMMYFUNCTION("""COMPUTED_VALUE"""),"India")</f>
        <v>India</v>
      </c>
      <c r="C1332" s="1">
        <f ca="1">IFERROR(__xludf.DUMMYFUNCTION("""COMPUTED_VALUE"""),508111)</f>
        <v>508111</v>
      </c>
      <c r="D1332" s="1" t="str">
        <f ca="1">IFERROR(__xludf.DUMMYFUNCTION("""COMPUTED_VALUE"""),"Female")</f>
        <v>Female</v>
      </c>
      <c r="E1332" s="1" t="str">
        <f ca="1">IFERROR(__xludf.DUMMYFUNCTION("""COMPUTED_VALUE"""),"My Parents")</f>
        <v>My Parents</v>
      </c>
      <c r="F1332" s="1" t="str">
        <f ca="1">IFERROR(__xludf.DUMMYFUNCTION("""COMPUTED_VALUE"""),"No, But if someone could bare the cost I will")</f>
        <v>No, But if someone could bare the cost I will</v>
      </c>
      <c r="G1332" s="1" t="str">
        <f ca="1">IFERROR(__xludf.DUMMYFUNCTION("""COMPUTED_VALUE"""),"This will be hard to do, but if it is the right company I would try")</f>
        <v>This will be hard to do, but if it is the right company I would try</v>
      </c>
      <c r="H1332" s="1" t="str">
        <f ca="1">IFERROR(__xludf.DUMMYFUNCTION("""COMPUTED_VALUE"""),"No")</f>
        <v>No</v>
      </c>
      <c r="I1332" s="1" t="str">
        <f ca="1">IFERROR(__xludf.DUMMYFUNCTION("""COMPUTED_VALUE"""),"Will NOT work for them")</f>
        <v>Will NOT work for them</v>
      </c>
      <c r="J1332" s="1">
        <f ca="1">IFERROR(__xludf.DUMMYFUNCTION("""COMPUTED_VALUE"""),5)</f>
        <v>5</v>
      </c>
      <c r="K1332" s="1" t="str">
        <f ca="1">IFERROR(__xludf.DUMMYFUNCTION("""COMPUTED_VALUE"""),"Hybrid Working Environment with more than 15 days a month at office")</f>
        <v>Hybrid Working Environment with more than 15 days a month at office</v>
      </c>
      <c r="L1332" s="1" t="str">
        <f ca="1">IFERROR(__xludf.DUMMYFUNCTION("""COMPUTED_VALUE"""),"Employer who pushes your limits and doesn't enables learning environment and never rewards you")</f>
        <v>Employer who pushes your limits and doesn't enables learning environment and never rewards you</v>
      </c>
      <c r="M133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N1332" s="1"/>
      <c r="O1332" s="1" t="str">
        <f ca="1">IFERROR(__xludf.DUMMYFUNCTION("""COMPUTED_VALUE"""),"Manager who explains what is expected, sets a goal and helps achieve it")</f>
        <v>Manager who explains what is expected, sets a goal and helps achieve it</v>
      </c>
      <c r="P1332" s="1" t="str">
        <f ca="1">IFERROR(__xludf.DUMMYFUNCTION("""COMPUTED_VALUE"""),"Work  &lt;67 people in team")</f>
        <v>Work  &lt;67 people in team</v>
      </c>
      <c r="Q1332" s="1" t="s">
        <v>43</v>
      </c>
      <c r="R1332" s="1"/>
    </row>
    <row r="1333" spans="1:18" x14ac:dyDescent="0.25">
      <c r="A1333" s="2">
        <f ca="1">IFERROR(__xludf.DUMMYFUNCTION("""COMPUTED_VALUE"""),45044.702583912)</f>
        <v>45044.702583912003</v>
      </c>
      <c r="B1333" s="1" t="str">
        <f ca="1">IFERROR(__xludf.DUMMYFUNCTION("""COMPUTED_VALUE"""),"India")</f>
        <v>India</v>
      </c>
      <c r="C1333" s="1">
        <f ca="1">IFERROR(__xludf.DUMMYFUNCTION("""COMPUTED_VALUE"""),505209)</f>
        <v>505209</v>
      </c>
      <c r="D1333" s="1" t="str">
        <f ca="1">IFERROR(__xludf.DUMMYFUNCTION("""COMPUTED_VALUE"""),"Female")</f>
        <v>Female</v>
      </c>
      <c r="E1333" s="1" t="str">
        <f ca="1">IFERROR(__xludf.DUMMYFUNCTION("""COMPUTED_VALUE"""),"My Parents")</f>
        <v>My Parents</v>
      </c>
      <c r="F1333" s="1" t="str">
        <f ca="1">IFERROR(__xludf.DUMMYFUNCTION("""COMPUTED_VALUE"""),"Yes, I will earn and do that")</f>
        <v>Yes, I will earn and do that</v>
      </c>
      <c r="G1333" s="1" t="str">
        <f ca="1">IFERROR(__xludf.DUMMYFUNCTION("""COMPUTED_VALUE"""),"This will be hard to do, but if it is the right company I would try")</f>
        <v>This will be hard to do, but if it is the right company I would try</v>
      </c>
      <c r="H1333" s="1" t="str">
        <f ca="1">IFERROR(__xludf.DUMMYFUNCTION("""COMPUTED_VALUE"""),"No")</f>
        <v>No</v>
      </c>
      <c r="I1333" s="1" t="str">
        <f ca="1">IFERROR(__xludf.DUMMYFUNCTION("""COMPUTED_VALUE"""),"Will work for them")</f>
        <v>Will work for them</v>
      </c>
      <c r="J1333" s="1">
        <f ca="1">IFERROR(__xludf.DUMMYFUNCTION("""COMPUTED_VALUE"""),10)</f>
        <v>10</v>
      </c>
      <c r="K1333" s="1" t="str">
        <f ca="1">IFERROR(__xludf.DUMMYFUNCTION("""COMPUTED_VALUE"""),"Hybrid Working Environment with more than 15 days a month at office")</f>
        <v>Hybrid Working Environment with more than 15 days a month at office</v>
      </c>
      <c r="L1333" s="1" t="str">
        <f ca="1">IFERROR(__xludf.DUMMYFUNCTION("""COMPUTED_VALUE"""),"Employer who appreciates learning and enables that environment")</f>
        <v>Employer who appreciates learning and enables that environment</v>
      </c>
      <c r="M133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1333" s="1"/>
      <c r="O1333" s="1" t="str">
        <f ca="1">IFERROR(__xludf.DUMMYFUNCTION("""COMPUTED_VALUE"""),"Manager who explains what is expected, sets a goal and helps achieve it")</f>
        <v>Manager who explains what is expected, sets a goal and helps achieve it</v>
      </c>
      <c r="P1333" s="1" t="str">
        <f ca="1">IFERROR(__xludf.DUMMYFUNCTION("""COMPUTED_VALUE"""),"Work &lt;=6 People in the Team")</f>
        <v>Work &lt;=6 People in the Team</v>
      </c>
      <c r="Q1333" s="1" t="s">
        <v>43</v>
      </c>
      <c r="R1333" s="1"/>
    </row>
    <row r="1334" spans="1:18" x14ac:dyDescent="0.25">
      <c r="A1334" s="2">
        <f ca="1">IFERROR(__xludf.DUMMYFUNCTION("""COMPUTED_VALUE"""),45044.7042870833)</f>
        <v>45044.704287083303</v>
      </c>
      <c r="B1334" s="1" t="str">
        <f ca="1">IFERROR(__xludf.DUMMYFUNCTION("""COMPUTED_VALUE"""),"India")</f>
        <v>India</v>
      </c>
      <c r="C1334" s="1">
        <f ca="1">IFERROR(__xludf.DUMMYFUNCTION("""COMPUTED_VALUE"""),635801)</f>
        <v>635801</v>
      </c>
      <c r="D1334" s="1" t="str">
        <f ca="1">IFERROR(__xludf.DUMMYFUNCTION("""COMPUTED_VALUE"""),"Male")</f>
        <v>Male</v>
      </c>
      <c r="E1334" s="1" t="str">
        <f ca="1">IFERROR(__xludf.DUMMYFUNCTION("""COMPUTED_VALUE"""),"Influencers who had successful careers")</f>
        <v>Influencers who had successful careers</v>
      </c>
      <c r="F1334" s="1" t="str">
        <f ca="1">IFERROR(__xludf.DUMMYFUNCTION("""COMPUTED_VALUE"""),"No, But if someone could bare the cost I will")</f>
        <v>No, But if someone could bare the cost I will</v>
      </c>
      <c r="G1334" s="1" t="str">
        <f ca="1">IFERROR(__xludf.DUMMYFUNCTION("""COMPUTED_VALUE"""),"This will be hard to do, but if it is the right company I would try")</f>
        <v>This will be hard to do, but if it is the right company I would try</v>
      </c>
      <c r="H1334" s="1" t="str">
        <f ca="1">IFERROR(__xludf.DUMMYFUNCTION("""COMPUTED_VALUE"""),"No")</f>
        <v>No</v>
      </c>
      <c r="I1334" s="1" t="str">
        <f ca="1">IFERROR(__xludf.DUMMYFUNCTION("""COMPUTED_VALUE"""),"Will work for them")</f>
        <v>Will work for them</v>
      </c>
      <c r="J1334" s="1">
        <f ca="1">IFERROR(__xludf.DUMMYFUNCTION("""COMPUTED_VALUE"""),10)</f>
        <v>10</v>
      </c>
      <c r="K1334" s="1" t="str">
        <f ca="1">IFERROR(__xludf.DUMMYFUNCTION("""COMPUTED_VALUE"""),"Fully Remote with Options to travel as and when needed")</f>
        <v>Fully Remote with Options to travel as and when needed</v>
      </c>
      <c r="L1334" s="1" t="str">
        <f ca="1">IFERROR(__xludf.DUMMYFUNCTION("""COMPUTED_VALUE"""),"Employer who appreciates learning and enables that environment")</f>
        <v>Employer who appreciates learning and enables that environment</v>
      </c>
      <c r="M133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1334" s="1"/>
      <c r="O1334" s="1" t="str">
        <f ca="1">IFERROR(__xludf.DUMMYFUNCTION("""COMPUTED_VALUE"""),"Manager who explains what is expected, sets a goal and helps achieve it")</f>
        <v>Manager who explains what is expected, sets a goal and helps achieve it</v>
      </c>
      <c r="P1334" s="1" t="str">
        <f ca="1">IFERROR(__xludf.DUMMYFUNCTION("""COMPUTED_VALUE"""),"Work &gt;10 people in Team")</f>
        <v>Work &gt;10 people in Team</v>
      </c>
      <c r="Q1334" s="1" t="s">
        <v>43</v>
      </c>
      <c r="R1334" s="1"/>
    </row>
    <row r="1335" spans="1:18" x14ac:dyDescent="0.25">
      <c r="A1335" s="2">
        <f ca="1">IFERROR(__xludf.DUMMYFUNCTION("""COMPUTED_VALUE"""),45044.7062047222)</f>
        <v>45044.706204722199</v>
      </c>
      <c r="B1335" s="1" t="str">
        <f ca="1">IFERROR(__xludf.DUMMYFUNCTION("""COMPUTED_VALUE"""),"India")</f>
        <v>India</v>
      </c>
      <c r="C1335" s="1">
        <f ca="1">IFERROR(__xludf.DUMMYFUNCTION("""COMPUTED_VALUE"""),505209)</f>
        <v>505209</v>
      </c>
      <c r="D1335" s="1" t="str">
        <f ca="1">IFERROR(__xludf.DUMMYFUNCTION("""COMPUTED_VALUE"""),"Female")</f>
        <v>Female</v>
      </c>
      <c r="E1335" s="1" t="str">
        <f ca="1">IFERROR(__xludf.DUMMYFUNCTION("""COMPUTED_VALUE"""),"People who have changed the world for better")</f>
        <v>People who have changed the world for better</v>
      </c>
      <c r="F1335" s="1" t="str">
        <f ca="1">IFERROR(__xludf.DUMMYFUNCTION("""COMPUTED_VALUE"""),"Yes, I will earn and do that")</f>
        <v>Yes, I will earn and do that</v>
      </c>
      <c r="G1335" s="1" t="str">
        <f ca="1">IFERROR(__xludf.DUMMYFUNCTION("""COMPUTED_VALUE"""),"This will be hard to do, but if it is the right company I would try")</f>
        <v>This will be hard to do, but if it is the right company I would try</v>
      </c>
      <c r="H1335" s="1" t="str">
        <f ca="1">IFERROR(__xludf.DUMMYFUNCTION("""COMPUTED_VALUE"""),"Yes")</f>
        <v>Yes</v>
      </c>
      <c r="I1335" s="1" t="str">
        <f ca="1">IFERROR(__xludf.DUMMYFUNCTION("""COMPUTED_VALUE"""),"Will NOT work for them")</f>
        <v>Will NOT work for them</v>
      </c>
      <c r="J1335" s="1">
        <f ca="1">IFERROR(__xludf.DUMMYFUNCTION("""COMPUTED_VALUE"""),8)</f>
        <v>8</v>
      </c>
      <c r="K1335" s="1" t="str">
        <f ca="1">IFERROR(__xludf.DUMMYFUNCTION("""COMPUTED_VALUE"""),"Fully Remote with Options to travel as and when needed")</f>
        <v>Fully Remote with Options to travel as and when needed</v>
      </c>
      <c r="L1335" s="1" t="str">
        <f ca="1">IFERROR(__xludf.DUMMYFUNCTION("""COMPUTED_VALUE"""),"Employer who pushes your limits by enabling an learning environment, and rewards you at the end")</f>
        <v>Employer who pushes your limits by enabling an learning environment, and rewards you at the end</v>
      </c>
      <c r="M1335"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1335" s="1"/>
      <c r="O1335" s="1" t="str">
        <f ca="1">IFERROR(__xludf.DUMMYFUNCTION("""COMPUTED_VALUE"""),"Manager who explains what is expected, sets a goal and helps achieve it")</f>
        <v>Manager who explains what is expected, sets a goal and helps achieve it</v>
      </c>
      <c r="P1335" s="1" t="str">
        <f ca="1">IFERROR(__xludf.DUMMYFUNCTION("""COMPUTED_VALUE"""),"Work &lt;=6 People in the Team")</f>
        <v>Work &lt;=6 People in the Team</v>
      </c>
      <c r="Q1335" s="1" t="s">
        <v>42</v>
      </c>
      <c r="R1335" s="1"/>
    </row>
    <row r="1336" spans="1:18" x14ac:dyDescent="0.25">
      <c r="A1336" s="2">
        <f ca="1">IFERROR(__xludf.DUMMYFUNCTION("""COMPUTED_VALUE"""),45044.7175548379)</f>
        <v>45044.717554837902</v>
      </c>
      <c r="B1336" s="1" t="str">
        <f ca="1">IFERROR(__xludf.DUMMYFUNCTION("""COMPUTED_VALUE"""),"India")</f>
        <v>India</v>
      </c>
      <c r="C1336" s="1">
        <f ca="1">IFERROR(__xludf.DUMMYFUNCTION("""COMPUTED_VALUE"""),508234)</f>
        <v>508234</v>
      </c>
      <c r="D1336" s="1" t="str">
        <f ca="1">IFERROR(__xludf.DUMMYFUNCTION("""COMPUTED_VALUE"""),"Male")</f>
        <v>Male</v>
      </c>
      <c r="E1336" s="1" t="str">
        <f ca="1">IFERROR(__xludf.DUMMYFUNCTION("""COMPUTED_VALUE"""),"Influencers who had successful careers")</f>
        <v>Influencers who had successful careers</v>
      </c>
      <c r="F1336" s="1" t="str">
        <f ca="1">IFERROR(__xludf.DUMMYFUNCTION("""COMPUTED_VALUE"""),"No I would not be pursuing Higher Education outside of India")</f>
        <v>No I would not be pursuing Higher Education outside of India</v>
      </c>
      <c r="G1336" s="1" t="str">
        <f ca="1">IFERROR(__xludf.DUMMYFUNCTION("""COMPUTED_VALUE"""),"This will be hard to do, but if it is the right company I would try")</f>
        <v>This will be hard to do, but if it is the right company I would try</v>
      </c>
      <c r="H1336" s="1" t="str">
        <f ca="1">IFERROR(__xludf.DUMMYFUNCTION("""COMPUTED_VALUE"""),"No")</f>
        <v>No</v>
      </c>
      <c r="I1336" s="1" t="str">
        <f ca="1">IFERROR(__xludf.DUMMYFUNCTION("""COMPUTED_VALUE"""),"Will work for them")</f>
        <v>Will work for them</v>
      </c>
      <c r="J1336" s="1">
        <f ca="1">IFERROR(__xludf.DUMMYFUNCTION("""COMPUTED_VALUE"""),10)</f>
        <v>10</v>
      </c>
      <c r="K1336" s="1" t="str">
        <f ca="1">IFERROR(__xludf.DUMMYFUNCTION("""COMPUTED_VALUE"""),"Fully Remote with Options to travel as and when needed")</f>
        <v>Fully Remote with Options to travel as and when needed</v>
      </c>
      <c r="L1336" s="1" t="str">
        <f ca="1">IFERROR(__xludf.DUMMYFUNCTION("""COMPUTED_VALUE"""),"Employer who rewards learning and enables that environment")</f>
        <v>Employer who rewards learning and enables that environment</v>
      </c>
      <c r="M1336" s="1" t="str">
        <f ca="1">IFERROR(__xludf.DUMMYFUNCTION("""COMPUTED_VALUE"""),"Design and Creative strategy in any company, Teaching in any of the institutes/colleges/online or offline, Build and develop a Team, An Artificial Intelligence Specialist / Talking to Robots")</f>
        <v>Design and Creative strategy in any company, Teaching in any of the institutes/colleges/online or offline, Build and develop a Team, An Artificial Intelligence Specialist / Talking to Robots</v>
      </c>
      <c r="N1336" s="1"/>
      <c r="O1336" s="1" t="str">
        <f ca="1">IFERROR(__xludf.DUMMYFUNCTION("""COMPUTED_VALUE"""),"Manager who sets goal and helps me achieve it")</f>
        <v>Manager who sets goal and helps me achieve it</v>
      </c>
      <c r="P1336" s="1" t="str">
        <f ca="1">IFERROR(__xludf.DUMMYFUNCTION("""COMPUTED_VALUE"""),"Work  &lt;67 people in team")</f>
        <v>Work  &lt;67 people in team</v>
      </c>
      <c r="Q1336" s="1" t="s">
        <v>43</v>
      </c>
      <c r="R1336" s="1"/>
    </row>
    <row r="1337" spans="1:18" x14ac:dyDescent="0.25">
      <c r="A1337" s="2">
        <f ca="1">IFERROR(__xludf.DUMMYFUNCTION("""COMPUTED_VALUE"""),45044.7228526736)</f>
        <v>45044.7228526736</v>
      </c>
      <c r="B1337" s="1" t="str">
        <f ca="1">IFERROR(__xludf.DUMMYFUNCTION("""COMPUTED_VALUE"""),"India")</f>
        <v>India</v>
      </c>
      <c r="C1337" s="1">
        <f ca="1">IFERROR(__xludf.DUMMYFUNCTION("""COMPUTED_VALUE"""),826004)</f>
        <v>826004</v>
      </c>
      <c r="D1337" s="1" t="str">
        <f ca="1">IFERROR(__xludf.DUMMYFUNCTION("""COMPUTED_VALUE"""),"Male")</f>
        <v>Male</v>
      </c>
      <c r="E1337" s="1" t="str">
        <f ca="1">IFERROR(__xludf.DUMMYFUNCTION("""COMPUTED_VALUE"""),"People who have changed the world for better")</f>
        <v>People who have changed the world for better</v>
      </c>
      <c r="F1337" s="1" t="str">
        <f ca="1">IFERROR(__xludf.DUMMYFUNCTION("""COMPUTED_VALUE"""),"No I would not be pursuing Higher Education outside of India")</f>
        <v>No I would not be pursuing Higher Education outside of India</v>
      </c>
      <c r="G1337" s="1" t="str">
        <f ca="1">IFERROR(__xludf.DUMMYFUNCTION("""COMPUTED_VALUE"""),"This will be hard to do, but if it is the right company I would try")</f>
        <v>This will be hard to do, but if it is the right company I would try</v>
      </c>
      <c r="H1337" s="1" t="str">
        <f ca="1">IFERROR(__xludf.DUMMYFUNCTION("""COMPUTED_VALUE"""),"Yes")</f>
        <v>Yes</v>
      </c>
      <c r="I1337" s="1" t="str">
        <f ca="1">IFERROR(__xludf.DUMMYFUNCTION("""COMPUTED_VALUE"""),"Will work for them")</f>
        <v>Will work for them</v>
      </c>
      <c r="J1337" s="1">
        <f ca="1">IFERROR(__xludf.DUMMYFUNCTION("""COMPUTED_VALUE"""),8)</f>
        <v>8</v>
      </c>
      <c r="K1337" s="1" t="str">
        <f ca="1">IFERROR(__xludf.DUMMYFUNCTION("""COMPUTED_VALUE"""),"Fully Remote with Options to travel as and when needed")</f>
        <v>Fully Remote with Options to travel as and when needed</v>
      </c>
      <c r="L1337" s="1" t="str">
        <f ca="1">IFERROR(__xludf.DUMMYFUNCTION("""COMPUTED_VALUE"""),"Employer who rewards learning and enables that environment")</f>
        <v>Employer who rewards learning and enables that environment</v>
      </c>
      <c r="M133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1337" s="1"/>
      <c r="O1337" s="1" t="str">
        <f ca="1">IFERROR(__xludf.DUMMYFUNCTION("""COMPUTED_VALUE"""),"Manager who explains what is expected, sets a goal and helps achieve it")</f>
        <v>Manager who explains what is expected, sets a goal and helps achieve it</v>
      </c>
      <c r="P1337" s="1" t="str">
        <f ca="1">IFERROR(__xludf.DUMMYFUNCTION("""COMPUTED_VALUE"""),"Work &lt;=6 People in the Team")</f>
        <v>Work &lt;=6 People in the Team</v>
      </c>
      <c r="Q1337" s="1" t="s">
        <v>40</v>
      </c>
      <c r="R1337" s="1"/>
    </row>
    <row r="1338" spans="1:18" x14ac:dyDescent="0.25">
      <c r="A1338" s="2">
        <f ca="1">IFERROR(__xludf.DUMMYFUNCTION("""COMPUTED_VALUE"""),45044.7257193518)</f>
        <v>45044.725719351802</v>
      </c>
      <c r="B1338" s="1" t="str">
        <f ca="1">IFERROR(__xludf.DUMMYFUNCTION("""COMPUTED_VALUE"""),"India")</f>
        <v>India</v>
      </c>
      <c r="C1338" s="1">
        <f ca="1">IFERROR(__xludf.DUMMYFUNCTION("""COMPUTED_VALUE"""),201002)</f>
        <v>201002</v>
      </c>
      <c r="D1338" s="1" t="str">
        <f ca="1">IFERROR(__xludf.DUMMYFUNCTION("""COMPUTED_VALUE"""),"Female")</f>
        <v>Female</v>
      </c>
      <c r="E1338" s="1" t="str">
        <f ca="1">IFERROR(__xludf.DUMMYFUNCTION("""COMPUTED_VALUE"""),"My Parents")</f>
        <v>My Parents</v>
      </c>
      <c r="F1338" s="1" t="str">
        <f ca="1">IFERROR(__xludf.DUMMYFUNCTION("""COMPUTED_VALUE"""),"Yes, I will earn and do that")</f>
        <v>Yes, I will earn and do that</v>
      </c>
      <c r="G1338" s="1" t="str">
        <f ca="1">IFERROR(__xludf.DUMMYFUNCTION("""COMPUTED_VALUE"""),"This will be hard to do, but if it is the right company I would try")</f>
        <v>This will be hard to do, but if it is the right company I would try</v>
      </c>
      <c r="H1338" s="1" t="str">
        <f ca="1">IFERROR(__xludf.DUMMYFUNCTION("""COMPUTED_VALUE"""),"No")</f>
        <v>No</v>
      </c>
      <c r="I1338" s="1" t="str">
        <f ca="1">IFERROR(__xludf.DUMMYFUNCTION("""COMPUTED_VALUE"""),"Will NOT work for them")</f>
        <v>Will NOT work for them</v>
      </c>
      <c r="J1338" s="1">
        <f ca="1">IFERROR(__xludf.DUMMYFUNCTION("""COMPUTED_VALUE"""),1)</f>
        <v>1</v>
      </c>
      <c r="K1338" s="1" t="str">
        <f ca="1">IFERROR(__xludf.DUMMYFUNCTION("""COMPUTED_VALUE"""),"Every Day Office Environment")</f>
        <v>Every Day Office Environment</v>
      </c>
      <c r="L1338" s="1" t="str">
        <f ca="1">IFERROR(__xludf.DUMMYFUNCTION("""COMPUTED_VALUE"""),"Employer who pushes your limits by enabling an learning environment, and rewards you at the end")</f>
        <v>Employer who pushes your limits by enabling an learning environment, and rewards you at the end</v>
      </c>
      <c r="M1338"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338" s="1"/>
      <c r="O1338" s="1" t="str">
        <f ca="1">IFERROR(__xludf.DUMMYFUNCTION("""COMPUTED_VALUE"""),"Manager who explains what is expected, sets a goal and helps achieve it")</f>
        <v>Manager who explains what is expected, sets a goal and helps achieve it</v>
      </c>
      <c r="P1338" s="1" t="str">
        <f ca="1">IFERROR(__xludf.DUMMYFUNCTION("""COMPUTED_VALUE"""),"Work &gt;10 people in Team")</f>
        <v>Work &gt;10 people in Team</v>
      </c>
      <c r="Q1338" s="1" t="s">
        <v>40</v>
      </c>
      <c r="R1338" s="1"/>
    </row>
    <row r="1339" spans="1:18" x14ac:dyDescent="0.25">
      <c r="A1339" s="2">
        <f ca="1">IFERROR(__xludf.DUMMYFUNCTION("""COMPUTED_VALUE"""),45044.7266468981)</f>
        <v>45044.726646898103</v>
      </c>
      <c r="B1339" s="1" t="str">
        <f ca="1">IFERROR(__xludf.DUMMYFUNCTION("""COMPUTED_VALUE"""),"India")</f>
        <v>India</v>
      </c>
      <c r="C1339" s="1">
        <f ca="1">IFERROR(__xludf.DUMMYFUNCTION("""COMPUTED_VALUE"""),600049)</f>
        <v>600049</v>
      </c>
      <c r="D1339" s="1" t="str">
        <f ca="1">IFERROR(__xludf.DUMMYFUNCTION("""COMPUTED_VALUE"""),"Female")</f>
        <v>Female</v>
      </c>
      <c r="E1339" s="1" t="str">
        <f ca="1">IFERROR(__xludf.DUMMYFUNCTION("""COMPUTED_VALUE"""),"Influencers who had successful careers")</f>
        <v>Influencers who had successful careers</v>
      </c>
      <c r="F1339" s="1" t="str">
        <f ca="1">IFERROR(__xludf.DUMMYFUNCTION("""COMPUTED_VALUE"""),"No, But if someone could bare the cost I will")</f>
        <v>No, But if someone could bare the cost I will</v>
      </c>
      <c r="G1339" s="1" t="str">
        <f ca="1">IFERROR(__xludf.DUMMYFUNCTION("""COMPUTED_VALUE"""),"This will be hard to do, but if it is the right company I would try")</f>
        <v>This will be hard to do, but if it is the right company I would try</v>
      </c>
      <c r="H1339" s="1" t="str">
        <f ca="1">IFERROR(__xludf.DUMMYFUNCTION("""COMPUTED_VALUE"""),"No")</f>
        <v>No</v>
      </c>
      <c r="I1339" s="1" t="str">
        <f ca="1">IFERROR(__xludf.DUMMYFUNCTION("""COMPUTED_VALUE"""),"Will NOT work for them")</f>
        <v>Will NOT work for them</v>
      </c>
      <c r="J1339" s="1">
        <f ca="1">IFERROR(__xludf.DUMMYFUNCTION("""COMPUTED_VALUE"""),1)</f>
        <v>1</v>
      </c>
      <c r="K1339" s="1" t="str">
        <f ca="1">IFERROR(__xludf.DUMMYFUNCTION("""COMPUTED_VALUE"""),"Hybrid Working Environment with less than 3 days a month at office")</f>
        <v>Hybrid Working Environment with less than 3 days a month at office</v>
      </c>
      <c r="L1339" s="1" t="str">
        <f ca="1">IFERROR(__xludf.DUMMYFUNCTION("""COMPUTED_VALUE"""),"Employer who pushes your limits by enabling an learning environment, and rewards you at the end")</f>
        <v>Employer who pushes your limits by enabling an learning environment, and rewards you at the end</v>
      </c>
      <c r="M1339"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N1339" s="1"/>
      <c r="O1339" s="1" t="str">
        <f ca="1">IFERROR(__xludf.DUMMYFUNCTION("""COMPUTED_VALUE"""),"Manager who explains what is expected, sets a goal and helps achieve it")</f>
        <v>Manager who explains what is expected, sets a goal and helps achieve it</v>
      </c>
      <c r="P1339" s="1" t="str">
        <f ca="1">IFERROR(__xludf.DUMMYFUNCTION("""COMPUTED_VALUE"""),"Work &lt;=6 People in the Team")</f>
        <v>Work &lt;=6 People in the Team</v>
      </c>
      <c r="Q1339" s="1" t="s">
        <v>43</v>
      </c>
      <c r="R1339" s="1"/>
    </row>
    <row r="1340" spans="1:18" x14ac:dyDescent="0.25">
      <c r="A1340" s="2">
        <f ca="1">IFERROR(__xludf.DUMMYFUNCTION("""COMPUTED_VALUE"""),45044.7291226851)</f>
        <v>45044.729122685101</v>
      </c>
      <c r="B1340" s="1" t="str">
        <f ca="1">IFERROR(__xludf.DUMMYFUNCTION("""COMPUTED_VALUE"""),"India")</f>
        <v>India</v>
      </c>
      <c r="C1340" s="1">
        <f ca="1">IFERROR(__xludf.DUMMYFUNCTION("""COMPUTED_VALUE"""),826001)</f>
        <v>826001</v>
      </c>
      <c r="D1340" s="1" t="str">
        <f ca="1">IFERROR(__xludf.DUMMYFUNCTION("""COMPUTED_VALUE"""),"Male")</f>
        <v>Male</v>
      </c>
      <c r="E1340" s="1" t="str">
        <f ca="1">IFERROR(__xludf.DUMMYFUNCTION("""COMPUTED_VALUE"""),"People who have changed the world for better")</f>
        <v>People who have changed the world for better</v>
      </c>
      <c r="F1340" s="1" t="str">
        <f ca="1">IFERROR(__xludf.DUMMYFUNCTION("""COMPUTED_VALUE"""),"Yes, I will earn and do that")</f>
        <v>Yes, I will earn and do that</v>
      </c>
      <c r="G1340" s="1" t="str">
        <f ca="1">IFERROR(__xludf.DUMMYFUNCTION("""COMPUTED_VALUE"""),"This will be hard to do, but if it is the right company I would try")</f>
        <v>This will be hard to do, but if it is the right company I would try</v>
      </c>
      <c r="H1340" s="1" t="str">
        <f ca="1">IFERROR(__xludf.DUMMYFUNCTION("""COMPUTED_VALUE"""),"No")</f>
        <v>No</v>
      </c>
      <c r="I1340" s="1" t="str">
        <f ca="1">IFERROR(__xludf.DUMMYFUNCTION("""COMPUTED_VALUE"""),"Will NOT work for them")</f>
        <v>Will NOT work for them</v>
      </c>
      <c r="J1340" s="1">
        <f ca="1">IFERROR(__xludf.DUMMYFUNCTION("""COMPUTED_VALUE"""),3)</f>
        <v>3</v>
      </c>
      <c r="K1340" s="1" t="str">
        <f ca="1">IFERROR(__xludf.DUMMYFUNCTION("""COMPUTED_VALUE"""),"Hybrid Working Environment with less than 3 days a month at office")</f>
        <v>Hybrid Working Environment with less than 3 days a month at office</v>
      </c>
      <c r="L1340" s="1" t="str">
        <f ca="1">IFERROR(__xludf.DUMMYFUNCTION("""COMPUTED_VALUE"""),"Employer who pushes your limits by enabling an learning environment, and rewards you at the end")</f>
        <v>Employer who pushes your limits by enabling an learning environment, and rewards you at the end</v>
      </c>
      <c r="M134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N1340" s="1"/>
      <c r="O1340" s="1" t="str">
        <f ca="1">IFERROR(__xludf.DUMMYFUNCTION("""COMPUTED_VALUE"""),"Manager who sets goal and helps me achieve it")</f>
        <v>Manager who sets goal and helps me achieve it</v>
      </c>
      <c r="P1340" s="1" t="str">
        <f ca="1">IFERROR(__xludf.DUMMYFUNCTION("""COMPUTED_VALUE"""),"Work Alone, &lt;67 people in team")</f>
        <v>Work Alone, &lt;67 people in team</v>
      </c>
      <c r="Q1340" s="1" t="s">
        <v>43</v>
      </c>
      <c r="R1340" s="1"/>
    </row>
    <row r="1341" spans="1:18" x14ac:dyDescent="0.25">
      <c r="A1341" s="2">
        <f ca="1">IFERROR(__xludf.DUMMYFUNCTION("""COMPUTED_VALUE"""),45044.7303440856)</f>
        <v>45044.730344085598</v>
      </c>
      <c r="B1341" s="1" t="str">
        <f ca="1">IFERROR(__xludf.DUMMYFUNCTION("""COMPUTED_VALUE"""),"India")</f>
        <v>India</v>
      </c>
      <c r="C1341" s="1">
        <f ca="1">IFERROR(__xludf.DUMMYFUNCTION("""COMPUTED_VALUE"""),492001)</f>
        <v>492001</v>
      </c>
      <c r="D1341" s="1" t="str">
        <f ca="1">IFERROR(__xludf.DUMMYFUNCTION("""COMPUTED_VALUE"""),"Male")</f>
        <v>Male</v>
      </c>
      <c r="E1341" s="1" t="str">
        <f ca="1">IFERROR(__xludf.DUMMYFUNCTION("""COMPUTED_VALUE"""),"People who have changed the world for better")</f>
        <v>People who have changed the world for better</v>
      </c>
      <c r="F1341" s="1" t="str">
        <f ca="1">IFERROR(__xludf.DUMMYFUNCTION("""COMPUTED_VALUE"""),"Yes, I will earn and do that")</f>
        <v>Yes, I will earn and do that</v>
      </c>
      <c r="G1341" s="1" t="str">
        <f ca="1">IFERROR(__xludf.DUMMYFUNCTION("""COMPUTED_VALUE"""),"This will be hard to do, but if it is the right company I would try")</f>
        <v>This will be hard to do, but if it is the right company I would try</v>
      </c>
      <c r="H1341" s="1" t="str">
        <f ca="1">IFERROR(__xludf.DUMMYFUNCTION("""COMPUTED_VALUE"""),"No")</f>
        <v>No</v>
      </c>
      <c r="I1341" s="1" t="str">
        <f ca="1">IFERROR(__xludf.DUMMYFUNCTION("""COMPUTED_VALUE"""),"Will NOT work for them")</f>
        <v>Will NOT work for them</v>
      </c>
      <c r="J1341" s="1">
        <f ca="1">IFERROR(__xludf.DUMMYFUNCTION("""COMPUTED_VALUE"""),8)</f>
        <v>8</v>
      </c>
      <c r="K1341" s="1" t="str">
        <f ca="1">IFERROR(__xludf.DUMMYFUNCTION("""COMPUTED_VALUE"""),"Fully Remote with Options to travel as and when needed")</f>
        <v>Fully Remote with Options to travel as and when needed</v>
      </c>
      <c r="L1341" s="1" t="str">
        <f ca="1">IFERROR(__xludf.DUMMYFUNCTION("""COMPUTED_VALUE"""),"Employer who pushes your limits by enabling an learning environment, and rewards you at the end")</f>
        <v>Employer who pushes your limits by enabling an learning environment, and rewards you at the end</v>
      </c>
      <c r="M1341"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N1341" s="1"/>
      <c r="O1341" s="1" t="str">
        <f ca="1">IFERROR(__xludf.DUMMYFUNCTION("""COMPUTED_VALUE"""),"Manager who sets goal and helps me achieve it")</f>
        <v>Manager who sets goal and helps me achieve it</v>
      </c>
      <c r="P1341" s="1" t="str">
        <f ca="1">IFERROR(__xludf.DUMMYFUNCTION("""COMPUTED_VALUE"""),"Work &lt;=6 People in the Team")</f>
        <v>Work &lt;=6 People in the Team</v>
      </c>
      <c r="Q1341" s="1" t="s">
        <v>43</v>
      </c>
      <c r="R1341" s="1"/>
    </row>
    <row r="1342" spans="1:18" x14ac:dyDescent="0.25">
      <c r="A1342" s="2">
        <f ca="1">IFERROR(__xludf.DUMMYFUNCTION("""COMPUTED_VALUE"""),45044.7341403125)</f>
        <v>45044.734140312503</v>
      </c>
      <c r="B1342" s="1" t="str">
        <f ca="1">IFERROR(__xludf.DUMMYFUNCTION("""COMPUTED_VALUE"""),"India")</f>
        <v>India</v>
      </c>
      <c r="C1342" s="1">
        <f ca="1">IFERROR(__xludf.DUMMYFUNCTION("""COMPUTED_VALUE"""),560073)</f>
        <v>560073</v>
      </c>
      <c r="D1342" s="1" t="str">
        <f ca="1">IFERROR(__xludf.DUMMYFUNCTION("""COMPUTED_VALUE"""),"Male")</f>
        <v>Male</v>
      </c>
      <c r="E1342" s="1" t="str">
        <f ca="1">IFERROR(__xludf.DUMMYFUNCTION("""COMPUTED_VALUE"""),"Social Media like LinkedIn")</f>
        <v>Social Media like LinkedIn</v>
      </c>
      <c r="F1342" s="1" t="str">
        <f ca="1">IFERROR(__xludf.DUMMYFUNCTION("""COMPUTED_VALUE"""),"No I would not be pursuing Higher Education outside of India")</f>
        <v>No I would not be pursuing Higher Education outside of India</v>
      </c>
      <c r="G1342" s="1" t="str">
        <f ca="1">IFERROR(__xludf.DUMMYFUNCTION("""COMPUTED_VALUE"""),"Will work for 3 years or more")</f>
        <v>Will work for 3 years or more</v>
      </c>
      <c r="H1342" s="1" t="str">
        <f ca="1">IFERROR(__xludf.DUMMYFUNCTION("""COMPUTED_VALUE"""),"Yes")</f>
        <v>Yes</v>
      </c>
      <c r="I1342" s="1" t="str">
        <f ca="1">IFERROR(__xludf.DUMMYFUNCTION("""COMPUTED_VALUE"""),"Will work for them")</f>
        <v>Will work for them</v>
      </c>
      <c r="J1342" s="1">
        <f ca="1">IFERROR(__xludf.DUMMYFUNCTION("""COMPUTED_VALUE"""),6)</f>
        <v>6</v>
      </c>
      <c r="K1342" s="1" t="str">
        <f ca="1">IFERROR(__xludf.DUMMYFUNCTION("""COMPUTED_VALUE"""),"Hybrid Working Environment with less than 3 days a month at office")</f>
        <v>Hybrid Working Environment with less than 3 days a month at office</v>
      </c>
      <c r="L1342" s="1" t="str">
        <f ca="1">IFERROR(__xludf.DUMMYFUNCTION("""COMPUTED_VALUE"""),"Employer who rewards learning and enables that environment")</f>
        <v>Employer who rewards learning and enables that environment</v>
      </c>
      <c r="M1342"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N1342" s="1"/>
      <c r="O1342" s="1" t="str">
        <f ca="1">IFERROR(__xludf.DUMMYFUNCTION("""COMPUTED_VALUE"""),"Manager who explains what is expected, sets a goal and helps achieve it")</f>
        <v>Manager who explains what is expected, sets a goal and helps achieve it</v>
      </c>
      <c r="P1342" s="1" t="str">
        <f ca="1">IFERROR(__xludf.DUMMYFUNCTION("""COMPUTED_VALUE"""),"Work &gt;10 people in Team")</f>
        <v>Work &gt;10 people in Team</v>
      </c>
      <c r="Q1342" s="1" t="s">
        <v>42</v>
      </c>
      <c r="R1342" s="1"/>
    </row>
    <row r="1343" spans="1:18" x14ac:dyDescent="0.25">
      <c r="A1343" s="2">
        <f ca="1">IFERROR(__xludf.DUMMYFUNCTION("""COMPUTED_VALUE"""),45044.7359324768)</f>
        <v>45044.735932476797</v>
      </c>
      <c r="B1343" s="1" t="str">
        <f ca="1">IFERROR(__xludf.DUMMYFUNCTION("""COMPUTED_VALUE"""),"India")</f>
        <v>India</v>
      </c>
      <c r="C1343" s="1">
        <f ca="1">IFERROR(__xludf.DUMMYFUNCTION("""COMPUTED_VALUE"""),759001)</f>
        <v>759001</v>
      </c>
      <c r="D1343" s="1" t="str">
        <f ca="1">IFERROR(__xludf.DUMMYFUNCTION("""COMPUTED_VALUE"""),"Male")</f>
        <v>Male</v>
      </c>
      <c r="E1343" s="1" t="str">
        <f ca="1">IFERROR(__xludf.DUMMYFUNCTION("""COMPUTED_VALUE"""),"People who have changed the world for better")</f>
        <v>People who have changed the world for better</v>
      </c>
      <c r="F1343" s="1" t="str">
        <f ca="1">IFERROR(__xludf.DUMMYFUNCTION("""COMPUTED_VALUE"""),"No I would not be pursuing Higher Education outside of India")</f>
        <v>No I would not be pursuing Higher Education outside of India</v>
      </c>
      <c r="G1343" s="1" t="str">
        <f ca="1">IFERROR(__xludf.DUMMYFUNCTION("""COMPUTED_VALUE"""),"Will work for 3 years or more")</f>
        <v>Will work for 3 years or more</v>
      </c>
      <c r="H1343" s="1" t="str">
        <f ca="1">IFERROR(__xludf.DUMMYFUNCTION("""COMPUTED_VALUE"""),"No")</f>
        <v>No</v>
      </c>
      <c r="I1343" s="1" t="str">
        <f ca="1">IFERROR(__xludf.DUMMYFUNCTION("""COMPUTED_VALUE"""),"Will NOT work for them")</f>
        <v>Will NOT work for them</v>
      </c>
      <c r="J1343" s="1">
        <f ca="1">IFERROR(__xludf.DUMMYFUNCTION("""COMPUTED_VALUE"""),8)</f>
        <v>8</v>
      </c>
      <c r="K1343" s="1" t="str">
        <f ca="1">IFERROR(__xludf.DUMMYFUNCTION("""COMPUTED_VALUE"""),"Fully Remote with Options to travel as and when needed")</f>
        <v>Fully Remote with Options to travel as and when needed</v>
      </c>
      <c r="L1343" s="1" t="str">
        <f ca="1">IFERROR(__xludf.DUMMYFUNCTION("""COMPUTED_VALUE"""),"Employer who rewards learning and enables that environment")</f>
        <v>Employer who rewards learning and enables that environment</v>
      </c>
      <c r="M134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343" s="1"/>
      <c r="O1343" s="1" t="str">
        <f ca="1">IFERROR(__xludf.DUMMYFUNCTION("""COMPUTED_VALUE"""),"Manager who clearly describes what she/he needs")</f>
        <v>Manager who clearly describes what she/he needs</v>
      </c>
      <c r="P1343" s="1" t="str">
        <f ca="1">IFERROR(__xludf.DUMMYFUNCTION("""COMPUTED_VALUE"""),"Work alone")</f>
        <v>Work alone</v>
      </c>
      <c r="Q1343" s="1" t="s">
        <v>43</v>
      </c>
      <c r="R1343" s="1"/>
    </row>
    <row r="1344" spans="1:18" x14ac:dyDescent="0.25">
      <c r="A1344" s="2">
        <f ca="1">IFERROR(__xludf.DUMMYFUNCTION("""COMPUTED_VALUE"""),45044.7364354861)</f>
        <v>45044.736435486098</v>
      </c>
      <c r="B1344" s="1" t="str">
        <f ca="1">IFERROR(__xludf.DUMMYFUNCTION("""COMPUTED_VALUE"""),"India")</f>
        <v>India</v>
      </c>
      <c r="C1344" s="1">
        <f ca="1">IFERROR(__xludf.DUMMYFUNCTION("""COMPUTED_VALUE"""),505209)</f>
        <v>505209</v>
      </c>
      <c r="D1344" s="1" t="str">
        <f ca="1">IFERROR(__xludf.DUMMYFUNCTION("""COMPUTED_VALUE"""),"Male")</f>
        <v>Male</v>
      </c>
      <c r="E1344" s="1" t="str">
        <f ca="1">IFERROR(__xludf.DUMMYFUNCTION("""COMPUTED_VALUE"""),"My Parents")</f>
        <v>My Parents</v>
      </c>
      <c r="F1344" s="1" t="str">
        <f ca="1">IFERROR(__xludf.DUMMYFUNCTION("""COMPUTED_VALUE"""),"Yes, I will earn and do that")</f>
        <v>Yes, I will earn and do that</v>
      </c>
      <c r="G1344" s="1" t="str">
        <f ca="1">IFERROR(__xludf.DUMMYFUNCTION("""COMPUTED_VALUE"""),"This will be hard to do, but if it is the right company I would try")</f>
        <v>This will be hard to do, but if it is the right company I would try</v>
      </c>
      <c r="H1344" s="1" t="str">
        <f ca="1">IFERROR(__xludf.DUMMYFUNCTION("""COMPUTED_VALUE"""),"No")</f>
        <v>No</v>
      </c>
      <c r="I1344" s="1" t="str">
        <f ca="1">IFERROR(__xludf.DUMMYFUNCTION("""COMPUTED_VALUE"""),"Will NOT work for them")</f>
        <v>Will NOT work for them</v>
      </c>
      <c r="J1344" s="1">
        <f ca="1">IFERROR(__xludf.DUMMYFUNCTION("""COMPUTED_VALUE"""),5)</f>
        <v>5</v>
      </c>
      <c r="K1344" s="1" t="str">
        <f ca="1">IFERROR(__xludf.DUMMYFUNCTION("""COMPUTED_VALUE"""),"Fully Remote with Options to travel as and when needed")</f>
        <v>Fully Remote with Options to travel as and when needed</v>
      </c>
      <c r="L1344" s="1" t="str">
        <f ca="1">IFERROR(__xludf.DUMMYFUNCTION("""COMPUTED_VALUE"""),"Employer who pushes your limits and doesn't enables learning environment and never rewards you")</f>
        <v>Employer who pushes your limits and doesn't enables learning environment and never rewards you</v>
      </c>
      <c r="M1344"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N1344" s="1"/>
      <c r="O1344" s="1" t="str">
        <f ca="1">IFERROR(__xludf.DUMMYFUNCTION("""COMPUTED_VALUE"""),"Manager who sets goal and helps me achieve it")</f>
        <v>Manager who sets goal and helps me achieve it</v>
      </c>
      <c r="P1344" s="1" t="str">
        <f ca="1">IFERROR(__xludf.DUMMYFUNCTION("""COMPUTED_VALUE"""),"Work &lt;=6 People in the Team")</f>
        <v>Work &lt;=6 People in the Team</v>
      </c>
      <c r="Q1344" s="1" t="s">
        <v>43</v>
      </c>
      <c r="R1344" s="1"/>
    </row>
    <row r="1345" spans="1:18" x14ac:dyDescent="0.25">
      <c r="A1345" s="2">
        <f ca="1">IFERROR(__xludf.DUMMYFUNCTION("""COMPUTED_VALUE"""),45044.7385760532)</f>
        <v>45044.738576053198</v>
      </c>
      <c r="B1345" s="1" t="str">
        <f ca="1">IFERROR(__xludf.DUMMYFUNCTION("""COMPUTED_VALUE"""),"India")</f>
        <v>India</v>
      </c>
      <c r="C1345" s="1">
        <f ca="1">IFERROR(__xludf.DUMMYFUNCTION("""COMPUTED_VALUE"""),600005)</f>
        <v>600005</v>
      </c>
      <c r="D1345" s="1" t="str">
        <f ca="1">IFERROR(__xludf.DUMMYFUNCTION("""COMPUTED_VALUE"""),"Male")</f>
        <v>Male</v>
      </c>
      <c r="E1345" s="1" t="str">
        <f ca="1">IFERROR(__xludf.DUMMYFUNCTION("""COMPUTED_VALUE"""),"My Parents")</f>
        <v>My Parents</v>
      </c>
      <c r="F1345" s="1" t="str">
        <f ca="1">IFERROR(__xludf.DUMMYFUNCTION("""COMPUTED_VALUE"""),"No I would not be pursuing Higher Education outside of India")</f>
        <v>No I would not be pursuing Higher Education outside of India</v>
      </c>
      <c r="G1345" s="1" t="str">
        <f ca="1">IFERROR(__xludf.DUMMYFUNCTION("""COMPUTED_VALUE"""),"Will work for 3 years or more")</f>
        <v>Will work for 3 years or more</v>
      </c>
      <c r="H1345" s="1" t="str">
        <f ca="1">IFERROR(__xludf.DUMMYFUNCTION("""COMPUTED_VALUE"""),"No")</f>
        <v>No</v>
      </c>
      <c r="I1345" s="1" t="str">
        <f ca="1">IFERROR(__xludf.DUMMYFUNCTION("""COMPUTED_VALUE"""),"Will NOT work for them")</f>
        <v>Will NOT work for them</v>
      </c>
      <c r="J1345" s="1">
        <f ca="1">IFERROR(__xludf.DUMMYFUNCTION("""COMPUTED_VALUE"""),1)</f>
        <v>1</v>
      </c>
      <c r="K1345" s="1" t="str">
        <f ca="1">IFERROR(__xludf.DUMMYFUNCTION("""COMPUTED_VALUE"""),"Every Day Office Environment")</f>
        <v>Every Day Office Environment</v>
      </c>
      <c r="L1345" s="1" t="str">
        <f ca="1">IFERROR(__xludf.DUMMYFUNCTION("""COMPUTED_VALUE"""),"Employer who appreciates learning and enables that environment")</f>
        <v>Employer who appreciates learning and enables that environment</v>
      </c>
      <c r="M1345"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N1345" s="1"/>
      <c r="O1345" s="1" t="str">
        <f ca="1">IFERROR(__xludf.DUMMYFUNCTION("""COMPUTED_VALUE"""),"Manager who clearly describes what she/he needs")</f>
        <v>Manager who clearly describes what she/he needs</v>
      </c>
      <c r="P1345" s="1" t="str">
        <f ca="1">IFERROR(__xludf.DUMMYFUNCTION("""COMPUTED_VALUE"""),"Work &gt;10 people in Team")</f>
        <v>Work &gt;10 people in Team</v>
      </c>
      <c r="Q1345" s="1" t="s">
        <v>43</v>
      </c>
      <c r="R1345" s="1"/>
    </row>
    <row r="1346" spans="1:18" x14ac:dyDescent="0.25">
      <c r="A1346" s="2">
        <f ca="1">IFERROR(__xludf.DUMMYFUNCTION("""COMPUTED_VALUE"""),45044.7397248263)</f>
        <v>45044.739724826301</v>
      </c>
      <c r="B1346" s="1" t="str">
        <f ca="1">IFERROR(__xludf.DUMMYFUNCTION("""COMPUTED_VALUE"""),"India")</f>
        <v>India</v>
      </c>
      <c r="C1346" s="1">
        <f ca="1">IFERROR(__xludf.DUMMYFUNCTION("""COMPUTED_VALUE"""),607001)</f>
        <v>607001</v>
      </c>
      <c r="D1346" s="1" t="str">
        <f ca="1">IFERROR(__xludf.DUMMYFUNCTION("""COMPUTED_VALUE"""),"Male")</f>
        <v>Male</v>
      </c>
      <c r="E1346" s="1" t="str">
        <f ca="1">IFERROR(__xludf.DUMMYFUNCTION("""COMPUTED_VALUE"""),"People who have changed the world for better")</f>
        <v>People who have changed the world for better</v>
      </c>
      <c r="F1346" s="1" t="str">
        <f ca="1">IFERROR(__xludf.DUMMYFUNCTION("""COMPUTED_VALUE"""),"Yes, I will earn and do that")</f>
        <v>Yes, I will earn and do that</v>
      </c>
      <c r="G1346" s="1" t="str">
        <f ca="1">IFERROR(__xludf.DUMMYFUNCTION("""COMPUTED_VALUE"""),"This will be hard to do, but if it is the right company I would try")</f>
        <v>This will be hard to do, but if it is the right company I would try</v>
      </c>
      <c r="H1346" s="1" t="str">
        <f ca="1">IFERROR(__xludf.DUMMYFUNCTION("""COMPUTED_VALUE"""),"No")</f>
        <v>No</v>
      </c>
      <c r="I1346" s="1" t="str">
        <f ca="1">IFERROR(__xludf.DUMMYFUNCTION("""COMPUTED_VALUE"""),"Will NOT work for them")</f>
        <v>Will NOT work for them</v>
      </c>
      <c r="J1346" s="1">
        <f ca="1">IFERROR(__xludf.DUMMYFUNCTION("""COMPUTED_VALUE"""),5)</f>
        <v>5</v>
      </c>
      <c r="K1346" s="1" t="str">
        <f ca="1">IFERROR(__xludf.DUMMYFUNCTION("""COMPUTED_VALUE"""),"Fully Remote with Options to travel as and when needed")</f>
        <v>Fully Remote with Options to travel as and when needed</v>
      </c>
      <c r="L1346" s="1" t="str">
        <f ca="1">IFERROR(__xludf.DUMMYFUNCTION("""COMPUTED_VALUE"""),"Employer who pushes your limits by enabling an learning environment, and rewards you at the end")</f>
        <v>Employer who pushes your limits by enabling an learning environment, and rewards you at the end</v>
      </c>
      <c r="M1346"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N1346" s="1"/>
      <c r="O1346" s="1" t="str">
        <f ca="1">IFERROR(__xludf.DUMMYFUNCTION("""COMPUTED_VALUE"""),"Manager who explains what is expected, sets a goal and helps achieve it")</f>
        <v>Manager who explains what is expected, sets a goal and helps achieve it</v>
      </c>
      <c r="P1346" s="1" t="str">
        <f ca="1">IFERROR(__xludf.DUMMYFUNCTION("""COMPUTED_VALUE"""),"Work &gt;10 people in Team")</f>
        <v>Work &gt;10 people in Team</v>
      </c>
      <c r="Q1346" s="1" t="s">
        <v>43</v>
      </c>
      <c r="R1346" s="1"/>
    </row>
    <row r="1347" spans="1:18" x14ac:dyDescent="0.25">
      <c r="A1347" s="2">
        <f ca="1">IFERROR(__xludf.DUMMYFUNCTION("""COMPUTED_VALUE"""),45044.7416090277)</f>
        <v>45044.741609027697</v>
      </c>
      <c r="B1347" s="1" t="str">
        <f ca="1">IFERROR(__xludf.DUMMYFUNCTION("""COMPUTED_VALUE"""),"India")</f>
        <v>India</v>
      </c>
      <c r="C1347" s="1">
        <f ca="1">IFERROR(__xludf.DUMMYFUNCTION("""COMPUTED_VALUE"""),560096)</f>
        <v>560096</v>
      </c>
      <c r="D1347" s="1" t="str">
        <f ca="1">IFERROR(__xludf.DUMMYFUNCTION("""COMPUTED_VALUE"""),"Male")</f>
        <v>Male</v>
      </c>
      <c r="E1347" s="1" t="str">
        <f ca="1">IFERROR(__xludf.DUMMYFUNCTION("""COMPUTED_VALUE"""),"Influencers who had successful careers")</f>
        <v>Influencers who had successful careers</v>
      </c>
      <c r="F1347" s="1" t="str">
        <f ca="1">IFERROR(__xludf.DUMMYFUNCTION("""COMPUTED_VALUE"""),"No, But if someone could bare the cost I will")</f>
        <v>No, But if someone could bare the cost I will</v>
      </c>
      <c r="G1347" s="1" t="str">
        <f ca="1">IFERROR(__xludf.DUMMYFUNCTION("""COMPUTED_VALUE"""),"No way")</f>
        <v>No way</v>
      </c>
      <c r="H1347" s="1" t="str">
        <f ca="1">IFERROR(__xludf.DUMMYFUNCTION("""COMPUTED_VALUE"""),"Yes")</f>
        <v>Yes</v>
      </c>
      <c r="I1347" s="1" t="str">
        <f ca="1">IFERROR(__xludf.DUMMYFUNCTION("""COMPUTED_VALUE"""),"Will work for them")</f>
        <v>Will work for them</v>
      </c>
      <c r="J1347" s="1">
        <f ca="1">IFERROR(__xludf.DUMMYFUNCTION("""COMPUTED_VALUE"""),7)</f>
        <v>7</v>
      </c>
      <c r="K1347" s="1" t="str">
        <f ca="1">IFERROR(__xludf.DUMMYFUNCTION("""COMPUTED_VALUE"""),"Hybrid Working Environment with less than 3 days a month at office")</f>
        <v>Hybrid Working Environment with less than 3 days a month at office</v>
      </c>
      <c r="L1347" s="1" t="str">
        <f ca="1">IFERROR(__xludf.DUMMYFUNCTION("""COMPUTED_VALUE"""),"Employer who pushes your limits by enabling an learning environment, and rewards you at the end")</f>
        <v>Employer who pushes your limits by enabling an learning environment, and rewards you at the end</v>
      </c>
      <c r="M1347"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N1347" s="1"/>
      <c r="O1347" s="1" t="str">
        <f ca="1">IFERROR(__xludf.DUMMYFUNCTION("""COMPUTED_VALUE"""),"Manager who sets goal and helps me achieve it")</f>
        <v>Manager who sets goal and helps me achieve it</v>
      </c>
      <c r="P1347" s="1" t="str">
        <f ca="1">IFERROR(__xludf.DUMMYFUNCTION("""COMPUTED_VALUE"""),"Work &lt;67 People in the Team")</f>
        <v>Work &lt;67 People in the Team</v>
      </c>
      <c r="Q1347" s="1" t="s">
        <v>44</v>
      </c>
      <c r="R1347" s="1"/>
    </row>
    <row r="1348" spans="1:18" x14ac:dyDescent="0.25">
      <c r="A1348" s="2">
        <f ca="1">IFERROR(__xludf.DUMMYFUNCTION("""COMPUTED_VALUE"""),45044.7429262615)</f>
        <v>45044.742926261497</v>
      </c>
      <c r="B1348" s="1" t="str">
        <f ca="1">IFERROR(__xludf.DUMMYFUNCTION("""COMPUTED_VALUE"""),"India")</f>
        <v>India</v>
      </c>
      <c r="C1348" s="1">
        <f ca="1">IFERROR(__xludf.DUMMYFUNCTION("""COMPUTED_VALUE"""),500013)</f>
        <v>500013</v>
      </c>
      <c r="D1348" s="1" t="str">
        <f ca="1">IFERROR(__xludf.DUMMYFUNCTION("""COMPUTED_VALUE"""),"Female")</f>
        <v>Female</v>
      </c>
      <c r="E1348" s="1" t="str">
        <f ca="1">IFERROR(__xludf.DUMMYFUNCTION("""COMPUTED_VALUE"""),"Influencers who had successful careers")</f>
        <v>Influencers who had successful careers</v>
      </c>
      <c r="F1348" s="1" t="str">
        <f ca="1">IFERROR(__xludf.DUMMYFUNCTION("""COMPUTED_VALUE"""),"No I would not be pursuing Higher Education outside of India")</f>
        <v>No I would not be pursuing Higher Education outside of India</v>
      </c>
      <c r="G1348" s="1" t="str">
        <f ca="1">IFERROR(__xludf.DUMMYFUNCTION("""COMPUTED_VALUE"""),"This will be hard to do, but if it is the right company I would try")</f>
        <v>This will be hard to do, but if it is the right company I would try</v>
      </c>
      <c r="H1348" s="1" t="str">
        <f ca="1">IFERROR(__xludf.DUMMYFUNCTION("""COMPUTED_VALUE"""),"No")</f>
        <v>No</v>
      </c>
      <c r="I1348" s="1" t="str">
        <f ca="1">IFERROR(__xludf.DUMMYFUNCTION("""COMPUTED_VALUE"""),"Will NOT work for them")</f>
        <v>Will NOT work for them</v>
      </c>
      <c r="J1348" s="1">
        <f ca="1">IFERROR(__xludf.DUMMYFUNCTION("""COMPUTED_VALUE"""),8)</f>
        <v>8</v>
      </c>
      <c r="K1348" s="1" t="str">
        <f ca="1">IFERROR(__xludf.DUMMYFUNCTION("""COMPUTED_VALUE"""),"Fully Remote with No option to visit offices")</f>
        <v>Fully Remote with No option to visit offices</v>
      </c>
      <c r="L1348" s="1" t="str">
        <f ca="1">IFERROR(__xludf.DUMMYFUNCTION("""COMPUTED_VALUE"""),"Employer who appreciates learning and enables that environment")</f>
        <v>Employer who appreciates learning and enables that environment</v>
      </c>
      <c r="M134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N1348" s="1"/>
      <c r="O1348" s="1" t="str">
        <f ca="1">IFERROR(__xludf.DUMMYFUNCTION("""COMPUTED_VALUE"""),"Manager who sets goal and helps me achieve it")</f>
        <v>Manager who sets goal and helps me achieve it</v>
      </c>
      <c r="P1348" s="1" t="str">
        <f ca="1">IFERROR(__xludf.DUMMYFUNCTION("""COMPUTED_VALUE"""),"Work &gt;10 people in Team")</f>
        <v>Work &gt;10 people in Team</v>
      </c>
      <c r="Q1348" s="1" t="s">
        <v>43</v>
      </c>
      <c r="R1348" s="1"/>
    </row>
    <row r="1349" spans="1:18" x14ac:dyDescent="0.25">
      <c r="A1349" s="2">
        <f ca="1">IFERROR(__xludf.DUMMYFUNCTION("""COMPUTED_VALUE"""),45044.7432067129)</f>
        <v>45044.743206712898</v>
      </c>
      <c r="B1349" s="1" t="str">
        <f ca="1">IFERROR(__xludf.DUMMYFUNCTION("""COMPUTED_VALUE"""),"India")</f>
        <v>India</v>
      </c>
      <c r="C1349" s="1">
        <f ca="1">IFERROR(__xludf.DUMMYFUNCTION("""COMPUTED_VALUE"""),765002)</f>
        <v>765002</v>
      </c>
      <c r="D1349" s="1" t="str">
        <f ca="1">IFERROR(__xludf.DUMMYFUNCTION("""COMPUTED_VALUE"""),"Male")</f>
        <v>Male</v>
      </c>
      <c r="E1349" s="1" t="str">
        <f ca="1">IFERROR(__xludf.DUMMYFUNCTION("""COMPUTED_VALUE"""),"People who have changed the world for better")</f>
        <v>People who have changed the world for better</v>
      </c>
      <c r="F1349" s="1" t="str">
        <f ca="1">IFERROR(__xludf.DUMMYFUNCTION("""COMPUTED_VALUE"""),"No I would not be pursuing Higher Education outside of India")</f>
        <v>No I would not be pursuing Higher Education outside of India</v>
      </c>
      <c r="G1349" s="1" t="str">
        <f ca="1">IFERROR(__xludf.DUMMYFUNCTION("""COMPUTED_VALUE"""),"This will be hard to do, but if it is the right company I would try")</f>
        <v>This will be hard to do, but if it is the right company I would try</v>
      </c>
      <c r="H1349" s="1" t="str">
        <f ca="1">IFERROR(__xludf.DUMMYFUNCTION("""COMPUTED_VALUE"""),"No")</f>
        <v>No</v>
      </c>
      <c r="I1349" s="1" t="str">
        <f ca="1">IFERROR(__xludf.DUMMYFUNCTION("""COMPUTED_VALUE"""),"Will NOT work for them")</f>
        <v>Will NOT work for them</v>
      </c>
      <c r="J1349" s="1">
        <f ca="1">IFERROR(__xludf.DUMMYFUNCTION("""COMPUTED_VALUE"""),4)</f>
        <v>4</v>
      </c>
      <c r="K1349" s="1" t="str">
        <f ca="1">IFERROR(__xludf.DUMMYFUNCTION("""COMPUTED_VALUE"""),"Hybrid Working Environment with more than 15 days a month at office")</f>
        <v>Hybrid Working Environment with more than 15 days a month at office</v>
      </c>
      <c r="L1349" s="1" t="str">
        <f ca="1">IFERROR(__xludf.DUMMYFUNCTION("""COMPUTED_VALUE"""),"Employer who pushes your limits by enabling an learning environment, and rewards you at the end")</f>
        <v>Employer who pushes your limits by enabling an learning environment, and rewards you at the end</v>
      </c>
      <c r="M1349"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349" s="1"/>
      <c r="O1349" s="1" t="str">
        <f ca="1">IFERROR(__xludf.DUMMYFUNCTION("""COMPUTED_VALUE"""),"Manager who explains what is expected, sets a goal and helps achieve it")</f>
        <v>Manager who explains what is expected, sets a goal and helps achieve it</v>
      </c>
      <c r="P1349" s="1" t="str">
        <f ca="1">IFERROR(__xludf.DUMMYFUNCTION("""COMPUTED_VALUE"""),"Work &lt;=6 People in the Team")</f>
        <v>Work &lt;=6 People in the Team</v>
      </c>
      <c r="Q1349" s="1" t="s">
        <v>43</v>
      </c>
      <c r="R1349" s="1"/>
    </row>
    <row r="1350" spans="1:18" x14ac:dyDescent="0.25">
      <c r="A1350" s="2">
        <f ca="1">IFERROR(__xludf.DUMMYFUNCTION("""COMPUTED_VALUE"""),45044.7446685069)</f>
        <v>45044.744668506901</v>
      </c>
      <c r="B1350" s="1" t="str">
        <f ca="1">IFERROR(__xludf.DUMMYFUNCTION("""COMPUTED_VALUE"""),"India")</f>
        <v>India</v>
      </c>
      <c r="C1350" s="1">
        <f ca="1">IFERROR(__xludf.DUMMYFUNCTION("""COMPUTED_VALUE"""),505209)</f>
        <v>505209</v>
      </c>
      <c r="D1350" s="1" t="str">
        <f ca="1">IFERROR(__xludf.DUMMYFUNCTION("""COMPUTED_VALUE"""),"Female")</f>
        <v>Female</v>
      </c>
      <c r="E1350" s="1" t="str">
        <f ca="1">IFERROR(__xludf.DUMMYFUNCTION("""COMPUTED_VALUE"""),"People who have changed the world for better")</f>
        <v>People who have changed the world for better</v>
      </c>
      <c r="F1350" s="1" t="str">
        <f ca="1">IFERROR(__xludf.DUMMYFUNCTION("""COMPUTED_VALUE"""),"Yes, I will earn and do that")</f>
        <v>Yes, I will earn and do that</v>
      </c>
      <c r="G1350" s="1" t="str">
        <f ca="1">IFERROR(__xludf.DUMMYFUNCTION("""COMPUTED_VALUE"""),"This will be hard to do, but if it is the right company I would try")</f>
        <v>This will be hard to do, but if it is the right company I would try</v>
      </c>
      <c r="H1350" s="1" t="str">
        <f ca="1">IFERROR(__xludf.DUMMYFUNCTION("""COMPUTED_VALUE"""),"No")</f>
        <v>No</v>
      </c>
      <c r="I1350" s="1" t="str">
        <f ca="1">IFERROR(__xludf.DUMMYFUNCTION("""COMPUTED_VALUE"""),"Will work for them")</f>
        <v>Will work for them</v>
      </c>
      <c r="J1350" s="1">
        <f ca="1">IFERROR(__xludf.DUMMYFUNCTION("""COMPUTED_VALUE"""),5)</f>
        <v>5</v>
      </c>
      <c r="K1350" s="1" t="str">
        <f ca="1">IFERROR(__xludf.DUMMYFUNCTION("""COMPUTED_VALUE"""),"Fully Remote with Options to travel as and when needed")</f>
        <v>Fully Remote with Options to travel as and when needed</v>
      </c>
      <c r="L1350" s="1" t="str">
        <f ca="1">IFERROR(__xludf.DUMMYFUNCTION("""COMPUTED_VALUE"""),"Employer who pushes your limits by enabling an learning environment, and rewards you at the end")</f>
        <v>Employer who pushes your limits by enabling an learning environment, and rewards you at the end</v>
      </c>
      <c r="M13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N1350" s="1"/>
      <c r="O1350" s="1" t="str">
        <f ca="1">IFERROR(__xludf.DUMMYFUNCTION("""COMPUTED_VALUE"""),"Manager who explains what is expected, sets a goal and helps achieve it")</f>
        <v>Manager who explains what is expected, sets a goal and helps achieve it</v>
      </c>
      <c r="P1350" s="1" t="str">
        <f ca="1">IFERROR(__xludf.DUMMYFUNCTION("""COMPUTED_VALUE"""),"Work &lt;=6 People in the Team")</f>
        <v>Work &lt;=6 People in the Team</v>
      </c>
      <c r="Q1350" s="1" t="s">
        <v>43</v>
      </c>
      <c r="R1350" s="1"/>
    </row>
    <row r="1351" spans="1:18" x14ac:dyDescent="0.25">
      <c r="A1351" s="2">
        <f ca="1">IFERROR(__xludf.DUMMYFUNCTION("""COMPUTED_VALUE"""),45044.7457611921)</f>
        <v>45044.745761192098</v>
      </c>
      <c r="B1351" s="1" t="str">
        <f ca="1">IFERROR(__xludf.DUMMYFUNCTION("""COMPUTED_VALUE"""),"India")</f>
        <v>India</v>
      </c>
      <c r="C1351" s="1">
        <f ca="1">IFERROR(__xludf.DUMMYFUNCTION("""COMPUTED_VALUE"""),560107)</f>
        <v>560107</v>
      </c>
      <c r="D1351" s="1" t="str">
        <f ca="1">IFERROR(__xludf.DUMMYFUNCTION("""COMPUTED_VALUE"""),"Male")</f>
        <v>Male</v>
      </c>
      <c r="E1351" s="1" t="str">
        <f ca="1">IFERROR(__xludf.DUMMYFUNCTION("""COMPUTED_VALUE"""),"People from my circle, but not family members")</f>
        <v>People from my circle, but not family members</v>
      </c>
      <c r="F1351" s="1" t="str">
        <f ca="1">IFERROR(__xludf.DUMMYFUNCTION("""COMPUTED_VALUE"""),"Yes, I will earn and do that")</f>
        <v>Yes, I will earn and do that</v>
      </c>
      <c r="G1351" s="1" t="str">
        <f ca="1">IFERROR(__xludf.DUMMYFUNCTION("""COMPUTED_VALUE"""),"This will be hard to do, but if it is the right company I would try")</f>
        <v>This will be hard to do, but if it is the right company I would try</v>
      </c>
      <c r="H1351" s="1" t="str">
        <f ca="1">IFERROR(__xludf.DUMMYFUNCTION("""COMPUTED_VALUE"""),"No")</f>
        <v>No</v>
      </c>
      <c r="I1351" s="1" t="str">
        <f ca="1">IFERROR(__xludf.DUMMYFUNCTION("""COMPUTED_VALUE"""),"Will NOT work for them")</f>
        <v>Will NOT work for them</v>
      </c>
      <c r="J1351" s="1">
        <f ca="1">IFERROR(__xludf.DUMMYFUNCTION("""COMPUTED_VALUE"""),2)</f>
        <v>2</v>
      </c>
      <c r="K1351" s="1" t="str">
        <f ca="1">IFERROR(__xludf.DUMMYFUNCTION("""COMPUTED_VALUE"""),"Hybrid Working Environment with more than 15 days a month at office")</f>
        <v>Hybrid Working Environment with more than 15 days a month at office</v>
      </c>
      <c r="L1351" s="1" t="str">
        <f ca="1">IFERROR(__xludf.DUMMYFUNCTION("""COMPUTED_VALUE"""),"Employer who pushes your limits by enabling an learning environment, and rewards you at the end")</f>
        <v>Employer who pushes your limits by enabling an learning environment, and rewards you at the end</v>
      </c>
      <c r="M1351"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1351" s="1"/>
      <c r="O1351" s="1" t="str">
        <f ca="1">IFERROR(__xludf.DUMMYFUNCTION("""COMPUTED_VALUE"""),"Manager who explains what is expected, sets a goal and helps achieve it")</f>
        <v>Manager who explains what is expected, sets a goal and helps achieve it</v>
      </c>
      <c r="P1351" s="1" t="str">
        <f ca="1">IFERROR(__xludf.DUMMYFUNCTION("""COMPUTED_VALUE"""),"Work &lt;=6 People in the Team")</f>
        <v>Work &lt;=6 People in the Team</v>
      </c>
      <c r="Q1351" s="1" t="s">
        <v>43</v>
      </c>
      <c r="R1351" s="1"/>
    </row>
    <row r="1352" spans="1:18" x14ac:dyDescent="0.25">
      <c r="A1352" s="2">
        <f ca="1">IFERROR(__xludf.DUMMYFUNCTION("""COMPUTED_VALUE"""),45044.7458025925)</f>
        <v>45044.745802592501</v>
      </c>
      <c r="B1352" s="1" t="str">
        <f ca="1">IFERROR(__xludf.DUMMYFUNCTION("""COMPUTED_VALUE"""),"India")</f>
        <v>India</v>
      </c>
      <c r="C1352" s="1">
        <f ca="1">IFERROR(__xludf.DUMMYFUNCTION("""COMPUTED_VALUE"""),505122)</f>
        <v>505122</v>
      </c>
      <c r="D1352" s="1" t="str">
        <f ca="1">IFERROR(__xludf.DUMMYFUNCTION("""COMPUTED_VALUE"""),"Male")</f>
        <v>Male</v>
      </c>
      <c r="E1352" s="1" t="str">
        <f ca="1">IFERROR(__xludf.DUMMYFUNCTION("""COMPUTED_VALUE"""),"People who have changed the world for better")</f>
        <v>People who have changed the world for better</v>
      </c>
      <c r="F1352" s="1" t="str">
        <f ca="1">IFERROR(__xludf.DUMMYFUNCTION("""COMPUTED_VALUE"""),"No I would not be pursuing Higher Education outside of India")</f>
        <v>No I would not be pursuing Higher Education outside of India</v>
      </c>
      <c r="G1352" s="1" t="str">
        <f ca="1">IFERROR(__xludf.DUMMYFUNCTION("""COMPUTED_VALUE"""),"Will work for 3 years or more")</f>
        <v>Will work for 3 years or more</v>
      </c>
      <c r="H1352" s="1" t="str">
        <f ca="1">IFERROR(__xludf.DUMMYFUNCTION("""COMPUTED_VALUE"""),"No")</f>
        <v>No</v>
      </c>
      <c r="I1352" s="1" t="str">
        <f ca="1">IFERROR(__xludf.DUMMYFUNCTION("""COMPUTED_VALUE"""),"Will NOT work for them")</f>
        <v>Will NOT work for them</v>
      </c>
      <c r="J1352" s="1">
        <f ca="1">IFERROR(__xludf.DUMMYFUNCTION("""COMPUTED_VALUE"""),5)</f>
        <v>5</v>
      </c>
      <c r="K1352" s="1" t="str">
        <f ca="1">IFERROR(__xludf.DUMMYFUNCTION("""COMPUTED_VALUE"""),"Fully Remote with Options to travel as and when needed")</f>
        <v>Fully Remote with Options to travel as and when needed</v>
      </c>
      <c r="L1352" s="1" t="str">
        <f ca="1">IFERROR(__xludf.DUMMYFUNCTION("""COMPUTED_VALUE"""),"Employer who pushes your limits by enabling an learning environment, and rewards you at the end")</f>
        <v>Employer who pushes your limits by enabling an learning environment, and rewards you at the end</v>
      </c>
      <c r="M1352"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N1352" s="1"/>
      <c r="O1352" s="1" t="str">
        <f ca="1">IFERROR(__xludf.DUMMYFUNCTION("""COMPUTED_VALUE"""),"Manager who explains what is expected, sets a goal and helps achieve it")</f>
        <v>Manager who explains what is expected, sets a goal and helps achieve it</v>
      </c>
      <c r="P1352" s="1" t="str">
        <f ca="1">IFERROR(__xludf.DUMMYFUNCTION("""COMPUTED_VALUE"""),"Work &lt;=6 People in the Team")</f>
        <v>Work &lt;=6 People in the Team</v>
      </c>
      <c r="Q1352" s="1" t="s">
        <v>43</v>
      </c>
      <c r="R1352" s="1"/>
    </row>
    <row r="1353" spans="1:18" x14ac:dyDescent="0.25">
      <c r="A1353" s="2">
        <f ca="1">IFERROR(__xludf.DUMMYFUNCTION("""COMPUTED_VALUE"""),45044.7481342129)</f>
        <v>45044.748134212903</v>
      </c>
      <c r="B1353" s="1" t="str">
        <f ca="1">IFERROR(__xludf.DUMMYFUNCTION("""COMPUTED_VALUE"""),"India")</f>
        <v>India</v>
      </c>
      <c r="C1353" s="1">
        <f ca="1">IFERROR(__xludf.DUMMYFUNCTION("""COMPUTED_VALUE"""),763002)</f>
        <v>763002</v>
      </c>
      <c r="D1353" s="1" t="str">
        <f ca="1">IFERROR(__xludf.DUMMYFUNCTION("""COMPUTED_VALUE"""),"Female")</f>
        <v>Female</v>
      </c>
      <c r="E1353" s="1" t="str">
        <f ca="1">IFERROR(__xludf.DUMMYFUNCTION("""COMPUTED_VALUE"""),"My Parents")</f>
        <v>My Parents</v>
      </c>
      <c r="F1353" s="1" t="str">
        <f ca="1">IFERROR(__xludf.DUMMYFUNCTION("""COMPUTED_VALUE"""),"Yes, I will earn and do that")</f>
        <v>Yes, I will earn and do that</v>
      </c>
      <c r="G1353" s="1" t="str">
        <f ca="1">IFERROR(__xludf.DUMMYFUNCTION("""COMPUTED_VALUE"""),"Will work for 3 years or more")</f>
        <v>Will work for 3 years or more</v>
      </c>
      <c r="H1353" s="1" t="str">
        <f ca="1">IFERROR(__xludf.DUMMYFUNCTION("""COMPUTED_VALUE"""),"No")</f>
        <v>No</v>
      </c>
      <c r="I1353" s="1" t="str">
        <f ca="1">IFERROR(__xludf.DUMMYFUNCTION("""COMPUTED_VALUE"""),"Will NOT work for them")</f>
        <v>Will NOT work for them</v>
      </c>
      <c r="J1353" s="1">
        <f ca="1">IFERROR(__xludf.DUMMYFUNCTION("""COMPUTED_VALUE"""),7)</f>
        <v>7</v>
      </c>
      <c r="K1353" s="1" t="str">
        <f ca="1">IFERROR(__xludf.DUMMYFUNCTION("""COMPUTED_VALUE"""),"Fully Remote with No option to visit offices")</f>
        <v>Fully Remote with No option to visit offices</v>
      </c>
      <c r="L1353" s="1" t="str">
        <f ca="1">IFERROR(__xludf.DUMMYFUNCTION("""COMPUTED_VALUE"""),"Employer who appreciates learning and enables that environment")</f>
        <v>Employer who appreciates learning and enables that environment</v>
      </c>
      <c r="M1353"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N1353" s="1"/>
      <c r="O1353" s="1" t="str">
        <f ca="1">IFERROR(__xludf.DUMMYFUNCTION("""COMPUTED_VALUE"""),"Manager who sets targets and expects me to achieve it")</f>
        <v>Manager who sets targets and expects me to achieve it</v>
      </c>
      <c r="P1353" s="1" t="str">
        <f ca="1">IFERROR(__xludf.DUMMYFUNCTION("""COMPUTED_VALUE"""),"Work &lt;=6 People in the Team")</f>
        <v>Work &lt;=6 People in the Team</v>
      </c>
      <c r="Q1353" s="1" t="s">
        <v>43</v>
      </c>
      <c r="R1353" s="1"/>
    </row>
    <row r="1354" spans="1:18" x14ac:dyDescent="0.25">
      <c r="A1354" s="2">
        <f ca="1">IFERROR(__xludf.DUMMYFUNCTION("""COMPUTED_VALUE"""),45044.7494698611)</f>
        <v>45044.749469861097</v>
      </c>
      <c r="B1354" s="1" t="str">
        <f ca="1">IFERROR(__xludf.DUMMYFUNCTION("""COMPUTED_VALUE"""),"India")</f>
        <v>India</v>
      </c>
      <c r="C1354" s="1">
        <f ca="1">IFERROR(__xludf.DUMMYFUNCTION("""COMPUTED_VALUE"""),500072)</f>
        <v>500072</v>
      </c>
      <c r="D1354" s="1" t="str">
        <f ca="1">IFERROR(__xludf.DUMMYFUNCTION("""COMPUTED_VALUE"""),"Female")</f>
        <v>Female</v>
      </c>
      <c r="E1354" s="1" t="str">
        <f ca="1">IFERROR(__xludf.DUMMYFUNCTION("""COMPUTED_VALUE"""),"My Parents")</f>
        <v>My Parents</v>
      </c>
      <c r="F1354" s="1" t="str">
        <f ca="1">IFERROR(__xludf.DUMMYFUNCTION("""COMPUTED_VALUE"""),"No I would not be pursuing Higher Education outside of India")</f>
        <v>No I would not be pursuing Higher Education outside of India</v>
      </c>
      <c r="G1354" s="1" t="str">
        <f ca="1">IFERROR(__xludf.DUMMYFUNCTION("""COMPUTED_VALUE"""),"Will work for 3 years or more")</f>
        <v>Will work for 3 years or more</v>
      </c>
      <c r="H1354" s="1" t="str">
        <f ca="1">IFERROR(__xludf.DUMMYFUNCTION("""COMPUTED_VALUE"""),"No")</f>
        <v>No</v>
      </c>
      <c r="I1354" s="1" t="str">
        <f ca="1">IFERROR(__xludf.DUMMYFUNCTION("""COMPUTED_VALUE"""),"Will NOT work for them")</f>
        <v>Will NOT work for them</v>
      </c>
      <c r="J1354" s="1">
        <f ca="1">IFERROR(__xludf.DUMMYFUNCTION("""COMPUTED_VALUE"""),1)</f>
        <v>1</v>
      </c>
      <c r="K1354" s="1" t="str">
        <f ca="1">IFERROR(__xludf.DUMMYFUNCTION("""COMPUTED_VALUE"""),"Fully Remote with No option to visit offices")</f>
        <v>Fully Remote with No option to visit offices</v>
      </c>
      <c r="L1354" s="1" t="str">
        <f ca="1">IFERROR(__xludf.DUMMYFUNCTION("""COMPUTED_VALUE"""),"Employer who appreciates learning and enables that environment")</f>
        <v>Employer who appreciates learning and enables that environment</v>
      </c>
      <c r="M135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N1354" s="1"/>
      <c r="O1354" s="1" t="str">
        <f ca="1">IFERROR(__xludf.DUMMYFUNCTION("""COMPUTED_VALUE"""),"Manager who clearly describes what she/he needs")</f>
        <v>Manager who clearly describes what she/he needs</v>
      </c>
      <c r="P1354" s="1" t="str">
        <f ca="1">IFERROR(__xludf.DUMMYFUNCTION("""COMPUTED_VALUE"""),"Work &lt;=6 People in the Team")</f>
        <v>Work &lt;=6 People in the Team</v>
      </c>
      <c r="Q1354" s="1" t="s">
        <v>40</v>
      </c>
      <c r="R1354" s="1"/>
    </row>
    <row r="1355" spans="1:18" x14ac:dyDescent="0.25">
      <c r="A1355" s="2">
        <f ca="1">IFERROR(__xludf.DUMMYFUNCTION("""COMPUTED_VALUE"""),45044.7495181481)</f>
        <v>45044.749518148099</v>
      </c>
      <c r="B1355" s="1" t="str">
        <f ca="1">IFERROR(__xludf.DUMMYFUNCTION("""COMPUTED_VALUE"""),"India")</f>
        <v>India</v>
      </c>
      <c r="C1355" s="1">
        <f ca="1">IFERROR(__xludf.DUMMYFUNCTION("""COMPUTED_VALUE"""),505208)</f>
        <v>505208</v>
      </c>
      <c r="D1355" s="1" t="str">
        <f ca="1">IFERROR(__xludf.DUMMYFUNCTION("""COMPUTED_VALUE"""),"Female")</f>
        <v>Female</v>
      </c>
      <c r="E1355" s="1" t="str">
        <f ca="1">IFERROR(__xludf.DUMMYFUNCTION("""COMPUTED_VALUE"""),"My Parents")</f>
        <v>My Parents</v>
      </c>
      <c r="F1355" s="1" t="str">
        <f ca="1">IFERROR(__xludf.DUMMYFUNCTION("""COMPUTED_VALUE"""),"Yes, I will earn and do that")</f>
        <v>Yes, I will earn and do that</v>
      </c>
      <c r="G1355" s="1" t="str">
        <f ca="1">IFERROR(__xludf.DUMMYFUNCTION("""COMPUTED_VALUE"""),"This will be hard to do, but if it is the right company I would try")</f>
        <v>This will be hard to do, but if it is the right company I would try</v>
      </c>
      <c r="H1355" s="1" t="str">
        <f ca="1">IFERROR(__xludf.DUMMYFUNCTION("""COMPUTED_VALUE"""),"No")</f>
        <v>No</v>
      </c>
      <c r="I1355" s="1" t="str">
        <f ca="1">IFERROR(__xludf.DUMMYFUNCTION("""COMPUTED_VALUE"""),"Will NOT work for them")</f>
        <v>Will NOT work for them</v>
      </c>
      <c r="J1355" s="1">
        <f ca="1">IFERROR(__xludf.DUMMYFUNCTION("""COMPUTED_VALUE"""),1)</f>
        <v>1</v>
      </c>
      <c r="K1355" s="1" t="str">
        <f ca="1">IFERROR(__xludf.DUMMYFUNCTION("""COMPUTED_VALUE"""),"Fully Remote with Options to travel as and when needed")</f>
        <v>Fully Remote with Options to travel as and when needed</v>
      </c>
      <c r="L1355" s="1" t="str">
        <f ca="1">IFERROR(__xludf.DUMMYFUNCTION("""COMPUTED_VALUE"""),"Employer who appreciates learning and enables that environment")</f>
        <v>Employer who appreciates learning and enables that environment</v>
      </c>
      <c r="M135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355" s="1"/>
      <c r="O1355" s="1" t="str">
        <f ca="1">IFERROR(__xludf.DUMMYFUNCTION("""COMPUTED_VALUE"""),"Manager who sets targets and expects me to achieve it")</f>
        <v>Manager who sets targets and expects me to achieve it</v>
      </c>
      <c r="P1355" s="1" t="str">
        <f ca="1">IFERROR(__xludf.DUMMYFUNCTION("""COMPUTED_VALUE"""),"Work &lt;=6 People in the Team")</f>
        <v>Work &lt;=6 People in the Team</v>
      </c>
      <c r="Q1355" s="1" t="s">
        <v>43</v>
      </c>
      <c r="R1355" s="1"/>
    </row>
    <row r="1356" spans="1:18" x14ac:dyDescent="0.25">
      <c r="A1356" s="2">
        <f ca="1">IFERROR(__xludf.DUMMYFUNCTION("""COMPUTED_VALUE"""),45044.7497099421)</f>
        <v>45044.749709942102</v>
      </c>
      <c r="B1356" s="1" t="str">
        <f ca="1">IFERROR(__xludf.DUMMYFUNCTION("""COMPUTED_VALUE"""),"India")</f>
        <v>India</v>
      </c>
      <c r="C1356" s="1">
        <f ca="1">IFERROR(__xludf.DUMMYFUNCTION("""COMPUTED_VALUE"""),560068)</f>
        <v>560068</v>
      </c>
      <c r="D1356" s="1" t="str">
        <f ca="1">IFERROR(__xludf.DUMMYFUNCTION("""COMPUTED_VALUE"""),"Female")</f>
        <v>Female</v>
      </c>
      <c r="E1356" s="1" t="str">
        <f ca="1">IFERROR(__xludf.DUMMYFUNCTION("""COMPUTED_VALUE"""),"People from my circle, but not family members")</f>
        <v>People from my circle, but not family members</v>
      </c>
      <c r="F1356" s="1" t="str">
        <f ca="1">IFERROR(__xludf.DUMMYFUNCTION("""COMPUTED_VALUE"""),"Yes, I will earn and do that")</f>
        <v>Yes, I will earn and do that</v>
      </c>
      <c r="G1356" s="1" t="str">
        <f ca="1">IFERROR(__xludf.DUMMYFUNCTION("""COMPUTED_VALUE"""),"Will work for 3 years or more")</f>
        <v>Will work for 3 years or more</v>
      </c>
      <c r="H1356" s="1" t="str">
        <f ca="1">IFERROR(__xludf.DUMMYFUNCTION("""COMPUTED_VALUE"""),"No")</f>
        <v>No</v>
      </c>
      <c r="I1356" s="1" t="str">
        <f ca="1">IFERROR(__xludf.DUMMYFUNCTION("""COMPUTED_VALUE"""),"Will NOT work for them")</f>
        <v>Will NOT work for them</v>
      </c>
      <c r="J1356" s="1">
        <f ca="1">IFERROR(__xludf.DUMMYFUNCTION("""COMPUTED_VALUE"""),8)</f>
        <v>8</v>
      </c>
      <c r="K1356" s="1" t="str">
        <f ca="1">IFERROR(__xludf.DUMMYFUNCTION("""COMPUTED_VALUE"""),"Hybrid Working Environment with more than 15 days a month at office")</f>
        <v>Hybrid Working Environment with more than 15 days a month at office</v>
      </c>
      <c r="L1356" s="1" t="str">
        <f ca="1">IFERROR(__xludf.DUMMYFUNCTION("""COMPUTED_VALUE"""),"Employer who pushes your limits by enabling an learning environment, and rewards you at the end")</f>
        <v>Employer who pushes your limits by enabling an learning environment, and rewards you at the end</v>
      </c>
      <c r="M135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356" s="1"/>
      <c r="O1356" s="1" t="str">
        <f ca="1">IFERROR(__xludf.DUMMYFUNCTION("""COMPUTED_VALUE"""),"Manager who explains what is expected, sets a goal and helps achieve it")</f>
        <v>Manager who explains what is expected, sets a goal and helps achieve it</v>
      </c>
      <c r="P1356" s="1" t="str">
        <f ca="1">IFERROR(__xludf.DUMMYFUNCTION("""COMPUTED_VALUE"""),"Work &lt;=6 People in the Team")</f>
        <v>Work &lt;=6 People in the Team</v>
      </c>
      <c r="Q1356" s="1" t="s">
        <v>43</v>
      </c>
      <c r="R1356" s="1"/>
    </row>
    <row r="1357" spans="1:18" x14ac:dyDescent="0.25">
      <c r="A1357" s="2">
        <f ca="1">IFERROR(__xludf.DUMMYFUNCTION("""COMPUTED_VALUE"""),45044.7497099421)</f>
        <v>45044.749709942102</v>
      </c>
      <c r="B1357" s="1" t="str">
        <f ca="1">IFERROR(__xludf.DUMMYFUNCTION("""COMPUTED_VALUE"""),"India")</f>
        <v>India</v>
      </c>
      <c r="C1357" s="1">
        <f ca="1">IFERROR(__xludf.DUMMYFUNCTION("""COMPUTED_VALUE"""),600054)</f>
        <v>600054</v>
      </c>
      <c r="D1357" s="1" t="str">
        <f ca="1">IFERROR(__xludf.DUMMYFUNCTION("""COMPUTED_VALUE"""),"Female")</f>
        <v>Female</v>
      </c>
      <c r="E1357" s="1" t="str">
        <f ca="1">IFERROR(__xludf.DUMMYFUNCTION("""COMPUTED_VALUE"""),"Influencers who had successful careers")</f>
        <v>Influencers who had successful careers</v>
      </c>
      <c r="F1357" s="1" t="str">
        <f ca="1">IFERROR(__xludf.DUMMYFUNCTION("""COMPUTED_VALUE"""),"No, But if someone could bare the cost I will")</f>
        <v>No, But if someone could bare the cost I will</v>
      </c>
      <c r="G1357" s="1" t="str">
        <f ca="1">IFERROR(__xludf.DUMMYFUNCTION("""COMPUTED_VALUE"""),"This will be hard to do, but if it is the right company I would try")</f>
        <v>This will be hard to do, but if it is the right company I would try</v>
      </c>
      <c r="H1357" s="1" t="str">
        <f ca="1">IFERROR(__xludf.DUMMYFUNCTION("""COMPUTED_VALUE"""),"No")</f>
        <v>No</v>
      </c>
      <c r="I1357" s="1" t="str">
        <f ca="1">IFERROR(__xludf.DUMMYFUNCTION("""COMPUTED_VALUE"""),"Will work for them")</f>
        <v>Will work for them</v>
      </c>
      <c r="J1357" s="1">
        <f ca="1">IFERROR(__xludf.DUMMYFUNCTION("""COMPUTED_VALUE"""),6)</f>
        <v>6</v>
      </c>
      <c r="K1357" s="1" t="str">
        <f ca="1">IFERROR(__xludf.DUMMYFUNCTION("""COMPUTED_VALUE"""),"Hybrid Working Environment with more than 15 days a month at office")</f>
        <v>Hybrid Working Environment with more than 15 days a month at office</v>
      </c>
      <c r="L1357" s="1" t="str">
        <f ca="1">IFERROR(__xludf.DUMMYFUNCTION("""COMPUTED_VALUE"""),"Employer who pushes your limits by enabling an learning environment, and rewards you at the end")</f>
        <v>Employer who pushes your limits by enabling an learning environment, and rewards you at the end</v>
      </c>
      <c r="M1357"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N1357" s="1"/>
      <c r="O1357" s="1" t="str">
        <f ca="1">IFERROR(__xludf.DUMMYFUNCTION("""COMPUTED_VALUE"""),"Manager who explains what is expected, sets a goal and helps achieve it")</f>
        <v>Manager who explains what is expected, sets a goal and helps achieve it</v>
      </c>
      <c r="P1357" s="1" t="str">
        <f ca="1">IFERROR(__xludf.DUMMYFUNCTION("""COMPUTED_VALUE"""),"Work &lt;=6 People in the Team")</f>
        <v>Work &lt;=6 People in the Team</v>
      </c>
      <c r="Q1357" s="1" t="s">
        <v>43</v>
      </c>
      <c r="R1357" s="1"/>
    </row>
    <row r="1358" spans="1:18" x14ac:dyDescent="0.25">
      <c r="A1358" s="2">
        <f ca="1">IFERROR(__xludf.DUMMYFUNCTION("""COMPUTED_VALUE"""),45044.7506181944)</f>
        <v>45044.750618194397</v>
      </c>
      <c r="B1358" s="1" t="str">
        <f ca="1">IFERROR(__xludf.DUMMYFUNCTION("""COMPUTED_VALUE"""),"India")</f>
        <v>India</v>
      </c>
      <c r="C1358" s="1">
        <f ca="1">IFERROR(__xludf.DUMMYFUNCTION("""COMPUTED_VALUE"""),560107)</f>
        <v>560107</v>
      </c>
      <c r="D1358" s="1" t="str">
        <f ca="1">IFERROR(__xludf.DUMMYFUNCTION("""COMPUTED_VALUE"""),"Male")</f>
        <v>Male</v>
      </c>
      <c r="E1358" s="1" t="str">
        <f ca="1">IFERROR(__xludf.DUMMYFUNCTION("""COMPUTED_VALUE"""),"People from my circle, but not family members")</f>
        <v>People from my circle, but not family members</v>
      </c>
      <c r="F1358" s="1" t="str">
        <f ca="1">IFERROR(__xludf.DUMMYFUNCTION("""COMPUTED_VALUE"""),"No, But if someone could bare the cost I will")</f>
        <v>No, But if someone could bare the cost I will</v>
      </c>
      <c r="G1358" s="1" t="str">
        <f ca="1">IFERROR(__xludf.DUMMYFUNCTION("""COMPUTED_VALUE"""),"This will be hard to do, but if it is the right company I would try")</f>
        <v>This will be hard to do, but if it is the right company I would try</v>
      </c>
      <c r="H1358" s="1" t="str">
        <f ca="1">IFERROR(__xludf.DUMMYFUNCTION("""COMPUTED_VALUE"""),"No")</f>
        <v>No</v>
      </c>
      <c r="I1358" s="1" t="str">
        <f ca="1">IFERROR(__xludf.DUMMYFUNCTION("""COMPUTED_VALUE"""),"Will NOT work for them")</f>
        <v>Will NOT work for them</v>
      </c>
      <c r="J1358" s="1">
        <f ca="1">IFERROR(__xludf.DUMMYFUNCTION("""COMPUTED_VALUE"""),5)</f>
        <v>5</v>
      </c>
      <c r="K1358" s="1" t="str">
        <f ca="1">IFERROR(__xludf.DUMMYFUNCTION("""COMPUTED_VALUE"""),"Hybrid Working Environment with more than 15 days a month at office")</f>
        <v>Hybrid Working Environment with more than 15 days a month at office</v>
      </c>
      <c r="L1358" s="1" t="str">
        <f ca="1">IFERROR(__xludf.DUMMYFUNCTION("""COMPUTED_VALUE"""),"Employer who pushes your limits by enabling an learning environment, and rewards you at the end")</f>
        <v>Employer who pushes your limits by enabling an learning environment, and rewards you at the end</v>
      </c>
      <c r="M1358" s="1" t="str">
        <f ca="1">IFERROR(__xludf.DUMMYFUNCTION("""COMPUTED_VALUE"""),"Business Operations in any organization, Build and develop a Team, Work in a BPO setup for some well known client, Manufacturing / Oil and Gas/ Construction / Hard Physical Work related")</f>
        <v>Business Operations in any organization, Build and develop a Team, Work in a BPO setup for some well known client, Manufacturing / Oil and Gas/ Construction / Hard Physical Work related</v>
      </c>
      <c r="N1358" s="1"/>
      <c r="O1358" s="1" t="str">
        <f ca="1">IFERROR(__xludf.DUMMYFUNCTION("""COMPUTED_VALUE"""),"Manager who sets goal and helps me achieve it")</f>
        <v>Manager who sets goal and helps me achieve it</v>
      </c>
      <c r="P1358" s="1" t="str">
        <f ca="1">IFERROR(__xludf.DUMMYFUNCTION("""COMPUTED_VALUE"""),"Work &lt;=6 People in the Team")</f>
        <v>Work &lt;=6 People in the Team</v>
      </c>
      <c r="Q1358" s="1" t="s">
        <v>40</v>
      </c>
      <c r="R1358" s="1"/>
    </row>
    <row r="1359" spans="1:18" x14ac:dyDescent="0.25">
      <c r="A1359" s="2">
        <f ca="1">IFERROR(__xludf.DUMMYFUNCTION("""COMPUTED_VALUE"""),45044.7513010995)</f>
        <v>45044.751301099503</v>
      </c>
      <c r="B1359" s="1" t="str">
        <f ca="1">IFERROR(__xludf.DUMMYFUNCTION("""COMPUTED_VALUE"""),"India")</f>
        <v>India</v>
      </c>
      <c r="C1359" s="1">
        <f ca="1">IFERROR(__xludf.DUMMYFUNCTION("""COMPUTED_VALUE"""),600119)</f>
        <v>600119</v>
      </c>
      <c r="D1359" s="1" t="str">
        <f ca="1">IFERROR(__xludf.DUMMYFUNCTION("""COMPUTED_VALUE"""),"Male")</f>
        <v>Male</v>
      </c>
      <c r="E1359" s="1" t="str">
        <f ca="1">IFERROR(__xludf.DUMMYFUNCTION("""COMPUTED_VALUE"""),"People who have changed the world for better")</f>
        <v>People who have changed the world for better</v>
      </c>
      <c r="F1359" s="1" t="str">
        <f ca="1">IFERROR(__xludf.DUMMYFUNCTION("""COMPUTED_VALUE"""),"Yes, I will earn and do that")</f>
        <v>Yes, I will earn and do that</v>
      </c>
      <c r="G1359" s="1" t="str">
        <f ca="1">IFERROR(__xludf.DUMMYFUNCTION("""COMPUTED_VALUE"""),"Will work for 3 years or more")</f>
        <v>Will work for 3 years or more</v>
      </c>
      <c r="H1359" s="1" t="str">
        <f ca="1">IFERROR(__xludf.DUMMYFUNCTION("""COMPUTED_VALUE"""),"No")</f>
        <v>No</v>
      </c>
      <c r="I1359" s="1" t="str">
        <f ca="1">IFERROR(__xludf.DUMMYFUNCTION("""COMPUTED_VALUE"""),"Will NOT work for them")</f>
        <v>Will NOT work for them</v>
      </c>
      <c r="J1359" s="1">
        <f ca="1">IFERROR(__xludf.DUMMYFUNCTION("""COMPUTED_VALUE"""),10)</f>
        <v>10</v>
      </c>
      <c r="K1359" s="1" t="str">
        <f ca="1">IFERROR(__xludf.DUMMYFUNCTION("""COMPUTED_VALUE"""),"Every Day Office Environment")</f>
        <v>Every Day Office Environment</v>
      </c>
      <c r="L1359" s="1" t="str">
        <f ca="1">IFERROR(__xludf.DUMMYFUNCTION("""COMPUTED_VALUE"""),"Employer who appreciates learning and enables that environment")</f>
        <v>Employer who appreciates learning and enables that environment</v>
      </c>
      <c r="M1359"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359" s="1"/>
      <c r="O1359" s="1" t="str">
        <f ca="1">IFERROR(__xludf.DUMMYFUNCTION("""COMPUTED_VALUE"""),"Manager who explains what is expected, sets a goal and helps achieve it")</f>
        <v>Manager who explains what is expected, sets a goal and helps achieve it</v>
      </c>
      <c r="P1359" s="1" t="str">
        <f ca="1">IFERROR(__xludf.DUMMYFUNCTION("""COMPUTED_VALUE"""),"Work  &lt;67 people in team")</f>
        <v>Work  &lt;67 people in team</v>
      </c>
      <c r="Q1359" s="1" t="s">
        <v>43</v>
      </c>
      <c r="R1359" s="1"/>
    </row>
    <row r="1360" spans="1:18" x14ac:dyDescent="0.25">
      <c r="A1360" s="2">
        <f ca="1">IFERROR(__xludf.DUMMYFUNCTION("""COMPUTED_VALUE"""),45044.7567718634)</f>
        <v>45044.756771863402</v>
      </c>
      <c r="B1360" s="1" t="str">
        <f ca="1">IFERROR(__xludf.DUMMYFUNCTION("""COMPUTED_VALUE"""),"India")</f>
        <v>India</v>
      </c>
      <c r="C1360" s="1">
        <f ca="1">IFERROR(__xludf.DUMMYFUNCTION("""COMPUTED_VALUE"""),700082)</f>
        <v>700082</v>
      </c>
      <c r="D1360" s="1" t="str">
        <f ca="1">IFERROR(__xludf.DUMMYFUNCTION("""COMPUTED_VALUE"""),"Male")</f>
        <v>Male</v>
      </c>
      <c r="E1360" s="1" t="str">
        <f ca="1">IFERROR(__xludf.DUMMYFUNCTION("""COMPUTED_VALUE"""),"People from my circle, but not family members")</f>
        <v>People from my circle, but not family members</v>
      </c>
      <c r="F1360" s="1" t="str">
        <f ca="1">IFERROR(__xludf.DUMMYFUNCTION("""COMPUTED_VALUE"""),"No, But if someone could bare the cost I will")</f>
        <v>No, But if someone could bare the cost I will</v>
      </c>
      <c r="G1360" s="1" t="str">
        <f ca="1">IFERROR(__xludf.DUMMYFUNCTION("""COMPUTED_VALUE"""),"Will work for 3 years or more")</f>
        <v>Will work for 3 years or more</v>
      </c>
      <c r="H1360" s="1" t="str">
        <f ca="1">IFERROR(__xludf.DUMMYFUNCTION("""COMPUTED_VALUE"""),"No")</f>
        <v>No</v>
      </c>
      <c r="I1360" s="1" t="str">
        <f ca="1">IFERROR(__xludf.DUMMYFUNCTION("""COMPUTED_VALUE"""),"Will NOT work for them")</f>
        <v>Will NOT work for them</v>
      </c>
      <c r="J1360" s="1">
        <f ca="1">IFERROR(__xludf.DUMMYFUNCTION("""COMPUTED_VALUE"""),6)</f>
        <v>6</v>
      </c>
      <c r="K1360" s="1" t="str">
        <f ca="1">IFERROR(__xludf.DUMMYFUNCTION("""COMPUTED_VALUE"""),"Hybrid Working Environment with more than 15 days a month at office")</f>
        <v>Hybrid Working Environment with more than 15 days a month at office</v>
      </c>
      <c r="L1360" s="1" t="str">
        <f ca="1">IFERROR(__xludf.DUMMYFUNCTION("""COMPUTED_VALUE"""),"Employer who pushes your limits by enabling an learning environment, and rewards you at the end")</f>
        <v>Employer who pushes your limits by enabling an learning environment, and rewards you at the end</v>
      </c>
      <c r="M136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1360" s="1"/>
      <c r="O1360" s="1" t="str">
        <f ca="1">IFERROR(__xludf.DUMMYFUNCTION("""COMPUTED_VALUE"""),"Manager who sets goal and helps me achieve it")</f>
        <v>Manager who sets goal and helps me achieve it</v>
      </c>
      <c r="P1360" s="1" t="str">
        <f ca="1">IFERROR(__xludf.DUMMYFUNCTION("""COMPUTED_VALUE"""),"Work &lt;=6 People in the Team")</f>
        <v>Work &lt;=6 People in the Team</v>
      </c>
      <c r="Q1360" s="1" t="s">
        <v>43</v>
      </c>
      <c r="R1360" s="1"/>
    </row>
    <row r="1361" spans="1:18" x14ac:dyDescent="0.25">
      <c r="A1361" s="2">
        <f ca="1">IFERROR(__xludf.DUMMYFUNCTION("""COMPUTED_VALUE"""),45044.7724836458)</f>
        <v>45044.7724836458</v>
      </c>
      <c r="B1361" s="1" t="str">
        <f ca="1">IFERROR(__xludf.DUMMYFUNCTION("""COMPUTED_VALUE"""),"India")</f>
        <v>India</v>
      </c>
      <c r="C1361" s="1">
        <f ca="1">IFERROR(__xludf.DUMMYFUNCTION("""COMPUTED_VALUE"""),530004)</f>
        <v>530004</v>
      </c>
      <c r="D1361" s="1" t="str">
        <f ca="1">IFERROR(__xludf.DUMMYFUNCTION("""COMPUTED_VALUE"""),"Female")</f>
        <v>Female</v>
      </c>
      <c r="E1361" s="1" t="str">
        <f ca="1">IFERROR(__xludf.DUMMYFUNCTION("""COMPUTED_VALUE"""),"My Parents")</f>
        <v>My Parents</v>
      </c>
      <c r="F1361" s="1" t="str">
        <f ca="1">IFERROR(__xludf.DUMMYFUNCTION("""COMPUTED_VALUE"""),"No, But if someone could bare the cost I will")</f>
        <v>No, But if someone could bare the cost I will</v>
      </c>
      <c r="G1361" s="1" t="str">
        <f ca="1">IFERROR(__xludf.DUMMYFUNCTION("""COMPUTED_VALUE"""),"This will be hard to do, but if it is the right company I would try")</f>
        <v>This will be hard to do, but if it is the right company I would try</v>
      </c>
      <c r="H1361" s="1" t="str">
        <f ca="1">IFERROR(__xludf.DUMMYFUNCTION("""COMPUTED_VALUE"""),"Yes")</f>
        <v>Yes</v>
      </c>
      <c r="I1361" s="1" t="str">
        <f ca="1">IFERROR(__xludf.DUMMYFUNCTION("""COMPUTED_VALUE"""),"Will work for them")</f>
        <v>Will work for them</v>
      </c>
      <c r="J1361" s="1">
        <f ca="1">IFERROR(__xludf.DUMMYFUNCTION("""COMPUTED_VALUE"""),1)</f>
        <v>1</v>
      </c>
      <c r="K1361" s="1" t="str">
        <f ca="1">IFERROR(__xludf.DUMMYFUNCTION("""COMPUTED_VALUE"""),"Hybrid Working Environment with less than 3 days a month at office")</f>
        <v>Hybrid Working Environment with less than 3 days a month at office</v>
      </c>
      <c r="L1361" s="1" t="str">
        <f ca="1">IFERROR(__xludf.DUMMYFUNCTION("""COMPUTED_VALUE"""),"Employer who pushes your limits by enabling an learning environment, and rewards you at the end")</f>
        <v>Employer who pushes your limits by enabling an learning environment, and rewards you at the end</v>
      </c>
      <c r="M136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N1361" s="1"/>
      <c r="O1361" s="1" t="str">
        <f ca="1">IFERROR(__xludf.DUMMYFUNCTION("""COMPUTED_VALUE"""),"Manager who sets goal and helps me achieve it")</f>
        <v>Manager who sets goal and helps me achieve it</v>
      </c>
      <c r="P1361" s="1" t="str">
        <f ca="1">IFERROR(__xludf.DUMMYFUNCTION("""COMPUTED_VALUE"""),"Work alone")</f>
        <v>Work alone</v>
      </c>
      <c r="Q1361" s="1" t="s">
        <v>43</v>
      </c>
      <c r="R1361" s="1"/>
    </row>
    <row r="1362" spans="1:18" x14ac:dyDescent="0.25">
      <c r="A1362" s="2">
        <f ca="1">IFERROR(__xludf.DUMMYFUNCTION("""COMPUTED_VALUE"""),45044.7733641782)</f>
        <v>45044.773364178203</v>
      </c>
      <c r="B1362" s="1" t="str">
        <f ca="1">IFERROR(__xludf.DUMMYFUNCTION("""COMPUTED_VALUE"""),"India")</f>
        <v>India</v>
      </c>
      <c r="C1362" s="1">
        <f ca="1">IFERROR(__xludf.DUMMYFUNCTION("""COMPUTED_VALUE"""),190015)</f>
        <v>190015</v>
      </c>
      <c r="D1362" s="1" t="str">
        <f ca="1">IFERROR(__xludf.DUMMYFUNCTION("""COMPUTED_VALUE"""),"Female")</f>
        <v>Female</v>
      </c>
      <c r="E1362" s="1" t="str">
        <f ca="1">IFERROR(__xludf.DUMMYFUNCTION("""COMPUTED_VALUE"""),"My Parents")</f>
        <v>My Parents</v>
      </c>
      <c r="F1362" s="1" t="str">
        <f ca="1">IFERROR(__xludf.DUMMYFUNCTION("""COMPUTED_VALUE"""),"Yes, I will earn and do that")</f>
        <v>Yes, I will earn and do that</v>
      </c>
      <c r="G1362" s="1" t="str">
        <f ca="1">IFERROR(__xludf.DUMMYFUNCTION("""COMPUTED_VALUE"""),"No way")</f>
        <v>No way</v>
      </c>
      <c r="H1362" s="1" t="str">
        <f ca="1">IFERROR(__xludf.DUMMYFUNCTION("""COMPUTED_VALUE"""),"No")</f>
        <v>No</v>
      </c>
      <c r="I1362" s="1" t="str">
        <f ca="1">IFERROR(__xludf.DUMMYFUNCTION("""COMPUTED_VALUE"""),"Will NOT work for them")</f>
        <v>Will NOT work for them</v>
      </c>
      <c r="J1362" s="1">
        <f ca="1">IFERROR(__xludf.DUMMYFUNCTION("""COMPUTED_VALUE"""),6)</f>
        <v>6</v>
      </c>
      <c r="K1362" s="1" t="str">
        <f ca="1">IFERROR(__xludf.DUMMYFUNCTION("""COMPUTED_VALUE"""),"Hybrid Working Environment with less than 3 days a month at office")</f>
        <v>Hybrid Working Environment with less than 3 days a month at office</v>
      </c>
      <c r="L1362" s="1" t="str">
        <f ca="1">IFERROR(__xludf.DUMMYFUNCTION("""COMPUTED_VALUE"""),"Employer who rewards learning and enables that environment")</f>
        <v>Employer who rewards learning and enables that environment</v>
      </c>
      <c r="M1362"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1362" s="1"/>
      <c r="O1362" s="1" t="str">
        <f ca="1">IFERROR(__xludf.DUMMYFUNCTION("""COMPUTED_VALUE"""),"Manager who sets goal and helps me achieve it")</f>
        <v>Manager who sets goal and helps me achieve it</v>
      </c>
      <c r="P1362" s="1" t="str">
        <f ca="1">IFERROR(__xludf.DUMMYFUNCTION("""COMPUTED_VALUE"""),"Work &gt;10 people in Team")</f>
        <v>Work &gt;10 people in Team</v>
      </c>
      <c r="Q1362" s="1" t="s">
        <v>43</v>
      </c>
      <c r="R1362" s="1"/>
    </row>
    <row r="1363" spans="1:18" x14ac:dyDescent="0.25">
      <c r="A1363" s="2">
        <f ca="1">IFERROR(__xludf.DUMMYFUNCTION("""COMPUTED_VALUE"""),45044.7804307638)</f>
        <v>45044.7804307638</v>
      </c>
      <c r="B1363" s="1" t="str">
        <f ca="1">IFERROR(__xludf.DUMMYFUNCTION("""COMPUTED_VALUE"""),"India")</f>
        <v>India</v>
      </c>
      <c r="C1363" s="1">
        <f ca="1">IFERROR(__xludf.DUMMYFUNCTION("""COMPUTED_VALUE"""),110062)</f>
        <v>110062</v>
      </c>
      <c r="D1363" s="1" t="str">
        <f ca="1">IFERROR(__xludf.DUMMYFUNCTION("""COMPUTED_VALUE"""),"Male")</f>
        <v>Male</v>
      </c>
      <c r="E1363" s="1" t="str">
        <f ca="1">IFERROR(__xludf.DUMMYFUNCTION("""COMPUTED_VALUE"""),"People who have changed the world for better")</f>
        <v>People who have changed the world for better</v>
      </c>
      <c r="F1363" s="1" t="str">
        <f ca="1">IFERROR(__xludf.DUMMYFUNCTION("""COMPUTED_VALUE"""),"Yes, I will earn and do that")</f>
        <v>Yes, I will earn and do that</v>
      </c>
      <c r="G1363" s="1" t="str">
        <f ca="1">IFERROR(__xludf.DUMMYFUNCTION("""COMPUTED_VALUE"""),"This will be hard to do, but if it is the right company I would try")</f>
        <v>This will be hard to do, but if it is the right company I would try</v>
      </c>
      <c r="H1363" s="1" t="str">
        <f ca="1">IFERROR(__xludf.DUMMYFUNCTION("""COMPUTED_VALUE"""),"Yes")</f>
        <v>Yes</v>
      </c>
      <c r="I1363" s="1" t="str">
        <f ca="1">IFERROR(__xludf.DUMMYFUNCTION("""COMPUTED_VALUE"""),"Will work for them")</f>
        <v>Will work for them</v>
      </c>
      <c r="J1363" s="1">
        <f ca="1">IFERROR(__xludf.DUMMYFUNCTION("""COMPUTED_VALUE"""),10)</f>
        <v>10</v>
      </c>
      <c r="K1363" s="1" t="str">
        <f ca="1">IFERROR(__xludf.DUMMYFUNCTION("""COMPUTED_VALUE"""),"Hybrid Working Environment with more than 15 days a month at office")</f>
        <v>Hybrid Working Environment with more than 15 days a month at office</v>
      </c>
      <c r="L1363" s="1" t="str">
        <f ca="1">IFERROR(__xludf.DUMMYFUNCTION("""COMPUTED_VALUE"""),"Employer who pushes your limits by enabling an learning environment, and rewards you at the end")</f>
        <v>Employer who pushes your limits by enabling an learning environment, and rewards you at the end</v>
      </c>
      <c r="M1363" s="1" t="str">
        <f ca="1">IFERROR(__xludf.DUMMYFUNCTION("""COMPUTED_VALUE"""),"Design and Develop amazing software, Entrepreneur or Start Up, An Artificial Intelligence Specialist / Talking to Robots, Manufacturing / Oil and Gas/ Construction / Hard Physical Work related")</f>
        <v>Design and Develop amazing software, Entrepreneur or Start Up, An Artificial Intelligence Specialist / Talking to Robots, Manufacturing / Oil and Gas/ Construction / Hard Physical Work related</v>
      </c>
      <c r="N1363" s="1"/>
      <c r="O1363" s="1" t="str">
        <f ca="1">IFERROR(__xludf.DUMMYFUNCTION("""COMPUTED_VALUE"""),"Manager who clearly describes what she/he needs")</f>
        <v>Manager who clearly describes what she/he needs</v>
      </c>
      <c r="P1363" s="1" t="str">
        <f ca="1">IFERROR(__xludf.DUMMYFUNCTION("""COMPUTED_VALUE"""),"Work &lt;67 People in the Team")</f>
        <v>Work &lt;67 People in the Team</v>
      </c>
      <c r="Q1363" s="1" t="s">
        <v>43</v>
      </c>
      <c r="R1363" s="1"/>
    </row>
    <row r="1364" spans="1:18" x14ac:dyDescent="0.25">
      <c r="A1364" s="2">
        <f ca="1">IFERROR(__xludf.DUMMYFUNCTION("""COMPUTED_VALUE"""),45044.7870348032)</f>
        <v>45044.787034803201</v>
      </c>
      <c r="B1364" s="1" t="str">
        <f ca="1">IFERROR(__xludf.DUMMYFUNCTION("""COMPUTED_VALUE"""),"India")</f>
        <v>India</v>
      </c>
      <c r="C1364" s="1">
        <f ca="1">IFERROR(__xludf.DUMMYFUNCTION("""COMPUTED_VALUE"""),804453)</f>
        <v>804453</v>
      </c>
      <c r="D1364" s="1" t="str">
        <f ca="1">IFERROR(__xludf.DUMMYFUNCTION("""COMPUTED_VALUE"""),"Male")</f>
        <v>Male</v>
      </c>
      <c r="E1364" s="1" t="str">
        <f ca="1">IFERROR(__xludf.DUMMYFUNCTION("""COMPUTED_VALUE"""),"People who have changed the world for better")</f>
        <v>People who have changed the world for better</v>
      </c>
      <c r="F1364" s="1" t="str">
        <f ca="1">IFERROR(__xludf.DUMMYFUNCTION("""COMPUTED_VALUE"""),"Yes, I will earn and do that")</f>
        <v>Yes, I will earn and do that</v>
      </c>
      <c r="G1364" s="1" t="str">
        <f ca="1">IFERROR(__xludf.DUMMYFUNCTION("""COMPUTED_VALUE"""),"Will work for 3 years or more")</f>
        <v>Will work for 3 years or more</v>
      </c>
      <c r="H1364" s="1" t="str">
        <f ca="1">IFERROR(__xludf.DUMMYFUNCTION("""COMPUTED_VALUE"""),"Yes")</f>
        <v>Yes</v>
      </c>
      <c r="I1364" s="1" t="str">
        <f ca="1">IFERROR(__xludf.DUMMYFUNCTION("""COMPUTED_VALUE"""),"Will work for them")</f>
        <v>Will work for them</v>
      </c>
      <c r="J1364" s="1">
        <f ca="1">IFERROR(__xludf.DUMMYFUNCTION("""COMPUTED_VALUE"""),6)</f>
        <v>6</v>
      </c>
      <c r="K1364" s="1" t="str">
        <f ca="1">IFERROR(__xludf.DUMMYFUNCTION("""COMPUTED_VALUE"""),"Fully Remote with Options to travel as and when needed")</f>
        <v>Fully Remote with Options to travel as and when needed</v>
      </c>
      <c r="L1364" s="1" t="str">
        <f ca="1">IFERROR(__xludf.DUMMYFUNCTION("""COMPUTED_VALUE"""),"Employer who appreciates learning and enables that environment")</f>
        <v>Employer who appreciates learning and enables that environment</v>
      </c>
      <c r="M1364" s="1" t="str">
        <f ca="1">IFERROR(__xludf.DUMMYFUNCTION("""COMPUTED_VALUE"""),"Work as a freelancer and do my thing my way, Become a content Creator in some platform, I Want to sell things/Sales, An Artificial Intelligence Specialist / Talking to Robots")</f>
        <v>Work as a freelancer and do my thing my way, Become a content Creator in some platform, I Want to sell things/Sales, An Artificial Intelligence Specialist / Talking to Robots</v>
      </c>
      <c r="N1364" s="1"/>
      <c r="O1364" s="1" t="str">
        <f ca="1">IFERROR(__xludf.DUMMYFUNCTION("""COMPUTED_VALUE"""),"Manager who clearly describes what she/he needs")</f>
        <v>Manager who clearly describes what she/he needs</v>
      </c>
      <c r="P1364" s="1" t="str">
        <f ca="1">IFERROR(__xludf.DUMMYFUNCTION("""COMPUTED_VALUE"""),"Work &lt;=6 People in the Team")</f>
        <v>Work &lt;=6 People in the Team</v>
      </c>
      <c r="Q1364" s="1" t="s">
        <v>40</v>
      </c>
      <c r="R1364" s="1"/>
    </row>
    <row r="1365" spans="1:18" x14ac:dyDescent="0.25">
      <c r="A1365" s="2">
        <f ca="1">IFERROR(__xludf.DUMMYFUNCTION("""COMPUTED_VALUE"""),45044.7872483912)</f>
        <v>45044.7872483912</v>
      </c>
      <c r="B1365" s="1" t="str">
        <f ca="1">IFERROR(__xludf.DUMMYFUNCTION("""COMPUTED_VALUE"""),"India")</f>
        <v>India</v>
      </c>
      <c r="C1365" s="1">
        <f ca="1">IFERROR(__xludf.DUMMYFUNCTION("""COMPUTED_VALUE"""),560107)</f>
        <v>560107</v>
      </c>
      <c r="D1365" s="1" t="str">
        <f ca="1">IFERROR(__xludf.DUMMYFUNCTION("""COMPUTED_VALUE"""),"Male")</f>
        <v>Male</v>
      </c>
      <c r="E1365" s="1" t="str">
        <f ca="1">IFERROR(__xludf.DUMMYFUNCTION("""COMPUTED_VALUE"""),"My Parents")</f>
        <v>My Parents</v>
      </c>
      <c r="F1365" s="1" t="str">
        <f ca="1">IFERROR(__xludf.DUMMYFUNCTION("""COMPUTED_VALUE"""),"Yes, I will earn and do that")</f>
        <v>Yes, I will earn and do that</v>
      </c>
      <c r="G1365" s="1" t="str">
        <f ca="1">IFERROR(__xludf.DUMMYFUNCTION("""COMPUTED_VALUE"""),"Will work for 3 years or more")</f>
        <v>Will work for 3 years or more</v>
      </c>
      <c r="H1365" s="1" t="str">
        <f ca="1">IFERROR(__xludf.DUMMYFUNCTION("""COMPUTED_VALUE"""),"Yes")</f>
        <v>Yes</v>
      </c>
      <c r="I1365" s="1" t="str">
        <f ca="1">IFERROR(__xludf.DUMMYFUNCTION("""COMPUTED_VALUE"""),"Will work for them")</f>
        <v>Will work for them</v>
      </c>
      <c r="J1365" s="1">
        <f ca="1">IFERROR(__xludf.DUMMYFUNCTION("""COMPUTED_VALUE"""),1)</f>
        <v>1</v>
      </c>
      <c r="K1365" s="1" t="str">
        <f ca="1">IFERROR(__xludf.DUMMYFUNCTION("""COMPUTED_VALUE"""),"Every Day Office Environment")</f>
        <v>Every Day Office Environment</v>
      </c>
      <c r="L1365" s="1" t="str">
        <f ca="1">IFERROR(__xludf.DUMMYFUNCTION("""COMPUTED_VALUE"""),"Employer who appreciates learning and enables that environment")</f>
        <v>Employer who appreciates learning and enables that environment</v>
      </c>
      <c r="M1365" s="1" t="str">
        <f ca="1">IFERROR(__xludf.DUMMYFUNCTION("""COMPUTED_VALUE"""),"Work in a BPO setup for some well known client, I Want to sell things/Sales, An Artificial Intelligence Specialist / Talking to Robots, Manufacturing / Oil and Gas/ Construction / Hard Physical Work related")</f>
        <v>Work in a BPO setup for some well known client, I Want to sell things/Sales, An Artificial Intelligence Specialist / Talking to Robots, Manufacturing / Oil and Gas/ Construction / Hard Physical Work related</v>
      </c>
      <c r="N1365" s="1"/>
      <c r="O1365" s="1" t="str">
        <f ca="1">IFERROR(__xludf.DUMMYFUNCTION("""COMPUTED_VALUE"""),"Manager who clearly describes what she/he needs")</f>
        <v>Manager who clearly describes what she/he needs</v>
      </c>
      <c r="P1365" s="1" t="str">
        <f ca="1">IFERROR(__xludf.DUMMYFUNCTION("""COMPUTED_VALUE"""),"Work alone, Work &gt;10 people in Team")</f>
        <v>Work alone, Work &gt;10 people in Team</v>
      </c>
      <c r="Q1365" s="1" t="s">
        <v>43</v>
      </c>
      <c r="R1365" s="1"/>
    </row>
    <row r="1366" spans="1:18" x14ac:dyDescent="0.25">
      <c r="A1366" s="2">
        <f ca="1">IFERROR(__xludf.DUMMYFUNCTION("""COMPUTED_VALUE"""),45044.7875206481)</f>
        <v>45044.787520648097</v>
      </c>
      <c r="B1366" s="1" t="str">
        <f ca="1">IFERROR(__xludf.DUMMYFUNCTION("""COMPUTED_VALUE"""),"India")</f>
        <v>India</v>
      </c>
      <c r="C1366" s="1">
        <f ca="1">IFERROR(__xludf.DUMMYFUNCTION("""COMPUTED_VALUE"""),560022)</f>
        <v>560022</v>
      </c>
      <c r="D1366" s="1" t="str">
        <f ca="1">IFERROR(__xludf.DUMMYFUNCTION("""COMPUTED_VALUE"""),"Male")</f>
        <v>Male</v>
      </c>
      <c r="E1366" s="1" t="str">
        <f ca="1">IFERROR(__xludf.DUMMYFUNCTION("""COMPUTED_VALUE"""),"People who have changed the world for better")</f>
        <v>People who have changed the world for better</v>
      </c>
      <c r="F1366" s="1" t="str">
        <f ca="1">IFERROR(__xludf.DUMMYFUNCTION("""COMPUTED_VALUE"""),"Yes, I will earn and do that")</f>
        <v>Yes, I will earn and do that</v>
      </c>
      <c r="G1366" s="1" t="str">
        <f ca="1">IFERROR(__xludf.DUMMYFUNCTION("""COMPUTED_VALUE"""),"This will be hard to do, but if it is the right company I would try")</f>
        <v>This will be hard to do, but if it is the right company I would try</v>
      </c>
      <c r="H1366" s="1" t="str">
        <f ca="1">IFERROR(__xludf.DUMMYFUNCTION("""COMPUTED_VALUE"""),"No")</f>
        <v>No</v>
      </c>
      <c r="I1366" s="1" t="str">
        <f ca="1">IFERROR(__xludf.DUMMYFUNCTION("""COMPUTED_VALUE"""),"Will work for them")</f>
        <v>Will work for them</v>
      </c>
      <c r="J1366" s="1">
        <f ca="1">IFERROR(__xludf.DUMMYFUNCTION("""COMPUTED_VALUE"""),3)</f>
        <v>3</v>
      </c>
      <c r="K1366" s="1" t="str">
        <f ca="1">IFERROR(__xludf.DUMMYFUNCTION("""COMPUTED_VALUE"""),"Hybrid Working Environment with less than 3 days a month at office")</f>
        <v>Hybrid Working Environment with less than 3 days a month at office</v>
      </c>
      <c r="L1366" s="1" t="str">
        <f ca="1">IFERROR(__xludf.DUMMYFUNCTION("""COMPUTED_VALUE"""),"Employer who pushes your limits by enabling an learning environment, and rewards you at the end")</f>
        <v>Employer who pushes your limits by enabling an learning environment, and rewards you at the end</v>
      </c>
      <c r="M136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366" s="1"/>
      <c r="O1366" s="1" t="str">
        <f ca="1">IFERROR(__xludf.DUMMYFUNCTION("""COMPUTED_VALUE"""),"Manager who explains what is expected, sets a goal and helps achieve it")</f>
        <v>Manager who explains what is expected, sets a goal and helps achieve it</v>
      </c>
      <c r="P1366" s="1" t="str">
        <f ca="1">IFERROR(__xludf.DUMMYFUNCTION("""COMPUTED_VALUE"""),"Work Alone, &lt;67 people in team")</f>
        <v>Work Alone, &lt;67 people in team</v>
      </c>
      <c r="Q1366" s="1" t="s">
        <v>43</v>
      </c>
      <c r="R1366" s="1"/>
    </row>
    <row r="1367" spans="1:18" x14ac:dyDescent="0.25">
      <c r="A1367" s="2">
        <f ca="1">IFERROR(__xludf.DUMMYFUNCTION("""COMPUTED_VALUE"""),45044.7894376273)</f>
        <v>45044.789437627303</v>
      </c>
      <c r="B1367" s="1" t="str">
        <f ca="1">IFERROR(__xludf.DUMMYFUNCTION("""COMPUTED_VALUE"""),"India")</f>
        <v>India</v>
      </c>
      <c r="C1367" s="1">
        <f ca="1">IFERROR(__xludf.DUMMYFUNCTION("""COMPUTED_VALUE"""),500020)</f>
        <v>500020</v>
      </c>
      <c r="D1367" s="1" t="str">
        <f ca="1">IFERROR(__xludf.DUMMYFUNCTION("""COMPUTED_VALUE"""),"Male")</f>
        <v>Male</v>
      </c>
      <c r="E1367" s="1" t="str">
        <f ca="1">IFERROR(__xludf.DUMMYFUNCTION("""COMPUTED_VALUE"""),"People who have changed the world for better")</f>
        <v>People who have changed the world for better</v>
      </c>
      <c r="F1367" s="1" t="str">
        <f ca="1">IFERROR(__xludf.DUMMYFUNCTION("""COMPUTED_VALUE"""),"Yes, I will earn and do that")</f>
        <v>Yes, I will earn and do that</v>
      </c>
      <c r="G1367" s="1" t="str">
        <f ca="1">IFERROR(__xludf.DUMMYFUNCTION("""COMPUTED_VALUE"""),"This will be hard to do, but if it is the right company I would try")</f>
        <v>This will be hard to do, but if it is the right company I would try</v>
      </c>
      <c r="H1367" s="1" t="str">
        <f ca="1">IFERROR(__xludf.DUMMYFUNCTION("""COMPUTED_VALUE"""),"Yes")</f>
        <v>Yes</v>
      </c>
      <c r="I1367" s="1" t="str">
        <f ca="1">IFERROR(__xludf.DUMMYFUNCTION("""COMPUTED_VALUE"""),"Will NOT work for them")</f>
        <v>Will NOT work for them</v>
      </c>
      <c r="J1367" s="1">
        <f ca="1">IFERROR(__xludf.DUMMYFUNCTION("""COMPUTED_VALUE"""),8)</f>
        <v>8</v>
      </c>
      <c r="K1367" s="1" t="str">
        <f ca="1">IFERROR(__xludf.DUMMYFUNCTION("""COMPUTED_VALUE"""),"Fully Remote with Options to travel as and when needed")</f>
        <v>Fully Remote with Options to travel as and when needed</v>
      </c>
      <c r="L1367" s="1" t="str">
        <f ca="1">IFERROR(__xludf.DUMMYFUNCTION("""COMPUTED_VALUE"""),"Employer who pushes your limits by enabling an learning environment, and rewards you at the end")</f>
        <v>Employer who pushes your limits by enabling an learning environment, and rewards you at the end</v>
      </c>
      <c r="M13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1367" s="1"/>
      <c r="O1367" s="1" t="str">
        <f ca="1">IFERROR(__xludf.DUMMYFUNCTION("""COMPUTED_VALUE"""),"Manager who sets goal and helps me achieve it")</f>
        <v>Manager who sets goal and helps me achieve it</v>
      </c>
      <c r="P1367" s="1" t="str">
        <f ca="1">IFERROR(__xludf.DUMMYFUNCTION("""COMPUTED_VALUE"""),"Work alone")</f>
        <v>Work alone</v>
      </c>
      <c r="Q1367" s="1" t="s">
        <v>43</v>
      </c>
      <c r="R1367" s="1"/>
    </row>
    <row r="1368" spans="1:18" x14ac:dyDescent="0.25">
      <c r="A1368" s="2">
        <f ca="1">IFERROR(__xludf.DUMMYFUNCTION("""COMPUTED_VALUE"""),45044.7921880439)</f>
        <v>45044.792188043903</v>
      </c>
      <c r="B1368" s="1" t="str">
        <f ca="1">IFERROR(__xludf.DUMMYFUNCTION("""COMPUTED_VALUE"""),"India")</f>
        <v>India</v>
      </c>
      <c r="C1368" s="1">
        <f ca="1">IFERROR(__xludf.DUMMYFUNCTION("""COMPUTED_VALUE"""),192202)</f>
        <v>192202</v>
      </c>
      <c r="D1368" s="1" t="str">
        <f ca="1">IFERROR(__xludf.DUMMYFUNCTION("""COMPUTED_VALUE"""),"Female")</f>
        <v>Female</v>
      </c>
      <c r="E1368" s="1" t="str">
        <f ca="1">IFERROR(__xludf.DUMMYFUNCTION("""COMPUTED_VALUE"""),"People who have changed the world for better")</f>
        <v>People who have changed the world for better</v>
      </c>
      <c r="F1368" s="1" t="str">
        <f ca="1">IFERROR(__xludf.DUMMYFUNCTION("""COMPUTED_VALUE"""),"No I would not be pursuing Higher Education outside of India")</f>
        <v>No I would not be pursuing Higher Education outside of India</v>
      </c>
      <c r="G1368" s="1" t="str">
        <f ca="1">IFERROR(__xludf.DUMMYFUNCTION("""COMPUTED_VALUE"""),"This will be hard to do, but if it is the right company I would try")</f>
        <v>This will be hard to do, but if it is the right company I would try</v>
      </c>
      <c r="H1368" s="1" t="str">
        <f ca="1">IFERROR(__xludf.DUMMYFUNCTION("""COMPUTED_VALUE"""),"No")</f>
        <v>No</v>
      </c>
      <c r="I1368" s="1" t="str">
        <f ca="1">IFERROR(__xludf.DUMMYFUNCTION("""COMPUTED_VALUE"""),"Will NOT work for them")</f>
        <v>Will NOT work for them</v>
      </c>
      <c r="J1368" s="1">
        <f ca="1">IFERROR(__xludf.DUMMYFUNCTION("""COMPUTED_VALUE"""),3)</f>
        <v>3</v>
      </c>
      <c r="K1368" s="1" t="str">
        <f ca="1">IFERROR(__xludf.DUMMYFUNCTION("""COMPUTED_VALUE"""),"Hybrid Working Environment with more than 15 days a month at office")</f>
        <v>Hybrid Working Environment with more than 15 days a month at office</v>
      </c>
      <c r="L1368" s="1" t="str">
        <f ca="1">IFERROR(__xludf.DUMMYFUNCTION("""COMPUTED_VALUE"""),"Employer who appreciates learning and enables that environment")</f>
        <v>Employer who appreciates learning and enables that environment</v>
      </c>
      <c r="M1368" s="1" t="str">
        <f ca="1">IFERROR(__xludf.DUMMYFUNCTION("""COMPUTED_VALUE"""),"Manage and drive End-to-End Projects or Products, Work in a BPO setup for some well known client, Become a content Creator in some platform, I Want to sell things/Sales")</f>
        <v>Manage and drive End-to-End Projects or Products, Work in a BPO setup for some well known client, Become a content Creator in some platform, I Want to sell things/Sales</v>
      </c>
      <c r="N1368" s="1"/>
      <c r="O1368" s="1" t="str">
        <f ca="1">IFERROR(__xludf.DUMMYFUNCTION("""COMPUTED_VALUE"""),"Manager who sets goal and helps me achieve it")</f>
        <v>Manager who sets goal and helps me achieve it</v>
      </c>
      <c r="P1368" s="1" t="str">
        <f ca="1">IFERROR(__xludf.DUMMYFUNCTION("""COMPUTED_VALUE"""),"Work &lt;=6 People in the Team")</f>
        <v>Work &lt;=6 People in the Team</v>
      </c>
      <c r="Q1368" s="1" t="s">
        <v>43</v>
      </c>
      <c r="R1368" s="1"/>
    </row>
    <row r="1369" spans="1:18" x14ac:dyDescent="0.25">
      <c r="A1369" s="2">
        <f ca="1">IFERROR(__xludf.DUMMYFUNCTION("""COMPUTED_VALUE"""),45044.7970627662)</f>
        <v>45044.7970627662</v>
      </c>
      <c r="B1369" s="1" t="str">
        <f ca="1">IFERROR(__xludf.DUMMYFUNCTION("""COMPUTED_VALUE"""),"India")</f>
        <v>India</v>
      </c>
      <c r="C1369" s="1">
        <f ca="1">IFERROR(__xludf.DUMMYFUNCTION("""COMPUTED_VALUE"""),759001)</f>
        <v>759001</v>
      </c>
      <c r="D1369" s="1" t="str">
        <f ca="1">IFERROR(__xludf.DUMMYFUNCTION("""COMPUTED_VALUE"""),"Female")</f>
        <v>Female</v>
      </c>
      <c r="E1369" s="1" t="str">
        <f ca="1">IFERROR(__xludf.DUMMYFUNCTION("""COMPUTED_VALUE"""),"People who have changed the world for better")</f>
        <v>People who have changed the world for better</v>
      </c>
      <c r="F1369" s="1" t="str">
        <f ca="1">IFERROR(__xludf.DUMMYFUNCTION("""COMPUTED_VALUE"""),"No I would not be pursuing Higher Education outside of India")</f>
        <v>No I would not be pursuing Higher Education outside of India</v>
      </c>
      <c r="G1369" s="1" t="str">
        <f ca="1">IFERROR(__xludf.DUMMYFUNCTION("""COMPUTED_VALUE"""),"This will be hard to do, but if it is the right company I would try")</f>
        <v>This will be hard to do, but if it is the right company I would try</v>
      </c>
      <c r="H1369" s="1" t="str">
        <f ca="1">IFERROR(__xludf.DUMMYFUNCTION("""COMPUTED_VALUE"""),"No")</f>
        <v>No</v>
      </c>
      <c r="I1369" s="1" t="str">
        <f ca="1">IFERROR(__xludf.DUMMYFUNCTION("""COMPUTED_VALUE"""),"Will NOT work for them")</f>
        <v>Will NOT work for them</v>
      </c>
      <c r="J1369" s="1">
        <f ca="1">IFERROR(__xludf.DUMMYFUNCTION("""COMPUTED_VALUE"""),5)</f>
        <v>5</v>
      </c>
      <c r="K1369" s="1" t="str">
        <f ca="1">IFERROR(__xludf.DUMMYFUNCTION("""COMPUTED_VALUE"""),"Hybrid Working Environment with more than 15 days a month at office")</f>
        <v>Hybrid Working Environment with more than 15 days a month at office</v>
      </c>
      <c r="L1369" s="1" t="str">
        <f ca="1">IFERROR(__xludf.DUMMYFUNCTION("""COMPUTED_VALUE"""),"Employer who pushes your limits by enabling an learning environment, and rewards you at the end")</f>
        <v>Employer who pushes your limits by enabling an learning environment, and rewards you at the end</v>
      </c>
      <c r="M1369"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N1369" s="1"/>
      <c r="O1369" s="1" t="str">
        <f ca="1">IFERROR(__xludf.DUMMYFUNCTION("""COMPUTED_VALUE"""),"Manager who explains what is expected, sets a goal and helps achieve it")</f>
        <v>Manager who explains what is expected, sets a goal and helps achieve it</v>
      </c>
      <c r="P1369" s="1" t="str">
        <f ca="1">IFERROR(__xludf.DUMMYFUNCTION("""COMPUTED_VALUE"""),"Work &lt;=6 People in the Team")</f>
        <v>Work &lt;=6 People in the Team</v>
      </c>
      <c r="Q1369" s="1" t="s">
        <v>43</v>
      </c>
      <c r="R1369" s="1"/>
    </row>
    <row r="1370" spans="1:18" x14ac:dyDescent="0.25">
      <c r="A1370" s="2">
        <f ca="1">IFERROR(__xludf.DUMMYFUNCTION("""COMPUTED_VALUE"""),45044.7991511689)</f>
        <v>45044.799151168903</v>
      </c>
      <c r="B1370" s="1" t="str">
        <f ca="1">IFERROR(__xludf.DUMMYFUNCTION("""COMPUTED_VALUE"""),"India")</f>
        <v>India</v>
      </c>
      <c r="C1370" s="1">
        <f ca="1">IFERROR(__xludf.DUMMYFUNCTION("""COMPUTED_VALUE"""),847211)</f>
        <v>847211</v>
      </c>
      <c r="D1370" s="1" t="str">
        <f ca="1">IFERROR(__xludf.DUMMYFUNCTION("""COMPUTED_VALUE"""),"Male")</f>
        <v>Male</v>
      </c>
      <c r="E1370" s="1" t="str">
        <f ca="1">IFERROR(__xludf.DUMMYFUNCTION("""COMPUTED_VALUE"""),"My Parents")</f>
        <v>My Parents</v>
      </c>
      <c r="F1370" s="1" t="str">
        <f ca="1">IFERROR(__xludf.DUMMYFUNCTION("""COMPUTED_VALUE"""),"No I would not be pursuing Higher Education outside of India")</f>
        <v>No I would not be pursuing Higher Education outside of India</v>
      </c>
      <c r="G1370" s="1" t="str">
        <f ca="1">IFERROR(__xludf.DUMMYFUNCTION("""COMPUTED_VALUE"""),"This will be hard to do, but if it is the right company I would try")</f>
        <v>This will be hard to do, but if it is the right company I would try</v>
      </c>
      <c r="H1370" s="1" t="str">
        <f ca="1">IFERROR(__xludf.DUMMYFUNCTION("""COMPUTED_VALUE"""),"No")</f>
        <v>No</v>
      </c>
      <c r="I1370" s="1" t="str">
        <f ca="1">IFERROR(__xludf.DUMMYFUNCTION("""COMPUTED_VALUE"""),"Will work for them")</f>
        <v>Will work for them</v>
      </c>
      <c r="J1370" s="1">
        <f ca="1">IFERROR(__xludf.DUMMYFUNCTION("""COMPUTED_VALUE"""),3)</f>
        <v>3</v>
      </c>
      <c r="K1370" s="1" t="str">
        <f ca="1">IFERROR(__xludf.DUMMYFUNCTION("""COMPUTED_VALUE"""),"Fully Remote with Options to travel as and when needed")</f>
        <v>Fully Remote with Options to travel as and when needed</v>
      </c>
      <c r="L1370" s="1" t="str">
        <f ca="1">IFERROR(__xludf.DUMMYFUNCTION("""COMPUTED_VALUE"""),"Employer who appreciates learning and enables that environment")</f>
        <v>Employer who appreciates learning and enables that environment</v>
      </c>
      <c r="M1370"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N1370" s="1"/>
      <c r="O1370" s="1" t="str">
        <f ca="1">IFERROR(__xludf.DUMMYFUNCTION("""COMPUTED_VALUE"""),"Manager who clearly describes what she/he needs")</f>
        <v>Manager who clearly describes what she/he needs</v>
      </c>
      <c r="P1370" s="1" t="str">
        <f ca="1">IFERROR(__xludf.DUMMYFUNCTION("""COMPUTED_VALUE"""),"Work &lt;=6 People in the Team")</f>
        <v>Work &lt;=6 People in the Team</v>
      </c>
      <c r="Q1370" s="1" t="s">
        <v>43</v>
      </c>
      <c r="R1370" s="1"/>
    </row>
    <row r="1371" spans="1:18" x14ac:dyDescent="0.25">
      <c r="A1371" s="2">
        <f ca="1">IFERROR(__xludf.DUMMYFUNCTION("""COMPUTED_VALUE"""),45044.7999340856)</f>
        <v>45044.799934085597</v>
      </c>
      <c r="B1371" s="1" t="str">
        <f ca="1">IFERROR(__xludf.DUMMYFUNCTION("""COMPUTED_VALUE"""),"India")</f>
        <v>India</v>
      </c>
      <c r="C1371" s="1">
        <f ca="1">IFERROR(__xludf.DUMMYFUNCTION("""COMPUTED_VALUE"""),440024)</f>
        <v>440024</v>
      </c>
      <c r="D1371" s="1" t="str">
        <f ca="1">IFERROR(__xludf.DUMMYFUNCTION("""COMPUTED_VALUE"""),"Male")</f>
        <v>Male</v>
      </c>
      <c r="E1371" s="1" t="str">
        <f ca="1">IFERROR(__xludf.DUMMYFUNCTION("""COMPUTED_VALUE"""),"People who have changed the world for better")</f>
        <v>People who have changed the world for better</v>
      </c>
      <c r="F1371" s="1" t="str">
        <f ca="1">IFERROR(__xludf.DUMMYFUNCTION("""COMPUTED_VALUE"""),"No I would not be pursuing Higher Education outside of India")</f>
        <v>No I would not be pursuing Higher Education outside of India</v>
      </c>
      <c r="G1371" s="1" t="str">
        <f ca="1">IFERROR(__xludf.DUMMYFUNCTION("""COMPUTED_VALUE"""),"This will be hard to do, but if it is the right company I would try")</f>
        <v>This will be hard to do, but if it is the right company I would try</v>
      </c>
      <c r="H1371" s="1" t="str">
        <f ca="1">IFERROR(__xludf.DUMMYFUNCTION("""COMPUTED_VALUE"""),"No")</f>
        <v>No</v>
      </c>
      <c r="I1371" s="1" t="str">
        <f ca="1">IFERROR(__xludf.DUMMYFUNCTION("""COMPUTED_VALUE"""),"Will NOT work for them")</f>
        <v>Will NOT work for them</v>
      </c>
      <c r="J1371" s="1">
        <f ca="1">IFERROR(__xludf.DUMMYFUNCTION("""COMPUTED_VALUE"""),7)</f>
        <v>7</v>
      </c>
      <c r="K1371" s="1" t="str">
        <f ca="1">IFERROR(__xludf.DUMMYFUNCTION("""COMPUTED_VALUE"""),"Hybrid Working Environment with more than 15 days a month at office")</f>
        <v>Hybrid Working Environment with more than 15 days a month at office</v>
      </c>
      <c r="L1371" s="1" t="str">
        <f ca="1">IFERROR(__xludf.DUMMYFUNCTION("""COMPUTED_VALUE"""),"Employer who pushes your limits by enabling an learning environment, and rewards you at the end")</f>
        <v>Employer who pushes your limits by enabling an learning environment, and rewards you at the end</v>
      </c>
      <c r="M1371"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1371" s="1"/>
      <c r="O1371" s="1" t="str">
        <f ca="1">IFERROR(__xludf.DUMMYFUNCTION("""COMPUTED_VALUE"""),"Manager who explains what is expected, sets a goal and helps achieve it")</f>
        <v>Manager who explains what is expected, sets a goal and helps achieve it</v>
      </c>
      <c r="P1371" s="1" t="str">
        <f ca="1">IFERROR(__xludf.DUMMYFUNCTION("""COMPUTED_VALUE"""),"Work &lt;=6 People in the Team")</f>
        <v>Work &lt;=6 People in the Team</v>
      </c>
      <c r="Q1371" s="1" t="s">
        <v>43</v>
      </c>
      <c r="R1371" s="1"/>
    </row>
    <row r="1372" spans="1:18" x14ac:dyDescent="0.25">
      <c r="A1372" s="2">
        <f ca="1">IFERROR(__xludf.DUMMYFUNCTION("""COMPUTED_VALUE"""),45044.801511574)</f>
        <v>45044.801511573998</v>
      </c>
      <c r="B1372" s="1" t="str">
        <f ca="1">IFERROR(__xludf.DUMMYFUNCTION("""COMPUTED_VALUE"""),"India")</f>
        <v>India</v>
      </c>
      <c r="C1372" s="1">
        <f ca="1">IFERROR(__xludf.DUMMYFUNCTION("""COMPUTED_VALUE"""),581336)</f>
        <v>581336</v>
      </c>
      <c r="D1372" s="1" t="str">
        <f ca="1">IFERROR(__xludf.DUMMYFUNCTION("""COMPUTED_VALUE"""),"Female")</f>
        <v>Female</v>
      </c>
      <c r="E1372" s="1" t="str">
        <f ca="1">IFERROR(__xludf.DUMMYFUNCTION("""COMPUTED_VALUE"""),"My Parents")</f>
        <v>My Parents</v>
      </c>
      <c r="F1372" s="1" t="str">
        <f ca="1">IFERROR(__xludf.DUMMYFUNCTION("""COMPUTED_VALUE"""),"No I would not be pursuing Higher Education outside of India")</f>
        <v>No I would not be pursuing Higher Education outside of India</v>
      </c>
      <c r="G1372" s="1" t="str">
        <f ca="1">IFERROR(__xludf.DUMMYFUNCTION("""COMPUTED_VALUE"""),"Will work for 3 years or more")</f>
        <v>Will work for 3 years or more</v>
      </c>
      <c r="H1372" s="1" t="str">
        <f ca="1">IFERROR(__xludf.DUMMYFUNCTION("""COMPUTED_VALUE"""),"No")</f>
        <v>No</v>
      </c>
      <c r="I1372" s="1" t="str">
        <f ca="1">IFERROR(__xludf.DUMMYFUNCTION("""COMPUTED_VALUE"""),"Will NOT work for them")</f>
        <v>Will NOT work for them</v>
      </c>
      <c r="J1372" s="1">
        <f ca="1">IFERROR(__xludf.DUMMYFUNCTION("""COMPUTED_VALUE"""),10)</f>
        <v>10</v>
      </c>
      <c r="K1372" s="1" t="str">
        <f ca="1">IFERROR(__xludf.DUMMYFUNCTION("""COMPUTED_VALUE"""),"Fully Remote with No option to visit offices")</f>
        <v>Fully Remote with No option to visit offices</v>
      </c>
      <c r="L1372" s="1" t="str">
        <f ca="1">IFERROR(__xludf.DUMMYFUNCTION("""COMPUTED_VALUE"""),"Employer who rewards learning and enables that environment")</f>
        <v>Employer who rewards learning and enables that environment</v>
      </c>
      <c r="M1372"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N1372" s="1"/>
      <c r="O1372" s="1" t="str">
        <f ca="1">IFERROR(__xludf.DUMMYFUNCTION("""COMPUTED_VALUE"""),"Manager who clearly describes what she/he needs")</f>
        <v>Manager who clearly describes what she/he needs</v>
      </c>
      <c r="P1372" s="1" t="str">
        <f ca="1">IFERROR(__xludf.DUMMYFUNCTION("""COMPUTED_VALUE"""),"Work &lt;=6 People in the Team")</f>
        <v>Work &lt;=6 People in the Team</v>
      </c>
      <c r="Q1372" s="1" t="s">
        <v>43</v>
      </c>
      <c r="R1372" s="1"/>
    </row>
    <row r="1373" spans="1:18" x14ac:dyDescent="0.25">
      <c r="A1373" s="2">
        <f ca="1">IFERROR(__xludf.DUMMYFUNCTION("""COMPUTED_VALUE"""),45044.8047847337)</f>
        <v>45044.8047847337</v>
      </c>
      <c r="B1373" s="1" t="str">
        <f ca="1">IFERROR(__xludf.DUMMYFUNCTION("""COMPUTED_VALUE"""),"India")</f>
        <v>India</v>
      </c>
      <c r="C1373" s="1">
        <f ca="1">IFERROR(__xludf.DUMMYFUNCTION("""COMPUTED_VALUE"""),500089)</f>
        <v>500089</v>
      </c>
      <c r="D1373" s="1" t="str">
        <f ca="1">IFERROR(__xludf.DUMMYFUNCTION("""COMPUTED_VALUE"""),"Female")</f>
        <v>Female</v>
      </c>
      <c r="E1373" s="1" t="str">
        <f ca="1">IFERROR(__xludf.DUMMYFUNCTION("""COMPUTED_VALUE"""),"My Parents")</f>
        <v>My Parents</v>
      </c>
      <c r="F1373" s="1" t="str">
        <f ca="1">IFERROR(__xludf.DUMMYFUNCTION("""COMPUTED_VALUE"""),"No I would not be pursuing Higher Education outside of India")</f>
        <v>No I would not be pursuing Higher Education outside of India</v>
      </c>
      <c r="G1373" s="1" t="str">
        <f ca="1">IFERROR(__xludf.DUMMYFUNCTION("""COMPUTED_VALUE"""),"This will be hard to do, but if it is the right company I would try")</f>
        <v>This will be hard to do, but if it is the right company I would try</v>
      </c>
      <c r="H1373" s="1" t="str">
        <f ca="1">IFERROR(__xludf.DUMMYFUNCTION("""COMPUTED_VALUE"""),"No")</f>
        <v>No</v>
      </c>
      <c r="I1373" s="1" t="str">
        <f ca="1">IFERROR(__xludf.DUMMYFUNCTION("""COMPUTED_VALUE"""),"Will NOT work for them")</f>
        <v>Will NOT work for them</v>
      </c>
      <c r="J1373" s="1">
        <f ca="1">IFERROR(__xludf.DUMMYFUNCTION("""COMPUTED_VALUE"""),1)</f>
        <v>1</v>
      </c>
      <c r="K1373" s="1" t="str">
        <f ca="1">IFERROR(__xludf.DUMMYFUNCTION("""COMPUTED_VALUE"""),"Fully Remote with Options to travel as and when needed")</f>
        <v>Fully Remote with Options to travel as and when needed</v>
      </c>
      <c r="L1373" s="1" t="str">
        <f ca="1">IFERROR(__xludf.DUMMYFUNCTION("""COMPUTED_VALUE"""),"Employer who pushes your limits by enabling an learning environment, and rewards you at the end")</f>
        <v>Employer who pushes your limits by enabling an learning environment, and rewards you at the end</v>
      </c>
      <c r="M13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1373" s="1"/>
      <c r="O1373" s="1" t="str">
        <f ca="1">IFERROR(__xludf.DUMMYFUNCTION("""COMPUTED_VALUE"""),"Manager who sets goal and helps me achieve it")</f>
        <v>Manager who sets goal and helps me achieve it</v>
      </c>
      <c r="P1373" s="1" t="str">
        <f ca="1">IFERROR(__xludf.DUMMYFUNCTION("""COMPUTED_VALUE"""),"Work &lt;=6 People in the Team")</f>
        <v>Work &lt;=6 People in the Team</v>
      </c>
      <c r="Q1373" s="1" t="s">
        <v>43</v>
      </c>
      <c r="R1373" s="1"/>
    </row>
    <row r="1374" spans="1:18" x14ac:dyDescent="0.25">
      <c r="A1374" s="2">
        <f ca="1">IFERROR(__xludf.DUMMYFUNCTION("""COMPUTED_VALUE"""),45044.8146430439)</f>
        <v>45044.814643043901</v>
      </c>
      <c r="B1374" s="1" t="str">
        <f ca="1">IFERROR(__xludf.DUMMYFUNCTION("""COMPUTED_VALUE"""),"India")</f>
        <v>India</v>
      </c>
      <c r="C1374" s="1">
        <f ca="1">IFERROR(__xludf.DUMMYFUNCTION("""COMPUTED_VALUE"""),560107)</f>
        <v>560107</v>
      </c>
      <c r="D1374" s="1" t="str">
        <f ca="1">IFERROR(__xludf.DUMMYFUNCTION("""COMPUTED_VALUE"""),"Male")</f>
        <v>Male</v>
      </c>
      <c r="E1374" s="1" t="str">
        <f ca="1">IFERROR(__xludf.DUMMYFUNCTION("""COMPUTED_VALUE"""),"People from my circle, but not family members")</f>
        <v>People from my circle, but not family members</v>
      </c>
      <c r="F1374" s="1" t="str">
        <f ca="1">IFERROR(__xludf.DUMMYFUNCTION("""COMPUTED_VALUE"""),"No I would not be pursuing Higher Education outside of India")</f>
        <v>No I would not be pursuing Higher Education outside of India</v>
      </c>
      <c r="G1374" s="1" t="str">
        <f ca="1">IFERROR(__xludf.DUMMYFUNCTION("""COMPUTED_VALUE"""),"This will be hard to do, but if it is the right company I would try")</f>
        <v>This will be hard to do, but if it is the right company I would try</v>
      </c>
      <c r="H1374" s="1" t="str">
        <f ca="1">IFERROR(__xludf.DUMMYFUNCTION("""COMPUTED_VALUE"""),"No")</f>
        <v>No</v>
      </c>
      <c r="I1374" s="1" t="str">
        <f ca="1">IFERROR(__xludf.DUMMYFUNCTION("""COMPUTED_VALUE"""),"Will NOT work for them")</f>
        <v>Will NOT work for them</v>
      </c>
      <c r="J1374" s="1">
        <f ca="1">IFERROR(__xludf.DUMMYFUNCTION("""COMPUTED_VALUE"""),3)</f>
        <v>3</v>
      </c>
      <c r="K1374" s="1" t="str">
        <f ca="1">IFERROR(__xludf.DUMMYFUNCTION("""COMPUTED_VALUE"""),"Hybrid Working Environment with more than 15 days a month at office")</f>
        <v>Hybrid Working Environment with more than 15 days a month at office</v>
      </c>
      <c r="L1374" s="1" t="str">
        <f ca="1">IFERROR(__xludf.DUMMYFUNCTION("""COMPUTED_VALUE"""),"Employer who pushes your limits by enabling an learning environment, and rewards you at the end")</f>
        <v>Employer who pushes your limits by enabling an learning environment, and rewards you at the end</v>
      </c>
      <c r="M1374"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N1374" s="1"/>
      <c r="O1374" s="1" t="str">
        <f ca="1">IFERROR(__xludf.DUMMYFUNCTION("""COMPUTED_VALUE"""),"Manager who explains what is expected, sets a goal and helps achieve it")</f>
        <v>Manager who explains what is expected, sets a goal and helps achieve it</v>
      </c>
      <c r="P1374" s="1" t="str">
        <f ca="1">IFERROR(__xludf.DUMMYFUNCTION("""COMPUTED_VALUE"""),"Work &lt;67 People in the Team")</f>
        <v>Work &lt;67 People in the Team</v>
      </c>
      <c r="Q1374" s="1" t="s">
        <v>40</v>
      </c>
      <c r="R1374" s="1"/>
    </row>
    <row r="1375" spans="1:18" x14ac:dyDescent="0.25">
      <c r="A1375" s="2">
        <f ca="1">IFERROR(__xludf.DUMMYFUNCTION("""COMPUTED_VALUE"""),45044.8155150115)</f>
        <v>45044.815515011498</v>
      </c>
      <c r="B1375" s="1" t="str">
        <f ca="1">IFERROR(__xludf.DUMMYFUNCTION("""COMPUTED_VALUE"""),"India")</f>
        <v>India</v>
      </c>
      <c r="C1375" s="1">
        <f ca="1">IFERROR(__xludf.DUMMYFUNCTION("""COMPUTED_VALUE"""),144021)</f>
        <v>144021</v>
      </c>
      <c r="D1375" s="1" t="str">
        <f ca="1">IFERROR(__xludf.DUMMYFUNCTION("""COMPUTED_VALUE"""),"Male")</f>
        <v>Male</v>
      </c>
      <c r="E1375" s="1" t="str">
        <f ca="1">IFERROR(__xludf.DUMMYFUNCTION("""COMPUTED_VALUE"""),"My Parents")</f>
        <v>My Parents</v>
      </c>
      <c r="F1375" s="1" t="str">
        <f ca="1">IFERROR(__xludf.DUMMYFUNCTION("""COMPUTED_VALUE"""),"Yes, I will earn and do that")</f>
        <v>Yes, I will earn and do that</v>
      </c>
      <c r="G1375" s="1" t="str">
        <f ca="1">IFERROR(__xludf.DUMMYFUNCTION("""COMPUTED_VALUE"""),"This will be hard to do, but if it is the right company I would try")</f>
        <v>This will be hard to do, but if it is the right company I would try</v>
      </c>
      <c r="H1375" s="1" t="str">
        <f ca="1">IFERROR(__xludf.DUMMYFUNCTION("""COMPUTED_VALUE"""),"Yes")</f>
        <v>Yes</v>
      </c>
      <c r="I1375" s="1" t="str">
        <f ca="1">IFERROR(__xludf.DUMMYFUNCTION("""COMPUTED_VALUE"""),"Will work for them")</f>
        <v>Will work for them</v>
      </c>
      <c r="J1375" s="1">
        <f ca="1">IFERROR(__xludf.DUMMYFUNCTION("""COMPUTED_VALUE"""),6)</f>
        <v>6</v>
      </c>
      <c r="K1375" s="1" t="str">
        <f ca="1">IFERROR(__xludf.DUMMYFUNCTION("""COMPUTED_VALUE"""),"Hybrid Working Environment with more than 15 days a month at office")</f>
        <v>Hybrid Working Environment with more than 15 days a month at office</v>
      </c>
      <c r="L1375" s="1" t="str">
        <f ca="1">IFERROR(__xludf.DUMMYFUNCTION("""COMPUTED_VALUE"""),"Employer who pushes your limits by enabling an learning environment, and rewards you at the end")</f>
        <v>Employer who pushes your limits by enabling an learning environment, and rewards you at the end</v>
      </c>
      <c r="M1375" s="1" t="str">
        <f ca="1">IFERROR(__xludf.DUMMYFUNCTION("""COMPUTED_VALUE"""),"Design and Creative strategy in any company, Design and Develop amazing software, Become a content Creator in some platform, I Want to sell things/Sales")</f>
        <v>Design and Creative strategy in any company, Design and Develop amazing software, Become a content Creator in some platform, I Want to sell things/Sales</v>
      </c>
      <c r="N1375" s="1"/>
      <c r="O1375" s="1" t="str">
        <f ca="1">IFERROR(__xludf.DUMMYFUNCTION("""COMPUTED_VALUE"""),"Manager who explains what is expected, sets a goal and helps achieve it")</f>
        <v>Manager who explains what is expected, sets a goal and helps achieve it</v>
      </c>
      <c r="P1375" s="1" t="str">
        <f ca="1">IFERROR(__xludf.DUMMYFUNCTION("""COMPUTED_VALUE"""),"Work &gt;=7 People in the Team")</f>
        <v>Work &gt;=7 People in the Team</v>
      </c>
      <c r="Q1375" s="1" t="s">
        <v>42</v>
      </c>
      <c r="R1375" s="1"/>
    </row>
    <row r="1376" spans="1:18" x14ac:dyDescent="0.25">
      <c r="A1376" s="2">
        <f ca="1">IFERROR(__xludf.DUMMYFUNCTION("""COMPUTED_VALUE"""),45044.81575875)</f>
        <v>45044.815758750003</v>
      </c>
      <c r="B1376" s="1" t="str">
        <f ca="1">IFERROR(__xludf.DUMMYFUNCTION("""COMPUTED_VALUE"""),"India")</f>
        <v>India</v>
      </c>
      <c r="C1376" s="1">
        <f ca="1">IFERROR(__xludf.DUMMYFUNCTION("""COMPUTED_VALUE"""),690514)</f>
        <v>690514</v>
      </c>
      <c r="D1376" s="1" t="str">
        <f ca="1">IFERROR(__xludf.DUMMYFUNCTION("""COMPUTED_VALUE"""),"Male")</f>
        <v>Male</v>
      </c>
      <c r="E1376" s="1" t="str">
        <f ca="1">IFERROR(__xludf.DUMMYFUNCTION("""COMPUTED_VALUE"""),"People who have changed the world for better")</f>
        <v>People who have changed the world for better</v>
      </c>
      <c r="F1376" s="1" t="str">
        <f ca="1">IFERROR(__xludf.DUMMYFUNCTION("""COMPUTED_VALUE"""),"Yes, I will earn and do that")</f>
        <v>Yes, I will earn and do that</v>
      </c>
      <c r="G1376" s="1" t="str">
        <f ca="1">IFERROR(__xludf.DUMMYFUNCTION("""COMPUTED_VALUE"""),"This will be hard to do, but if it is the right company I would try")</f>
        <v>This will be hard to do, but if it is the right company I would try</v>
      </c>
      <c r="H1376" s="1" t="str">
        <f ca="1">IFERROR(__xludf.DUMMYFUNCTION("""COMPUTED_VALUE"""),"No")</f>
        <v>No</v>
      </c>
      <c r="I1376" s="1" t="str">
        <f ca="1">IFERROR(__xludf.DUMMYFUNCTION("""COMPUTED_VALUE"""),"Will NOT work for them")</f>
        <v>Will NOT work for them</v>
      </c>
      <c r="J1376" s="1">
        <f ca="1">IFERROR(__xludf.DUMMYFUNCTION("""COMPUTED_VALUE"""),1)</f>
        <v>1</v>
      </c>
      <c r="K1376" s="1" t="str">
        <f ca="1">IFERROR(__xludf.DUMMYFUNCTION("""COMPUTED_VALUE"""),"Every Day Office Environment")</f>
        <v>Every Day Office Environment</v>
      </c>
      <c r="L1376" s="1" t="str">
        <f ca="1">IFERROR(__xludf.DUMMYFUNCTION("""COMPUTED_VALUE"""),"Employer who appreciates learning and enables that environment")</f>
        <v>Employer who appreciates learning and enables that environment</v>
      </c>
      <c r="M1376"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N1376" s="1"/>
      <c r="O1376" s="1" t="str">
        <f ca="1">IFERROR(__xludf.DUMMYFUNCTION("""COMPUTED_VALUE"""),"Manager who sets goal and helps me achieve it")</f>
        <v>Manager who sets goal and helps me achieve it</v>
      </c>
      <c r="P1376" s="1" t="str">
        <f ca="1">IFERROR(__xludf.DUMMYFUNCTION("""COMPUTED_VALUE"""),"Work &gt;10 people in Team")</f>
        <v>Work &gt;10 people in Team</v>
      </c>
      <c r="Q1376" s="1" t="s">
        <v>40</v>
      </c>
      <c r="R1376" s="1"/>
    </row>
    <row r="1377" spans="1:18" x14ac:dyDescent="0.25">
      <c r="A1377" s="2">
        <f ca="1">IFERROR(__xludf.DUMMYFUNCTION("""COMPUTED_VALUE"""),45044.816764618)</f>
        <v>45044.816764618001</v>
      </c>
      <c r="B1377" s="1" t="str">
        <f ca="1">IFERROR(__xludf.DUMMYFUNCTION("""COMPUTED_VALUE"""),"India")</f>
        <v>India</v>
      </c>
      <c r="C1377" s="1">
        <f ca="1">IFERROR(__xludf.DUMMYFUNCTION("""COMPUTED_VALUE"""),110009)</f>
        <v>110009</v>
      </c>
      <c r="D1377" s="1" t="str">
        <f ca="1">IFERROR(__xludf.DUMMYFUNCTION("""COMPUTED_VALUE"""),"Male")</f>
        <v>Male</v>
      </c>
      <c r="E1377" s="1" t="str">
        <f ca="1">IFERROR(__xludf.DUMMYFUNCTION("""COMPUTED_VALUE"""),"My Parents")</f>
        <v>My Parents</v>
      </c>
      <c r="F1377" s="1" t="str">
        <f ca="1">IFERROR(__xludf.DUMMYFUNCTION("""COMPUTED_VALUE"""),"No I would not be pursuing Higher Education outside of India")</f>
        <v>No I would not be pursuing Higher Education outside of India</v>
      </c>
      <c r="G1377" s="1" t="str">
        <f ca="1">IFERROR(__xludf.DUMMYFUNCTION("""COMPUTED_VALUE"""),"This will be hard to do, but if it is the right company I would try")</f>
        <v>This will be hard to do, but if it is the right company I would try</v>
      </c>
      <c r="H1377" s="1" t="str">
        <f ca="1">IFERROR(__xludf.DUMMYFUNCTION("""COMPUTED_VALUE"""),"No")</f>
        <v>No</v>
      </c>
      <c r="I1377" s="1" t="str">
        <f ca="1">IFERROR(__xludf.DUMMYFUNCTION("""COMPUTED_VALUE"""),"Will NOT work for them")</f>
        <v>Will NOT work for them</v>
      </c>
      <c r="J1377" s="1">
        <f ca="1">IFERROR(__xludf.DUMMYFUNCTION("""COMPUTED_VALUE"""),7)</f>
        <v>7</v>
      </c>
      <c r="K1377" s="1" t="str">
        <f ca="1">IFERROR(__xludf.DUMMYFUNCTION("""COMPUTED_VALUE"""),"Hybrid Working Environment with more than 15 days a month at office")</f>
        <v>Hybrid Working Environment with more than 15 days a month at office</v>
      </c>
      <c r="L1377" s="1" t="str">
        <f ca="1">IFERROR(__xludf.DUMMYFUNCTION("""COMPUTED_VALUE"""),"Employer who pushes your limits by enabling an learning environment, and rewards you at the end")</f>
        <v>Employer who pushes your limits by enabling an learning environment, and rewards you at the end</v>
      </c>
      <c r="M1377" s="1" t="str">
        <f ca="1">IFERROR(__xludf.DUMMYFUNCTION("""COMPUTED_VALUE"""),"Teaching in any of the institutes/colleges/online or offline, Become a content Creator in some platform, Entrepreneur or Start Up, I Want to sell things/Sales")</f>
        <v>Teaching in any of the institutes/colleges/online or offline, Become a content Creator in some platform, Entrepreneur or Start Up, I Want to sell things/Sales</v>
      </c>
      <c r="N1377" s="1"/>
      <c r="O1377" s="1" t="str">
        <f ca="1">IFERROR(__xludf.DUMMYFUNCTION("""COMPUTED_VALUE"""),"Manager who sets goal and helps me achieve it")</f>
        <v>Manager who sets goal and helps me achieve it</v>
      </c>
      <c r="P1377" s="1" t="str">
        <f ca="1">IFERROR(__xludf.DUMMYFUNCTION("""COMPUTED_VALUE"""),"Work alone")</f>
        <v>Work alone</v>
      </c>
      <c r="Q1377" s="1" t="s">
        <v>43</v>
      </c>
      <c r="R1377" s="1"/>
    </row>
    <row r="1378" spans="1:18" x14ac:dyDescent="0.25">
      <c r="A1378" s="2">
        <f ca="1">IFERROR(__xludf.DUMMYFUNCTION("""COMPUTED_VALUE"""),45044.8180245601)</f>
        <v>45044.818024560103</v>
      </c>
      <c r="B1378" s="1" t="str">
        <f ca="1">IFERROR(__xludf.DUMMYFUNCTION("""COMPUTED_VALUE"""),"India")</f>
        <v>India</v>
      </c>
      <c r="C1378" s="1">
        <f ca="1">IFERROR(__xludf.DUMMYFUNCTION("""COMPUTED_VALUE"""),603001)</f>
        <v>603001</v>
      </c>
      <c r="D1378" s="1" t="str">
        <f ca="1">IFERROR(__xludf.DUMMYFUNCTION("""COMPUTED_VALUE"""),"Male")</f>
        <v>Male</v>
      </c>
      <c r="E1378" s="1" t="str">
        <f ca="1">IFERROR(__xludf.DUMMYFUNCTION("""COMPUTED_VALUE"""),"Influencers who had successful careers")</f>
        <v>Influencers who had successful careers</v>
      </c>
      <c r="F1378" s="1" t="str">
        <f ca="1">IFERROR(__xludf.DUMMYFUNCTION("""COMPUTED_VALUE"""),"No, But if someone could bare the cost I will")</f>
        <v>No, But if someone could bare the cost I will</v>
      </c>
      <c r="G1378" s="1" t="str">
        <f ca="1">IFERROR(__xludf.DUMMYFUNCTION("""COMPUTED_VALUE"""),"Will work for 3 years or more")</f>
        <v>Will work for 3 years or more</v>
      </c>
      <c r="H1378" s="1" t="str">
        <f ca="1">IFERROR(__xludf.DUMMYFUNCTION("""COMPUTED_VALUE"""),"No")</f>
        <v>No</v>
      </c>
      <c r="I1378" s="1" t="str">
        <f ca="1">IFERROR(__xludf.DUMMYFUNCTION("""COMPUTED_VALUE"""),"Will NOT work for them")</f>
        <v>Will NOT work for them</v>
      </c>
      <c r="J1378" s="1">
        <f ca="1">IFERROR(__xludf.DUMMYFUNCTION("""COMPUTED_VALUE"""),2)</f>
        <v>2</v>
      </c>
      <c r="K1378" s="1" t="str">
        <f ca="1">IFERROR(__xludf.DUMMYFUNCTION("""COMPUTED_VALUE"""),"Fully Remote with Options to travel as and when needed")</f>
        <v>Fully Remote with Options to travel as and when needed</v>
      </c>
      <c r="L1378" s="1" t="str">
        <f ca="1">IFERROR(__xludf.DUMMYFUNCTION("""COMPUTED_VALUE"""),"Employer who appreciates learning and enables that environment")</f>
        <v>Employer who appreciates learning and enables that environment</v>
      </c>
      <c r="M1378" s="1" t="str">
        <f ca="1">IFERROR(__xludf.DUMMYFUNCTION("""COMPUTED_VALUE"""),"Business Operations in any organization, Look deeply into Data and generate insights, Entrepreneur or Start Up, I Want to sell things/Sales")</f>
        <v>Business Operations in any organization, Look deeply into Data and generate insights, Entrepreneur or Start Up, I Want to sell things/Sales</v>
      </c>
      <c r="N1378" s="1"/>
      <c r="O1378" s="1" t="str">
        <f ca="1">IFERROR(__xludf.DUMMYFUNCTION("""COMPUTED_VALUE"""),"Manager who clearly describes what she/he needs")</f>
        <v>Manager who clearly describes what she/he needs</v>
      </c>
      <c r="P1378" s="1" t="str">
        <f ca="1">IFERROR(__xludf.DUMMYFUNCTION("""COMPUTED_VALUE"""),"Work &gt;=7 People in the Team")</f>
        <v>Work &gt;=7 People in the Team</v>
      </c>
      <c r="Q1378" s="1" t="s">
        <v>43</v>
      </c>
      <c r="R1378" s="1"/>
    </row>
    <row r="1379" spans="1:18" x14ac:dyDescent="0.25">
      <c r="A1379" s="2">
        <f ca="1">IFERROR(__xludf.DUMMYFUNCTION("""COMPUTED_VALUE"""),45044.8208368865)</f>
        <v>45044.820836886502</v>
      </c>
      <c r="B1379" s="1" t="str">
        <f ca="1">IFERROR(__xludf.DUMMYFUNCTION("""COMPUTED_VALUE"""),"India")</f>
        <v>India</v>
      </c>
      <c r="C1379" s="1">
        <f ca="1">IFERROR(__xludf.DUMMYFUNCTION("""COMPUTED_VALUE"""),530016)</f>
        <v>530016</v>
      </c>
      <c r="D1379" s="1" t="str">
        <f ca="1">IFERROR(__xludf.DUMMYFUNCTION("""COMPUTED_VALUE"""),"Female")</f>
        <v>Female</v>
      </c>
      <c r="E1379" s="1" t="str">
        <f ca="1">IFERROR(__xludf.DUMMYFUNCTION("""COMPUTED_VALUE"""),"My Parents")</f>
        <v>My Parents</v>
      </c>
      <c r="F1379" s="1" t="str">
        <f ca="1">IFERROR(__xludf.DUMMYFUNCTION("""COMPUTED_VALUE"""),"Yes, I will earn and do that")</f>
        <v>Yes, I will earn and do that</v>
      </c>
      <c r="G1379" s="1" t="str">
        <f ca="1">IFERROR(__xludf.DUMMYFUNCTION("""COMPUTED_VALUE"""),"Will work for 3 years or more")</f>
        <v>Will work for 3 years or more</v>
      </c>
      <c r="H1379" s="1" t="str">
        <f ca="1">IFERROR(__xludf.DUMMYFUNCTION("""COMPUTED_VALUE"""),"No")</f>
        <v>No</v>
      </c>
      <c r="I1379" s="1" t="str">
        <f ca="1">IFERROR(__xludf.DUMMYFUNCTION("""COMPUTED_VALUE"""),"Will NOT work for them")</f>
        <v>Will NOT work for them</v>
      </c>
      <c r="J1379" s="1">
        <f ca="1">IFERROR(__xludf.DUMMYFUNCTION("""COMPUTED_VALUE"""),6)</f>
        <v>6</v>
      </c>
      <c r="K1379" s="1" t="str">
        <f ca="1">IFERROR(__xludf.DUMMYFUNCTION("""COMPUTED_VALUE"""),"Every Day Office Environment")</f>
        <v>Every Day Office Environment</v>
      </c>
      <c r="L1379" s="1" t="str">
        <f ca="1">IFERROR(__xludf.DUMMYFUNCTION("""COMPUTED_VALUE"""),"Employer who appreciates learning and enables that environment")</f>
        <v>Employer who appreciates learning and enables that environment</v>
      </c>
      <c r="M137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379" s="1"/>
      <c r="O1379" s="1" t="str">
        <f ca="1">IFERROR(__xludf.DUMMYFUNCTION("""COMPUTED_VALUE"""),"Manager who explains what is expected, sets a goal and helps achieve it")</f>
        <v>Manager who explains what is expected, sets a goal and helps achieve it</v>
      </c>
      <c r="P1379" s="1" t="str">
        <f ca="1">IFERROR(__xludf.DUMMYFUNCTION("""COMPUTED_VALUE"""),"Work &gt;10 people in Team")</f>
        <v>Work &gt;10 people in Team</v>
      </c>
      <c r="Q1379" s="1" t="s">
        <v>43</v>
      </c>
      <c r="R1379" s="1"/>
    </row>
    <row r="1380" spans="1:18" x14ac:dyDescent="0.25">
      <c r="A1380" s="2">
        <f ca="1">IFERROR(__xludf.DUMMYFUNCTION("""COMPUTED_VALUE"""),45044.8225547222)</f>
        <v>45044.822554722203</v>
      </c>
      <c r="B1380" s="1" t="str">
        <f ca="1">IFERROR(__xludf.DUMMYFUNCTION("""COMPUTED_VALUE"""),"India")</f>
        <v>India</v>
      </c>
      <c r="C1380" s="1">
        <f ca="1">IFERROR(__xludf.DUMMYFUNCTION("""COMPUTED_VALUE"""),603001)</f>
        <v>603001</v>
      </c>
      <c r="D1380" s="1" t="str">
        <f ca="1">IFERROR(__xludf.DUMMYFUNCTION("""COMPUTED_VALUE"""),"Female")</f>
        <v>Female</v>
      </c>
      <c r="E1380" s="1" t="str">
        <f ca="1">IFERROR(__xludf.DUMMYFUNCTION("""COMPUTED_VALUE"""),"People from my circle, but not family members")</f>
        <v>People from my circle, but not family members</v>
      </c>
      <c r="F1380" s="1" t="str">
        <f ca="1">IFERROR(__xludf.DUMMYFUNCTION("""COMPUTED_VALUE"""),"No I would not be pursuing Higher Education outside of India")</f>
        <v>No I would not be pursuing Higher Education outside of India</v>
      </c>
      <c r="G1380" s="1" t="str">
        <f ca="1">IFERROR(__xludf.DUMMYFUNCTION("""COMPUTED_VALUE"""),"This will be hard to do, but if it is the right company I would try")</f>
        <v>This will be hard to do, but if it is the right company I would try</v>
      </c>
      <c r="H1380" s="1" t="str">
        <f ca="1">IFERROR(__xludf.DUMMYFUNCTION("""COMPUTED_VALUE"""),"No")</f>
        <v>No</v>
      </c>
      <c r="I1380" s="1" t="str">
        <f ca="1">IFERROR(__xludf.DUMMYFUNCTION("""COMPUTED_VALUE"""),"Will NOT work for them")</f>
        <v>Will NOT work for them</v>
      </c>
      <c r="J1380" s="1">
        <f ca="1">IFERROR(__xludf.DUMMYFUNCTION("""COMPUTED_VALUE"""),4)</f>
        <v>4</v>
      </c>
      <c r="K1380" s="1" t="str">
        <f ca="1">IFERROR(__xludf.DUMMYFUNCTION("""COMPUTED_VALUE"""),"Hybrid Working Environment with more than 15 days a month at office")</f>
        <v>Hybrid Working Environment with more than 15 days a month at office</v>
      </c>
      <c r="L1380" s="1" t="str">
        <f ca="1">IFERROR(__xludf.DUMMYFUNCTION("""COMPUTED_VALUE"""),"Employer who pushes your limits by enabling an learning environment, and rewards you at the end")</f>
        <v>Employer who pushes your limits by enabling an learning environment, and rewards you at the end</v>
      </c>
      <c r="M138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380" s="1"/>
      <c r="O1380" s="1" t="str">
        <f ca="1">IFERROR(__xludf.DUMMYFUNCTION("""COMPUTED_VALUE"""),"Manager who explains what is expected, sets a goal and helps achieve it")</f>
        <v>Manager who explains what is expected, sets a goal and helps achieve it</v>
      </c>
      <c r="P1380" s="1" t="str">
        <f ca="1">IFERROR(__xludf.DUMMYFUNCTION("""COMPUTED_VALUE"""),"Work &lt;=6 People in the Team")</f>
        <v>Work &lt;=6 People in the Team</v>
      </c>
      <c r="Q1380" s="1" t="s">
        <v>43</v>
      </c>
      <c r="R1380" s="1"/>
    </row>
    <row r="1381" spans="1:18" x14ac:dyDescent="0.25">
      <c r="A1381" s="2">
        <f ca="1">IFERROR(__xludf.DUMMYFUNCTION("""COMPUTED_VALUE"""),45044.823875625)</f>
        <v>45044.823875624999</v>
      </c>
      <c r="B1381" s="1" t="str">
        <f ca="1">IFERROR(__xludf.DUMMYFUNCTION("""COMPUTED_VALUE"""),"India")</f>
        <v>India</v>
      </c>
      <c r="C1381" s="1">
        <f ca="1">IFERROR(__xludf.DUMMYFUNCTION("""COMPUTED_VALUE"""),753001)</f>
        <v>753001</v>
      </c>
      <c r="D1381" s="1" t="str">
        <f ca="1">IFERROR(__xludf.DUMMYFUNCTION("""COMPUTED_VALUE"""),"Female")</f>
        <v>Female</v>
      </c>
      <c r="E1381" s="1" t="str">
        <f ca="1">IFERROR(__xludf.DUMMYFUNCTION("""COMPUTED_VALUE"""),"My Parents")</f>
        <v>My Parents</v>
      </c>
      <c r="F1381" s="1" t="str">
        <f ca="1">IFERROR(__xludf.DUMMYFUNCTION("""COMPUTED_VALUE"""),"No, But if someone could bare the cost I will")</f>
        <v>No, But if someone could bare the cost I will</v>
      </c>
      <c r="G1381" s="1" t="str">
        <f ca="1">IFERROR(__xludf.DUMMYFUNCTION("""COMPUTED_VALUE"""),"Will work for 3 years or more")</f>
        <v>Will work for 3 years or more</v>
      </c>
      <c r="H1381" s="1" t="str">
        <f ca="1">IFERROR(__xludf.DUMMYFUNCTION("""COMPUTED_VALUE"""),"Yes")</f>
        <v>Yes</v>
      </c>
      <c r="I1381" s="1" t="str">
        <f ca="1">IFERROR(__xludf.DUMMYFUNCTION("""COMPUTED_VALUE"""),"Will work for them")</f>
        <v>Will work for them</v>
      </c>
      <c r="J1381" s="1">
        <f ca="1">IFERROR(__xludf.DUMMYFUNCTION("""COMPUTED_VALUE"""),3)</f>
        <v>3</v>
      </c>
      <c r="K1381" s="1" t="str">
        <f ca="1">IFERROR(__xludf.DUMMYFUNCTION("""COMPUTED_VALUE"""),"Every Day Office Environment")</f>
        <v>Every Day Office Environment</v>
      </c>
      <c r="L1381" s="1" t="str">
        <f ca="1">IFERROR(__xludf.DUMMYFUNCTION("""COMPUTED_VALUE"""),"Employer who pushes your limits by enabling an learning environment, and rewards you at the end")</f>
        <v>Employer who pushes your limits by enabling an learning environment, and rewards you at the end</v>
      </c>
      <c r="M1381"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N1381" s="1"/>
      <c r="O1381" s="1" t="str">
        <f ca="1">IFERROR(__xludf.DUMMYFUNCTION("""COMPUTED_VALUE"""),"Manager who explains what is expected, sets a goal and helps achieve it")</f>
        <v>Manager who explains what is expected, sets a goal and helps achieve it</v>
      </c>
      <c r="P1381" s="1" t="str">
        <f ca="1">IFERROR(__xludf.DUMMYFUNCTION("""COMPUTED_VALUE"""),"Work &lt;=6 People in the Team")</f>
        <v>Work &lt;=6 People in the Team</v>
      </c>
      <c r="Q1381" s="1" t="s">
        <v>40</v>
      </c>
      <c r="R1381" s="1"/>
    </row>
    <row r="1382" spans="1:18" x14ac:dyDescent="0.25">
      <c r="A1382" s="2">
        <f ca="1">IFERROR(__xludf.DUMMYFUNCTION("""COMPUTED_VALUE"""),45044.8267601504)</f>
        <v>45044.826760150398</v>
      </c>
      <c r="B1382" s="1" t="str">
        <f ca="1">IFERROR(__xludf.DUMMYFUNCTION("""COMPUTED_VALUE"""),"India")</f>
        <v>India</v>
      </c>
      <c r="C1382" s="1">
        <f ca="1">IFERROR(__xludf.DUMMYFUNCTION("""COMPUTED_VALUE"""),600073)</f>
        <v>600073</v>
      </c>
      <c r="D1382" s="1" t="str">
        <f ca="1">IFERROR(__xludf.DUMMYFUNCTION("""COMPUTED_VALUE"""),"Female")</f>
        <v>Female</v>
      </c>
      <c r="E1382" s="1" t="str">
        <f ca="1">IFERROR(__xludf.DUMMYFUNCTION("""COMPUTED_VALUE"""),"Influencers who had successful careers")</f>
        <v>Influencers who had successful careers</v>
      </c>
      <c r="F1382" s="1" t="str">
        <f ca="1">IFERROR(__xludf.DUMMYFUNCTION("""COMPUTED_VALUE"""),"No, But if someone could bare the cost I will")</f>
        <v>No, But if someone could bare the cost I will</v>
      </c>
      <c r="G1382" s="1" t="str">
        <f ca="1">IFERROR(__xludf.DUMMYFUNCTION("""COMPUTED_VALUE"""),"This will be hard to do, but if it is the right company I would try")</f>
        <v>This will be hard to do, but if it is the right company I would try</v>
      </c>
      <c r="H1382" s="1" t="str">
        <f ca="1">IFERROR(__xludf.DUMMYFUNCTION("""COMPUTED_VALUE"""),"No")</f>
        <v>No</v>
      </c>
      <c r="I1382" s="1" t="str">
        <f ca="1">IFERROR(__xludf.DUMMYFUNCTION("""COMPUTED_VALUE"""),"Will NOT work for them")</f>
        <v>Will NOT work for them</v>
      </c>
      <c r="J1382" s="1">
        <f ca="1">IFERROR(__xludf.DUMMYFUNCTION("""COMPUTED_VALUE"""),5)</f>
        <v>5</v>
      </c>
      <c r="K1382" s="1" t="str">
        <f ca="1">IFERROR(__xludf.DUMMYFUNCTION("""COMPUTED_VALUE"""),"Hybrid Working Environment with less than 3 days a month at office")</f>
        <v>Hybrid Working Environment with less than 3 days a month at office</v>
      </c>
      <c r="L1382" s="1" t="str">
        <f ca="1">IFERROR(__xludf.DUMMYFUNCTION("""COMPUTED_VALUE"""),"Employer who pushes your limits by enabling an learning environment, and rewards you at the end")</f>
        <v>Employer who pushes your limits by enabling an learning environment, and rewards you at the end</v>
      </c>
      <c r="M1382"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1382" s="1"/>
      <c r="O1382" s="1" t="str">
        <f ca="1">IFERROR(__xludf.DUMMYFUNCTION("""COMPUTED_VALUE"""),"Manager who explains what is expected, sets a goal and helps achieve it")</f>
        <v>Manager who explains what is expected, sets a goal and helps achieve it</v>
      </c>
      <c r="P1382" s="1" t="str">
        <f ca="1">IFERROR(__xludf.DUMMYFUNCTION("""COMPUTED_VALUE"""),"Work &gt;10 people in Team")</f>
        <v>Work &gt;10 people in Team</v>
      </c>
      <c r="Q1382" s="1" t="s">
        <v>40</v>
      </c>
      <c r="R1382" s="1"/>
    </row>
    <row r="1383" spans="1:18" x14ac:dyDescent="0.25">
      <c r="A1383" s="2">
        <f ca="1">IFERROR(__xludf.DUMMYFUNCTION("""COMPUTED_VALUE"""),45044.8270799652)</f>
        <v>45044.827079965202</v>
      </c>
      <c r="B1383" s="1" t="str">
        <f ca="1">IFERROR(__xludf.DUMMYFUNCTION("""COMPUTED_VALUE"""),"India")</f>
        <v>India</v>
      </c>
      <c r="C1383" s="1">
        <f ca="1">IFERROR(__xludf.DUMMYFUNCTION("""COMPUTED_VALUE"""),500010)</f>
        <v>500010</v>
      </c>
      <c r="D1383" s="1" t="str">
        <f ca="1">IFERROR(__xludf.DUMMYFUNCTION("""COMPUTED_VALUE"""),"Male")</f>
        <v>Male</v>
      </c>
      <c r="E1383" s="1" t="str">
        <f ca="1">IFERROR(__xludf.DUMMYFUNCTION("""COMPUTED_VALUE"""),"My Parents")</f>
        <v>My Parents</v>
      </c>
      <c r="F1383" s="1" t="str">
        <f ca="1">IFERROR(__xludf.DUMMYFUNCTION("""COMPUTED_VALUE"""),"Yes, I will earn and do that")</f>
        <v>Yes, I will earn and do that</v>
      </c>
      <c r="G1383" s="1" t="str">
        <f ca="1">IFERROR(__xludf.DUMMYFUNCTION("""COMPUTED_VALUE"""),"This will be hard to do, but if it is the right company I would try")</f>
        <v>This will be hard to do, but if it is the right company I would try</v>
      </c>
      <c r="H1383" s="1" t="str">
        <f ca="1">IFERROR(__xludf.DUMMYFUNCTION("""COMPUTED_VALUE"""),"No")</f>
        <v>No</v>
      </c>
      <c r="I1383" s="1" t="str">
        <f ca="1">IFERROR(__xludf.DUMMYFUNCTION("""COMPUTED_VALUE"""),"Will NOT work for them")</f>
        <v>Will NOT work for them</v>
      </c>
      <c r="J1383" s="1">
        <f ca="1">IFERROR(__xludf.DUMMYFUNCTION("""COMPUTED_VALUE"""),5)</f>
        <v>5</v>
      </c>
      <c r="K1383" s="1" t="str">
        <f ca="1">IFERROR(__xludf.DUMMYFUNCTION("""COMPUTED_VALUE"""),"Hybrid Working Environment with less than 3 days a month at office")</f>
        <v>Hybrid Working Environment with less than 3 days a month at office</v>
      </c>
      <c r="L1383" s="1" t="str">
        <f ca="1">IFERROR(__xludf.DUMMYFUNCTION("""COMPUTED_VALUE"""),"Employer who pushes your limits by enabling an learning environment, and rewards you at the end")</f>
        <v>Employer who pushes your limits by enabling an learning environment, and rewards you at the end</v>
      </c>
      <c r="M138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383" s="1"/>
      <c r="O1383" s="1" t="str">
        <f ca="1">IFERROR(__xludf.DUMMYFUNCTION("""COMPUTED_VALUE"""),"Manager who explains what is expected, sets a goal and helps achieve it")</f>
        <v>Manager who explains what is expected, sets a goal and helps achieve it</v>
      </c>
      <c r="P1383" s="1" t="str">
        <f ca="1">IFERROR(__xludf.DUMMYFUNCTION("""COMPUTED_VALUE"""),"Work &lt;=6 People in the Team")</f>
        <v>Work &lt;=6 People in the Team</v>
      </c>
      <c r="Q1383" s="1" t="s">
        <v>43</v>
      </c>
      <c r="R1383" s="1"/>
    </row>
    <row r="1384" spans="1:18" x14ac:dyDescent="0.25">
      <c r="A1384" s="2">
        <f ca="1">IFERROR(__xludf.DUMMYFUNCTION("""COMPUTED_VALUE"""),45044.8310726967)</f>
        <v>45044.831072696703</v>
      </c>
      <c r="B1384" s="1" t="str">
        <f ca="1">IFERROR(__xludf.DUMMYFUNCTION("""COMPUTED_VALUE"""),"India")</f>
        <v>India</v>
      </c>
      <c r="C1384" s="1">
        <f ca="1">IFERROR(__xludf.DUMMYFUNCTION("""COMPUTED_VALUE"""),530072)</f>
        <v>530072</v>
      </c>
      <c r="D1384" s="1" t="str">
        <f ca="1">IFERROR(__xludf.DUMMYFUNCTION("""COMPUTED_VALUE"""),"Female")</f>
        <v>Female</v>
      </c>
      <c r="E1384" s="1" t="str">
        <f ca="1">IFERROR(__xludf.DUMMYFUNCTION("""COMPUTED_VALUE"""),"People from my circle, but not family members")</f>
        <v>People from my circle, but not family members</v>
      </c>
      <c r="F1384" s="1" t="str">
        <f ca="1">IFERROR(__xludf.DUMMYFUNCTION("""COMPUTED_VALUE"""),"No I would not be pursuing Higher Education outside of India")</f>
        <v>No I would not be pursuing Higher Education outside of India</v>
      </c>
      <c r="G1384" s="1" t="str">
        <f ca="1">IFERROR(__xludf.DUMMYFUNCTION("""COMPUTED_VALUE"""),"This will be hard to do, but if it is the right company I would try")</f>
        <v>This will be hard to do, but if it is the right company I would try</v>
      </c>
      <c r="H1384" s="1" t="str">
        <f ca="1">IFERROR(__xludf.DUMMYFUNCTION("""COMPUTED_VALUE"""),"No")</f>
        <v>No</v>
      </c>
      <c r="I1384" s="1" t="str">
        <f ca="1">IFERROR(__xludf.DUMMYFUNCTION("""COMPUTED_VALUE"""),"Will work for them")</f>
        <v>Will work for them</v>
      </c>
      <c r="J1384" s="1">
        <f ca="1">IFERROR(__xludf.DUMMYFUNCTION("""COMPUTED_VALUE"""),6)</f>
        <v>6</v>
      </c>
      <c r="K1384" s="1" t="str">
        <f ca="1">IFERROR(__xludf.DUMMYFUNCTION("""COMPUTED_VALUE"""),"Hybrid Working Environment with less than 3 days a month at office")</f>
        <v>Hybrid Working Environment with less than 3 days a month at office</v>
      </c>
      <c r="L1384" s="1" t="str">
        <f ca="1">IFERROR(__xludf.DUMMYFUNCTION("""COMPUTED_VALUE"""),"Employer who rewards learning and enables that environment")</f>
        <v>Employer who rewards learning and enables that environment</v>
      </c>
      <c r="M1384"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N1384" s="1"/>
      <c r="O1384" s="1" t="str">
        <f ca="1">IFERROR(__xludf.DUMMYFUNCTION("""COMPUTED_VALUE"""),"Manager who explains what is expected, sets a goal and helps achieve it")</f>
        <v>Manager who explains what is expected, sets a goal and helps achieve it</v>
      </c>
      <c r="P1384" s="1" t="str">
        <f ca="1">IFERROR(__xludf.DUMMYFUNCTION("""COMPUTED_VALUE"""),"Work &lt;=6 People in the Team")</f>
        <v>Work &lt;=6 People in the Team</v>
      </c>
      <c r="Q1384" s="1" t="s">
        <v>43</v>
      </c>
      <c r="R1384" s="1"/>
    </row>
    <row r="1385" spans="1:18" x14ac:dyDescent="0.25">
      <c r="A1385" s="2">
        <f ca="1">IFERROR(__xludf.DUMMYFUNCTION("""COMPUTED_VALUE"""),45044.8336682754)</f>
        <v>45044.833668275402</v>
      </c>
      <c r="B1385" s="1" t="str">
        <f ca="1">IFERROR(__xludf.DUMMYFUNCTION("""COMPUTED_VALUE"""),"India")</f>
        <v>India</v>
      </c>
      <c r="C1385" s="1">
        <f ca="1">IFERROR(__xludf.DUMMYFUNCTION("""COMPUTED_VALUE"""),530001)</f>
        <v>530001</v>
      </c>
      <c r="D1385" s="1" t="str">
        <f ca="1">IFERROR(__xludf.DUMMYFUNCTION("""COMPUTED_VALUE"""),"Female")</f>
        <v>Female</v>
      </c>
      <c r="E1385" s="1" t="str">
        <f ca="1">IFERROR(__xludf.DUMMYFUNCTION("""COMPUTED_VALUE"""),"My Parents")</f>
        <v>My Parents</v>
      </c>
      <c r="F1385" s="1" t="str">
        <f ca="1">IFERROR(__xludf.DUMMYFUNCTION("""COMPUTED_VALUE"""),"No I would not be pursuing Higher Education outside of India")</f>
        <v>No I would not be pursuing Higher Education outside of India</v>
      </c>
      <c r="G1385" s="1" t="str">
        <f ca="1">IFERROR(__xludf.DUMMYFUNCTION("""COMPUTED_VALUE"""),"Will work for 3 years or more")</f>
        <v>Will work for 3 years or more</v>
      </c>
      <c r="H1385" s="1" t="str">
        <f ca="1">IFERROR(__xludf.DUMMYFUNCTION("""COMPUTED_VALUE"""),"No")</f>
        <v>No</v>
      </c>
      <c r="I1385" s="1" t="str">
        <f ca="1">IFERROR(__xludf.DUMMYFUNCTION("""COMPUTED_VALUE"""),"Will NOT work for them")</f>
        <v>Will NOT work for them</v>
      </c>
      <c r="J1385" s="1">
        <f ca="1">IFERROR(__xludf.DUMMYFUNCTION("""COMPUTED_VALUE"""),5)</f>
        <v>5</v>
      </c>
      <c r="K1385" s="1" t="str">
        <f ca="1">IFERROR(__xludf.DUMMYFUNCTION("""COMPUTED_VALUE"""),"Fully Remote with Options to travel as and when needed")</f>
        <v>Fully Remote with Options to travel as and when needed</v>
      </c>
      <c r="L1385" s="1" t="str">
        <f ca="1">IFERROR(__xludf.DUMMYFUNCTION("""COMPUTED_VALUE"""),"Employer who appreciates learning and enables that environment")</f>
        <v>Employer who appreciates learning and enables that environment</v>
      </c>
      <c r="M1385"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1385" s="1"/>
      <c r="O1385" s="1" t="str">
        <f ca="1">IFERROR(__xludf.DUMMYFUNCTION("""COMPUTED_VALUE"""),"Manager who explains what is expected, sets a goal and helps achieve it")</f>
        <v>Manager who explains what is expected, sets a goal and helps achieve it</v>
      </c>
      <c r="P1385" s="1" t="str">
        <f ca="1">IFERROR(__xludf.DUMMYFUNCTION("""COMPUTED_VALUE"""),"Work &gt;10 people in Team")</f>
        <v>Work &gt;10 people in Team</v>
      </c>
      <c r="Q1385" s="1" t="s">
        <v>43</v>
      </c>
      <c r="R1385" s="1"/>
    </row>
    <row r="1386" spans="1:18" x14ac:dyDescent="0.25">
      <c r="A1386" s="2">
        <f ca="1">IFERROR(__xludf.DUMMYFUNCTION("""COMPUTED_VALUE"""),45044.8340515277)</f>
        <v>45044.834051527701</v>
      </c>
      <c r="B1386" s="1" t="str">
        <f ca="1">IFERROR(__xludf.DUMMYFUNCTION("""COMPUTED_VALUE"""),"India")</f>
        <v>India</v>
      </c>
      <c r="C1386" s="1">
        <f ca="1">IFERROR(__xludf.DUMMYFUNCTION("""COMPUTED_VALUE"""),502032)</f>
        <v>502032</v>
      </c>
      <c r="D1386" s="1" t="str">
        <f ca="1">IFERROR(__xludf.DUMMYFUNCTION("""COMPUTED_VALUE"""),"Female")</f>
        <v>Female</v>
      </c>
      <c r="E1386" s="1" t="str">
        <f ca="1">IFERROR(__xludf.DUMMYFUNCTION("""COMPUTED_VALUE"""),"People who have changed the world for better")</f>
        <v>People who have changed the world for better</v>
      </c>
      <c r="F1386" s="1" t="str">
        <f ca="1">IFERROR(__xludf.DUMMYFUNCTION("""COMPUTED_VALUE"""),"No, But if someone could bare the cost I will")</f>
        <v>No, But if someone could bare the cost I will</v>
      </c>
      <c r="G1386" s="1" t="str">
        <f ca="1">IFERROR(__xludf.DUMMYFUNCTION("""COMPUTED_VALUE"""),"Will work for 3 years or more")</f>
        <v>Will work for 3 years or more</v>
      </c>
      <c r="H1386" s="1" t="str">
        <f ca="1">IFERROR(__xludf.DUMMYFUNCTION("""COMPUTED_VALUE"""),"No")</f>
        <v>No</v>
      </c>
      <c r="I1386" s="1" t="str">
        <f ca="1">IFERROR(__xludf.DUMMYFUNCTION("""COMPUTED_VALUE"""),"Will NOT work for them")</f>
        <v>Will NOT work for them</v>
      </c>
      <c r="J1386" s="1">
        <f ca="1">IFERROR(__xludf.DUMMYFUNCTION("""COMPUTED_VALUE"""),3)</f>
        <v>3</v>
      </c>
      <c r="K1386" s="1" t="str">
        <f ca="1">IFERROR(__xludf.DUMMYFUNCTION("""COMPUTED_VALUE"""),"Every Day Office Environment")</f>
        <v>Every Day Office Environment</v>
      </c>
      <c r="L1386" s="1" t="str">
        <f ca="1">IFERROR(__xludf.DUMMYFUNCTION("""COMPUTED_VALUE"""),"Employer who appreciates learning and enables that environment")</f>
        <v>Employer who appreciates learning and enables that environment</v>
      </c>
      <c r="M1386"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N1386" s="1"/>
      <c r="O1386" s="1" t="str">
        <f ca="1">IFERROR(__xludf.DUMMYFUNCTION("""COMPUTED_VALUE"""),"Manager who clearly describes what she/he needs")</f>
        <v>Manager who clearly describes what she/he needs</v>
      </c>
      <c r="P1386" s="1" t="str">
        <f ca="1">IFERROR(__xludf.DUMMYFUNCTION("""COMPUTED_VALUE"""),"Work &lt;=6 People in the Team")</f>
        <v>Work &lt;=6 People in the Team</v>
      </c>
      <c r="Q1386" s="1" t="s">
        <v>43</v>
      </c>
      <c r="R1386" s="1"/>
    </row>
    <row r="1387" spans="1:18" x14ac:dyDescent="0.25">
      <c r="A1387" s="2">
        <f ca="1">IFERROR(__xludf.DUMMYFUNCTION("""COMPUTED_VALUE"""),45044.8345561574)</f>
        <v>45044.834556157402</v>
      </c>
      <c r="B1387" s="1" t="str">
        <f ca="1">IFERROR(__xludf.DUMMYFUNCTION("""COMPUTED_VALUE"""),"India")</f>
        <v>India</v>
      </c>
      <c r="C1387" s="1">
        <f ca="1">IFERROR(__xludf.DUMMYFUNCTION("""COMPUTED_VALUE"""),533201)</f>
        <v>533201</v>
      </c>
      <c r="D1387" s="1" t="str">
        <f ca="1">IFERROR(__xludf.DUMMYFUNCTION("""COMPUTED_VALUE"""),"Male")</f>
        <v>Male</v>
      </c>
      <c r="E1387" s="1" t="str">
        <f ca="1">IFERROR(__xludf.DUMMYFUNCTION("""COMPUTED_VALUE"""),"My Parents")</f>
        <v>My Parents</v>
      </c>
      <c r="F1387" s="1" t="str">
        <f ca="1">IFERROR(__xludf.DUMMYFUNCTION("""COMPUTED_VALUE"""),"No, But if someone could bare the cost I will")</f>
        <v>No, But if someone could bare the cost I will</v>
      </c>
      <c r="G1387" s="1" t="str">
        <f ca="1">IFERROR(__xludf.DUMMYFUNCTION("""COMPUTED_VALUE"""),"This will be hard to do, but if it is the right company I would try")</f>
        <v>This will be hard to do, but if it is the right company I would try</v>
      </c>
      <c r="H1387" s="1" t="str">
        <f ca="1">IFERROR(__xludf.DUMMYFUNCTION("""COMPUTED_VALUE"""),"No")</f>
        <v>No</v>
      </c>
      <c r="I1387" s="1" t="str">
        <f ca="1">IFERROR(__xludf.DUMMYFUNCTION("""COMPUTED_VALUE"""),"Will NOT work for them")</f>
        <v>Will NOT work for them</v>
      </c>
      <c r="J1387" s="1">
        <f ca="1">IFERROR(__xludf.DUMMYFUNCTION("""COMPUTED_VALUE"""),5)</f>
        <v>5</v>
      </c>
      <c r="K1387" s="1" t="str">
        <f ca="1">IFERROR(__xludf.DUMMYFUNCTION("""COMPUTED_VALUE"""),"Fully Remote with Options to travel as and when needed")</f>
        <v>Fully Remote with Options to travel as and when needed</v>
      </c>
      <c r="L1387" s="1" t="str">
        <f ca="1">IFERROR(__xludf.DUMMYFUNCTION("""COMPUTED_VALUE"""),"Employer who appreciates learning and enables that environment")</f>
        <v>Employer who appreciates learning and enables that environment</v>
      </c>
      <c r="M1387"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N1387" s="1"/>
      <c r="O1387" s="1" t="str">
        <f ca="1">IFERROR(__xludf.DUMMYFUNCTION("""COMPUTED_VALUE"""),"Manager who explains what is expected, sets a goal and helps achieve it")</f>
        <v>Manager who explains what is expected, sets a goal and helps achieve it</v>
      </c>
      <c r="P1387" s="1" t="str">
        <f ca="1">IFERROR(__xludf.DUMMYFUNCTION("""COMPUTED_VALUE"""),"Work Alone, &lt;=6 in team")</f>
        <v>Work Alone, &lt;=6 in team</v>
      </c>
      <c r="Q1387" s="1" t="s">
        <v>43</v>
      </c>
      <c r="R1387" s="1"/>
    </row>
    <row r="1388" spans="1:18" x14ac:dyDescent="0.25">
      <c r="A1388" s="2">
        <f ca="1">IFERROR(__xludf.DUMMYFUNCTION("""COMPUTED_VALUE"""),45044.8369749537)</f>
        <v>45044.836974953701</v>
      </c>
      <c r="B1388" s="1" t="str">
        <f ca="1">IFERROR(__xludf.DUMMYFUNCTION("""COMPUTED_VALUE"""),"India")</f>
        <v>India</v>
      </c>
      <c r="C1388" s="1">
        <f ca="1">IFERROR(__xludf.DUMMYFUNCTION("""COMPUTED_VALUE"""),607803)</f>
        <v>607803</v>
      </c>
      <c r="D1388" s="1" t="str">
        <f ca="1">IFERROR(__xludf.DUMMYFUNCTION("""COMPUTED_VALUE"""),"Female")</f>
        <v>Female</v>
      </c>
      <c r="E1388" s="1" t="str">
        <f ca="1">IFERROR(__xludf.DUMMYFUNCTION("""COMPUTED_VALUE"""),"People who have changed the world for better")</f>
        <v>People who have changed the world for better</v>
      </c>
      <c r="F1388" s="1" t="str">
        <f ca="1">IFERROR(__xludf.DUMMYFUNCTION("""COMPUTED_VALUE"""),"Yes, I will earn and do that")</f>
        <v>Yes, I will earn and do that</v>
      </c>
      <c r="G1388" s="1" t="str">
        <f ca="1">IFERROR(__xludf.DUMMYFUNCTION("""COMPUTED_VALUE"""),"This will be hard to do, but if it is the right company I would try")</f>
        <v>This will be hard to do, but if it is the right company I would try</v>
      </c>
      <c r="H1388" s="1" t="str">
        <f ca="1">IFERROR(__xludf.DUMMYFUNCTION("""COMPUTED_VALUE"""),"No")</f>
        <v>No</v>
      </c>
      <c r="I1388" s="1" t="str">
        <f ca="1">IFERROR(__xludf.DUMMYFUNCTION("""COMPUTED_VALUE"""),"Will NOT work for them")</f>
        <v>Will NOT work for them</v>
      </c>
      <c r="J1388" s="1">
        <f ca="1">IFERROR(__xludf.DUMMYFUNCTION("""COMPUTED_VALUE"""),5)</f>
        <v>5</v>
      </c>
      <c r="K1388" s="1" t="str">
        <f ca="1">IFERROR(__xludf.DUMMYFUNCTION("""COMPUTED_VALUE"""),"Hybrid Working Environment with more than 15 days a month at office")</f>
        <v>Hybrid Working Environment with more than 15 days a month at office</v>
      </c>
      <c r="L1388" s="1" t="str">
        <f ca="1">IFERROR(__xludf.DUMMYFUNCTION("""COMPUTED_VALUE"""),"Employer who appreciates learning and enables that environment")</f>
        <v>Employer who appreciates learning and enables that environment</v>
      </c>
      <c r="M1388"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N1388" s="1"/>
      <c r="O1388" s="1" t="str">
        <f ca="1">IFERROR(__xludf.DUMMYFUNCTION("""COMPUTED_VALUE"""),"Manager who sets goal and helps me achieve it")</f>
        <v>Manager who sets goal and helps me achieve it</v>
      </c>
      <c r="P1388" s="1" t="str">
        <f ca="1">IFERROR(__xludf.DUMMYFUNCTION("""COMPUTED_VALUE"""),"Work &gt;=7 People in the Team")</f>
        <v>Work &gt;=7 People in the Team</v>
      </c>
      <c r="Q1388" s="1" t="s">
        <v>43</v>
      </c>
      <c r="R1388" s="1"/>
    </row>
    <row r="1389" spans="1:18" x14ac:dyDescent="0.25">
      <c r="A1389" s="2">
        <f ca="1">IFERROR(__xludf.DUMMYFUNCTION("""COMPUTED_VALUE"""),45044.844605324)</f>
        <v>45044.844605323997</v>
      </c>
      <c r="B1389" s="1" t="str">
        <f ca="1">IFERROR(__xludf.DUMMYFUNCTION("""COMPUTED_VALUE"""),"India")</f>
        <v>India</v>
      </c>
      <c r="C1389" s="1">
        <f ca="1">IFERROR(__xludf.DUMMYFUNCTION("""COMPUTED_VALUE"""),560094)</f>
        <v>560094</v>
      </c>
      <c r="D1389" s="1" t="str">
        <f ca="1">IFERROR(__xludf.DUMMYFUNCTION("""COMPUTED_VALUE"""),"Female")</f>
        <v>Female</v>
      </c>
      <c r="E1389" s="1" t="str">
        <f ca="1">IFERROR(__xludf.DUMMYFUNCTION("""COMPUTED_VALUE"""),"People who have changed the world for better")</f>
        <v>People who have changed the world for better</v>
      </c>
      <c r="F1389" s="1" t="str">
        <f ca="1">IFERROR(__xludf.DUMMYFUNCTION("""COMPUTED_VALUE"""),"Yes, I will earn and do that")</f>
        <v>Yes, I will earn and do that</v>
      </c>
      <c r="G1389" s="1" t="str">
        <f ca="1">IFERROR(__xludf.DUMMYFUNCTION("""COMPUTED_VALUE"""),"This will be hard to do, but if it is the right company I would try")</f>
        <v>This will be hard to do, but if it is the right company I would try</v>
      </c>
      <c r="H1389" s="1" t="str">
        <f ca="1">IFERROR(__xludf.DUMMYFUNCTION("""COMPUTED_VALUE"""),"No")</f>
        <v>No</v>
      </c>
      <c r="I1389" s="1" t="str">
        <f ca="1">IFERROR(__xludf.DUMMYFUNCTION("""COMPUTED_VALUE"""),"Will NOT work for them")</f>
        <v>Will NOT work for them</v>
      </c>
      <c r="J1389" s="1">
        <f ca="1">IFERROR(__xludf.DUMMYFUNCTION("""COMPUTED_VALUE"""),2)</f>
        <v>2</v>
      </c>
      <c r="K1389" s="1" t="str">
        <f ca="1">IFERROR(__xludf.DUMMYFUNCTION("""COMPUTED_VALUE"""),"Fully Remote with Options to travel as and when needed")</f>
        <v>Fully Remote with Options to travel as and when needed</v>
      </c>
      <c r="L1389" s="1" t="str">
        <f ca="1">IFERROR(__xludf.DUMMYFUNCTION("""COMPUTED_VALUE"""),"Employer who appreciates learning and enables that environment")</f>
        <v>Employer who appreciates learning and enables that environment</v>
      </c>
      <c r="M1389"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389" s="1"/>
      <c r="O1389" s="1" t="str">
        <f ca="1">IFERROR(__xludf.DUMMYFUNCTION("""COMPUTED_VALUE"""),"Manager who clearly describes what she/he needs")</f>
        <v>Manager who clearly describes what she/he needs</v>
      </c>
      <c r="P1389" s="1" t="str">
        <f ca="1">IFERROR(__xludf.DUMMYFUNCTION("""COMPUTED_VALUE"""),"Work &lt;=6 People in the Team")</f>
        <v>Work &lt;=6 People in the Team</v>
      </c>
      <c r="Q1389" s="1" t="s">
        <v>43</v>
      </c>
      <c r="R1389" s="1"/>
    </row>
    <row r="1390" spans="1:18" x14ac:dyDescent="0.25">
      <c r="A1390" s="2">
        <f ca="1">IFERROR(__xludf.DUMMYFUNCTION("""COMPUTED_VALUE"""),45044.8458607407)</f>
        <v>45044.845860740701</v>
      </c>
      <c r="B1390" s="1" t="str">
        <f ca="1">IFERROR(__xludf.DUMMYFUNCTION("""COMPUTED_VALUE"""),"India")</f>
        <v>India</v>
      </c>
      <c r="C1390" s="1">
        <f ca="1">IFERROR(__xludf.DUMMYFUNCTION("""COMPUTED_VALUE"""),509334)</f>
        <v>509334</v>
      </c>
      <c r="D1390" s="1" t="str">
        <f ca="1">IFERROR(__xludf.DUMMYFUNCTION("""COMPUTED_VALUE"""),"Female")</f>
        <v>Female</v>
      </c>
      <c r="E1390" s="1" t="str">
        <f ca="1">IFERROR(__xludf.DUMMYFUNCTION("""COMPUTED_VALUE"""),"People who have changed the world for better")</f>
        <v>People who have changed the world for better</v>
      </c>
      <c r="F1390" s="1" t="str">
        <f ca="1">IFERROR(__xludf.DUMMYFUNCTION("""COMPUTED_VALUE"""),"Yes, I will earn and do that")</f>
        <v>Yes, I will earn and do that</v>
      </c>
      <c r="G1390" s="1" t="str">
        <f ca="1">IFERROR(__xludf.DUMMYFUNCTION("""COMPUTED_VALUE"""),"This will be hard to do, but if it is the right company I would try")</f>
        <v>This will be hard to do, but if it is the right company I would try</v>
      </c>
      <c r="H1390" s="1" t="str">
        <f ca="1">IFERROR(__xludf.DUMMYFUNCTION("""COMPUTED_VALUE"""),"No")</f>
        <v>No</v>
      </c>
      <c r="I1390" s="1" t="str">
        <f ca="1">IFERROR(__xludf.DUMMYFUNCTION("""COMPUTED_VALUE"""),"Will NOT work for them")</f>
        <v>Will NOT work for them</v>
      </c>
      <c r="J1390" s="1">
        <f ca="1">IFERROR(__xludf.DUMMYFUNCTION("""COMPUTED_VALUE"""),1)</f>
        <v>1</v>
      </c>
      <c r="K1390" s="1" t="str">
        <f ca="1">IFERROR(__xludf.DUMMYFUNCTION("""COMPUTED_VALUE"""),"Fully Remote with Options to travel as and when needed")</f>
        <v>Fully Remote with Options to travel as and when needed</v>
      </c>
      <c r="L1390" s="1" t="str">
        <f ca="1">IFERROR(__xludf.DUMMYFUNCTION("""COMPUTED_VALUE"""),"Employer who pushes your limits by enabling an learning environment, and rewards you at the end")</f>
        <v>Employer who pushes your limits by enabling an learning environment, and rewards you at the end</v>
      </c>
      <c r="M1390"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390" s="1"/>
      <c r="O1390" s="1" t="str">
        <f ca="1">IFERROR(__xludf.DUMMYFUNCTION("""COMPUTED_VALUE"""),"Manager who explains what is expected, sets a goal and helps achieve it")</f>
        <v>Manager who explains what is expected, sets a goal and helps achieve it</v>
      </c>
      <c r="P1390" s="1" t="str">
        <f ca="1">IFERROR(__xludf.DUMMYFUNCTION("""COMPUTED_VALUE"""),"Work &lt;=6 People in the Team")</f>
        <v>Work &lt;=6 People in the Team</v>
      </c>
      <c r="Q1390" s="1" t="s">
        <v>40</v>
      </c>
      <c r="R1390" s="1"/>
    </row>
    <row r="1391" spans="1:18" x14ac:dyDescent="0.25">
      <c r="A1391" s="2">
        <f ca="1">IFERROR(__xludf.DUMMYFUNCTION("""COMPUTED_VALUE"""),45044.8480246064)</f>
        <v>45044.848024606399</v>
      </c>
      <c r="B1391" s="1" t="str">
        <f ca="1">IFERROR(__xludf.DUMMYFUNCTION("""COMPUTED_VALUE"""),"India")</f>
        <v>India</v>
      </c>
      <c r="C1391" s="1">
        <f ca="1">IFERROR(__xludf.DUMMYFUNCTION("""COMPUTED_VALUE"""),531034)</f>
        <v>531034</v>
      </c>
      <c r="D1391" s="1" t="str">
        <f ca="1">IFERROR(__xludf.DUMMYFUNCTION("""COMPUTED_VALUE"""),"Male")</f>
        <v>Male</v>
      </c>
      <c r="E1391" s="1" t="str">
        <f ca="1">IFERROR(__xludf.DUMMYFUNCTION("""COMPUTED_VALUE"""),"People from my circle, but not family members")</f>
        <v>People from my circle, but not family members</v>
      </c>
      <c r="F1391" s="1" t="str">
        <f ca="1">IFERROR(__xludf.DUMMYFUNCTION("""COMPUTED_VALUE"""),"No I would not be pursuing Higher Education outside of India")</f>
        <v>No I would not be pursuing Higher Education outside of India</v>
      </c>
      <c r="G1391" s="1" t="str">
        <f ca="1">IFERROR(__xludf.DUMMYFUNCTION("""COMPUTED_VALUE"""),"This will be hard to do, but if it is the right company I would try")</f>
        <v>This will be hard to do, but if it is the right company I would try</v>
      </c>
      <c r="H1391" s="1" t="str">
        <f ca="1">IFERROR(__xludf.DUMMYFUNCTION("""COMPUTED_VALUE"""),"No")</f>
        <v>No</v>
      </c>
      <c r="I1391" s="1" t="str">
        <f ca="1">IFERROR(__xludf.DUMMYFUNCTION("""COMPUTED_VALUE"""),"Will NOT work for them")</f>
        <v>Will NOT work for them</v>
      </c>
      <c r="J1391" s="1">
        <f ca="1">IFERROR(__xludf.DUMMYFUNCTION("""COMPUTED_VALUE"""),3)</f>
        <v>3</v>
      </c>
      <c r="K1391" s="1" t="str">
        <f ca="1">IFERROR(__xludf.DUMMYFUNCTION("""COMPUTED_VALUE"""),"Fully Remote with Options to travel as and when needed")</f>
        <v>Fully Remote with Options to travel as and when needed</v>
      </c>
      <c r="L1391" s="1" t="str">
        <f ca="1">IFERROR(__xludf.DUMMYFUNCTION("""COMPUTED_VALUE"""),"Employer who pushes your limits by enabling an learning environment, and rewards you at the end")</f>
        <v>Employer who pushes your limits by enabling an learning environment, and rewards you at the end</v>
      </c>
      <c r="M1391"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N1391" s="1"/>
      <c r="O1391" s="1" t="str">
        <f ca="1">IFERROR(__xludf.DUMMYFUNCTION("""COMPUTED_VALUE"""),"Manager who explains what is expected, sets a goal and helps achieve it")</f>
        <v>Manager who explains what is expected, sets a goal and helps achieve it</v>
      </c>
      <c r="P1391" s="1" t="str">
        <f ca="1">IFERROR(__xludf.DUMMYFUNCTION("""COMPUTED_VALUE"""),"Work Alone, &lt;=6 in team")</f>
        <v>Work Alone, &lt;=6 in team</v>
      </c>
      <c r="Q1391" s="1" t="s">
        <v>43</v>
      </c>
      <c r="R1391" s="1"/>
    </row>
    <row r="1392" spans="1:18" x14ac:dyDescent="0.25">
      <c r="A1392" s="2">
        <f ca="1">IFERROR(__xludf.DUMMYFUNCTION("""COMPUTED_VALUE"""),45044.848354456)</f>
        <v>45044.848354456</v>
      </c>
      <c r="B1392" s="1" t="str">
        <f ca="1">IFERROR(__xludf.DUMMYFUNCTION("""COMPUTED_VALUE"""),"India")</f>
        <v>India</v>
      </c>
      <c r="C1392" s="1">
        <f ca="1">IFERROR(__xludf.DUMMYFUNCTION("""COMPUTED_VALUE"""),500085)</f>
        <v>500085</v>
      </c>
      <c r="D1392" s="1" t="str">
        <f ca="1">IFERROR(__xludf.DUMMYFUNCTION("""COMPUTED_VALUE"""),"Female")</f>
        <v>Female</v>
      </c>
      <c r="E1392" s="1" t="str">
        <f ca="1">IFERROR(__xludf.DUMMYFUNCTION("""COMPUTED_VALUE"""),"My Parents")</f>
        <v>My Parents</v>
      </c>
      <c r="F1392" s="1" t="str">
        <f ca="1">IFERROR(__xludf.DUMMYFUNCTION("""COMPUTED_VALUE"""),"No I would not be pursuing Higher Education outside of India")</f>
        <v>No I would not be pursuing Higher Education outside of India</v>
      </c>
      <c r="G1392" s="1" t="str">
        <f ca="1">IFERROR(__xludf.DUMMYFUNCTION("""COMPUTED_VALUE"""),"This will be hard to do, but if it is the right company I would try")</f>
        <v>This will be hard to do, but if it is the right company I would try</v>
      </c>
      <c r="H1392" s="1" t="str">
        <f ca="1">IFERROR(__xludf.DUMMYFUNCTION("""COMPUTED_VALUE"""),"No")</f>
        <v>No</v>
      </c>
      <c r="I1392" s="1" t="str">
        <f ca="1">IFERROR(__xludf.DUMMYFUNCTION("""COMPUTED_VALUE"""),"Will NOT work for them")</f>
        <v>Will NOT work for them</v>
      </c>
      <c r="J1392" s="1">
        <f ca="1">IFERROR(__xludf.DUMMYFUNCTION("""COMPUTED_VALUE"""),5)</f>
        <v>5</v>
      </c>
      <c r="K1392" s="1" t="str">
        <f ca="1">IFERROR(__xludf.DUMMYFUNCTION("""COMPUTED_VALUE"""),"Fully Remote with Options to travel as and when needed")</f>
        <v>Fully Remote with Options to travel as and when needed</v>
      </c>
      <c r="L1392" s="1" t="str">
        <f ca="1">IFERROR(__xludf.DUMMYFUNCTION("""COMPUTED_VALUE"""),"Employer who pushes your limits by enabling an learning environment, and rewards you at the end")</f>
        <v>Employer who pushes your limits by enabling an learning environment, and rewards you at the end</v>
      </c>
      <c r="M1392"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N1392" s="1"/>
      <c r="O1392" s="1" t="str">
        <f ca="1">IFERROR(__xludf.DUMMYFUNCTION("""COMPUTED_VALUE"""),"Manager who explains what is expected, sets a goal and helps achieve it")</f>
        <v>Manager who explains what is expected, sets a goal and helps achieve it</v>
      </c>
      <c r="P1392" s="1" t="str">
        <f ca="1">IFERROR(__xludf.DUMMYFUNCTION("""COMPUTED_VALUE"""),"Work &lt;=6 People in the Team")</f>
        <v>Work &lt;=6 People in the Team</v>
      </c>
      <c r="Q1392" s="1" t="s">
        <v>40</v>
      </c>
      <c r="R1392" s="1"/>
    </row>
    <row r="1393" spans="1:18" x14ac:dyDescent="0.25">
      <c r="A1393" s="2">
        <f ca="1">IFERROR(__xludf.DUMMYFUNCTION("""COMPUTED_VALUE"""),45044.8511573611)</f>
        <v>45044.851157361103</v>
      </c>
      <c r="B1393" s="1" t="str">
        <f ca="1">IFERROR(__xludf.DUMMYFUNCTION("""COMPUTED_VALUE"""),"India")</f>
        <v>India</v>
      </c>
      <c r="C1393" s="1">
        <f ca="1">IFERROR(__xludf.DUMMYFUNCTION("""COMPUTED_VALUE"""),760001)</f>
        <v>760001</v>
      </c>
      <c r="D1393" s="1" t="str">
        <f ca="1">IFERROR(__xludf.DUMMYFUNCTION("""COMPUTED_VALUE"""),"Female")</f>
        <v>Female</v>
      </c>
      <c r="E1393" s="1" t="str">
        <f ca="1">IFERROR(__xludf.DUMMYFUNCTION("""COMPUTED_VALUE"""),"My Parents")</f>
        <v>My Parents</v>
      </c>
      <c r="F1393" s="1" t="str">
        <f ca="1">IFERROR(__xludf.DUMMYFUNCTION("""COMPUTED_VALUE"""),"No I would not be pursuing Higher Education outside of India")</f>
        <v>No I would not be pursuing Higher Education outside of India</v>
      </c>
      <c r="G1393" s="1" t="str">
        <f ca="1">IFERROR(__xludf.DUMMYFUNCTION("""COMPUTED_VALUE"""),"This will be hard to do, but if it is the right company I would try")</f>
        <v>This will be hard to do, but if it is the right company I would try</v>
      </c>
      <c r="H1393" s="1" t="str">
        <f ca="1">IFERROR(__xludf.DUMMYFUNCTION("""COMPUTED_VALUE"""),"No")</f>
        <v>No</v>
      </c>
      <c r="I1393" s="1" t="str">
        <f ca="1">IFERROR(__xludf.DUMMYFUNCTION("""COMPUTED_VALUE"""),"Will NOT work for them")</f>
        <v>Will NOT work for them</v>
      </c>
      <c r="J1393" s="1">
        <f ca="1">IFERROR(__xludf.DUMMYFUNCTION("""COMPUTED_VALUE"""),1)</f>
        <v>1</v>
      </c>
      <c r="K1393" s="1" t="str">
        <f ca="1">IFERROR(__xludf.DUMMYFUNCTION("""COMPUTED_VALUE"""),"Every Day Office Environment")</f>
        <v>Every Day Office Environment</v>
      </c>
      <c r="L1393" s="1" t="str">
        <f ca="1">IFERROR(__xludf.DUMMYFUNCTION("""COMPUTED_VALUE"""),"Employer who appreciates learning and enables that environment")</f>
        <v>Employer who appreciates learning and enables that environment</v>
      </c>
      <c r="M1393" s="1" t="str">
        <f ca="1">IFERROR(__xludf.DUMMYFUNCTION("""COMPUTED_VALUE"""),"Teaching in any of the institutes/colleges/online or offline, Look deeply into Data and generate insights, Become a content Creator in some platform, An Artificial Intelligence Specialist / Talking to Robots")</f>
        <v>Teaching in any of the institutes/colleges/online or offline, Look deeply into Data and generate insights, Become a content Creator in some platform, An Artificial Intelligence Specialist / Talking to Robots</v>
      </c>
      <c r="N1393" s="1"/>
      <c r="O1393" s="1" t="str">
        <f ca="1">IFERROR(__xludf.DUMMYFUNCTION("""COMPUTED_VALUE"""),"Manager who explains what is expected, sets a goal and helps achieve it")</f>
        <v>Manager who explains what is expected, sets a goal and helps achieve it</v>
      </c>
      <c r="P1393" s="1" t="str">
        <f ca="1">IFERROR(__xludf.DUMMYFUNCTION("""COMPUTED_VALUE"""),"Work &lt;=6 People in the Team")</f>
        <v>Work &lt;=6 People in the Team</v>
      </c>
      <c r="Q1393" s="1" t="s">
        <v>43</v>
      </c>
      <c r="R1393" s="1"/>
    </row>
    <row r="1394" spans="1:18" x14ac:dyDescent="0.25">
      <c r="A1394" s="2">
        <f ca="1">IFERROR(__xludf.DUMMYFUNCTION("""COMPUTED_VALUE"""),45044.8541821527)</f>
        <v>45044.854182152703</v>
      </c>
      <c r="B1394" s="1" t="str">
        <f ca="1">IFERROR(__xludf.DUMMYFUNCTION("""COMPUTED_VALUE"""),"India")</f>
        <v>India</v>
      </c>
      <c r="C1394" s="1">
        <f ca="1">IFERROR(__xludf.DUMMYFUNCTION("""COMPUTED_VALUE"""),410210)</f>
        <v>410210</v>
      </c>
      <c r="D1394" s="1" t="str">
        <f ca="1">IFERROR(__xludf.DUMMYFUNCTION("""COMPUTED_VALUE"""),"Male")</f>
        <v>Male</v>
      </c>
      <c r="E1394" s="1" t="str">
        <f ca="1">IFERROR(__xludf.DUMMYFUNCTION("""COMPUTED_VALUE"""),"People who have changed the world for better")</f>
        <v>People who have changed the world for better</v>
      </c>
      <c r="F1394" s="1" t="str">
        <f ca="1">IFERROR(__xludf.DUMMYFUNCTION("""COMPUTED_VALUE"""),"No, But if someone could bare the cost I will")</f>
        <v>No, But if someone could bare the cost I will</v>
      </c>
      <c r="G1394" s="1" t="str">
        <f ca="1">IFERROR(__xludf.DUMMYFUNCTION("""COMPUTED_VALUE"""),"This will be hard to do, but if it is the right company I would try")</f>
        <v>This will be hard to do, but if it is the right company I would try</v>
      </c>
      <c r="H1394" s="1" t="str">
        <f ca="1">IFERROR(__xludf.DUMMYFUNCTION("""COMPUTED_VALUE"""),"No")</f>
        <v>No</v>
      </c>
      <c r="I1394" s="1" t="str">
        <f ca="1">IFERROR(__xludf.DUMMYFUNCTION("""COMPUTED_VALUE"""),"Will NOT work for them")</f>
        <v>Will NOT work for them</v>
      </c>
      <c r="J1394" s="1">
        <f ca="1">IFERROR(__xludf.DUMMYFUNCTION("""COMPUTED_VALUE"""),5)</f>
        <v>5</v>
      </c>
      <c r="K1394" s="1" t="str">
        <f ca="1">IFERROR(__xludf.DUMMYFUNCTION("""COMPUTED_VALUE"""),"Hybrid Working Environment with more than 15 days a month at office")</f>
        <v>Hybrid Working Environment with more than 15 days a month at office</v>
      </c>
      <c r="L1394" s="1" t="str">
        <f ca="1">IFERROR(__xludf.DUMMYFUNCTION("""COMPUTED_VALUE"""),"Employer who pushes your limits by enabling an learning environment, and rewards you at the end")</f>
        <v>Employer who pushes your limits by enabling an learning environment, and rewards you at the end</v>
      </c>
      <c r="M139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N1394" s="1"/>
      <c r="O1394" s="1" t="str">
        <f ca="1">IFERROR(__xludf.DUMMYFUNCTION("""COMPUTED_VALUE"""),"Manager who explains what is expected, sets a goal and helps achieve it")</f>
        <v>Manager who explains what is expected, sets a goal and helps achieve it</v>
      </c>
      <c r="P1394" s="1" t="str">
        <f ca="1">IFERROR(__xludf.DUMMYFUNCTION("""COMPUTED_VALUE"""),"Work &lt;=6 People in the Team")</f>
        <v>Work &lt;=6 People in the Team</v>
      </c>
      <c r="Q1394" s="1" t="s">
        <v>43</v>
      </c>
      <c r="R1394" s="1"/>
    </row>
    <row r="1395" spans="1:18" x14ac:dyDescent="0.25">
      <c r="A1395" s="2">
        <f ca="1">IFERROR(__xludf.DUMMYFUNCTION("""COMPUTED_VALUE"""),45044.8567131944)</f>
        <v>45044.8567131944</v>
      </c>
      <c r="B1395" s="1" t="str">
        <f ca="1">IFERROR(__xludf.DUMMYFUNCTION("""COMPUTED_VALUE"""),"India")</f>
        <v>India</v>
      </c>
      <c r="C1395" s="1">
        <f ca="1">IFERROR(__xludf.DUMMYFUNCTION("""COMPUTED_VALUE"""),641035)</f>
        <v>641035</v>
      </c>
      <c r="D1395" s="1" t="str">
        <f ca="1">IFERROR(__xludf.DUMMYFUNCTION("""COMPUTED_VALUE"""),"Male")</f>
        <v>Male</v>
      </c>
      <c r="E1395" s="1" t="str">
        <f ca="1">IFERROR(__xludf.DUMMYFUNCTION("""COMPUTED_VALUE"""),"People from my circle, but not family members")</f>
        <v>People from my circle, but not family members</v>
      </c>
      <c r="F1395" s="1" t="str">
        <f ca="1">IFERROR(__xludf.DUMMYFUNCTION("""COMPUTED_VALUE"""),"Yes, I will earn and do that")</f>
        <v>Yes, I will earn and do that</v>
      </c>
      <c r="G1395" s="1" t="str">
        <f ca="1">IFERROR(__xludf.DUMMYFUNCTION("""COMPUTED_VALUE"""),"Will work for 3 years or more")</f>
        <v>Will work for 3 years or more</v>
      </c>
      <c r="H1395" s="1" t="str">
        <f ca="1">IFERROR(__xludf.DUMMYFUNCTION("""COMPUTED_VALUE"""),"No")</f>
        <v>No</v>
      </c>
      <c r="I1395" s="1" t="str">
        <f ca="1">IFERROR(__xludf.DUMMYFUNCTION("""COMPUTED_VALUE"""),"Will NOT work for them")</f>
        <v>Will NOT work for them</v>
      </c>
      <c r="J1395" s="1">
        <f ca="1">IFERROR(__xludf.DUMMYFUNCTION("""COMPUTED_VALUE"""),8)</f>
        <v>8</v>
      </c>
      <c r="K1395" s="1" t="str">
        <f ca="1">IFERROR(__xludf.DUMMYFUNCTION("""COMPUTED_VALUE"""),"Hybrid Working Environment with more than 15 days a month at office")</f>
        <v>Hybrid Working Environment with more than 15 days a month at office</v>
      </c>
      <c r="L1395" s="1" t="str">
        <f ca="1">IFERROR(__xludf.DUMMYFUNCTION("""COMPUTED_VALUE"""),"Employer who appreciates learning and enables that environment")</f>
        <v>Employer who appreciates learning and enables that environment</v>
      </c>
      <c r="M1395" s="1" t="str">
        <f ca="1">IFERROR(__xludf.DUMMYFUNCTION("""COMPUTED_VALUE"""),"Teaching in any of the institutes/colleges/online or offline, Manage and drive End-to-End Projects or Products, Work as a freelancer and do my thing my way, Become a content Creator in some platform")</f>
        <v>Teaching in any of the institutes/colleges/online or offline, Manage and drive End-to-End Projects or Products, Work as a freelancer and do my thing my way, Become a content Creator in some platform</v>
      </c>
      <c r="N1395" s="1"/>
      <c r="O1395" s="1" t="str">
        <f ca="1">IFERROR(__xludf.DUMMYFUNCTION("""COMPUTED_VALUE"""),"Manager who explains what is expected, sets a goal and helps achieve it")</f>
        <v>Manager who explains what is expected, sets a goal and helps achieve it</v>
      </c>
      <c r="P1395" s="1" t="str">
        <f ca="1">IFERROR(__xludf.DUMMYFUNCTION("""COMPUTED_VALUE"""),"Work &lt;=6 People in the Team")</f>
        <v>Work &lt;=6 People in the Team</v>
      </c>
      <c r="Q1395" s="1" t="s">
        <v>43</v>
      </c>
      <c r="R1395" s="1"/>
    </row>
    <row r="1396" spans="1:18" x14ac:dyDescent="0.25">
      <c r="A1396" s="2">
        <f ca="1">IFERROR(__xludf.DUMMYFUNCTION("""COMPUTED_VALUE"""),45044.8630972453)</f>
        <v>45044.863097245303</v>
      </c>
      <c r="B1396" s="1" t="str">
        <f ca="1">IFERROR(__xludf.DUMMYFUNCTION("""COMPUTED_VALUE"""),"India")</f>
        <v>India</v>
      </c>
      <c r="C1396" s="1">
        <f ca="1">IFERROR(__xludf.DUMMYFUNCTION("""COMPUTED_VALUE"""),560073)</f>
        <v>560073</v>
      </c>
      <c r="D1396" s="1" t="str">
        <f ca="1">IFERROR(__xludf.DUMMYFUNCTION("""COMPUTED_VALUE"""),"Male")</f>
        <v>Male</v>
      </c>
      <c r="E1396" s="1" t="str">
        <f ca="1">IFERROR(__xludf.DUMMYFUNCTION("""COMPUTED_VALUE"""),"People who have changed the world for better")</f>
        <v>People who have changed the world for better</v>
      </c>
      <c r="F1396" s="1" t="str">
        <f ca="1">IFERROR(__xludf.DUMMYFUNCTION("""COMPUTED_VALUE"""),"No, But if someone could bare the cost I will")</f>
        <v>No, But if someone could bare the cost I will</v>
      </c>
      <c r="G1396" s="1" t="str">
        <f ca="1">IFERROR(__xludf.DUMMYFUNCTION("""COMPUTED_VALUE"""),"This will be hard to do, but if it is the right company I would try")</f>
        <v>This will be hard to do, but if it is the right company I would try</v>
      </c>
      <c r="H1396" s="1" t="str">
        <f ca="1">IFERROR(__xludf.DUMMYFUNCTION("""COMPUTED_VALUE"""),"Yes")</f>
        <v>Yes</v>
      </c>
      <c r="I1396" s="1" t="str">
        <f ca="1">IFERROR(__xludf.DUMMYFUNCTION("""COMPUTED_VALUE"""),"Will work for them")</f>
        <v>Will work for them</v>
      </c>
      <c r="J1396" s="1">
        <f ca="1">IFERROR(__xludf.DUMMYFUNCTION("""COMPUTED_VALUE"""),4)</f>
        <v>4</v>
      </c>
      <c r="K1396" s="1" t="str">
        <f ca="1">IFERROR(__xludf.DUMMYFUNCTION("""COMPUTED_VALUE"""),"Fully Remote with Options to travel as and when needed")</f>
        <v>Fully Remote with Options to travel as and when needed</v>
      </c>
      <c r="L1396" s="1" t="str">
        <f ca="1">IFERROR(__xludf.DUMMYFUNCTION("""COMPUTED_VALUE"""),"Employer who pushes your limits by enabling an learning environment, and rewards you at the end")</f>
        <v>Employer who pushes your limits by enabling an learning environment, and rewards you at the end</v>
      </c>
      <c r="M1396"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N1396" s="1"/>
      <c r="O1396" s="1" t="str">
        <f ca="1">IFERROR(__xludf.DUMMYFUNCTION("""COMPUTED_VALUE"""),"Manager who explains what is expected, sets a goal and helps achieve it")</f>
        <v>Manager who explains what is expected, sets a goal and helps achieve it</v>
      </c>
      <c r="P1396" s="1" t="str">
        <f ca="1">IFERROR(__xludf.DUMMYFUNCTION("""COMPUTED_VALUE"""),"Work &lt;=6 People in the Team")</f>
        <v>Work &lt;=6 People in the Team</v>
      </c>
      <c r="Q1396" s="1" t="s">
        <v>40</v>
      </c>
      <c r="R1396" s="1"/>
    </row>
    <row r="1397" spans="1:18" x14ac:dyDescent="0.25">
      <c r="A1397" s="2">
        <f ca="1">IFERROR(__xludf.DUMMYFUNCTION("""COMPUTED_VALUE"""),45044.8663224189)</f>
        <v>45044.8663224189</v>
      </c>
      <c r="B1397" s="1" t="str">
        <f ca="1">IFERROR(__xludf.DUMMYFUNCTION("""COMPUTED_VALUE"""),"India")</f>
        <v>India</v>
      </c>
      <c r="C1397" s="1">
        <f ca="1">IFERROR(__xludf.DUMMYFUNCTION("""COMPUTED_VALUE"""),503110)</f>
        <v>503110</v>
      </c>
      <c r="D1397" s="1" t="str">
        <f ca="1">IFERROR(__xludf.DUMMYFUNCTION("""COMPUTED_VALUE"""),"Female")</f>
        <v>Female</v>
      </c>
      <c r="E1397" s="1" t="str">
        <f ca="1">IFERROR(__xludf.DUMMYFUNCTION("""COMPUTED_VALUE"""),"People from my circle, but not family members")</f>
        <v>People from my circle, but not family members</v>
      </c>
      <c r="F1397" s="1" t="str">
        <f ca="1">IFERROR(__xludf.DUMMYFUNCTION("""COMPUTED_VALUE"""),"No I would not be pursuing Higher Education outside of India")</f>
        <v>No I would not be pursuing Higher Education outside of India</v>
      </c>
      <c r="G1397" s="1" t="str">
        <f ca="1">IFERROR(__xludf.DUMMYFUNCTION("""COMPUTED_VALUE"""),"This will be hard to do, but if it is the right company I would try")</f>
        <v>This will be hard to do, but if it is the right company I would try</v>
      </c>
      <c r="H1397" s="1" t="str">
        <f ca="1">IFERROR(__xludf.DUMMYFUNCTION("""COMPUTED_VALUE"""),"No")</f>
        <v>No</v>
      </c>
      <c r="I1397" s="1" t="str">
        <f ca="1">IFERROR(__xludf.DUMMYFUNCTION("""COMPUTED_VALUE"""),"Will NOT work for them")</f>
        <v>Will NOT work for them</v>
      </c>
      <c r="J1397" s="1">
        <f ca="1">IFERROR(__xludf.DUMMYFUNCTION("""COMPUTED_VALUE"""),9)</f>
        <v>9</v>
      </c>
      <c r="K1397" s="1" t="str">
        <f ca="1">IFERROR(__xludf.DUMMYFUNCTION("""COMPUTED_VALUE"""),"Fully Remote with Options to travel as and when needed")</f>
        <v>Fully Remote with Options to travel as and when needed</v>
      </c>
      <c r="L1397" s="1" t="str">
        <f ca="1">IFERROR(__xludf.DUMMYFUNCTION("""COMPUTED_VALUE"""),"Employer who pushes your limits by enabling an learning environment, and rewards you at the end")</f>
        <v>Employer who pushes your limits by enabling an learning environment, and rewards you at the end</v>
      </c>
      <c r="M1397"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N1397" s="1"/>
      <c r="O1397" s="1" t="str">
        <f ca="1">IFERROR(__xludf.DUMMYFUNCTION("""COMPUTED_VALUE"""),"Manager who explains what is expected, sets a goal and helps achieve it")</f>
        <v>Manager who explains what is expected, sets a goal and helps achieve it</v>
      </c>
      <c r="P1397" s="1" t="str">
        <f ca="1">IFERROR(__xludf.DUMMYFUNCTION("""COMPUTED_VALUE"""),"Work &lt;=6 People in the Team")</f>
        <v>Work &lt;=6 People in the Team</v>
      </c>
      <c r="Q1397" s="1" t="s">
        <v>43</v>
      </c>
      <c r="R1397" s="1"/>
    </row>
    <row r="1398" spans="1:18" x14ac:dyDescent="0.25">
      <c r="A1398" s="2">
        <f ca="1">IFERROR(__xludf.DUMMYFUNCTION("""COMPUTED_VALUE"""),45044.8665268402)</f>
        <v>45044.866526840196</v>
      </c>
      <c r="B1398" s="1" t="str">
        <f ca="1">IFERROR(__xludf.DUMMYFUNCTION("""COMPUTED_VALUE"""),"India")</f>
        <v>India</v>
      </c>
      <c r="C1398" s="1">
        <f ca="1">IFERROR(__xludf.DUMMYFUNCTION("""COMPUTED_VALUE"""),400601)</f>
        <v>400601</v>
      </c>
      <c r="D1398" s="1" t="str">
        <f ca="1">IFERROR(__xludf.DUMMYFUNCTION("""COMPUTED_VALUE"""),"Female")</f>
        <v>Female</v>
      </c>
      <c r="E1398" s="1" t="str">
        <f ca="1">IFERROR(__xludf.DUMMYFUNCTION("""COMPUTED_VALUE"""),"Social Media like LinkedIn")</f>
        <v>Social Media like LinkedIn</v>
      </c>
      <c r="F1398" s="1" t="str">
        <f ca="1">IFERROR(__xludf.DUMMYFUNCTION("""COMPUTED_VALUE"""),"Yes, I will earn and do that")</f>
        <v>Yes, I will earn and do that</v>
      </c>
      <c r="G1398" s="1" t="str">
        <f ca="1">IFERROR(__xludf.DUMMYFUNCTION("""COMPUTED_VALUE"""),"Will work for 3 years or more")</f>
        <v>Will work for 3 years or more</v>
      </c>
      <c r="H1398" s="1" t="str">
        <f ca="1">IFERROR(__xludf.DUMMYFUNCTION("""COMPUTED_VALUE"""),"Yes")</f>
        <v>Yes</v>
      </c>
      <c r="I1398" s="1" t="str">
        <f ca="1">IFERROR(__xludf.DUMMYFUNCTION("""COMPUTED_VALUE"""),"Will work for them")</f>
        <v>Will work for them</v>
      </c>
      <c r="J1398" s="1">
        <f ca="1">IFERROR(__xludf.DUMMYFUNCTION("""COMPUTED_VALUE"""),7)</f>
        <v>7</v>
      </c>
      <c r="K1398" s="1" t="str">
        <f ca="1">IFERROR(__xludf.DUMMYFUNCTION("""COMPUTED_VALUE"""),"Every Day Office Environment")</f>
        <v>Every Day Office Environment</v>
      </c>
      <c r="L1398" s="1" t="str">
        <f ca="1">IFERROR(__xludf.DUMMYFUNCTION("""COMPUTED_VALUE"""),"Employer who pushes your limits by enabling an learning environment, and rewards you at the end")</f>
        <v>Employer who pushes your limits by enabling an learning environment, and rewards you at the end</v>
      </c>
      <c r="M13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1398" s="1"/>
      <c r="O1398" s="1" t="str">
        <f ca="1">IFERROR(__xludf.DUMMYFUNCTION("""COMPUTED_VALUE"""),"Manager who explains what is expected, sets a goal and helps achieve it")</f>
        <v>Manager who explains what is expected, sets a goal and helps achieve it</v>
      </c>
      <c r="P1398" s="1" t="str">
        <f ca="1">IFERROR(__xludf.DUMMYFUNCTION("""COMPUTED_VALUE"""),"Work &gt;=7 People in the Team")</f>
        <v>Work &gt;=7 People in the Team</v>
      </c>
      <c r="Q1398" s="1" t="s">
        <v>40</v>
      </c>
      <c r="R1398" s="1"/>
    </row>
    <row r="1399" spans="1:18" x14ac:dyDescent="0.25">
      <c r="A1399" s="2">
        <f ca="1">IFERROR(__xludf.DUMMYFUNCTION("""COMPUTED_VALUE"""),45044.8690256944)</f>
        <v>45044.869025694403</v>
      </c>
      <c r="B1399" s="1" t="str">
        <f ca="1">IFERROR(__xludf.DUMMYFUNCTION("""COMPUTED_VALUE"""),"India")</f>
        <v>India</v>
      </c>
      <c r="C1399" s="1">
        <f ca="1">IFERROR(__xludf.DUMMYFUNCTION("""COMPUTED_VALUE"""),192301)</f>
        <v>192301</v>
      </c>
      <c r="D1399" s="1" t="str">
        <f ca="1">IFERROR(__xludf.DUMMYFUNCTION("""COMPUTED_VALUE"""),"Female")</f>
        <v>Female</v>
      </c>
      <c r="E1399" s="1" t="str">
        <f ca="1">IFERROR(__xludf.DUMMYFUNCTION("""COMPUTED_VALUE"""),"People from my circle, but not family members")</f>
        <v>People from my circle, but not family members</v>
      </c>
      <c r="F1399" s="1" t="str">
        <f ca="1">IFERROR(__xludf.DUMMYFUNCTION("""COMPUTED_VALUE"""),"Yes, I will earn and do that")</f>
        <v>Yes, I will earn and do that</v>
      </c>
      <c r="G1399" s="1" t="str">
        <f ca="1">IFERROR(__xludf.DUMMYFUNCTION("""COMPUTED_VALUE"""),"Will work for 3 years or more")</f>
        <v>Will work for 3 years or more</v>
      </c>
      <c r="H1399" s="1" t="str">
        <f ca="1">IFERROR(__xludf.DUMMYFUNCTION("""COMPUTED_VALUE"""),"No")</f>
        <v>No</v>
      </c>
      <c r="I1399" s="1" t="str">
        <f ca="1">IFERROR(__xludf.DUMMYFUNCTION("""COMPUTED_VALUE"""),"Will NOT work for them")</f>
        <v>Will NOT work for them</v>
      </c>
      <c r="J1399" s="1">
        <f ca="1">IFERROR(__xludf.DUMMYFUNCTION("""COMPUTED_VALUE"""),2)</f>
        <v>2</v>
      </c>
      <c r="K1399" s="1" t="str">
        <f ca="1">IFERROR(__xludf.DUMMYFUNCTION("""COMPUTED_VALUE"""),"Every Day Office Environment")</f>
        <v>Every Day Office Environment</v>
      </c>
      <c r="L1399" s="1" t="str">
        <f ca="1">IFERROR(__xludf.DUMMYFUNCTION("""COMPUTED_VALUE"""),"Employer who appreciates learning and enables that environment")</f>
        <v>Employer who appreciates learning and enables that environment</v>
      </c>
      <c r="M1399"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N1399" s="1"/>
      <c r="O1399" s="1" t="str">
        <f ca="1">IFERROR(__xludf.DUMMYFUNCTION("""COMPUTED_VALUE"""),"Manager who clearly describes what she/he needs")</f>
        <v>Manager who clearly describes what she/he needs</v>
      </c>
      <c r="P1399" s="1" t="str">
        <f ca="1">IFERROR(__xludf.DUMMYFUNCTION("""COMPUTED_VALUE"""),"Work &gt;10 people in Team")</f>
        <v>Work &gt;10 people in Team</v>
      </c>
      <c r="Q1399" s="1" t="s">
        <v>43</v>
      </c>
      <c r="R1399" s="1"/>
    </row>
    <row r="1400" spans="1:18" x14ac:dyDescent="0.25">
      <c r="A1400" s="2">
        <f ca="1">IFERROR(__xludf.DUMMYFUNCTION("""COMPUTED_VALUE"""),45044.8713008796)</f>
        <v>45044.871300879597</v>
      </c>
      <c r="B1400" s="1" t="str">
        <f ca="1">IFERROR(__xludf.DUMMYFUNCTION("""COMPUTED_VALUE"""),"India")</f>
        <v>India</v>
      </c>
      <c r="C1400" s="1">
        <f ca="1">IFERROR(__xludf.DUMMYFUNCTION("""COMPUTED_VALUE"""),560003)</f>
        <v>560003</v>
      </c>
      <c r="D1400" s="1" t="str">
        <f ca="1">IFERROR(__xludf.DUMMYFUNCTION("""COMPUTED_VALUE"""),"Female")</f>
        <v>Female</v>
      </c>
      <c r="E1400" s="1" t="str">
        <f ca="1">IFERROR(__xludf.DUMMYFUNCTION("""COMPUTED_VALUE"""),"My Parents")</f>
        <v>My Parents</v>
      </c>
      <c r="F1400" s="1" t="str">
        <f ca="1">IFERROR(__xludf.DUMMYFUNCTION("""COMPUTED_VALUE"""),"No, But if someone could bare the cost I will")</f>
        <v>No, But if someone could bare the cost I will</v>
      </c>
      <c r="G1400" s="1" t="str">
        <f ca="1">IFERROR(__xludf.DUMMYFUNCTION("""COMPUTED_VALUE"""),"No way")</f>
        <v>No way</v>
      </c>
      <c r="H1400" s="1" t="str">
        <f ca="1">IFERROR(__xludf.DUMMYFUNCTION("""COMPUTED_VALUE"""),"No")</f>
        <v>No</v>
      </c>
      <c r="I1400" s="1" t="str">
        <f ca="1">IFERROR(__xludf.DUMMYFUNCTION("""COMPUTED_VALUE"""),"Will NOT work for them")</f>
        <v>Will NOT work for them</v>
      </c>
      <c r="J1400" s="1">
        <f ca="1">IFERROR(__xludf.DUMMYFUNCTION("""COMPUTED_VALUE"""),1)</f>
        <v>1</v>
      </c>
      <c r="K1400" s="1" t="str">
        <f ca="1">IFERROR(__xludf.DUMMYFUNCTION("""COMPUTED_VALUE"""),"Hybrid Working Environment with more than 15 days a month at office")</f>
        <v>Hybrid Working Environment with more than 15 days a month at office</v>
      </c>
      <c r="L1400" s="1" t="str">
        <f ca="1">IFERROR(__xludf.DUMMYFUNCTION("""COMPUTED_VALUE"""),"Employer who pushes your limits by enabling an learning environment, and rewards you at the end")</f>
        <v>Employer who pushes your limits by enabling an learning environment, and rewards you at the end</v>
      </c>
      <c r="M1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400" s="1"/>
      <c r="O1400" s="1" t="str">
        <f ca="1">IFERROR(__xludf.DUMMYFUNCTION("""COMPUTED_VALUE"""),"Manager who explains what is expected, sets a goal and helps achieve it")</f>
        <v>Manager who explains what is expected, sets a goal and helps achieve it</v>
      </c>
      <c r="P1400" s="1" t="str">
        <f ca="1">IFERROR(__xludf.DUMMYFUNCTION("""COMPUTED_VALUE"""),"Work &lt;=6 People in the Team")</f>
        <v>Work &lt;=6 People in the Team</v>
      </c>
      <c r="Q1400" s="1" t="s">
        <v>43</v>
      </c>
      <c r="R1400" s="1"/>
    </row>
    <row r="1401" spans="1:18" x14ac:dyDescent="0.25">
      <c r="A1401" s="2">
        <f ca="1">IFERROR(__xludf.DUMMYFUNCTION("""COMPUTED_VALUE"""),45044.8720190856)</f>
        <v>45044.872019085597</v>
      </c>
      <c r="B1401" s="1" t="str">
        <f ca="1">IFERROR(__xludf.DUMMYFUNCTION("""COMPUTED_VALUE"""),"India")</f>
        <v>India</v>
      </c>
      <c r="C1401" s="1">
        <f ca="1">IFERROR(__xludf.DUMMYFUNCTION("""COMPUTED_VALUE"""),500028)</f>
        <v>500028</v>
      </c>
      <c r="D1401" s="1" t="str">
        <f ca="1">IFERROR(__xludf.DUMMYFUNCTION("""COMPUTED_VALUE"""),"Male")</f>
        <v>Male</v>
      </c>
      <c r="E1401" s="1" t="str">
        <f ca="1">IFERROR(__xludf.DUMMYFUNCTION("""COMPUTED_VALUE"""),"Social Media like LinkedIn")</f>
        <v>Social Media like LinkedIn</v>
      </c>
      <c r="F1401" s="1" t="str">
        <f ca="1">IFERROR(__xludf.DUMMYFUNCTION("""COMPUTED_VALUE"""),"No, But if someone could bare the cost I will")</f>
        <v>No, But if someone could bare the cost I will</v>
      </c>
      <c r="G1401" s="1" t="str">
        <f ca="1">IFERROR(__xludf.DUMMYFUNCTION("""COMPUTED_VALUE"""),"This will be hard to do, but if it is the right company I would try")</f>
        <v>This will be hard to do, but if it is the right company I would try</v>
      </c>
      <c r="H1401" s="1" t="str">
        <f ca="1">IFERROR(__xludf.DUMMYFUNCTION("""COMPUTED_VALUE"""),"No")</f>
        <v>No</v>
      </c>
      <c r="I1401" s="1" t="str">
        <f ca="1">IFERROR(__xludf.DUMMYFUNCTION("""COMPUTED_VALUE"""),"Will NOT work for them")</f>
        <v>Will NOT work for them</v>
      </c>
      <c r="J1401" s="1">
        <f ca="1">IFERROR(__xludf.DUMMYFUNCTION("""COMPUTED_VALUE"""),6)</f>
        <v>6</v>
      </c>
      <c r="K1401" s="1" t="str">
        <f ca="1">IFERROR(__xludf.DUMMYFUNCTION("""COMPUTED_VALUE"""),"Fully Remote with No option to visit offices")</f>
        <v>Fully Remote with No option to visit offices</v>
      </c>
      <c r="L1401" s="1" t="str">
        <f ca="1">IFERROR(__xludf.DUMMYFUNCTION("""COMPUTED_VALUE"""),"Employer who pushes your limits by enabling an learning environment, and rewards you at the end")</f>
        <v>Employer who pushes your limits by enabling an learning environment, and rewards you at the end</v>
      </c>
      <c r="M1401"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1401" s="1"/>
      <c r="O1401" s="1" t="str">
        <f ca="1">IFERROR(__xludf.DUMMYFUNCTION("""COMPUTED_VALUE"""),"Manager who explains what is expected, sets a goal and helps achieve it")</f>
        <v>Manager who explains what is expected, sets a goal and helps achieve it</v>
      </c>
      <c r="P1401" s="1" t="str">
        <f ca="1">IFERROR(__xludf.DUMMYFUNCTION("""COMPUTED_VALUE"""),"Work &gt;=7 People in the Team")</f>
        <v>Work &gt;=7 People in the Team</v>
      </c>
      <c r="Q1401" s="1" t="s">
        <v>43</v>
      </c>
      <c r="R1401" s="1"/>
    </row>
    <row r="1402" spans="1:18" x14ac:dyDescent="0.25">
      <c r="A1402" s="2">
        <f ca="1">IFERROR(__xludf.DUMMYFUNCTION("""COMPUTED_VALUE"""),45044.8721304745)</f>
        <v>45044.872130474498</v>
      </c>
      <c r="B1402" s="1" t="str">
        <f ca="1">IFERROR(__xludf.DUMMYFUNCTION("""COMPUTED_VALUE"""),"India")</f>
        <v>India</v>
      </c>
      <c r="C1402" s="1">
        <f ca="1">IFERROR(__xludf.DUMMYFUNCTION("""COMPUTED_VALUE"""),424001)</f>
        <v>424001</v>
      </c>
      <c r="D1402" s="1" t="str">
        <f ca="1">IFERROR(__xludf.DUMMYFUNCTION("""COMPUTED_VALUE"""),"Male")</f>
        <v>Male</v>
      </c>
      <c r="E1402" s="1" t="str">
        <f ca="1">IFERROR(__xludf.DUMMYFUNCTION("""COMPUTED_VALUE"""),"Influencers who had successful careers")</f>
        <v>Influencers who had successful careers</v>
      </c>
      <c r="F1402" s="1" t="str">
        <f ca="1">IFERROR(__xludf.DUMMYFUNCTION("""COMPUTED_VALUE"""),"Yes, I will earn and do that")</f>
        <v>Yes, I will earn and do that</v>
      </c>
      <c r="G1402" s="1" t="str">
        <f ca="1">IFERROR(__xludf.DUMMYFUNCTION("""COMPUTED_VALUE"""),"Will work for 3 years or more")</f>
        <v>Will work for 3 years or more</v>
      </c>
      <c r="H1402" s="1" t="str">
        <f ca="1">IFERROR(__xludf.DUMMYFUNCTION("""COMPUTED_VALUE"""),"No")</f>
        <v>No</v>
      </c>
      <c r="I1402" s="1" t="str">
        <f ca="1">IFERROR(__xludf.DUMMYFUNCTION("""COMPUTED_VALUE"""),"Will NOT work for them")</f>
        <v>Will NOT work for them</v>
      </c>
      <c r="J1402" s="1">
        <f ca="1">IFERROR(__xludf.DUMMYFUNCTION("""COMPUTED_VALUE"""),8)</f>
        <v>8</v>
      </c>
      <c r="K1402" s="1" t="str">
        <f ca="1">IFERROR(__xludf.DUMMYFUNCTION("""COMPUTED_VALUE"""),"Hybrid Working Environment with less than 3 days a month at office")</f>
        <v>Hybrid Working Environment with less than 3 days a month at office</v>
      </c>
      <c r="L1402" s="1" t="str">
        <f ca="1">IFERROR(__xludf.DUMMYFUNCTION("""COMPUTED_VALUE"""),"Employer who pushes your limits by enabling an learning environment, and rewards you at the end")</f>
        <v>Employer who pushes your limits by enabling an learning environment, and rewards you at the end</v>
      </c>
      <c r="M140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402" s="1"/>
      <c r="O1402" s="1" t="str">
        <f ca="1">IFERROR(__xludf.DUMMYFUNCTION("""COMPUTED_VALUE"""),"Manager who explains what is expected, sets a goal and helps achieve it")</f>
        <v>Manager who explains what is expected, sets a goal and helps achieve it</v>
      </c>
      <c r="P1402" s="1" t="str">
        <f ca="1">IFERROR(__xludf.DUMMYFUNCTION("""COMPUTED_VALUE"""),"Work &lt;=6 People in the Team")</f>
        <v>Work &lt;=6 People in the Team</v>
      </c>
      <c r="Q1402" s="1" t="s">
        <v>43</v>
      </c>
      <c r="R1402" s="1"/>
    </row>
    <row r="1403" spans="1:18" x14ac:dyDescent="0.25">
      <c r="A1403" s="2">
        <f ca="1">IFERROR(__xludf.DUMMYFUNCTION("""COMPUTED_VALUE"""),45044.87437728)</f>
        <v>45044.874377280001</v>
      </c>
      <c r="B1403" s="1" t="str">
        <f ca="1">IFERROR(__xludf.DUMMYFUNCTION("""COMPUTED_VALUE"""),"India")</f>
        <v>India</v>
      </c>
      <c r="C1403" s="1">
        <f ca="1">IFERROR(__xludf.DUMMYFUNCTION("""COMPUTED_VALUE"""),500077)</f>
        <v>500077</v>
      </c>
      <c r="D1403" s="1" t="str">
        <f ca="1">IFERROR(__xludf.DUMMYFUNCTION("""COMPUTED_VALUE"""),"Male")</f>
        <v>Male</v>
      </c>
      <c r="E1403" s="1" t="str">
        <f ca="1">IFERROR(__xludf.DUMMYFUNCTION("""COMPUTED_VALUE"""),"My Parents")</f>
        <v>My Parents</v>
      </c>
      <c r="F1403" s="1" t="str">
        <f ca="1">IFERROR(__xludf.DUMMYFUNCTION("""COMPUTED_VALUE"""),"Yes, I will earn and do that")</f>
        <v>Yes, I will earn and do that</v>
      </c>
      <c r="G1403" s="1" t="str">
        <f ca="1">IFERROR(__xludf.DUMMYFUNCTION("""COMPUTED_VALUE"""),"Will work for 3 years or more")</f>
        <v>Will work for 3 years or more</v>
      </c>
      <c r="H1403" s="1" t="str">
        <f ca="1">IFERROR(__xludf.DUMMYFUNCTION("""COMPUTED_VALUE"""),"No")</f>
        <v>No</v>
      </c>
      <c r="I1403" s="1" t="str">
        <f ca="1">IFERROR(__xludf.DUMMYFUNCTION("""COMPUTED_VALUE"""),"Will NOT work for them")</f>
        <v>Will NOT work for them</v>
      </c>
      <c r="J1403" s="1">
        <f ca="1">IFERROR(__xludf.DUMMYFUNCTION("""COMPUTED_VALUE"""),4)</f>
        <v>4</v>
      </c>
      <c r="K1403" s="1" t="str">
        <f ca="1">IFERROR(__xludf.DUMMYFUNCTION("""COMPUTED_VALUE"""),"Hybrid Working Environment with more than 15 days a month at office")</f>
        <v>Hybrid Working Environment with more than 15 days a month at office</v>
      </c>
      <c r="L1403" s="1" t="str">
        <f ca="1">IFERROR(__xludf.DUMMYFUNCTION("""COMPUTED_VALUE"""),"Employer who pushes your limits by enabling an learning environment, and rewards you at the end")</f>
        <v>Employer who pushes your limits by enabling an learning environment, and rewards you at the end</v>
      </c>
      <c r="M1403"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N1403" s="1"/>
      <c r="O1403" s="1" t="str">
        <f ca="1">IFERROR(__xludf.DUMMYFUNCTION("""COMPUTED_VALUE"""),"Manager who sets targets and expects me to achieve it")</f>
        <v>Manager who sets targets and expects me to achieve it</v>
      </c>
      <c r="P1403" s="1" t="str">
        <f ca="1">IFERROR(__xludf.DUMMYFUNCTION("""COMPUTED_VALUE"""),"Work &gt;=7 People in the Team")</f>
        <v>Work &gt;=7 People in the Team</v>
      </c>
      <c r="Q1403" s="1" t="s">
        <v>40</v>
      </c>
      <c r="R1403" s="1"/>
    </row>
    <row r="1404" spans="1:18" x14ac:dyDescent="0.25">
      <c r="A1404" s="2">
        <f ca="1">IFERROR(__xludf.DUMMYFUNCTION("""COMPUTED_VALUE"""),45044.8747840509)</f>
        <v>45044.874784050902</v>
      </c>
      <c r="B1404" s="1" t="str">
        <f ca="1">IFERROR(__xludf.DUMMYFUNCTION("""COMPUTED_VALUE"""),"India")</f>
        <v>India</v>
      </c>
      <c r="C1404" s="1">
        <f ca="1">IFERROR(__xludf.DUMMYFUNCTION("""COMPUTED_VALUE"""),600041)</f>
        <v>600041</v>
      </c>
      <c r="D1404" s="1" t="str">
        <f ca="1">IFERROR(__xludf.DUMMYFUNCTION("""COMPUTED_VALUE"""),"Female")</f>
        <v>Female</v>
      </c>
      <c r="E1404" s="1" t="str">
        <f ca="1">IFERROR(__xludf.DUMMYFUNCTION("""COMPUTED_VALUE"""),"People who have changed the world for better")</f>
        <v>People who have changed the world for better</v>
      </c>
      <c r="F1404" s="1" t="str">
        <f ca="1">IFERROR(__xludf.DUMMYFUNCTION("""COMPUTED_VALUE"""),"No I would not be pursuing Higher Education outside of India")</f>
        <v>No I would not be pursuing Higher Education outside of India</v>
      </c>
      <c r="G1404" s="1" t="str">
        <f ca="1">IFERROR(__xludf.DUMMYFUNCTION("""COMPUTED_VALUE"""),"Will work for 3 years or more")</f>
        <v>Will work for 3 years or more</v>
      </c>
      <c r="H1404" s="1" t="str">
        <f ca="1">IFERROR(__xludf.DUMMYFUNCTION("""COMPUTED_VALUE"""),"No")</f>
        <v>No</v>
      </c>
      <c r="I1404" s="1" t="str">
        <f ca="1">IFERROR(__xludf.DUMMYFUNCTION("""COMPUTED_VALUE"""),"Will NOT work for them")</f>
        <v>Will NOT work for them</v>
      </c>
      <c r="J1404" s="1">
        <f ca="1">IFERROR(__xludf.DUMMYFUNCTION("""COMPUTED_VALUE"""),1)</f>
        <v>1</v>
      </c>
      <c r="K1404" s="1" t="str">
        <f ca="1">IFERROR(__xludf.DUMMYFUNCTION("""COMPUTED_VALUE"""),"Hybrid Working Environment with more than 15 days a month at office")</f>
        <v>Hybrid Working Environment with more than 15 days a month at office</v>
      </c>
      <c r="L1404" s="1" t="str">
        <f ca="1">IFERROR(__xludf.DUMMYFUNCTION("""COMPUTED_VALUE"""),"Employer who appreciates learning and enables that environment")</f>
        <v>Employer who appreciates learning and enables that environment</v>
      </c>
      <c r="M1404"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1404" s="1"/>
      <c r="O1404" s="1" t="str">
        <f ca="1">IFERROR(__xludf.DUMMYFUNCTION("""COMPUTED_VALUE"""),"Manager who explains what is expected, sets a goal and helps achieve it")</f>
        <v>Manager who explains what is expected, sets a goal and helps achieve it</v>
      </c>
      <c r="P1404" s="1" t="str">
        <f ca="1">IFERROR(__xludf.DUMMYFUNCTION("""COMPUTED_VALUE"""),"Work  &lt;67 people in team")</f>
        <v>Work  &lt;67 people in team</v>
      </c>
      <c r="Q1404" s="1" t="s">
        <v>43</v>
      </c>
      <c r="R1404" s="1"/>
    </row>
    <row r="1405" spans="1:18" x14ac:dyDescent="0.25">
      <c r="A1405" s="2">
        <f ca="1">IFERROR(__xludf.DUMMYFUNCTION("""COMPUTED_VALUE"""),45044.8753658564)</f>
        <v>45044.875365856402</v>
      </c>
      <c r="B1405" s="1" t="str">
        <f ca="1">IFERROR(__xludf.DUMMYFUNCTION("""COMPUTED_VALUE"""),"India")</f>
        <v>India</v>
      </c>
      <c r="C1405" s="1">
        <f ca="1">IFERROR(__xludf.DUMMYFUNCTION("""COMPUTED_VALUE"""),560090)</f>
        <v>560090</v>
      </c>
      <c r="D1405" s="1" t="str">
        <f ca="1">IFERROR(__xludf.DUMMYFUNCTION("""COMPUTED_VALUE"""),"Male")</f>
        <v>Male</v>
      </c>
      <c r="E1405" s="1" t="str">
        <f ca="1">IFERROR(__xludf.DUMMYFUNCTION("""COMPUTED_VALUE"""),"People who have changed the world for better")</f>
        <v>People who have changed the world for better</v>
      </c>
      <c r="F1405" s="1" t="str">
        <f ca="1">IFERROR(__xludf.DUMMYFUNCTION("""COMPUTED_VALUE"""),"Yes, I will earn and do that")</f>
        <v>Yes, I will earn and do that</v>
      </c>
      <c r="G1405" s="1" t="str">
        <f ca="1">IFERROR(__xludf.DUMMYFUNCTION("""COMPUTED_VALUE"""),"This will be hard to do, but if it is the right company I would try")</f>
        <v>This will be hard to do, but if it is the right company I would try</v>
      </c>
      <c r="H1405" s="1" t="str">
        <f ca="1">IFERROR(__xludf.DUMMYFUNCTION("""COMPUTED_VALUE"""),"No")</f>
        <v>No</v>
      </c>
      <c r="I1405" s="1" t="str">
        <f ca="1">IFERROR(__xludf.DUMMYFUNCTION("""COMPUTED_VALUE"""),"Will NOT work for them")</f>
        <v>Will NOT work for them</v>
      </c>
      <c r="J1405" s="1">
        <f ca="1">IFERROR(__xludf.DUMMYFUNCTION("""COMPUTED_VALUE"""),1)</f>
        <v>1</v>
      </c>
      <c r="K1405" s="1" t="str">
        <f ca="1">IFERROR(__xludf.DUMMYFUNCTION("""COMPUTED_VALUE"""),"Every Day Office Environment")</f>
        <v>Every Day Office Environment</v>
      </c>
      <c r="L1405" s="1" t="str">
        <f ca="1">IFERROR(__xludf.DUMMYFUNCTION("""COMPUTED_VALUE"""),"Employer who pushes your limits by enabling an learning environment, and rewards you at the end")</f>
        <v>Employer who pushes your limits by enabling an learning environment, and rewards you at the end</v>
      </c>
      <c r="M1405"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N1405" s="1"/>
      <c r="O1405" s="1" t="str">
        <f ca="1">IFERROR(__xludf.DUMMYFUNCTION("""COMPUTED_VALUE"""),"Manager who sets targets and expects me to achieve it")</f>
        <v>Manager who sets targets and expects me to achieve it</v>
      </c>
      <c r="P1405" s="1" t="str">
        <f ca="1">IFERROR(__xludf.DUMMYFUNCTION("""COMPUTED_VALUE"""),"Work &gt;10 people in Team")</f>
        <v>Work &gt;10 people in Team</v>
      </c>
      <c r="Q1405" s="1" t="s">
        <v>43</v>
      </c>
      <c r="R1405" s="1"/>
    </row>
    <row r="1406" spans="1:18" x14ac:dyDescent="0.25">
      <c r="A1406" s="2">
        <f ca="1">IFERROR(__xludf.DUMMYFUNCTION("""COMPUTED_VALUE"""),45044.8774146527)</f>
        <v>45044.877414652699</v>
      </c>
      <c r="B1406" s="1" t="str">
        <f ca="1">IFERROR(__xludf.DUMMYFUNCTION("""COMPUTED_VALUE"""),"India")</f>
        <v>India</v>
      </c>
      <c r="C1406" s="1">
        <f ca="1">IFERROR(__xludf.DUMMYFUNCTION("""COMPUTED_VALUE"""),500028)</f>
        <v>500028</v>
      </c>
      <c r="D1406" s="1" t="str">
        <f ca="1">IFERROR(__xludf.DUMMYFUNCTION("""COMPUTED_VALUE"""),"Male")</f>
        <v>Male</v>
      </c>
      <c r="E1406" s="1" t="str">
        <f ca="1">IFERROR(__xludf.DUMMYFUNCTION("""COMPUTED_VALUE"""),"People who have changed the world for better")</f>
        <v>People who have changed the world for better</v>
      </c>
      <c r="F1406" s="1" t="str">
        <f ca="1">IFERROR(__xludf.DUMMYFUNCTION("""COMPUTED_VALUE"""),"No, But if someone could bare the cost I will")</f>
        <v>No, But if someone could bare the cost I will</v>
      </c>
      <c r="G1406" s="1" t="str">
        <f ca="1">IFERROR(__xludf.DUMMYFUNCTION("""COMPUTED_VALUE"""),"This will be hard to do, but if it is the right company I would try")</f>
        <v>This will be hard to do, but if it is the right company I would try</v>
      </c>
      <c r="H1406" s="1" t="str">
        <f ca="1">IFERROR(__xludf.DUMMYFUNCTION("""COMPUTED_VALUE"""),"No")</f>
        <v>No</v>
      </c>
      <c r="I1406" s="1" t="str">
        <f ca="1">IFERROR(__xludf.DUMMYFUNCTION("""COMPUTED_VALUE"""),"Will NOT work for them")</f>
        <v>Will NOT work for them</v>
      </c>
      <c r="J1406" s="1">
        <f ca="1">IFERROR(__xludf.DUMMYFUNCTION("""COMPUTED_VALUE"""),5)</f>
        <v>5</v>
      </c>
      <c r="K1406" s="1" t="str">
        <f ca="1">IFERROR(__xludf.DUMMYFUNCTION("""COMPUTED_VALUE"""),"Fully Remote with No option to visit offices")</f>
        <v>Fully Remote with No option to visit offices</v>
      </c>
      <c r="L1406" s="1" t="str">
        <f ca="1">IFERROR(__xludf.DUMMYFUNCTION("""COMPUTED_VALUE"""),"Employer who pushes your limits by enabling an learning environment, and rewards you at the end")</f>
        <v>Employer who pushes your limits by enabling an learning environment, and rewards you at the end</v>
      </c>
      <c r="M1406"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1406" s="1"/>
      <c r="O1406" s="1" t="str">
        <f ca="1">IFERROR(__xludf.DUMMYFUNCTION("""COMPUTED_VALUE"""),"Manager who explains what is expected, sets a goal and helps achieve it")</f>
        <v>Manager who explains what is expected, sets a goal and helps achieve it</v>
      </c>
      <c r="P1406" s="1" t="str">
        <f ca="1">IFERROR(__xludf.DUMMYFUNCTION("""COMPUTED_VALUE"""),"Work &gt;=7 People in the Team")</f>
        <v>Work &gt;=7 People in the Team</v>
      </c>
      <c r="Q1406" s="1" t="s">
        <v>43</v>
      </c>
      <c r="R1406" s="1"/>
    </row>
    <row r="1407" spans="1:18" x14ac:dyDescent="0.25">
      <c r="A1407" s="2">
        <f ca="1">IFERROR(__xludf.DUMMYFUNCTION("""COMPUTED_VALUE"""),45044.8802505555)</f>
        <v>45044.8802505555</v>
      </c>
      <c r="B1407" s="1" t="str">
        <f ca="1">IFERROR(__xludf.DUMMYFUNCTION("""COMPUTED_VALUE"""),"India")</f>
        <v>India</v>
      </c>
      <c r="C1407" s="1">
        <f ca="1">IFERROR(__xludf.DUMMYFUNCTION("""COMPUTED_VALUE"""),492001)</f>
        <v>492001</v>
      </c>
      <c r="D1407" s="1" t="str">
        <f ca="1">IFERROR(__xludf.DUMMYFUNCTION("""COMPUTED_VALUE"""),"Male")</f>
        <v>Male</v>
      </c>
      <c r="E1407" s="1" t="str">
        <f ca="1">IFERROR(__xludf.DUMMYFUNCTION("""COMPUTED_VALUE"""),"People from my circle, but not family members")</f>
        <v>People from my circle, but not family members</v>
      </c>
      <c r="F1407" s="1" t="str">
        <f ca="1">IFERROR(__xludf.DUMMYFUNCTION("""COMPUTED_VALUE"""),"No I would not be pursuing Higher Education outside of India")</f>
        <v>No I would not be pursuing Higher Education outside of India</v>
      </c>
      <c r="G1407" s="1" t="str">
        <f ca="1">IFERROR(__xludf.DUMMYFUNCTION("""COMPUTED_VALUE"""),"Will work for 3 years or more")</f>
        <v>Will work for 3 years or more</v>
      </c>
      <c r="H1407" s="1" t="str">
        <f ca="1">IFERROR(__xludf.DUMMYFUNCTION("""COMPUTED_VALUE"""),"No")</f>
        <v>No</v>
      </c>
      <c r="I1407" s="1" t="str">
        <f ca="1">IFERROR(__xludf.DUMMYFUNCTION("""COMPUTED_VALUE"""),"Will work for them")</f>
        <v>Will work for them</v>
      </c>
      <c r="J1407" s="1">
        <f ca="1">IFERROR(__xludf.DUMMYFUNCTION("""COMPUTED_VALUE"""),5)</f>
        <v>5</v>
      </c>
      <c r="K1407" s="1" t="str">
        <f ca="1">IFERROR(__xludf.DUMMYFUNCTION("""COMPUTED_VALUE"""),"Hybrid Working Environment with more than 15 days a month at office")</f>
        <v>Hybrid Working Environment with more than 15 days a month at office</v>
      </c>
      <c r="L1407" s="1" t="str">
        <f ca="1">IFERROR(__xludf.DUMMYFUNCTION("""COMPUTED_VALUE"""),"Employer who appreciates learning and enables that environment")</f>
        <v>Employer who appreciates learning and enables that environment</v>
      </c>
      <c r="M1407"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N1407" s="1"/>
      <c r="O1407" s="1" t="str">
        <f ca="1">IFERROR(__xludf.DUMMYFUNCTION("""COMPUTED_VALUE"""),"Manager who clearly describes what she/he needs")</f>
        <v>Manager who clearly describes what she/he needs</v>
      </c>
      <c r="P1407" s="1" t="str">
        <f ca="1">IFERROR(__xludf.DUMMYFUNCTION("""COMPUTED_VALUE"""),"Work &lt;=6 People in the Team")</f>
        <v>Work &lt;=6 People in the Team</v>
      </c>
      <c r="Q1407" s="1" t="s">
        <v>43</v>
      </c>
      <c r="R1407" s="1"/>
    </row>
    <row r="1408" spans="1:18" x14ac:dyDescent="0.25">
      <c r="A1408" s="2">
        <f ca="1">IFERROR(__xludf.DUMMYFUNCTION("""COMPUTED_VALUE"""),45044.882574074)</f>
        <v>45044.882574073999</v>
      </c>
      <c r="B1408" s="1" t="str">
        <f ca="1">IFERROR(__xludf.DUMMYFUNCTION("""COMPUTED_VALUE"""),"India")</f>
        <v>India</v>
      </c>
      <c r="C1408" s="1">
        <f ca="1">IFERROR(__xludf.DUMMYFUNCTION("""COMPUTED_VALUE"""),191101)</f>
        <v>191101</v>
      </c>
      <c r="D1408" s="1" t="str">
        <f ca="1">IFERROR(__xludf.DUMMYFUNCTION("""COMPUTED_VALUE"""),"Female")</f>
        <v>Female</v>
      </c>
      <c r="E1408" s="1" t="str">
        <f ca="1">IFERROR(__xludf.DUMMYFUNCTION("""COMPUTED_VALUE"""),"My Parents")</f>
        <v>My Parents</v>
      </c>
      <c r="F1408" s="1" t="str">
        <f ca="1">IFERROR(__xludf.DUMMYFUNCTION("""COMPUTED_VALUE"""),"No, But if someone could bare the cost I will")</f>
        <v>No, But if someone could bare the cost I will</v>
      </c>
      <c r="G1408" s="1" t="str">
        <f ca="1">IFERROR(__xludf.DUMMYFUNCTION("""COMPUTED_VALUE"""),"This will be hard to do, but if it is the right company I would try")</f>
        <v>This will be hard to do, but if it is the right company I would try</v>
      </c>
      <c r="H1408" s="1" t="str">
        <f ca="1">IFERROR(__xludf.DUMMYFUNCTION("""COMPUTED_VALUE"""),"Yes")</f>
        <v>Yes</v>
      </c>
      <c r="I1408" s="1" t="str">
        <f ca="1">IFERROR(__xludf.DUMMYFUNCTION("""COMPUTED_VALUE"""),"Will NOT work for them")</f>
        <v>Will NOT work for them</v>
      </c>
      <c r="J1408" s="1">
        <f ca="1">IFERROR(__xludf.DUMMYFUNCTION("""COMPUTED_VALUE"""),10)</f>
        <v>10</v>
      </c>
      <c r="K1408" s="1" t="str">
        <f ca="1">IFERROR(__xludf.DUMMYFUNCTION("""COMPUTED_VALUE"""),"Fully Remote with Options to travel as and when needed")</f>
        <v>Fully Remote with Options to travel as and when needed</v>
      </c>
      <c r="L1408" s="1" t="str">
        <f ca="1">IFERROR(__xludf.DUMMYFUNCTION("""COMPUTED_VALUE"""),"Employer who pushes your limits by enabling an learning environment, and rewards you at the end")</f>
        <v>Employer who pushes your limits by enabling an learning environment, and rewards you at the end</v>
      </c>
      <c r="M1408"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N1408" s="1"/>
      <c r="O1408" s="1" t="str">
        <f ca="1">IFERROR(__xludf.DUMMYFUNCTION("""COMPUTED_VALUE"""),"Manager who sets goal and helps me achieve it")</f>
        <v>Manager who sets goal and helps me achieve it</v>
      </c>
      <c r="P1408" s="1" t="str">
        <f ca="1">IFERROR(__xludf.DUMMYFUNCTION("""COMPUTED_VALUE"""),"Work &gt;10 people in Team")</f>
        <v>Work &gt;10 people in Team</v>
      </c>
      <c r="Q1408" s="1" t="s">
        <v>40</v>
      </c>
      <c r="R1408" s="1"/>
    </row>
    <row r="1409" spans="1:18" x14ac:dyDescent="0.25">
      <c r="A1409" s="2">
        <f ca="1">IFERROR(__xludf.DUMMYFUNCTION("""COMPUTED_VALUE"""),45044.8871708449)</f>
        <v>45044.887170844901</v>
      </c>
      <c r="B1409" s="1" t="str">
        <f ca="1">IFERROR(__xludf.DUMMYFUNCTION("""COMPUTED_VALUE"""),"India")</f>
        <v>India</v>
      </c>
      <c r="C1409" s="1">
        <f ca="1">IFERROR(__xludf.DUMMYFUNCTION("""COMPUTED_VALUE"""),500028)</f>
        <v>500028</v>
      </c>
      <c r="D1409" s="1" t="str">
        <f ca="1">IFERROR(__xludf.DUMMYFUNCTION("""COMPUTED_VALUE"""),"Male")</f>
        <v>Male</v>
      </c>
      <c r="E1409" s="1" t="str">
        <f ca="1">IFERROR(__xludf.DUMMYFUNCTION("""COMPUTED_VALUE"""),"People who have changed the world for better")</f>
        <v>People who have changed the world for better</v>
      </c>
      <c r="F1409" s="1" t="str">
        <f ca="1">IFERROR(__xludf.DUMMYFUNCTION("""COMPUTED_VALUE"""),"Yes, I will earn and do that")</f>
        <v>Yes, I will earn and do that</v>
      </c>
      <c r="G1409" s="1" t="str">
        <f ca="1">IFERROR(__xludf.DUMMYFUNCTION("""COMPUTED_VALUE"""),"This will be hard to do, but if it is the right company I would try")</f>
        <v>This will be hard to do, but if it is the right company I would try</v>
      </c>
      <c r="H1409" s="1" t="str">
        <f ca="1">IFERROR(__xludf.DUMMYFUNCTION("""COMPUTED_VALUE"""),"No")</f>
        <v>No</v>
      </c>
      <c r="I1409" s="1" t="str">
        <f ca="1">IFERROR(__xludf.DUMMYFUNCTION("""COMPUTED_VALUE"""),"Will work for them")</f>
        <v>Will work for them</v>
      </c>
      <c r="J1409" s="1">
        <f ca="1">IFERROR(__xludf.DUMMYFUNCTION("""COMPUTED_VALUE"""),10)</f>
        <v>10</v>
      </c>
      <c r="K1409" s="1" t="str">
        <f ca="1">IFERROR(__xludf.DUMMYFUNCTION("""COMPUTED_VALUE"""),"Fully Remote with Options to travel as and when needed")</f>
        <v>Fully Remote with Options to travel as and when needed</v>
      </c>
      <c r="L1409" s="1" t="str">
        <f ca="1">IFERROR(__xludf.DUMMYFUNCTION("""COMPUTED_VALUE"""),"Employer who pushes your limits by enabling an learning environment, and rewards you at the end")</f>
        <v>Employer who pushes your limits by enabling an learning environment, and rewards you at the end</v>
      </c>
      <c r="M140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409" s="1"/>
      <c r="O1409" s="1" t="str">
        <f ca="1">IFERROR(__xludf.DUMMYFUNCTION("""COMPUTED_VALUE"""),"Manager who sets goal and helps me achieve it")</f>
        <v>Manager who sets goal and helps me achieve it</v>
      </c>
      <c r="P1409" s="1" t="str">
        <f ca="1">IFERROR(__xludf.DUMMYFUNCTION("""COMPUTED_VALUE"""),"Work &gt;10 people in Team")</f>
        <v>Work &gt;10 people in Team</v>
      </c>
      <c r="Q1409" s="1" t="s">
        <v>43</v>
      </c>
      <c r="R1409" s="1"/>
    </row>
    <row r="1410" spans="1:18" x14ac:dyDescent="0.25">
      <c r="A1410" s="2">
        <f ca="1">IFERROR(__xludf.DUMMYFUNCTION("""COMPUTED_VALUE"""),45044.8887516203)</f>
        <v>45044.888751620303</v>
      </c>
      <c r="B1410" s="1" t="str">
        <f ca="1">IFERROR(__xludf.DUMMYFUNCTION("""COMPUTED_VALUE"""),"India")</f>
        <v>India</v>
      </c>
      <c r="C1410" s="1">
        <f ca="1">IFERROR(__xludf.DUMMYFUNCTION("""COMPUTED_VALUE"""),563125)</f>
        <v>563125</v>
      </c>
      <c r="D1410" s="1" t="str">
        <f ca="1">IFERROR(__xludf.DUMMYFUNCTION("""COMPUTED_VALUE"""),"Female")</f>
        <v>Female</v>
      </c>
      <c r="E1410" s="1" t="str">
        <f ca="1">IFERROR(__xludf.DUMMYFUNCTION("""COMPUTED_VALUE"""),"My Parents")</f>
        <v>My Parents</v>
      </c>
      <c r="F1410" s="1" t="str">
        <f ca="1">IFERROR(__xludf.DUMMYFUNCTION("""COMPUTED_VALUE"""),"Yes, I will earn and do that")</f>
        <v>Yes, I will earn and do that</v>
      </c>
      <c r="G1410" s="1" t="str">
        <f ca="1">IFERROR(__xludf.DUMMYFUNCTION("""COMPUTED_VALUE"""),"Will work for 3 years or more")</f>
        <v>Will work for 3 years or more</v>
      </c>
      <c r="H1410" s="1" t="str">
        <f ca="1">IFERROR(__xludf.DUMMYFUNCTION("""COMPUTED_VALUE"""),"Yes")</f>
        <v>Yes</v>
      </c>
      <c r="I1410" s="1" t="str">
        <f ca="1">IFERROR(__xludf.DUMMYFUNCTION("""COMPUTED_VALUE"""),"Will work for them")</f>
        <v>Will work for them</v>
      </c>
      <c r="J1410" s="1">
        <f ca="1">IFERROR(__xludf.DUMMYFUNCTION("""COMPUTED_VALUE"""),5)</f>
        <v>5</v>
      </c>
      <c r="K1410" s="1" t="str">
        <f ca="1">IFERROR(__xludf.DUMMYFUNCTION("""COMPUTED_VALUE"""),"Fully Remote with No option to visit offices")</f>
        <v>Fully Remote with No option to visit offices</v>
      </c>
      <c r="L1410" s="1" t="str">
        <f ca="1">IFERROR(__xludf.DUMMYFUNCTION("""COMPUTED_VALUE"""),"Employer who appreciates learning and enables that environment")</f>
        <v>Employer who appreciates learning and enables that environment</v>
      </c>
      <c r="M141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N1410" s="1"/>
      <c r="O1410" s="1" t="str">
        <f ca="1">IFERROR(__xludf.DUMMYFUNCTION("""COMPUTED_VALUE"""),"Manager who sets goal and helps me achieve it")</f>
        <v>Manager who sets goal and helps me achieve it</v>
      </c>
      <c r="P1410" s="1" t="str">
        <f ca="1">IFERROR(__xludf.DUMMYFUNCTION("""COMPUTED_VALUE"""),"Work &gt;=7 People in the Team")</f>
        <v>Work &gt;=7 People in the Team</v>
      </c>
      <c r="Q1410" s="1" t="s">
        <v>43</v>
      </c>
      <c r="R1410" s="1"/>
    </row>
    <row r="1411" spans="1:18" x14ac:dyDescent="0.25">
      <c r="A1411" s="2">
        <f ca="1">IFERROR(__xludf.DUMMYFUNCTION("""COMPUTED_VALUE"""),45044.8893625694)</f>
        <v>45044.889362569404</v>
      </c>
      <c r="B1411" s="1" t="str">
        <f ca="1">IFERROR(__xludf.DUMMYFUNCTION("""COMPUTED_VALUE"""),"India")</f>
        <v>India</v>
      </c>
      <c r="C1411" s="1">
        <f ca="1">IFERROR(__xludf.DUMMYFUNCTION("""COMPUTED_VALUE"""),110044)</f>
        <v>110044</v>
      </c>
      <c r="D1411" s="1" t="str">
        <f ca="1">IFERROR(__xludf.DUMMYFUNCTION("""COMPUTED_VALUE"""),"Male")</f>
        <v>Male</v>
      </c>
      <c r="E1411" s="1" t="str">
        <f ca="1">IFERROR(__xludf.DUMMYFUNCTION("""COMPUTED_VALUE"""),"My Parents")</f>
        <v>My Parents</v>
      </c>
      <c r="F1411" s="1" t="str">
        <f ca="1">IFERROR(__xludf.DUMMYFUNCTION("""COMPUTED_VALUE"""),"Yes, I will earn and do that")</f>
        <v>Yes, I will earn and do that</v>
      </c>
      <c r="G1411" s="1" t="str">
        <f ca="1">IFERROR(__xludf.DUMMYFUNCTION("""COMPUTED_VALUE"""),"Will work for 3 years or more")</f>
        <v>Will work for 3 years or more</v>
      </c>
      <c r="H1411" s="1" t="str">
        <f ca="1">IFERROR(__xludf.DUMMYFUNCTION("""COMPUTED_VALUE"""),"Yes")</f>
        <v>Yes</v>
      </c>
      <c r="I1411" s="1" t="str">
        <f ca="1">IFERROR(__xludf.DUMMYFUNCTION("""COMPUTED_VALUE"""),"Will work for them")</f>
        <v>Will work for them</v>
      </c>
      <c r="J1411" s="1">
        <f ca="1">IFERROR(__xludf.DUMMYFUNCTION("""COMPUTED_VALUE"""),1)</f>
        <v>1</v>
      </c>
      <c r="K1411" s="1" t="str">
        <f ca="1">IFERROR(__xludf.DUMMYFUNCTION("""COMPUTED_VALUE"""),"Every Day Office Environment")</f>
        <v>Every Day Office Environment</v>
      </c>
      <c r="L1411" s="1" t="str">
        <f ca="1">IFERROR(__xludf.DUMMYFUNCTION("""COMPUTED_VALUE"""),"Employer who appreciates learning and enables that environment")</f>
        <v>Employer who appreciates learning and enables that environment</v>
      </c>
      <c r="M1411" s="1" t="str">
        <f ca="1">IFERROR(__xludf.DUMMYFUNCTION("""COMPUTED_VALUE"""),"Teaching in any of the institutes/colleges/online or offline, Business Operations in any organization, Design and Develop amazing software, Look deeply into Data and generate insights")</f>
        <v>Teaching in any of the institutes/colleges/online or offline, Business Operations in any organization, Design and Develop amazing software, Look deeply into Data and generate insights</v>
      </c>
      <c r="N1411" s="1"/>
      <c r="O1411" s="1" t="str">
        <f ca="1">IFERROR(__xludf.DUMMYFUNCTION("""COMPUTED_VALUE"""),"Manager who clearly describes what she/he needs")</f>
        <v>Manager who clearly describes what she/he needs</v>
      </c>
      <c r="P1411" s="1" t="str">
        <f ca="1">IFERROR(__xludf.DUMMYFUNCTION("""COMPUTED_VALUE"""),"Work Alone, &lt;=6 in team")</f>
        <v>Work Alone, &lt;=6 in team</v>
      </c>
      <c r="Q1411" s="1" t="s">
        <v>42</v>
      </c>
      <c r="R1411" s="1"/>
    </row>
    <row r="1412" spans="1:18" x14ac:dyDescent="0.25">
      <c r="A1412" s="2">
        <f ca="1">IFERROR(__xludf.DUMMYFUNCTION("""COMPUTED_VALUE"""),45044.8910325347)</f>
        <v>45044.891032534702</v>
      </c>
      <c r="B1412" s="1" t="str">
        <f ca="1">IFERROR(__xludf.DUMMYFUNCTION("""COMPUTED_VALUE"""),"India")</f>
        <v>India</v>
      </c>
      <c r="C1412" s="1">
        <f ca="1">IFERROR(__xludf.DUMMYFUNCTION("""COMPUTED_VALUE"""),505209)</f>
        <v>505209</v>
      </c>
      <c r="D1412" s="1" t="str">
        <f ca="1">IFERROR(__xludf.DUMMYFUNCTION("""COMPUTED_VALUE"""),"Male")</f>
        <v>Male</v>
      </c>
      <c r="E1412" s="1" t="str">
        <f ca="1">IFERROR(__xludf.DUMMYFUNCTION("""COMPUTED_VALUE"""),"Influencers who had successful careers")</f>
        <v>Influencers who had successful careers</v>
      </c>
      <c r="F1412" s="1" t="str">
        <f ca="1">IFERROR(__xludf.DUMMYFUNCTION("""COMPUTED_VALUE"""),"No I would not be pursuing Higher Education outside of India")</f>
        <v>No I would not be pursuing Higher Education outside of India</v>
      </c>
      <c r="G1412" s="1" t="str">
        <f ca="1">IFERROR(__xludf.DUMMYFUNCTION("""COMPUTED_VALUE"""),"No way")</f>
        <v>No way</v>
      </c>
      <c r="H1412" s="1" t="str">
        <f ca="1">IFERROR(__xludf.DUMMYFUNCTION("""COMPUTED_VALUE"""),"No")</f>
        <v>No</v>
      </c>
      <c r="I1412" s="1" t="str">
        <f ca="1">IFERROR(__xludf.DUMMYFUNCTION("""COMPUTED_VALUE"""),"Will NOT work for them")</f>
        <v>Will NOT work for them</v>
      </c>
      <c r="J1412" s="1">
        <f ca="1">IFERROR(__xludf.DUMMYFUNCTION("""COMPUTED_VALUE"""),1)</f>
        <v>1</v>
      </c>
      <c r="K1412" s="1" t="str">
        <f ca="1">IFERROR(__xludf.DUMMYFUNCTION("""COMPUTED_VALUE"""),"Fully Remote with Options to travel as and when needed")</f>
        <v>Fully Remote with Options to travel as and when needed</v>
      </c>
      <c r="L1412" s="1" t="str">
        <f ca="1">IFERROR(__xludf.DUMMYFUNCTION("""COMPUTED_VALUE"""),"Employer who appreciates learning and enables that environment")</f>
        <v>Employer who appreciates learning and enables that environment</v>
      </c>
      <c r="M1412"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412" s="1"/>
      <c r="O1412" s="1" t="str">
        <f ca="1">IFERROR(__xludf.DUMMYFUNCTION("""COMPUTED_VALUE"""),"Manager who explains what is expected, sets a goal and helps achieve it")</f>
        <v>Manager who explains what is expected, sets a goal and helps achieve it</v>
      </c>
      <c r="P1412" s="1" t="str">
        <f ca="1">IFERROR(__xludf.DUMMYFUNCTION("""COMPUTED_VALUE"""),"Work &lt;=6 People in the Team")</f>
        <v>Work &lt;=6 People in the Team</v>
      </c>
      <c r="Q1412" s="1" t="s">
        <v>40</v>
      </c>
      <c r="R1412" s="1"/>
    </row>
    <row r="1413" spans="1:18" x14ac:dyDescent="0.25">
      <c r="A1413" s="2">
        <f ca="1">IFERROR(__xludf.DUMMYFUNCTION("""COMPUTED_VALUE"""),45044.8922712384)</f>
        <v>45044.892271238401</v>
      </c>
      <c r="B1413" s="1" t="str">
        <f ca="1">IFERROR(__xludf.DUMMYFUNCTION("""COMPUTED_VALUE"""),"India")</f>
        <v>India</v>
      </c>
      <c r="C1413" s="1">
        <f ca="1">IFERROR(__xludf.DUMMYFUNCTION("""COMPUTED_VALUE"""),505211)</f>
        <v>505211</v>
      </c>
      <c r="D1413" s="1" t="str">
        <f ca="1">IFERROR(__xludf.DUMMYFUNCTION("""COMPUTED_VALUE"""),"Male")</f>
        <v>Male</v>
      </c>
      <c r="E1413" s="1" t="str">
        <f ca="1">IFERROR(__xludf.DUMMYFUNCTION("""COMPUTED_VALUE"""),"People who have changed the world for better")</f>
        <v>People who have changed the world for better</v>
      </c>
      <c r="F1413" s="1" t="str">
        <f ca="1">IFERROR(__xludf.DUMMYFUNCTION("""COMPUTED_VALUE"""),"Yes, I will earn and do that")</f>
        <v>Yes, I will earn and do that</v>
      </c>
      <c r="G1413" s="1" t="str">
        <f ca="1">IFERROR(__xludf.DUMMYFUNCTION("""COMPUTED_VALUE"""),"This will be hard to do, but if it is the right company I would try")</f>
        <v>This will be hard to do, but if it is the right company I would try</v>
      </c>
      <c r="H1413" s="1" t="str">
        <f ca="1">IFERROR(__xludf.DUMMYFUNCTION("""COMPUTED_VALUE"""),"Yes")</f>
        <v>Yes</v>
      </c>
      <c r="I1413" s="1" t="str">
        <f ca="1">IFERROR(__xludf.DUMMYFUNCTION("""COMPUTED_VALUE"""),"Will work for them")</f>
        <v>Will work for them</v>
      </c>
      <c r="J1413" s="1">
        <f ca="1">IFERROR(__xludf.DUMMYFUNCTION("""COMPUTED_VALUE"""),1)</f>
        <v>1</v>
      </c>
      <c r="K1413" s="1" t="str">
        <f ca="1">IFERROR(__xludf.DUMMYFUNCTION("""COMPUTED_VALUE"""),"Every Day Office Environment")</f>
        <v>Every Day Office Environment</v>
      </c>
      <c r="L1413" s="1" t="str">
        <f ca="1">IFERROR(__xludf.DUMMYFUNCTION("""COMPUTED_VALUE"""),"Employer who appreciates learning and enables that environment")</f>
        <v>Employer who appreciates learning and enables that environment</v>
      </c>
      <c r="M1413" s="1" t="str">
        <f ca="1">IFERROR(__xludf.DUMMYFUNCTION("""COMPUTED_VALUE"""),"Design and Creative strategy in any company, Work in a BPO setup for some well known client, An Artificial Intelligence Specialist / Talking to Robots, Manufacturing / Oil and Gas/ Construction / Hard Physical Work related")</f>
        <v>Design and Creative strategy in any company, Work in a BPO setup for some well known client, An Artificial Intelligence Specialist / Talking to Robots, Manufacturing / Oil and Gas/ Construction / Hard Physical Work related</v>
      </c>
      <c r="N1413" s="1"/>
      <c r="O1413" s="1" t="str">
        <f ca="1">IFERROR(__xludf.DUMMYFUNCTION("""COMPUTED_VALUE"""),"Manager who explains what is expected, sets a goal and helps achieve it")</f>
        <v>Manager who explains what is expected, sets a goal and helps achieve it</v>
      </c>
      <c r="P1413" s="1" t="str">
        <f ca="1">IFERROR(__xludf.DUMMYFUNCTION("""COMPUTED_VALUE"""),"Work  &lt;67 people in team")</f>
        <v>Work  &lt;67 people in team</v>
      </c>
      <c r="Q1413" s="1" t="s">
        <v>43</v>
      </c>
      <c r="R1413" s="1"/>
    </row>
    <row r="1414" spans="1:18" x14ac:dyDescent="0.25">
      <c r="A1414" s="2">
        <f ca="1">IFERROR(__xludf.DUMMYFUNCTION("""COMPUTED_VALUE"""),45044.8945060648)</f>
        <v>45044.894506064797</v>
      </c>
      <c r="B1414" s="1" t="str">
        <f ca="1">IFERROR(__xludf.DUMMYFUNCTION("""COMPUTED_VALUE"""),"India")</f>
        <v>India</v>
      </c>
      <c r="C1414" s="1">
        <f ca="1">IFERROR(__xludf.DUMMYFUNCTION("""COMPUTED_VALUE"""),713103)</f>
        <v>713103</v>
      </c>
      <c r="D1414" s="1" t="str">
        <f ca="1">IFERROR(__xludf.DUMMYFUNCTION("""COMPUTED_VALUE"""),"Female")</f>
        <v>Female</v>
      </c>
      <c r="E1414" s="1" t="str">
        <f ca="1">IFERROR(__xludf.DUMMYFUNCTION("""COMPUTED_VALUE"""),"Social Media like LinkedIn")</f>
        <v>Social Media like LinkedIn</v>
      </c>
      <c r="F1414" s="1" t="str">
        <f ca="1">IFERROR(__xludf.DUMMYFUNCTION("""COMPUTED_VALUE"""),"Yes, I will earn and do that")</f>
        <v>Yes, I will earn and do that</v>
      </c>
      <c r="G1414" s="1" t="str">
        <f ca="1">IFERROR(__xludf.DUMMYFUNCTION("""COMPUTED_VALUE"""),"This will be hard to do, but if it is the right company I would try")</f>
        <v>This will be hard to do, but if it is the right company I would try</v>
      </c>
      <c r="H1414" s="1" t="str">
        <f ca="1">IFERROR(__xludf.DUMMYFUNCTION("""COMPUTED_VALUE"""),"Yes")</f>
        <v>Yes</v>
      </c>
      <c r="I1414" s="1" t="str">
        <f ca="1">IFERROR(__xludf.DUMMYFUNCTION("""COMPUTED_VALUE"""),"Will work for them")</f>
        <v>Will work for them</v>
      </c>
      <c r="J1414" s="1">
        <f ca="1">IFERROR(__xludf.DUMMYFUNCTION("""COMPUTED_VALUE"""),6)</f>
        <v>6</v>
      </c>
      <c r="K1414" s="1" t="str">
        <f ca="1">IFERROR(__xludf.DUMMYFUNCTION("""COMPUTED_VALUE"""),"Hybrid Working Environment with less than 3 days a month at office")</f>
        <v>Hybrid Working Environment with less than 3 days a month at office</v>
      </c>
      <c r="L1414" s="1" t="str">
        <f ca="1">IFERROR(__xludf.DUMMYFUNCTION("""COMPUTED_VALUE"""),"Employer who pushes your limits by enabling an learning environment, and rewards you at the end")</f>
        <v>Employer who pushes your limits by enabling an learning environment, and rewards you at the end</v>
      </c>
      <c r="M1414"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414" s="1"/>
      <c r="O1414" s="1" t="str">
        <f ca="1">IFERROR(__xludf.DUMMYFUNCTION("""COMPUTED_VALUE"""),"Manager who sets goal and helps me achieve it")</f>
        <v>Manager who sets goal and helps me achieve it</v>
      </c>
      <c r="P1414" s="1" t="str">
        <f ca="1">IFERROR(__xludf.DUMMYFUNCTION("""COMPUTED_VALUE"""),"Work &lt;=6 People in the Team")</f>
        <v>Work &lt;=6 People in the Team</v>
      </c>
      <c r="Q1414" s="1" t="s">
        <v>43</v>
      </c>
      <c r="R1414" s="1"/>
    </row>
    <row r="1415" spans="1:18" x14ac:dyDescent="0.25">
      <c r="A1415" s="2">
        <f ca="1">IFERROR(__xludf.DUMMYFUNCTION("""COMPUTED_VALUE"""),45044.9011502546)</f>
        <v>45044.901150254598</v>
      </c>
      <c r="B1415" s="1" t="str">
        <f ca="1">IFERROR(__xludf.DUMMYFUNCTION("""COMPUTED_VALUE"""),"India")</f>
        <v>India</v>
      </c>
      <c r="C1415" s="1">
        <f ca="1">IFERROR(__xludf.DUMMYFUNCTION("""COMPUTED_VALUE"""),411014)</f>
        <v>411014</v>
      </c>
      <c r="D1415" s="1" t="str">
        <f ca="1">IFERROR(__xludf.DUMMYFUNCTION("""COMPUTED_VALUE"""),"Male")</f>
        <v>Male</v>
      </c>
      <c r="E1415" s="1" t="str">
        <f ca="1">IFERROR(__xludf.DUMMYFUNCTION("""COMPUTED_VALUE"""),"People who have changed the world for better")</f>
        <v>People who have changed the world for better</v>
      </c>
      <c r="F1415" s="1" t="str">
        <f ca="1">IFERROR(__xludf.DUMMYFUNCTION("""COMPUTED_VALUE"""),"Yes, I will earn and do that")</f>
        <v>Yes, I will earn and do that</v>
      </c>
      <c r="G1415" s="1" t="str">
        <f ca="1">IFERROR(__xludf.DUMMYFUNCTION("""COMPUTED_VALUE"""),"This will be hard to do, but if it is the right company I would try")</f>
        <v>This will be hard to do, but if it is the right company I would try</v>
      </c>
      <c r="H1415" s="1" t="str">
        <f ca="1">IFERROR(__xludf.DUMMYFUNCTION("""COMPUTED_VALUE"""),"No")</f>
        <v>No</v>
      </c>
      <c r="I1415" s="1" t="str">
        <f ca="1">IFERROR(__xludf.DUMMYFUNCTION("""COMPUTED_VALUE"""),"Will NOT work for them")</f>
        <v>Will NOT work for them</v>
      </c>
      <c r="J1415" s="1">
        <f ca="1">IFERROR(__xludf.DUMMYFUNCTION("""COMPUTED_VALUE"""),1)</f>
        <v>1</v>
      </c>
      <c r="K1415" s="1" t="str">
        <f ca="1">IFERROR(__xludf.DUMMYFUNCTION("""COMPUTED_VALUE"""),"Hybrid Working Environment with more than 15 days a month at office")</f>
        <v>Hybrid Working Environment with more than 15 days a month at office</v>
      </c>
      <c r="L1415" s="1" t="str">
        <f ca="1">IFERROR(__xludf.DUMMYFUNCTION("""COMPUTED_VALUE"""),"Employer who pushes your limits by enabling an learning environment, and rewards you at the end")</f>
        <v>Employer who pushes your limits by enabling an learning environment, and rewards you at the end</v>
      </c>
      <c r="M1415"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415" s="1"/>
      <c r="O1415" s="1" t="str">
        <f ca="1">IFERROR(__xludf.DUMMYFUNCTION("""COMPUTED_VALUE"""),"Manager who explains what is expected, sets a goal and helps achieve it")</f>
        <v>Manager who explains what is expected, sets a goal and helps achieve it</v>
      </c>
      <c r="P1415" s="1" t="str">
        <f ca="1">IFERROR(__xludf.DUMMYFUNCTION("""COMPUTED_VALUE"""),"Work &gt;10 people in Team")</f>
        <v>Work &gt;10 people in Team</v>
      </c>
      <c r="Q1415" s="1" t="s">
        <v>43</v>
      </c>
      <c r="R1415" s="1"/>
    </row>
    <row r="1416" spans="1:18" x14ac:dyDescent="0.25">
      <c r="A1416" s="2">
        <f ca="1">IFERROR(__xludf.DUMMYFUNCTION("""COMPUTED_VALUE"""),45044.9033888194)</f>
        <v>45044.903388819403</v>
      </c>
      <c r="B1416" s="1" t="str">
        <f ca="1">IFERROR(__xludf.DUMMYFUNCTION("""COMPUTED_VALUE"""),"India")</f>
        <v>India</v>
      </c>
      <c r="C1416" s="1">
        <f ca="1">IFERROR(__xludf.DUMMYFUNCTION("""COMPUTED_VALUE"""),68)</f>
        <v>68</v>
      </c>
      <c r="D1416" s="1" t="str">
        <f ca="1">IFERROR(__xludf.DUMMYFUNCTION("""COMPUTED_VALUE"""),"Male")</f>
        <v>Male</v>
      </c>
      <c r="E1416" s="1" t="str">
        <f ca="1">IFERROR(__xludf.DUMMYFUNCTION("""COMPUTED_VALUE"""),"People from my circle, but not family members")</f>
        <v>People from my circle, but not family members</v>
      </c>
      <c r="F1416" s="1" t="str">
        <f ca="1">IFERROR(__xludf.DUMMYFUNCTION("""COMPUTED_VALUE"""),"No I would not be pursuing Higher Education outside of India")</f>
        <v>No I would not be pursuing Higher Education outside of India</v>
      </c>
      <c r="G1416" s="1" t="str">
        <f ca="1">IFERROR(__xludf.DUMMYFUNCTION("""COMPUTED_VALUE"""),"This will be hard to do, but if it is the right company I would try")</f>
        <v>This will be hard to do, but if it is the right company I would try</v>
      </c>
      <c r="H1416" s="1" t="str">
        <f ca="1">IFERROR(__xludf.DUMMYFUNCTION("""COMPUTED_VALUE"""),"Yes")</f>
        <v>Yes</v>
      </c>
      <c r="I1416" s="1" t="str">
        <f ca="1">IFERROR(__xludf.DUMMYFUNCTION("""COMPUTED_VALUE"""),"Will NOT work for them")</f>
        <v>Will NOT work for them</v>
      </c>
      <c r="J1416" s="1">
        <f ca="1">IFERROR(__xludf.DUMMYFUNCTION("""COMPUTED_VALUE"""),6)</f>
        <v>6</v>
      </c>
      <c r="K1416" s="1" t="str">
        <f ca="1">IFERROR(__xludf.DUMMYFUNCTION("""COMPUTED_VALUE"""),"Fully Remote with Options to travel as and when needed")</f>
        <v>Fully Remote with Options to travel as and when needed</v>
      </c>
      <c r="L1416" s="1" t="str">
        <f ca="1">IFERROR(__xludf.DUMMYFUNCTION("""COMPUTED_VALUE"""),"Employer who pushes your limits by enabling an learning environment, and rewards you at the end")</f>
        <v>Employer who pushes your limits by enabling an learning environment, and rewards you at the end</v>
      </c>
      <c r="M1416"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416" s="1"/>
      <c r="O1416" s="1" t="str">
        <f ca="1">IFERROR(__xludf.DUMMYFUNCTION("""COMPUTED_VALUE"""),"Manager who explains what is expected, sets a goal and helps achieve it")</f>
        <v>Manager who explains what is expected, sets a goal and helps achieve it</v>
      </c>
      <c r="P1416" s="1" t="str">
        <f ca="1">IFERROR(__xludf.DUMMYFUNCTION("""COMPUTED_VALUE"""),"Work &lt;=6 People in the Team")</f>
        <v>Work &lt;=6 People in the Team</v>
      </c>
      <c r="Q1416" s="1" t="s">
        <v>40</v>
      </c>
      <c r="R1416" s="1"/>
    </row>
    <row r="1417" spans="1:18" x14ac:dyDescent="0.25">
      <c r="A1417" s="2">
        <f ca="1">IFERROR(__xludf.DUMMYFUNCTION("""COMPUTED_VALUE"""),45044.9049741203)</f>
        <v>45044.904974120298</v>
      </c>
      <c r="B1417" s="1" t="str">
        <f ca="1">IFERROR(__xludf.DUMMYFUNCTION("""COMPUTED_VALUE"""),"India")</f>
        <v>India</v>
      </c>
      <c r="C1417" s="1">
        <f ca="1">IFERROR(__xludf.DUMMYFUNCTION("""COMPUTED_VALUE"""),411032)</f>
        <v>411032</v>
      </c>
      <c r="D1417" s="1" t="str">
        <f ca="1">IFERROR(__xludf.DUMMYFUNCTION("""COMPUTED_VALUE"""),"Male")</f>
        <v>Male</v>
      </c>
      <c r="E1417" s="1" t="str">
        <f ca="1">IFERROR(__xludf.DUMMYFUNCTION("""COMPUTED_VALUE"""),"Influencers who had successful careers")</f>
        <v>Influencers who had successful careers</v>
      </c>
      <c r="F1417" s="1" t="str">
        <f ca="1">IFERROR(__xludf.DUMMYFUNCTION("""COMPUTED_VALUE"""),"Yes, I will earn and do that")</f>
        <v>Yes, I will earn and do that</v>
      </c>
      <c r="G1417" s="1" t="str">
        <f ca="1">IFERROR(__xludf.DUMMYFUNCTION("""COMPUTED_VALUE"""),"This will be hard to do, but if it is the right company I would try")</f>
        <v>This will be hard to do, but if it is the right company I would try</v>
      </c>
      <c r="H1417" s="1" t="str">
        <f ca="1">IFERROR(__xludf.DUMMYFUNCTION("""COMPUTED_VALUE"""),"Yes")</f>
        <v>Yes</v>
      </c>
      <c r="I1417" s="1" t="str">
        <f ca="1">IFERROR(__xludf.DUMMYFUNCTION("""COMPUTED_VALUE"""),"Will work for them")</f>
        <v>Will work for them</v>
      </c>
      <c r="J1417" s="1">
        <f ca="1">IFERROR(__xludf.DUMMYFUNCTION("""COMPUTED_VALUE"""),7)</f>
        <v>7</v>
      </c>
      <c r="K1417" s="1" t="str">
        <f ca="1">IFERROR(__xludf.DUMMYFUNCTION("""COMPUTED_VALUE"""),"Hybrid Working Environment with more than 15 days a month at office")</f>
        <v>Hybrid Working Environment with more than 15 days a month at office</v>
      </c>
      <c r="L1417" s="1" t="str">
        <f ca="1">IFERROR(__xludf.DUMMYFUNCTION("""COMPUTED_VALUE"""),"Employer who pushes your limits by enabling an learning environment, and rewards you at the end")</f>
        <v>Employer who pushes your limits by enabling an learning environment, and rewards you at the end</v>
      </c>
      <c r="M1417"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N1417" s="1"/>
      <c r="O1417" s="1" t="str">
        <f ca="1">IFERROR(__xludf.DUMMYFUNCTION("""COMPUTED_VALUE"""),"Manager who explains what is expected, sets a goal and helps achieve it")</f>
        <v>Manager who explains what is expected, sets a goal and helps achieve it</v>
      </c>
      <c r="P1417" s="1" t="str">
        <f ca="1">IFERROR(__xludf.DUMMYFUNCTION("""COMPUTED_VALUE"""),"Work &gt;10 people in Team")</f>
        <v>Work &gt;10 people in Team</v>
      </c>
      <c r="Q1417" s="1" t="s">
        <v>40</v>
      </c>
      <c r="R1417" s="1"/>
    </row>
    <row r="1418" spans="1:18" x14ac:dyDescent="0.25">
      <c r="A1418" s="2">
        <f ca="1">IFERROR(__xludf.DUMMYFUNCTION("""COMPUTED_VALUE"""),45044.9080630902)</f>
        <v>45044.908063090203</v>
      </c>
      <c r="B1418" s="1" t="str">
        <f ca="1">IFERROR(__xludf.DUMMYFUNCTION("""COMPUTED_VALUE"""),"India")</f>
        <v>India</v>
      </c>
      <c r="C1418" s="1">
        <f ca="1">IFERROR(__xludf.DUMMYFUNCTION("""COMPUTED_VALUE"""),603209)</f>
        <v>603209</v>
      </c>
      <c r="D1418" s="1" t="str">
        <f ca="1">IFERROR(__xludf.DUMMYFUNCTION("""COMPUTED_VALUE"""),"Male")</f>
        <v>Male</v>
      </c>
      <c r="E1418" s="1" t="str">
        <f ca="1">IFERROR(__xludf.DUMMYFUNCTION("""COMPUTED_VALUE"""),"People from my circle, but not family members")</f>
        <v>People from my circle, but not family members</v>
      </c>
      <c r="F1418" s="1" t="str">
        <f ca="1">IFERROR(__xludf.DUMMYFUNCTION("""COMPUTED_VALUE"""),"Yes, I will earn and do that")</f>
        <v>Yes, I will earn and do that</v>
      </c>
      <c r="G1418" s="1" t="str">
        <f ca="1">IFERROR(__xludf.DUMMYFUNCTION("""COMPUTED_VALUE"""),"Will work for 3 years or more")</f>
        <v>Will work for 3 years or more</v>
      </c>
      <c r="H1418" s="1" t="str">
        <f ca="1">IFERROR(__xludf.DUMMYFUNCTION("""COMPUTED_VALUE"""),"No")</f>
        <v>No</v>
      </c>
      <c r="I1418" s="1" t="str">
        <f ca="1">IFERROR(__xludf.DUMMYFUNCTION("""COMPUTED_VALUE"""),"Will NOT work for them")</f>
        <v>Will NOT work for them</v>
      </c>
      <c r="J1418" s="1">
        <f ca="1">IFERROR(__xludf.DUMMYFUNCTION("""COMPUTED_VALUE"""),2)</f>
        <v>2</v>
      </c>
      <c r="K1418" s="1" t="str">
        <f ca="1">IFERROR(__xludf.DUMMYFUNCTION("""COMPUTED_VALUE"""),"Hybrid Working Environment with more than 15 days a month at office")</f>
        <v>Hybrid Working Environment with more than 15 days a month at office</v>
      </c>
      <c r="L1418" s="1" t="str">
        <f ca="1">IFERROR(__xludf.DUMMYFUNCTION("""COMPUTED_VALUE"""),"Employer who pushes your limits by enabling an learning environment, and rewards you at the end")</f>
        <v>Employer who pushes your limits by enabling an learning environment, and rewards you at the end</v>
      </c>
      <c r="M141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418" s="1"/>
      <c r="O1418" s="1" t="str">
        <f ca="1">IFERROR(__xludf.DUMMYFUNCTION("""COMPUTED_VALUE"""),"Manager who explains what is expected, sets a goal and helps achieve it")</f>
        <v>Manager who explains what is expected, sets a goal and helps achieve it</v>
      </c>
      <c r="P1418" s="1" t="str">
        <f ca="1">IFERROR(__xludf.DUMMYFUNCTION("""COMPUTED_VALUE"""),"Work Alone, &lt;=6 in team")</f>
        <v>Work Alone, &lt;=6 in team</v>
      </c>
      <c r="Q1418" s="1" t="s">
        <v>43</v>
      </c>
      <c r="R1418" s="1"/>
    </row>
    <row r="1419" spans="1:18" x14ac:dyDescent="0.25">
      <c r="A1419" s="2">
        <f ca="1">IFERROR(__xludf.DUMMYFUNCTION("""COMPUTED_VALUE"""),45044.9100239004)</f>
        <v>45044.910023900396</v>
      </c>
      <c r="B1419" s="1" t="str">
        <f ca="1">IFERROR(__xludf.DUMMYFUNCTION("""COMPUTED_VALUE"""),"India")</f>
        <v>India</v>
      </c>
      <c r="C1419" s="1">
        <f ca="1">IFERROR(__xludf.DUMMYFUNCTION("""COMPUTED_VALUE"""),841221)</f>
        <v>841221</v>
      </c>
      <c r="D1419" s="1" t="str">
        <f ca="1">IFERROR(__xludf.DUMMYFUNCTION("""COMPUTED_VALUE"""),"Female")</f>
        <v>Female</v>
      </c>
      <c r="E1419" s="1" t="str">
        <f ca="1">IFERROR(__xludf.DUMMYFUNCTION("""COMPUTED_VALUE"""),"People who have changed the world for better")</f>
        <v>People who have changed the world for better</v>
      </c>
      <c r="F1419" s="1" t="str">
        <f ca="1">IFERROR(__xludf.DUMMYFUNCTION("""COMPUTED_VALUE"""),"Yes, I will earn and do that")</f>
        <v>Yes, I will earn and do that</v>
      </c>
      <c r="G1419" s="1" t="str">
        <f ca="1">IFERROR(__xludf.DUMMYFUNCTION("""COMPUTED_VALUE"""),"Will work for 3 years or more")</f>
        <v>Will work for 3 years or more</v>
      </c>
      <c r="H1419" s="1" t="str">
        <f ca="1">IFERROR(__xludf.DUMMYFUNCTION("""COMPUTED_VALUE"""),"Yes")</f>
        <v>Yes</v>
      </c>
      <c r="I1419" s="1" t="str">
        <f ca="1">IFERROR(__xludf.DUMMYFUNCTION("""COMPUTED_VALUE"""),"Will work for them")</f>
        <v>Will work for them</v>
      </c>
      <c r="J1419" s="1">
        <f ca="1">IFERROR(__xludf.DUMMYFUNCTION("""COMPUTED_VALUE"""),3)</f>
        <v>3</v>
      </c>
      <c r="K1419" s="1" t="str">
        <f ca="1">IFERROR(__xludf.DUMMYFUNCTION("""COMPUTED_VALUE"""),"Every Day Office Environment")</f>
        <v>Every Day Office Environment</v>
      </c>
      <c r="L1419" s="1" t="str">
        <f ca="1">IFERROR(__xludf.DUMMYFUNCTION("""COMPUTED_VALUE"""),"Employer who rewards learning and enables that environment")</f>
        <v>Employer who rewards learning and enables that environment</v>
      </c>
      <c r="M1419" s="1" t="str">
        <f ca="1">IFERROR(__xludf.DUMMYFUNCTION("""COMPUTED_VALUE"""),"Look deeply into Data and generate insights, Work in a BPO setup for some well known client, Work as a freelancer and do my thing my way, Become a content Creator in some platform")</f>
        <v>Look deeply into Data and generate insights, Work in a BPO setup for some well known client, Work as a freelancer and do my thing my way, Become a content Creator in some platform</v>
      </c>
      <c r="N1419" s="1"/>
      <c r="O1419" s="1" t="str">
        <f ca="1">IFERROR(__xludf.DUMMYFUNCTION("""COMPUTED_VALUE"""),"Manager who sets targets and expects me to achieve it")</f>
        <v>Manager who sets targets and expects me to achieve it</v>
      </c>
      <c r="P1419" s="1" t="str">
        <f ca="1">IFERROR(__xludf.DUMMYFUNCTION("""COMPUTED_VALUE"""),"Work &lt;=6 People in the Team")</f>
        <v>Work &lt;=6 People in the Team</v>
      </c>
      <c r="Q1419" s="1" t="s">
        <v>43</v>
      </c>
      <c r="R1419" s="1"/>
    </row>
    <row r="1420" spans="1:18" x14ac:dyDescent="0.25">
      <c r="A1420" s="2">
        <f ca="1">IFERROR(__xludf.DUMMYFUNCTION("""COMPUTED_VALUE"""),45044.9112696064)</f>
        <v>45044.911269606397</v>
      </c>
      <c r="B1420" s="1" t="str">
        <f ca="1">IFERROR(__xludf.DUMMYFUNCTION("""COMPUTED_VALUE"""),"India")</f>
        <v>India</v>
      </c>
      <c r="C1420" s="1">
        <f ca="1">IFERROR(__xludf.DUMMYFUNCTION("""COMPUTED_VALUE"""),803302)</f>
        <v>803302</v>
      </c>
      <c r="D1420" s="1" t="str">
        <f ca="1">IFERROR(__xludf.DUMMYFUNCTION("""COMPUTED_VALUE"""),"Female")</f>
        <v>Female</v>
      </c>
      <c r="E1420" s="1" t="str">
        <f ca="1">IFERROR(__xludf.DUMMYFUNCTION("""COMPUTED_VALUE"""),"My Parents")</f>
        <v>My Parents</v>
      </c>
      <c r="F1420" s="1" t="str">
        <f ca="1">IFERROR(__xludf.DUMMYFUNCTION("""COMPUTED_VALUE"""),"No, But if someone could bare the cost I will")</f>
        <v>No, But if someone could bare the cost I will</v>
      </c>
      <c r="G1420" s="1" t="str">
        <f ca="1">IFERROR(__xludf.DUMMYFUNCTION("""COMPUTED_VALUE"""),"This will be hard to do, but if it is the right company I would try")</f>
        <v>This will be hard to do, but if it is the right company I would try</v>
      </c>
      <c r="H1420" s="1" t="str">
        <f ca="1">IFERROR(__xludf.DUMMYFUNCTION("""COMPUTED_VALUE"""),"No")</f>
        <v>No</v>
      </c>
      <c r="I1420" s="1" t="str">
        <f ca="1">IFERROR(__xludf.DUMMYFUNCTION("""COMPUTED_VALUE"""),"Will work for them")</f>
        <v>Will work for them</v>
      </c>
      <c r="J1420" s="1">
        <f ca="1">IFERROR(__xludf.DUMMYFUNCTION("""COMPUTED_VALUE"""),4)</f>
        <v>4</v>
      </c>
      <c r="K1420" s="1" t="str">
        <f ca="1">IFERROR(__xludf.DUMMYFUNCTION("""COMPUTED_VALUE"""),"Every Day Office Environment")</f>
        <v>Every Day Office Environment</v>
      </c>
      <c r="L1420" s="1" t="str">
        <f ca="1">IFERROR(__xludf.DUMMYFUNCTION("""COMPUTED_VALUE"""),"Employer who appreciates learning and enables that environment")</f>
        <v>Employer who appreciates learning and enables that environment</v>
      </c>
      <c r="M1420" s="1" t="str">
        <f ca="1">IFERROR(__xludf.DUMMYFUNCTION("""COMPUTED_VALUE"""),"Manage and drive End-to-End Projects or Products, Look deeply into Data and generate insights, Entrepreneur or Start Up, I Want to sell things/Sales")</f>
        <v>Manage and drive End-to-End Projects or Products, Look deeply into Data and generate insights, Entrepreneur or Start Up, I Want to sell things/Sales</v>
      </c>
      <c r="N1420" s="1"/>
      <c r="O1420" s="1" t="str">
        <f ca="1">IFERROR(__xludf.DUMMYFUNCTION("""COMPUTED_VALUE"""),"Manager who sets targets and expects me to achieve it")</f>
        <v>Manager who sets targets and expects me to achieve it</v>
      </c>
      <c r="P1420" s="1" t="str">
        <f ca="1">IFERROR(__xludf.DUMMYFUNCTION("""COMPUTED_VALUE"""),"Work &lt;=6 People in the Team")</f>
        <v>Work &lt;=6 People in the Team</v>
      </c>
      <c r="Q1420" s="1" t="s">
        <v>42</v>
      </c>
      <c r="R1420" s="1"/>
    </row>
    <row r="1421" spans="1:18" x14ac:dyDescent="0.25">
      <c r="A1421" s="2">
        <f ca="1">IFERROR(__xludf.DUMMYFUNCTION("""COMPUTED_VALUE"""),45044.9137991319)</f>
        <v>45044.9137991319</v>
      </c>
      <c r="B1421" s="1" t="str">
        <f ca="1">IFERROR(__xludf.DUMMYFUNCTION("""COMPUTED_VALUE"""),"India")</f>
        <v>India</v>
      </c>
      <c r="C1421" s="1">
        <f ca="1">IFERROR(__xludf.DUMMYFUNCTION("""COMPUTED_VALUE"""),201310)</f>
        <v>201310</v>
      </c>
      <c r="D1421" s="1" t="str">
        <f ca="1">IFERROR(__xludf.DUMMYFUNCTION("""COMPUTED_VALUE"""),"Female")</f>
        <v>Female</v>
      </c>
      <c r="E1421" s="1" t="str">
        <f ca="1">IFERROR(__xludf.DUMMYFUNCTION("""COMPUTED_VALUE"""),"People from my circle, but not family members")</f>
        <v>People from my circle, but not family members</v>
      </c>
      <c r="F1421" s="1" t="str">
        <f ca="1">IFERROR(__xludf.DUMMYFUNCTION("""COMPUTED_VALUE"""),"No I would not be pursuing Higher Education outside of India")</f>
        <v>No I would not be pursuing Higher Education outside of India</v>
      </c>
      <c r="G1421" s="1" t="str">
        <f ca="1">IFERROR(__xludf.DUMMYFUNCTION("""COMPUTED_VALUE"""),"This will be hard to do, but if it is the right company I would try")</f>
        <v>This will be hard to do, but if it is the right company I would try</v>
      </c>
      <c r="H1421" s="1" t="str">
        <f ca="1">IFERROR(__xludf.DUMMYFUNCTION("""COMPUTED_VALUE"""),"Yes")</f>
        <v>Yes</v>
      </c>
      <c r="I1421" s="1" t="str">
        <f ca="1">IFERROR(__xludf.DUMMYFUNCTION("""COMPUTED_VALUE"""),"Will NOT work for them")</f>
        <v>Will NOT work for them</v>
      </c>
      <c r="J1421" s="1">
        <f ca="1">IFERROR(__xludf.DUMMYFUNCTION("""COMPUTED_VALUE"""),4)</f>
        <v>4</v>
      </c>
      <c r="K1421" s="1" t="str">
        <f ca="1">IFERROR(__xludf.DUMMYFUNCTION("""COMPUTED_VALUE"""),"Every Day Office Environment")</f>
        <v>Every Day Office Environment</v>
      </c>
      <c r="L1421" s="1" t="str">
        <f ca="1">IFERROR(__xludf.DUMMYFUNCTION("""COMPUTED_VALUE"""),"Employer who rewards learning and enables that environment")</f>
        <v>Employer who rewards learning and enables that environment</v>
      </c>
      <c r="M142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N1421" s="1"/>
      <c r="O1421" s="1" t="str">
        <f ca="1">IFERROR(__xludf.DUMMYFUNCTION("""COMPUTED_VALUE"""),"Manager who explains what is expected, sets a goal and helps achieve it")</f>
        <v>Manager who explains what is expected, sets a goal and helps achieve it</v>
      </c>
      <c r="P1421" s="1" t="str">
        <f ca="1">IFERROR(__xludf.DUMMYFUNCTION("""COMPUTED_VALUE"""),"Work &lt;=6 People in the Team")</f>
        <v>Work &lt;=6 People in the Team</v>
      </c>
      <c r="Q1421" s="1" t="s">
        <v>40</v>
      </c>
      <c r="R1421" s="1"/>
    </row>
    <row r="1422" spans="1:18" x14ac:dyDescent="0.25">
      <c r="A1422" s="2">
        <f ca="1">IFERROR(__xludf.DUMMYFUNCTION("""COMPUTED_VALUE"""),45044.9143012731)</f>
        <v>45044.9143012731</v>
      </c>
      <c r="B1422" s="1" t="str">
        <f ca="1">IFERROR(__xludf.DUMMYFUNCTION("""COMPUTED_VALUE"""),"India")</f>
        <v>India</v>
      </c>
      <c r="C1422" s="1">
        <f ca="1">IFERROR(__xludf.DUMMYFUNCTION("""COMPUTED_VALUE"""),201308)</f>
        <v>201308</v>
      </c>
      <c r="D1422" s="1" t="str">
        <f ca="1">IFERROR(__xludf.DUMMYFUNCTION("""COMPUTED_VALUE"""),"Female")</f>
        <v>Female</v>
      </c>
      <c r="E1422" s="1" t="str">
        <f ca="1">IFERROR(__xludf.DUMMYFUNCTION("""COMPUTED_VALUE"""),"People from my circle, but not family members")</f>
        <v>People from my circle, but not family members</v>
      </c>
      <c r="F1422" s="1" t="str">
        <f ca="1">IFERROR(__xludf.DUMMYFUNCTION("""COMPUTED_VALUE"""),"No, But if someone could bare the cost I will")</f>
        <v>No, But if someone could bare the cost I will</v>
      </c>
      <c r="G1422" s="1" t="str">
        <f ca="1">IFERROR(__xludf.DUMMYFUNCTION("""COMPUTED_VALUE"""),"Will work for 3 years or more")</f>
        <v>Will work for 3 years or more</v>
      </c>
      <c r="H1422" s="1" t="str">
        <f ca="1">IFERROR(__xludf.DUMMYFUNCTION("""COMPUTED_VALUE"""),"No")</f>
        <v>No</v>
      </c>
      <c r="I1422" s="1" t="str">
        <f ca="1">IFERROR(__xludf.DUMMYFUNCTION("""COMPUTED_VALUE"""),"Will NOT work for them")</f>
        <v>Will NOT work for them</v>
      </c>
      <c r="J1422" s="1">
        <f ca="1">IFERROR(__xludf.DUMMYFUNCTION("""COMPUTED_VALUE"""),4)</f>
        <v>4</v>
      </c>
      <c r="K1422" s="1" t="str">
        <f ca="1">IFERROR(__xludf.DUMMYFUNCTION("""COMPUTED_VALUE"""),"Fully Remote with No option to visit offices")</f>
        <v>Fully Remote with No option to visit offices</v>
      </c>
      <c r="L1422" s="1" t="str">
        <f ca="1">IFERROR(__xludf.DUMMYFUNCTION("""COMPUTED_VALUE"""),"Employer who appreciates learning and enables that environment")</f>
        <v>Employer who appreciates learning and enables that environment</v>
      </c>
      <c r="M1422"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N1422" s="1"/>
      <c r="O1422" s="1" t="str">
        <f ca="1">IFERROR(__xludf.DUMMYFUNCTION("""COMPUTED_VALUE"""),"Manager who explains what is expected, sets a goal and helps achieve it")</f>
        <v>Manager who explains what is expected, sets a goal and helps achieve it</v>
      </c>
      <c r="P1422" s="1" t="str">
        <f ca="1">IFERROR(__xludf.DUMMYFUNCTION("""COMPUTED_VALUE"""),"Work Alone, &lt;=6 in team")</f>
        <v>Work Alone, &lt;=6 in team</v>
      </c>
      <c r="Q1422" s="1" t="s">
        <v>43</v>
      </c>
      <c r="R1422" s="1"/>
    </row>
    <row r="1423" spans="1:18" x14ac:dyDescent="0.25">
      <c r="A1423" s="2">
        <f ca="1">IFERROR(__xludf.DUMMYFUNCTION("""COMPUTED_VALUE"""),45044.9153819675)</f>
        <v>45044.915381967498</v>
      </c>
      <c r="B1423" s="1" t="str">
        <f ca="1">IFERROR(__xludf.DUMMYFUNCTION("""COMPUTED_VALUE"""),"India")</f>
        <v>India</v>
      </c>
      <c r="C1423" s="1">
        <f ca="1">IFERROR(__xludf.DUMMYFUNCTION("""COMPUTED_VALUE"""),803302)</f>
        <v>803302</v>
      </c>
      <c r="D1423" s="1" t="str">
        <f ca="1">IFERROR(__xludf.DUMMYFUNCTION("""COMPUTED_VALUE"""),"Female")</f>
        <v>Female</v>
      </c>
      <c r="E1423" s="1" t="str">
        <f ca="1">IFERROR(__xludf.DUMMYFUNCTION("""COMPUTED_VALUE"""),"My Parents")</f>
        <v>My Parents</v>
      </c>
      <c r="F1423" s="1" t="str">
        <f ca="1">IFERROR(__xludf.DUMMYFUNCTION("""COMPUTED_VALUE"""),"No, But if someone could bare the cost I will")</f>
        <v>No, But if someone could bare the cost I will</v>
      </c>
      <c r="G1423" s="1" t="str">
        <f ca="1">IFERROR(__xludf.DUMMYFUNCTION("""COMPUTED_VALUE"""),"This will be hard to do, but if it is the right company I would try")</f>
        <v>This will be hard to do, but if it is the right company I would try</v>
      </c>
      <c r="H1423" s="1" t="str">
        <f ca="1">IFERROR(__xludf.DUMMYFUNCTION("""COMPUTED_VALUE"""),"No")</f>
        <v>No</v>
      </c>
      <c r="I1423" s="1" t="str">
        <f ca="1">IFERROR(__xludf.DUMMYFUNCTION("""COMPUTED_VALUE"""),"Will NOT work for them")</f>
        <v>Will NOT work for them</v>
      </c>
      <c r="J1423" s="1">
        <f ca="1">IFERROR(__xludf.DUMMYFUNCTION("""COMPUTED_VALUE"""),5)</f>
        <v>5</v>
      </c>
      <c r="K1423" s="1" t="str">
        <f ca="1">IFERROR(__xludf.DUMMYFUNCTION("""COMPUTED_VALUE"""),"Fully Remote with No option to visit offices")</f>
        <v>Fully Remote with No option to visit offices</v>
      </c>
      <c r="L1423" s="1" t="str">
        <f ca="1">IFERROR(__xludf.DUMMYFUNCTION("""COMPUTED_VALUE"""),"Employer who pushes your limits by enabling an learning environment, and rewards you at the end")</f>
        <v>Employer who pushes your limits by enabling an learning environment, and rewards you at the end</v>
      </c>
      <c r="M1423" s="1" t="str">
        <f ca="1">IFERROR(__xludf.DUMMYFUNCTION("""COMPUTED_VALUE"""),"Business Operations in any organization, Design and Develop amazing software, Work as a freelancer and do my thing my way, An Artificial Intelligence Specialist / Talking to Robots")</f>
        <v>Business Operations in any organization, Design and Develop amazing software, Work as a freelancer and do my thing my way, An Artificial Intelligence Specialist / Talking to Robots</v>
      </c>
      <c r="N1423" s="1"/>
      <c r="O1423" s="1" t="str">
        <f ca="1">IFERROR(__xludf.DUMMYFUNCTION("""COMPUTED_VALUE"""),"Manager who explains what is expected, sets a goal and helps achieve it")</f>
        <v>Manager who explains what is expected, sets a goal and helps achieve it</v>
      </c>
      <c r="P1423" s="1" t="str">
        <f ca="1">IFERROR(__xludf.DUMMYFUNCTION("""COMPUTED_VALUE"""),"Work &lt;=6 People in the Team")</f>
        <v>Work &lt;=6 People in the Team</v>
      </c>
      <c r="Q1423" s="1" t="s">
        <v>40</v>
      </c>
      <c r="R1423" s="1"/>
    </row>
    <row r="1424" spans="1:18" x14ac:dyDescent="0.25">
      <c r="A1424" s="2">
        <f ca="1">IFERROR(__xludf.DUMMYFUNCTION("""COMPUTED_VALUE"""),45044.9156552777)</f>
        <v>45044.915655277699</v>
      </c>
      <c r="B1424" s="1" t="str">
        <f ca="1">IFERROR(__xludf.DUMMYFUNCTION("""COMPUTED_VALUE"""),"India")</f>
        <v>India</v>
      </c>
      <c r="C1424" s="1">
        <f ca="1">IFERROR(__xludf.DUMMYFUNCTION("""COMPUTED_VALUE"""),600073)</f>
        <v>600073</v>
      </c>
      <c r="D1424" s="1" t="str">
        <f ca="1">IFERROR(__xludf.DUMMYFUNCTION("""COMPUTED_VALUE"""),"Female")</f>
        <v>Female</v>
      </c>
      <c r="E1424" s="1" t="str">
        <f ca="1">IFERROR(__xludf.DUMMYFUNCTION("""COMPUTED_VALUE"""),"Influencers who had successful careers")</f>
        <v>Influencers who had successful careers</v>
      </c>
      <c r="F1424" s="1" t="str">
        <f ca="1">IFERROR(__xludf.DUMMYFUNCTION("""COMPUTED_VALUE"""),"No, But if someone could bare the cost I will")</f>
        <v>No, But if someone could bare the cost I will</v>
      </c>
      <c r="G1424" s="1" t="str">
        <f ca="1">IFERROR(__xludf.DUMMYFUNCTION("""COMPUTED_VALUE"""),"No way")</f>
        <v>No way</v>
      </c>
      <c r="H1424" s="1" t="str">
        <f ca="1">IFERROR(__xludf.DUMMYFUNCTION("""COMPUTED_VALUE"""),"No")</f>
        <v>No</v>
      </c>
      <c r="I1424" s="1" t="str">
        <f ca="1">IFERROR(__xludf.DUMMYFUNCTION("""COMPUTED_VALUE"""),"Will NOT work for them")</f>
        <v>Will NOT work for them</v>
      </c>
      <c r="J1424" s="1">
        <f ca="1">IFERROR(__xludf.DUMMYFUNCTION("""COMPUTED_VALUE"""),9)</f>
        <v>9</v>
      </c>
      <c r="K1424" s="1" t="str">
        <f ca="1">IFERROR(__xludf.DUMMYFUNCTION("""COMPUTED_VALUE"""),"Hybrid Working Environment with more than 15 days a month at office")</f>
        <v>Hybrid Working Environment with more than 15 days a month at office</v>
      </c>
      <c r="L1424" s="1" t="str">
        <f ca="1">IFERROR(__xludf.DUMMYFUNCTION("""COMPUTED_VALUE"""),"Employer who rewards learning and enables that environment")</f>
        <v>Employer who rewards learning and enables that environment</v>
      </c>
      <c r="M1424"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N1424" s="1"/>
      <c r="O1424" s="1" t="str">
        <f ca="1">IFERROR(__xludf.DUMMYFUNCTION("""COMPUTED_VALUE"""),"Manager who clearly describes what she/he needs")</f>
        <v>Manager who clearly describes what she/he needs</v>
      </c>
      <c r="P1424" s="1" t="str">
        <f ca="1">IFERROR(__xludf.DUMMYFUNCTION("""COMPUTED_VALUE"""),"Work alone")</f>
        <v>Work alone</v>
      </c>
      <c r="Q1424" s="1" t="s">
        <v>40</v>
      </c>
      <c r="R1424" s="1"/>
    </row>
    <row r="1425" spans="1:18" x14ac:dyDescent="0.25">
      <c r="A1425" s="2">
        <f ca="1">IFERROR(__xludf.DUMMYFUNCTION("""COMPUTED_VALUE"""),45044.916570243)</f>
        <v>45044.916570242996</v>
      </c>
      <c r="B1425" s="1" t="str">
        <f ca="1">IFERROR(__xludf.DUMMYFUNCTION("""COMPUTED_VALUE"""),"India")</f>
        <v>India</v>
      </c>
      <c r="C1425" s="1">
        <f ca="1">IFERROR(__xludf.DUMMYFUNCTION("""COMPUTED_VALUE"""),803303)</f>
        <v>803303</v>
      </c>
      <c r="D1425" s="1" t="str">
        <f ca="1">IFERROR(__xludf.DUMMYFUNCTION("""COMPUTED_VALUE"""),"Male")</f>
        <v>Male</v>
      </c>
      <c r="E1425" s="1" t="str">
        <f ca="1">IFERROR(__xludf.DUMMYFUNCTION("""COMPUTED_VALUE"""),"My Parents")</f>
        <v>My Parents</v>
      </c>
      <c r="F1425" s="1" t="str">
        <f ca="1">IFERROR(__xludf.DUMMYFUNCTION("""COMPUTED_VALUE"""),"No, But if someone could bare the cost I will")</f>
        <v>No, But if someone could bare the cost I will</v>
      </c>
      <c r="G1425" s="1" t="str">
        <f ca="1">IFERROR(__xludf.DUMMYFUNCTION("""COMPUTED_VALUE"""),"Will work for 3 years or more")</f>
        <v>Will work for 3 years or more</v>
      </c>
      <c r="H1425" s="1" t="str">
        <f ca="1">IFERROR(__xludf.DUMMYFUNCTION("""COMPUTED_VALUE"""),"No")</f>
        <v>No</v>
      </c>
      <c r="I1425" s="1" t="str">
        <f ca="1">IFERROR(__xludf.DUMMYFUNCTION("""COMPUTED_VALUE"""),"Will NOT work for them")</f>
        <v>Will NOT work for them</v>
      </c>
      <c r="J1425" s="1">
        <f ca="1">IFERROR(__xludf.DUMMYFUNCTION("""COMPUTED_VALUE"""),1)</f>
        <v>1</v>
      </c>
      <c r="K1425" s="1" t="str">
        <f ca="1">IFERROR(__xludf.DUMMYFUNCTION("""COMPUTED_VALUE"""),"Fully Remote with Options to travel as and when needed")</f>
        <v>Fully Remote with Options to travel as and when needed</v>
      </c>
      <c r="L1425" s="1" t="str">
        <f ca="1">IFERROR(__xludf.DUMMYFUNCTION("""COMPUTED_VALUE"""),"Employer who pushes your limits by enabling an learning environment, and rewards you at the end")</f>
        <v>Employer who pushes your limits by enabling an learning environment, and rewards you at the end</v>
      </c>
      <c r="M1425" s="1" t="str">
        <f ca="1">IFERROR(__xludf.DUMMYFUNCTION("""COMPUTED_VALUE"""),"Teaching in any of the institutes/colleges/online or offline, Manage and drive End-to-End Projects or Products, Design and Develop amazing software, Entrepreneur or Start Up")</f>
        <v>Teaching in any of the institutes/colleges/online or offline, Manage and drive End-to-End Projects or Products, Design and Develop amazing software, Entrepreneur or Start Up</v>
      </c>
      <c r="N1425" s="1"/>
      <c r="O1425" s="1" t="str">
        <f ca="1">IFERROR(__xludf.DUMMYFUNCTION("""COMPUTED_VALUE"""),"Manager who explains what is expected, sets a goal and helps achieve it")</f>
        <v>Manager who explains what is expected, sets a goal and helps achieve it</v>
      </c>
      <c r="P1425" s="1" t="str">
        <f ca="1">IFERROR(__xludf.DUMMYFUNCTION("""COMPUTED_VALUE"""),"Work &gt;=7 People in the Team")</f>
        <v>Work &gt;=7 People in the Team</v>
      </c>
      <c r="Q1425" s="1" t="s">
        <v>40</v>
      </c>
      <c r="R1425" s="1"/>
    </row>
    <row r="1426" spans="1:18" x14ac:dyDescent="0.25">
      <c r="A1426" s="2">
        <f ca="1">IFERROR(__xludf.DUMMYFUNCTION("""COMPUTED_VALUE"""),45044.9206566666)</f>
        <v>45044.920656666603</v>
      </c>
      <c r="B1426" s="1" t="str">
        <f ca="1">IFERROR(__xludf.DUMMYFUNCTION("""COMPUTED_VALUE"""),"India")</f>
        <v>India</v>
      </c>
      <c r="C1426" s="1">
        <f ca="1">IFERROR(__xludf.DUMMYFUNCTION("""COMPUTED_VALUE"""),247667)</f>
        <v>247667</v>
      </c>
      <c r="D1426" s="1" t="str">
        <f ca="1">IFERROR(__xludf.DUMMYFUNCTION("""COMPUTED_VALUE"""),"Female")</f>
        <v>Female</v>
      </c>
      <c r="E1426" s="1" t="str">
        <f ca="1">IFERROR(__xludf.DUMMYFUNCTION("""COMPUTED_VALUE"""),"People who have changed the world for better")</f>
        <v>People who have changed the world for better</v>
      </c>
      <c r="F1426" s="1" t="str">
        <f ca="1">IFERROR(__xludf.DUMMYFUNCTION("""COMPUTED_VALUE"""),"No I would not be pursuing Higher Education outside of India")</f>
        <v>No I would not be pursuing Higher Education outside of India</v>
      </c>
      <c r="G1426" s="1" t="str">
        <f ca="1">IFERROR(__xludf.DUMMYFUNCTION("""COMPUTED_VALUE"""),"Will work for 3 years or more")</f>
        <v>Will work for 3 years or more</v>
      </c>
      <c r="H1426" s="1" t="str">
        <f ca="1">IFERROR(__xludf.DUMMYFUNCTION("""COMPUTED_VALUE"""),"No")</f>
        <v>No</v>
      </c>
      <c r="I1426" s="1" t="str">
        <f ca="1">IFERROR(__xludf.DUMMYFUNCTION("""COMPUTED_VALUE"""),"Will work for them")</f>
        <v>Will work for them</v>
      </c>
      <c r="J1426" s="1">
        <f ca="1">IFERROR(__xludf.DUMMYFUNCTION("""COMPUTED_VALUE"""),5)</f>
        <v>5</v>
      </c>
      <c r="K1426" s="1" t="str">
        <f ca="1">IFERROR(__xludf.DUMMYFUNCTION("""COMPUTED_VALUE"""),"Hybrid Working Environment with more than 15 days a month at office")</f>
        <v>Hybrid Working Environment with more than 15 days a month at office</v>
      </c>
      <c r="L1426" s="1" t="str">
        <f ca="1">IFERROR(__xludf.DUMMYFUNCTION("""COMPUTED_VALUE"""),"Employer who pushes your limits by enabling an learning environment, and rewards you at the end")</f>
        <v>Employer who pushes your limits by enabling an learning environment, and rewards you at the end</v>
      </c>
      <c r="M1426"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N1426" s="1"/>
      <c r="O1426" s="1" t="str">
        <f ca="1">IFERROR(__xludf.DUMMYFUNCTION("""COMPUTED_VALUE"""),"Manager who clearly describes what she/he needs")</f>
        <v>Manager who clearly describes what she/he needs</v>
      </c>
      <c r="P1426" s="1" t="str">
        <f ca="1">IFERROR(__xludf.DUMMYFUNCTION("""COMPUTED_VALUE"""),"Work &gt;10 people in Team")</f>
        <v>Work &gt;10 people in Team</v>
      </c>
      <c r="Q1426" s="1" t="s">
        <v>43</v>
      </c>
      <c r="R1426" s="1"/>
    </row>
    <row r="1427" spans="1:18" x14ac:dyDescent="0.25">
      <c r="A1427" s="2">
        <f ca="1">IFERROR(__xludf.DUMMYFUNCTION("""COMPUTED_VALUE"""),45044.9212987963)</f>
        <v>45044.921298796296</v>
      </c>
      <c r="B1427" s="1" t="str">
        <f ca="1">IFERROR(__xludf.DUMMYFUNCTION("""COMPUTED_VALUE"""),"India")</f>
        <v>India</v>
      </c>
      <c r="C1427" s="1">
        <f ca="1">IFERROR(__xludf.DUMMYFUNCTION("""COMPUTED_VALUE"""),201310)</f>
        <v>201310</v>
      </c>
      <c r="D1427" s="1" t="str">
        <f ca="1">IFERROR(__xludf.DUMMYFUNCTION("""COMPUTED_VALUE"""),"Female")</f>
        <v>Female</v>
      </c>
      <c r="E1427" s="1" t="str">
        <f ca="1">IFERROR(__xludf.DUMMYFUNCTION("""COMPUTED_VALUE"""),"Social Media like LinkedIn")</f>
        <v>Social Media like LinkedIn</v>
      </c>
      <c r="F1427" s="1" t="str">
        <f ca="1">IFERROR(__xludf.DUMMYFUNCTION("""COMPUTED_VALUE"""),"No, But if someone could bare the cost I will")</f>
        <v>No, But if someone could bare the cost I will</v>
      </c>
      <c r="G1427" s="1" t="str">
        <f ca="1">IFERROR(__xludf.DUMMYFUNCTION("""COMPUTED_VALUE"""),"This will be hard to do, but if it is the right company I would try")</f>
        <v>This will be hard to do, but if it is the right company I would try</v>
      </c>
      <c r="H1427" s="1" t="str">
        <f ca="1">IFERROR(__xludf.DUMMYFUNCTION("""COMPUTED_VALUE"""),"Yes")</f>
        <v>Yes</v>
      </c>
      <c r="I1427" s="1" t="str">
        <f ca="1">IFERROR(__xludf.DUMMYFUNCTION("""COMPUTED_VALUE"""),"Will work for them")</f>
        <v>Will work for them</v>
      </c>
      <c r="J1427" s="1">
        <f ca="1">IFERROR(__xludf.DUMMYFUNCTION("""COMPUTED_VALUE"""),8)</f>
        <v>8</v>
      </c>
      <c r="K1427" s="1" t="str">
        <f ca="1">IFERROR(__xludf.DUMMYFUNCTION("""COMPUTED_VALUE"""),"Hybrid Working Environment with more than 15 days a month at office")</f>
        <v>Hybrid Working Environment with more than 15 days a month at office</v>
      </c>
      <c r="L1427" s="1" t="str">
        <f ca="1">IFERROR(__xludf.DUMMYFUNCTION("""COMPUTED_VALUE"""),"Employer who appreciates learning and enables that environment")</f>
        <v>Employer who appreciates learning and enables that environment</v>
      </c>
      <c r="M1427" s="1" t="str">
        <f ca="1">IFERROR(__xludf.DUMMYFUNCTION("""COMPUTED_VALUE"""),"Manage and drive End-to-End Projects or Products, Become a content Creator in some platform, Entrepreneur or Start Up, Manufacturing / Oil and Gas/ Construction / Hard Physical Work related")</f>
        <v>Manage and drive End-to-End Projects or Products, Become a content Creator in some platform, Entrepreneur or Start Up, Manufacturing / Oil and Gas/ Construction / Hard Physical Work related</v>
      </c>
      <c r="N1427" s="1"/>
      <c r="O1427" s="1" t="str">
        <f ca="1">IFERROR(__xludf.DUMMYFUNCTION("""COMPUTED_VALUE"""),"Manager who sets unrealistic targets")</f>
        <v>Manager who sets unrealistic targets</v>
      </c>
      <c r="P1427" s="1" t="str">
        <f ca="1">IFERROR(__xludf.DUMMYFUNCTION("""COMPUTED_VALUE"""),"Work alone")</f>
        <v>Work alone</v>
      </c>
      <c r="Q1427" s="1" t="s">
        <v>43</v>
      </c>
      <c r="R1427" s="1"/>
    </row>
    <row r="1428" spans="1:18" x14ac:dyDescent="0.25">
      <c r="A1428" s="2">
        <f ca="1">IFERROR(__xludf.DUMMYFUNCTION("""COMPUTED_VALUE"""),45044.9240179513)</f>
        <v>45044.9240179513</v>
      </c>
      <c r="B1428" s="1" t="str">
        <f ca="1">IFERROR(__xludf.DUMMYFUNCTION("""COMPUTED_VALUE"""),"India")</f>
        <v>India</v>
      </c>
      <c r="C1428" s="1">
        <f ca="1">IFERROR(__xludf.DUMMYFUNCTION("""COMPUTED_VALUE"""),201310)</f>
        <v>201310</v>
      </c>
      <c r="D1428" s="1" t="str">
        <f ca="1">IFERROR(__xludf.DUMMYFUNCTION("""COMPUTED_VALUE"""),"Female")</f>
        <v>Female</v>
      </c>
      <c r="E1428" s="1" t="str">
        <f ca="1">IFERROR(__xludf.DUMMYFUNCTION("""COMPUTED_VALUE"""),"People who have changed the world for better")</f>
        <v>People who have changed the world for better</v>
      </c>
      <c r="F1428" s="1" t="str">
        <f ca="1">IFERROR(__xludf.DUMMYFUNCTION("""COMPUTED_VALUE"""),"Yes, I will earn and do that")</f>
        <v>Yes, I will earn and do that</v>
      </c>
      <c r="G1428" s="1" t="str">
        <f ca="1">IFERROR(__xludf.DUMMYFUNCTION("""COMPUTED_VALUE"""),"This will be hard to do, but if it is the right company I would try")</f>
        <v>This will be hard to do, but if it is the right company I would try</v>
      </c>
      <c r="H1428" s="1" t="str">
        <f ca="1">IFERROR(__xludf.DUMMYFUNCTION("""COMPUTED_VALUE"""),"No")</f>
        <v>No</v>
      </c>
      <c r="I1428" s="1" t="str">
        <f ca="1">IFERROR(__xludf.DUMMYFUNCTION("""COMPUTED_VALUE"""),"Will NOT work for them")</f>
        <v>Will NOT work for them</v>
      </c>
      <c r="J1428" s="1">
        <f ca="1">IFERROR(__xludf.DUMMYFUNCTION("""COMPUTED_VALUE"""),4)</f>
        <v>4</v>
      </c>
      <c r="K1428" s="1" t="str">
        <f ca="1">IFERROR(__xludf.DUMMYFUNCTION("""COMPUTED_VALUE"""),"Hybrid Working Environment with less than 3 days a month at office")</f>
        <v>Hybrid Working Environment with less than 3 days a month at office</v>
      </c>
      <c r="L1428" s="1" t="str">
        <f ca="1">IFERROR(__xludf.DUMMYFUNCTION("""COMPUTED_VALUE"""),"Employer who pushes your limits by enabling an learning environment, and rewards you at the end")</f>
        <v>Employer who pushes your limits by enabling an learning environment, and rewards you at the end</v>
      </c>
      <c r="M142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428" s="1"/>
      <c r="O1428" s="1" t="str">
        <f ca="1">IFERROR(__xludf.DUMMYFUNCTION("""COMPUTED_VALUE"""),"Manager who explains what is expected, sets a goal and helps achieve it")</f>
        <v>Manager who explains what is expected, sets a goal and helps achieve it</v>
      </c>
      <c r="P1428" s="1" t="str">
        <f ca="1">IFERROR(__xludf.DUMMYFUNCTION("""COMPUTED_VALUE"""),"Work Alone, &lt;=6 in team")</f>
        <v>Work Alone, &lt;=6 in team</v>
      </c>
      <c r="Q1428" s="1" t="s">
        <v>40</v>
      </c>
      <c r="R1428" s="1"/>
    </row>
    <row r="1429" spans="1:18" x14ac:dyDescent="0.25">
      <c r="A1429" s="2">
        <f ca="1">IFERROR(__xludf.DUMMYFUNCTION("""COMPUTED_VALUE"""),45044.92486478)</f>
        <v>45044.924864779998</v>
      </c>
      <c r="B1429" s="1" t="str">
        <f ca="1">IFERROR(__xludf.DUMMYFUNCTION("""COMPUTED_VALUE"""),"India")</f>
        <v>India</v>
      </c>
      <c r="C1429" s="1">
        <f ca="1">IFERROR(__xludf.DUMMYFUNCTION("""COMPUTED_VALUE"""),440013)</f>
        <v>440013</v>
      </c>
      <c r="D1429" s="1" t="str">
        <f ca="1">IFERROR(__xludf.DUMMYFUNCTION("""COMPUTED_VALUE"""),"Male")</f>
        <v>Male</v>
      </c>
      <c r="E1429" s="1" t="str">
        <f ca="1">IFERROR(__xludf.DUMMYFUNCTION("""COMPUTED_VALUE"""),"My Parents")</f>
        <v>My Parents</v>
      </c>
      <c r="F1429" s="1" t="str">
        <f ca="1">IFERROR(__xludf.DUMMYFUNCTION("""COMPUTED_VALUE"""),"No I would not be pursuing Higher Education outside of India")</f>
        <v>No I would not be pursuing Higher Education outside of India</v>
      </c>
      <c r="G1429" s="1" t="str">
        <f ca="1">IFERROR(__xludf.DUMMYFUNCTION("""COMPUTED_VALUE"""),"Will work for 3 years or more")</f>
        <v>Will work for 3 years or more</v>
      </c>
      <c r="H1429" s="1" t="str">
        <f ca="1">IFERROR(__xludf.DUMMYFUNCTION("""COMPUTED_VALUE"""),"No")</f>
        <v>No</v>
      </c>
      <c r="I1429" s="1" t="str">
        <f ca="1">IFERROR(__xludf.DUMMYFUNCTION("""COMPUTED_VALUE"""),"Will NOT work for them")</f>
        <v>Will NOT work for them</v>
      </c>
      <c r="J1429" s="1">
        <f ca="1">IFERROR(__xludf.DUMMYFUNCTION("""COMPUTED_VALUE"""),10)</f>
        <v>10</v>
      </c>
      <c r="K1429" s="1" t="str">
        <f ca="1">IFERROR(__xludf.DUMMYFUNCTION("""COMPUTED_VALUE"""),"Every Day Office Environment")</f>
        <v>Every Day Office Environment</v>
      </c>
      <c r="L1429" s="1" t="str">
        <f ca="1">IFERROR(__xludf.DUMMYFUNCTION("""COMPUTED_VALUE"""),"Employer who pushes your limits by enabling an learning environment, and rewards you at the end")</f>
        <v>Employer who pushes your limits by enabling an learning environment, and rewards you at the end</v>
      </c>
      <c r="M1429"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N1429" s="1"/>
      <c r="O1429" s="1" t="str">
        <f ca="1">IFERROR(__xludf.DUMMYFUNCTION("""COMPUTED_VALUE"""),"Manager who explains what is expected, sets a goal and helps achieve it")</f>
        <v>Manager who explains what is expected, sets a goal and helps achieve it</v>
      </c>
      <c r="P1429" s="1" t="str">
        <f ca="1">IFERROR(__xludf.DUMMYFUNCTION("""COMPUTED_VALUE"""),"Work Alone, &lt;=6 in team")</f>
        <v>Work Alone, &lt;=6 in team</v>
      </c>
      <c r="Q1429" s="1" t="s">
        <v>43</v>
      </c>
      <c r="R1429" s="1"/>
    </row>
    <row r="1430" spans="1:18" x14ac:dyDescent="0.25">
      <c r="A1430" s="2">
        <f ca="1">IFERROR(__xludf.DUMMYFUNCTION("""COMPUTED_VALUE"""),45044.9380643402)</f>
        <v>45044.938064340196</v>
      </c>
      <c r="B1430" s="1" t="str">
        <f ca="1">IFERROR(__xludf.DUMMYFUNCTION("""COMPUTED_VALUE"""),"India")</f>
        <v>India</v>
      </c>
      <c r="C1430" s="1">
        <f ca="1">IFERROR(__xludf.DUMMYFUNCTION("""COMPUTED_VALUE"""),246174)</f>
        <v>246174</v>
      </c>
      <c r="D1430" s="1" t="str">
        <f ca="1">IFERROR(__xludf.DUMMYFUNCTION("""COMPUTED_VALUE"""),"Male")</f>
        <v>Male</v>
      </c>
      <c r="E1430" s="1" t="str">
        <f ca="1">IFERROR(__xludf.DUMMYFUNCTION("""COMPUTED_VALUE"""),"Social Media like LinkedIn")</f>
        <v>Social Media like LinkedIn</v>
      </c>
      <c r="F1430" s="1" t="str">
        <f ca="1">IFERROR(__xludf.DUMMYFUNCTION("""COMPUTED_VALUE"""),"Yes, I will earn and do that")</f>
        <v>Yes, I will earn and do that</v>
      </c>
      <c r="G1430" s="1" t="str">
        <f ca="1">IFERROR(__xludf.DUMMYFUNCTION("""COMPUTED_VALUE"""),"Will work for 3 years or more")</f>
        <v>Will work for 3 years or more</v>
      </c>
      <c r="H1430" s="1" t="str">
        <f ca="1">IFERROR(__xludf.DUMMYFUNCTION("""COMPUTED_VALUE"""),"No")</f>
        <v>No</v>
      </c>
      <c r="I1430" s="1" t="str">
        <f ca="1">IFERROR(__xludf.DUMMYFUNCTION("""COMPUTED_VALUE"""),"Will NOT work for them")</f>
        <v>Will NOT work for them</v>
      </c>
      <c r="J1430" s="1">
        <f ca="1">IFERROR(__xludf.DUMMYFUNCTION("""COMPUTED_VALUE"""),5)</f>
        <v>5</v>
      </c>
      <c r="K1430" s="1" t="str">
        <f ca="1">IFERROR(__xludf.DUMMYFUNCTION("""COMPUTED_VALUE"""),"Fully Remote with Options to travel as and when needed")</f>
        <v>Fully Remote with Options to travel as and when needed</v>
      </c>
      <c r="L1430" s="1" t="str">
        <f ca="1">IFERROR(__xludf.DUMMYFUNCTION("""COMPUTED_VALUE"""),"Employer who appreciates learning and enables that environment")</f>
        <v>Employer who appreciates learning and enables that environment</v>
      </c>
      <c r="M1430"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N1430" s="1"/>
      <c r="O1430" s="1" t="str">
        <f ca="1">IFERROR(__xludf.DUMMYFUNCTION("""COMPUTED_VALUE"""),"Manager who sets goal and helps me achieve it")</f>
        <v>Manager who sets goal and helps me achieve it</v>
      </c>
      <c r="P1430" s="1" t="str">
        <f ca="1">IFERROR(__xludf.DUMMYFUNCTION("""COMPUTED_VALUE"""),"Work &lt;=6 People in the Team")</f>
        <v>Work &lt;=6 People in the Team</v>
      </c>
      <c r="Q1430" s="1" t="s">
        <v>40</v>
      </c>
      <c r="R1430" s="1"/>
    </row>
    <row r="1431" spans="1:18" x14ac:dyDescent="0.25">
      <c r="A1431" s="2">
        <f ca="1">IFERROR(__xludf.DUMMYFUNCTION("""COMPUTED_VALUE"""),45044.9406211458)</f>
        <v>45044.940621145797</v>
      </c>
      <c r="B1431" s="1" t="str">
        <f ca="1">IFERROR(__xludf.DUMMYFUNCTION("""COMPUTED_VALUE"""),"India")</f>
        <v>India</v>
      </c>
      <c r="C1431" s="1">
        <f ca="1">IFERROR(__xludf.DUMMYFUNCTION("""COMPUTED_VALUE"""),452010)</f>
        <v>452010</v>
      </c>
      <c r="D1431" s="1" t="str">
        <f ca="1">IFERROR(__xludf.DUMMYFUNCTION("""COMPUTED_VALUE"""),"Male")</f>
        <v>Male</v>
      </c>
      <c r="E1431" s="1" t="str">
        <f ca="1">IFERROR(__xludf.DUMMYFUNCTION("""COMPUTED_VALUE"""),"Influencers who had successful careers")</f>
        <v>Influencers who had successful careers</v>
      </c>
      <c r="F1431" s="1" t="str">
        <f ca="1">IFERROR(__xludf.DUMMYFUNCTION("""COMPUTED_VALUE"""),"Yes, I will earn and do that")</f>
        <v>Yes, I will earn and do that</v>
      </c>
      <c r="G1431" s="1" t="str">
        <f ca="1">IFERROR(__xludf.DUMMYFUNCTION("""COMPUTED_VALUE"""),"Will work for 3 years or more")</f>
        <v>Will work for 3 years or more</v>
      </c>
      <c r="H1431" s="1" t="str">
        <f ca="1">IFERROR(__xludf.DUMMYFUNCTION("""COMPUTED_VALUE"""),"No")</f>
        <v>No</v>
      </c>
      <c r="I1431" s="1" t="str">
        <f ca="1">IFERROR(__xludf.DUMMYFUNCTION("""COMPUTED_VALUE"""),"Will work for them")</f>
        <v>Will work for them</v>
      </c>
      <c r="J1431" s="1">
        <f ca="1">IFERROR(__xludf.DUMMYFUNCTION("""COMPUTED_VALUE"""),5)</f>
        <v>5</v>
      </c>
      <c r="K1431" s="1" t="str">
        <f ca="1">IFERROR(__xludf.DUMMYFUNCTION("""COMPUTED_VALUE"""),"Every Day Office Environment")</f>
        <v>Every Day Office Environment</v>
      </c>
      <c r="L1431" s="1" t="str">
        <f ca="1">IFERROR(__xludf.DUMMYFUNCTION("""COMPUTED_VALUE"""),"Employer who pushes your limits by enabling an learning environment, and rewards you at the end")</f>
        <v>Employer who pushes your limits by enabling an learning environment, and rewards you at the end</v>
      </c>
      <c r="M143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431" s="1"/>
      <c r="O1431" s="1" t="str">
        <f ca="1">IFERROR(__xludf.DUMMYFUNCTION("""COMPUTED_VALUE"""),"Manager who sets goal and helps me achieve it")</f>
        <v>Manager who sets goal and helps me achieve it</v>
      </c>
      <c r="P1431" s="1" t="str">
        <f ca="1">IFERROR(__xludf.DUMMYFUNCTION("""COMPUTED_VALUE"""),"Work Alone, &lt;67 people in team")</f>
        <v>Work Alone, &lt;67 people in team</v>
      </c>
      <c r="Q1431" s="1" t="s">
        <v>43</v>
      </c>
      <c r="R1431" s="1"/>
    </row>
    <row r="1432" spans="1:18" x14ac:dyDescent="0.25">
      <c r="A1432" s="2">
        <f ca="1">IFERROR(__xludf.DUMMYFUNCTION("""COMPUTED_VALUE"""),45044.9409028819)</f>
        <v>45044.940902881899</v>
      </c>
      <c r="B1432" s="1" t="str">
        <f ca="1">IFERROR(__xludf.DUMMYFUNCTION("""COMPUTED_VALUE"""),"India")</f>
        <v>India</v>
      </c>
      <c r="C1432" s="1">
        <f ca="1">IFERROR(__xludf.DUMMYFUNCTION("""COMPUTED_VALUE"""),411007)</f>
        <v>411007</v>
      </c>
      <c r="D1432" s="1" t="str">
        <f ca="1">IFERROR(__xludf.DUMMYFUNCTION("""COMPUTED_VALUE"""),"Male")</f>
        <v>Male</v>
      </c>
      <c r="E1432" s="1" t="str">
        <f ca="1">IFERROR(__xludf.DUMMYFUNCTION("""COMPUTED_VALUE"""),"My Parents")</f>
        <v>My Parents</v>
      </c>
      <c r="F1432" s="1" t="str">
        <f ca="1">IFERROR(__xludf.DUMMYFUNCTION("""COMPUTED_VALUE"""),"Yes, I will earn and do that")</f>
        <v>Yes, I will earn and do that</v>
      </c>
      <c r="G1432" s="1" t="str">
        <f ca="1">IFERROR(__xludf.DUMMYFUNCTION("""COMPUTED_VALUE"""),"Will work for 3 years or more")</f>
        <v>Will work for 3 years or more</v>
      </c>
      <c r="H1432" s="1" t="str">
        <f ca="1">IFERROR(__xludf.DUMMYFUNCTION("""COMPUTED_VALUE"""),"No")</f>
        <v>No</v>
      </c>
      <c r="I1432" s="1" t="str">
        <f ca="1">IFERROR(__xludf.DUMMYFUNCTION("""COMPUTED_VALUE"""),"Will NOT work for them")</f>
        <v>Will NOT work for them</v>
      </c>
      <c r="J1432" s="1">
        <f ca="1">IFERROR(__xludf.DUMMYFUNCTION("""COMPUTED_VALUE"""),5)</f>
        <v>5</v>
      </c>
      <c r="K1432" s="1" t="str">
        <f ca="1">IFERROR(__xludf.DUMMYFUNCTION("""COMPUTED_VALUE"""),"Hybrid Working Environment with more than 15 days a month at office")</f>
        <v>Hybrid Working Environment with more than 15 days a month at office</v>
      </c>
      <c r="L1432" s="1" t="str">
        <f ca="1">IFERROR(__xludf.DUMMYFUNCTION("""COMPUTED_VALUE"""),"Employer who pushes your limits by enabling an learning environment, and rewards you at the end")</f>
        <v>Employer who pushes your limits by enabling an learning environment, and rewards you at the end</v>
      </c>
      <c r="M143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432" s="1"/>
      <c r="O1432" s="1" t="str">
        <f ca="1">IFERROR(__xludf.DUMMYFUNCTION("""COMPUTED_VALUE"""),"Manager who sets goal and helps me achieve it")</f>
        <v>Manager who sets goal and helps me achieve it</v>
      </c>
      <c r="P1432" s="1" t="str">
        <f ca="1">IFERROR(__xludf.DUMMYFUNCTION("""COMPUTED_VALUE"""),"Work &gt;10 people in Team")</f>
        <v>Work &gt;10 people in Team</v>
      </c>
      <c r="Q1432" s="1" t="s">
        <v>40</v>
      </c>
      <c r="R1432" s="1"/>
    </row>
    <row r="1433" spans="1:18" x14ac:dyDescent="0.25">
      <c r="A1433" s="2">
        <f ca="1">IFERROR(__xludf.DUMMYFUNCTION("""COMPUTED_VALUE"""),45044.9423257407)</f>
        <v>45044.942325740703</v>
      </c>
      <c r="B1433" s="1" t="str">
        <f ca="1">IFERROR(__xludf.DUMMYFUNCTION("""COMPUTED_VALUE"""),"India")</f>
        <v>India</v>
      </c>
      <c r="C1433" s="1">
        <f ca="1">IFERROR(__xludf.DUMMYFUNCTION("""COMPUTED_VALUE"""),606603)</f>
        <v>606603</v>
      </c>
      <c r="D1433" s="1" t="str">
        <f ca="1">IFERROR(__xludf.DUMMYFUNCTION("""COMPUTED_VALUE"""),"Female")</f>
        <v>Female</v>
      </c>
      <c r="E1433" s="1" t="str">
        <f ca="1">IFERROR(__xludf.DUMMYFUNCTION("""COMPUTED_VALUE"""),"People who have changed the world for better")</f>
        <v>People who have changed the world for better</v>
      </c>
      <c r="F1433" s="1" t="str">
        <f ca="1">IFERROR(__xludf.DUMMYFUNCTION("""COMPUTED_VALUE"""),"No I would not be pursuing Higher Education outside of India")</f>
        <v>No I would not be pursuing Higher Education outside of India</v>
      </c>
      <c r="G1433" s="1" t="str">
        <f ca="1">IFERROR(__xludf.DUMMYFUNCTION("""COMPUTED_VALUE"""),"This will be hard to do, but if it is the right company I would try")</f>
        <v>This will be hard to do, but if it is the right company I would try</v>
      </c>
      <c r="H1433" s="1" t="str">
        <f ca="1">IFERROR(__xludf.DUMMYFUNCTION("""COMPUTED_VALUE"""),"No")</f>
        <v>No</v>
      </c>
      <c r="I1433" s="1" t="str">
        <f ca="1">IFERROR(__xludf.DUMMYFUNCTION("""COMPUTED_VALUE"""),"Will NOT work for them")</f>
        <v>Will NOT work for them</v>
      </c>
      <c r="J1433" s="1">
        <f ca="1">IFERROR(__xludf.DUMMYFUNCTION("""COMPUTED_VALUE"""),6)</f>
        <v>6</v>
      </c>
      <c r="K1433" s="1" t="str">
        <f ca="1">IFERROR(__xludf.DUMMYFUNCTION("""COMPUTED_VALUE"""),"Every Day Office Environment")</f>
        <v>Every Day Office Environment</v>
      </c>
      <c r="L1433" s="1" t="str">
        <f ca="1">IFERROR(__xludf.DUMMYFUNCTION("""COMPUTED_VALUE"""),"Employer who pushes your limits by enabling an learning environment, and rewards you at the end")</f>
        <v>Employer who pushes your limits by enabling an learning environment, and rewards you at the end</v>
      </c>
      <c r="M1433"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N1433" s="1"/>
      <c r="O1433" s="1" t="str">
        <f ca="1">IFERROR(__xludf.DUMMYFUNCTION("""COMPUTED_VALUE"""),"Manager who explains what is expected, sets a goal and helps achieve it")</f>
        <v>Manager who explains what is expected, sets a goal and helps achieve it</v>
      </c>
      <c r="P1433" s="1" t="str">
        <f ca="1">IFERROR(__xludf.DUMMYFUNCTION("""COMPUTED_VALUE"""),"Work &gt;10 people in Team")</f>
        <v>Work &gt;10 people in Team</v>
      </c>
      <c r="Q1433" s="1" t="s">
        <v>42</v>
      </c>
      <c r="R1433" s="1"/>
    </row>
    <row r="1434" spans="1:18" x14ac:dyDescent="0.25">
      <c r="A1434" s="2">
        <f ca="1">IFERROR(__xludf.DUMMYFUNCTION("""COMPUTED_VALUE"""),45044.9437500925)</f>
        <v>45044.943750092498</v>
      </c>
      <c r="B1434" s="1" t="str">
        <f ca="1">IFERROR(__xludf.DUMMYFUNCTION("""COMPUTED_VALUE"""),"India")</f>
        <v>India</v>
      </c>
      <c r="C1434" s="1">
        <f ca="1">IFERROR(__xludf.DUMMYFUNCTION("""COMPUTED_VALUE"""),500072)</f>
        <v>500072</v>
      </c>
      <c r="D1434" s="1" t="str">
        <f ca="1">IFERROR(__xludf.DUMMYFUNCTION("""COMPUTED_VALUE"""),"Female")</f>
        <v>Female</v>
      </c>
      <c r="E1434" s="1" t="str">
        <f ca="1">IFERROR(__xludf.DUMMYFUNCTION("""COMPUTED_VALUE"""),"Influencers who had successful careers")</f>
        <v>Influencers who had successful careers</v>
      </c>
      <c r="F1434" s="1" t="str">
        <f ca="1">IFERROR(__xludf.DUMMYFUNCTION("""COMPUTED_VALUE"""),"No I would not be pursuing Higher Education outside of India")</f>
        <v>No I would not be pursuing Higher Education outside of India</v>
      </c>
      <c r="G1434" s="1" t="str">
        <f ca="1">IFERROR(__xludf.DUMMYFUNCTION("""COMPUTED_VALUE"""),"Will work for 3 years or more")</f>
        <v>Will work for 3 years or more</v>
      </c>
      <c r="H1434" s="1" t="str">
        <f ca="1">IFERROR(__xludf.DUMMYFUNCTION("""COMPUTED_VALUE"""),"No")</f>
        <v>No</v>
      </c>
      <c r="I1434" s="1" t="str">
        <f ca="1">IFERROR(__xludf.DUMMYFUNCTION("""COMPUTED_VALUE"""),"Will NOT work for them")</f>
        <v>Will NOT work for them</v>
      </c>
      <c r="J1434" s="1">
        <f ca="1">IFERROR(__xludf.DUMMYFUNCTION("""COMPUTED_VALUE"""),1)</f>
        <v>1</v>
      </c>
      <c r="K1434" s="1" t="str">
        <f ca="1">IFERROR(__xludf.DUMMYFUNCTION("""COMPUTED_VALUE"""),"Fully Remote with Options to travel as and when needed")</f>
        <v>Fully Remote with Options to travel as and when needed</v>
      </c>
      <c r="L1434" s="1" t="str">
        <f ca="1">IFERROR(__xludf.DUMMYFUNCTION("""COMPUTED_VALUE"""),"Employer who appreciates learning and enables that environment")</f>
        <v>Employer who appreciates learning and enables that environment</v>
      </c>
      <c r="M143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434" s="1"/>
      <c r="O1434" s="1" t="str">
        <f ca="1">IFERROR(__xludf.DUMMYFUNCTION("""COMPUTED_VALUE"""),"Manager who explains what is expected, sets a goal and helps achieve it")</f>
        <v>Manager who explains what is expected, sets a goal and helps achieve it</v>
      </c>
      <c r="P1434" s="1" t="str">
        <f ca="1">IFERROR(__xludf.DUMMYFUNCTION("""COMPUTED_VALUE"""),"Work &gt;10 people in Team")</f>
        <v>Work &gt;10 people in Team</v>
      </c>
      <c r="Q1434" s="1" t="s">
        <v>43</v>
      </c>
      <c r="R1434" s="1"/>
    </row>
    <row r="1435" spans="1:18" x14ac:dyDescent="0.25">
      <c r="A1435" s="2">
        <f ca="1">IFERROR(__xludf.DUMMYFUNCTION("""COMPUTED_VALUE"""),45044.9449275115)</f>
        <v>45044.944927511497</v>
      </c>
      <c r="B1435" s="1" t="str">
        <f ca="1">IFERROR(__xludf.DUMMYFUNCTION("""COMPUTED_VALUE"""),"India")</f>
        <v>India</v>
      </c>
      <c r="C1435" s="1">
        <f ca="1">IFERROR(__xludf.DUMMYFUNCTION("""COMPUTED_VALUE"""),411044)</f>
        <v>411044</v>
      </c>
      <c r="D1435" s="1" t="str">
        <f ca="1">IFERROR(__xludf.DUMMYFUNCTION("""COMPUTED_VALUE"""),"Female")</f>
        <v>Female</v>
      </c>
      <c r="E1435" s="1" t="str">
        <f ca="1">IFERROR(__xludf.DUMMYFUNCTION("""COMPUTED_VALUE"""),"My Parents")</f>
        <v>My Parents</v>
      </c>
      <c r="F1435" s="1" t="str">
        <f ca="1">IFERROR(__xludf.DUMMYFUNCTION("""COMPUTED_VALUE"""),"No, But if someone could bare the cost I will")</f>
        <v>No, But if someone could bare the cost I will</v>
      </c>
      <c r="G1435" s="1" t="str">
        <f ca="1">IFERROR(__xludf.DUMMYFUNCTION("""COMPUTED_VALUE"""),"Will work for 3 years or more")</f>
        <v>Will work for 3 years or more</v>
      </c>
      <c r="H1435" s="1" t="str">
        <f ca="1">IFERROR(__xludf.DUMMYFUNCTION("""COMPUTED_VALUE"""),"No")</f>
        <v>No</v>
      </c>
      <c r="I1435" s="1" t="str">
        <f ca="1">IFERROR(__xludf.DUMMYFUNCTION("""COMPUTED_VALUE"""),"Will NOT work for them")</f>
        <v>Will NOT work for them</v>
      </c>
      <c r="J1435" s="1">
        <f ca="1">IFERROR(__xludf.DUMMYFUNCTION("""COMPUTED_VALUE"""),2)</f>
        <v>2</v>
      </c>
      <c r="K1435" s="1" t="str">
        <f ca="1">IFERROR(__xludf.DUMMYFUNCTION("""COMPUTED_VALUE"""),"Fully Remote with Options to travel as and when needed")</f>
        <v>Fully Remote with Options to travel as and when needed</v>
      </c>
      <c r="L1435" s="1" t="str">
        <f ca="1">IFERROR(__xludf.DUMMYFUNCTION("""COMPUTED_VALUE"""),"Employer who appreciates learning and enables that environment")</f>
        <v>Employer who appreciates learning and enables that environment</v>
      </c>
      <c r="M1435"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N1435" s="1"/>
      <c r="O1435" s="1" t="str">
        <f ca="1">IFERROR(__xludf.DUMMYFUNCTION("""COMPUTED_VALUE"""),"Manager who explains what is expected, sets a goal and helps achieve it")</f>
        <v>Manager who explains what is expected, sets a goal and helps achieve it</v>
      </c>
      <c r="P1435" s="1" t="str">
        <f ca="1">IFERROR(__xludf.DUMMYFUNCTION("""COMPUTED_VALUE"""),"Work &lt;=6 People in the Team")</f>
        <v>Work &lt;=6 People in the Team</v>
      </c>
      <c r="Q1435" s="1" t="s">
        <v>43</v>
      </c>
      <c r="R1435" s="1"/>
    </row>
    <row r="1436" spans="1:18" x14ac:dyDescent="0.25">
      <c r="A1436" s="2">
        <f ca="1">IFERROR(__xludf.DUMMYFUNCTION("""COMPUTED_VALUE"""),45044.9464931134)</f>
        <v>45044.946493113399</v>
      </c>
      <c r="B1436" s="1" t="str">
        <f ca="1">IFERROR(__xludf.DUMMYFUNCTION("""COMPUTED_VALUE"""),"India")</f>
        <v>India</v>
      </c>
      <c r="C1436" s="1">
        <f ca="1">IFERROR(__xludf.DUMMYFUNCTION("""COMPUTED_VALUE"""),560075)</f>
        <v>560075</v>
      </c>
      <c r="D1436" s="1" t="str">
        <f ca="1">IFERROR(__xludf.DUMMYFUNCTION("""COMPUTED_VALUE"""),"Male")</f>
        <v>Male</v>
      </c>
      <c r="E1436" s="1" t="str">
        <f ca="1">IFERROR(__xludf.DUMMYFUNCTION("""COMPUTED_VALUE"""),"People who have changed the world for better")</f>
        <v>People who have changed the world for better</v>
      </c>
      <c r="F1436" s="1" t="str">
        <f ca="1">IFERROR(__xludf.DUMMYFUNCTION("""COMPUTED_VALUE"""),"No I would not be pursuing Higher Education outside of India")</f>
        <v>No I would not be pursuing Higher Education outside of India</v>
      </c>
      <c r="G1436" s="1" t="str">
        <f ca="1">IFERROR(__xludf.DUMMYFUNCTION("""COMPUTED_VALUE"""),"Will work for 3 years or more")</f>
        <v>Will work for 3 years or more</v>
      </c>
      <c r="H1436" s="1" t="str">
        <f ca="1">IFERROR(__xludf.DUMMYFUNCTION("""COMPUTED_VALUE"""),"No")</f>
        <v>No</v>
      </c>
      <c r="I1436" s="1" t="str">
        <f ca="1">IFERROR(__xludf.DUMMYFUNCTION("""COMPUTED_VALUE"""),"Will NOT work for them")</f>
        <v>Will NOT work for them</v>
      </c>
      <c r="J1436" s="1">
        <f ca="1">IFERROR(__xludf.DUMMYFUNCTION("""COMPUTED_VALUE"""),7)</f>
        <v>7</v>
      </c>
      <c r="K1436" s="1" t="str">
        <f ca="1">IFERROR(__xludf.DUMMYFUNCTION("""COMPUTED_VALUE"""),"Hybrid Working Environment with more than 15 days a month at office")</f>
        <v>Hybrid Working Environment with more than 15 days a month at office</v>
      </c>
      <c r="L1436" s="1" t="str">
        <f ca="1">IFERROR(__xludf.DUMMYFUNCTION("""COMPUTED_VALUE"""),"Employer who appreciates learning and enables that environment")</f>
        <v>Employer who appreciates learning and enables that environment</v>
      </c>
      <c r="M143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436" s="1"/>
      <c r="O1436" s="1" t="str">
        <f ca="1">IFERROR(__xludf.DUMMYFUNCTION("""COMPUTED_VALUE"""),"Manager who sets goal and helps me achieve it")</f>
        <v>Manager who sets goal and helps me achieve it</v>
      </c>
      <c r="P1436" s="1" t="str">
        <f ca="1">IFERROR(__xludf.DUMMYFUNCTION("""COMPUTED_VALUE"""),"Work &lt;=6 People in the Team")</f>
        <v>Work &lt;=6 People in the Team</v>
      </c>
      <c r="Q1436" s="1" t="s">
        <v>40</v>
      </c>
      <c r="R1436" s="1"/>
    </row>
    <row r="1437" spans="1:18" x14ac:dyDescent="0.25">
      <c r="A1437" s="2">
        <f ca="1">IFERROR(__xludf.DUMMYFUNCTION("""COMPUTED_VALUE"""),45044.94734978)</f>
        <v>45044.947349779999</v>
      </c>
      <c r="B1437" s="1" t="str">
        <f ca="1">IFERROR(__xludf.DUMMYFUNCTION("""COMPUTED_VALUE"""),"India")</f>
        <v>India</v>
      </c>
      <c r="C1437" s="1">
        <f ca="1">IFERROR(__xludf.DUMMYFUNCTION("""COMPUTED_VALUE"""),411014)</f>
        <v>411014</v>
      </c>
      <c r="D1437" s="1" t="str">
        <f ca="1">IFERROR(__xludf.DUMMYFUNCTION("""COMPUTED_VALUE"""),"Female")</f>
        <v>Female</v>
      </c>
      <c r="E1437" s="1" t="str">
        <f ca="1">IFERROR(__xludf.DUMMYFUNCTION("""COMPUTED_VALUE"""),"My Parents")</f>
        <v>My Parents</v>
      </c>
      <c r="F1437" s="1" t="str">
        <f ca="1">IFERROR(__xludf.DUMMYFUNCTION("""COMPUTED_VALUE"""),"No I would not be pursuing Higher Education outside of India")</f>
        <v>No I would not be pursuing Higher Education outside of India</v>
      </c>
      <c r="G1437" s="1" t="str">
        <f ca="1">IFERROR(__xludf.DUMMYFUNCTION("""COMPUTED_VALUE"""),"This will be hard to do, but if it is the right company I would try")</f>
        <v>This will be hard to do, but if it is the right company I would try</v>
      </c>
      <c r="H1437" s="1" t="str">
        <f ca="1">IFERROR(__xludf.DUMMYFUNCTION("""COMPUTED_VALUE"""),"No")</f>
        <v>No</v>
      </c>
      <c r="I1437" s="1" t="str">
        <f ca="1">IFERROR(__xludf.DUMMYFUNCTION("""COMPUTED_VALUE"""),"Will NOT work for them")</f>
        <v>Will NOT work for them</v>
      </c>
      <c r="J1437" s="1">
        <f ca="1">IFERROR(__xludf.DUMMYFUNCTION("""COMPUTED_VALUE"""),8)</f>
        <v>8</v>
      </c>
      <c r="K1437" s="1" t="str">
        <f ca="1">IFERROR(__xludf.DUMMYFUNCTION("""COMPUTED_VALUE"""),"Every Day Office Environment")</f>
        <v>Every Day Office Environment</v>
      </c>
      <c r="L1437" s="1" t="str">
        <f ca="1">IFERROR(__xludf.DUMMYFUNCTION("""COMPUTED_VALUE"""),"Employer who appreciates learning and enables that environment")</f>
        <v>Employer who appreciates learning and enables that environment</v>
      </c>
      <c r="M1437"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N1437" s="1"/>
      <c r="O1437" s="1" t="str">
        <f ca="1">IFERROR(__xludf.DUMMYFUNCTION("""COMPUTED_VALUE"""),"Manager who clearly describes what she/he needs")</f>
        <v>Manager who clearly describes what she/he needs</v>
      </c>
      <c r="P1437" s="1" t="str">
        <f ca="1">IFERROR(__xludf.DUMMYFUNCTION("""COMPUTED_VALUE"""),"Work Alone, &lt;=6 in team")</f>
        <v>Work Alone, &lt;=6 in team</v>
      </c>
      <c r="Q1437" s="1" t="s">
        <v>43</v>
      </c>
      <c r="R1437" s="1"/>
    </row>
    <row r="1438" spans="1:18" x14ac:dyDescent="0.25">
      <c r="A1438" s="2">
        <f ca="1">IFERROR(__xludf.DUMMYFUNCTION("""COMPUTED_VALUE"""),45044.9521768981)</f>
        <v>45044.952176898099</v>
      </c>
      <c r="B1438" s="1" t="str">
        <f ca="1">IFERROR(__xludf.DUMMYFUNCTION("""COMPUTED_VALUE"""),"India")</f>
        <v>India</v>
      </c>
      <c r="C1438" s="1">
        <f ca="1">IFERROR(__xludf.DUMMYFUNCTION("""COMPUTED_VALUE"""),92)</f>
        <v>92</v>
      </c>
      <c r="D1438" s="1" t="str">
        <f ca="1">IFERROR(__xludf.DUMMYFUNCTION("""COMPUTED_VALUE"""),"Female")</f>
        <v>Female</v>
      </c>
      <c r="E1438" s="1" t="str">
        <f ca="1">IFERROR(__xludf.DUMMYFUNCTION("""COMPUTED_VALUE"""),"Influencers who had successful careers")</f>
        <v>Influencers who had successful careers</v>
      </c>
      <c r="F1438" s="1" t="str">
        <f ca="1">IFERROR(__xludf.DUMMYFUNCTION("""COMPUTED_VALUE"""),"Yes, I will earn and do that")</f>
        <v>Yes, I will earn and do that</v>
      </c>
      <c r="G1438" s="1" t="str">
        <f ca="1">IFERROR(__xludf.DUMMYFUNCTION("""COMPUTED_VALUE"""),"This will be hard to do, but if it is the right company I would try")</f>
        <v>This will be hard to do, but if it is the right company I would try</v>
      </c>
      <c r="H1438" s="1" t="str">
        <f ca="1">IFERROR(__xludf.DUMMYFUNCTION("""COMPUTED_VALUE"""),"No")</f>
        <v>No</v>
      </c>
      <c r="I1438" s="1" t="str">
        <f ca="1">IFERROR(__xludf.DUMMYFUNCTION("""COMPUTED_VALUE"""),"Will NOT work for them")</f>
        <v>Will NOT work for them</v>
      </c>
      <c r="J1438" s="1">
        <f ca="1">IFERROR(__xludf.DUMMYFUNCTION("""COMPUTED_VALUE"""),8)</f>
        <v>8</v>
      </c>
      <c r="K1438" s="1" t="str">
        <f ca="1">IFERROR(__xludf.DUMMYFUNCTION("""COMPUTED_VALUE"""),"Hybrid Working Environment with more than 15 days a month at office")</f>
        <v>Hybrid Working Environment with more than 15 days a month at office</v>
      </c>
      <c r="L1438" s="1" t="str">
        <f ca="1">IFERROR(__xludf.DUMMYFUNCTION("""COMPUTED_VALUE"""),"Employer who pushes your limits by enabling an learning environment, and rewards you at the end")</f>
        <v>Employer who pushes your limits by enabling an learning environment, and rewards you at the end</v>
      </c>
      <c r="M1438"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N1438" s="1"/>
      <c r="O1438" s="1" t="str">
        <f ca="1">IFERROR(__xludf.DUMMYFUNCTION("""COMPUTED_VALUE"""),"Manager who explains what is expected, sets a goal and helps achieve it")</f>
        <v>Manager who explains what is expected, sets a goal and helps achieve it</v>
      </c>
      <c r="P1438" s="1" t="str">
        <f ca="1">IFERROR(__xludf.DUMMYFUNCTION("""COMPUTED_VALUE"""),"Work &lt;=6 People in the Team")</f>
        <v>Work &lt;=6 People in the Team</v>
      </c>
      <c r="Q1438" s="1" t="s">
        <v>43</v>
      </c>
      <c r="R1438" s="1"/>
    </row>
    <row r="1439" spans="1:18" x14ac:dyDescent="0.25">
      <c r="A1439" s="2">
        <f ca="1">IFERROR(__xludf.DUMMYFUNCTION("""COMPUTED_VALUE"""),45044.9608226736)</f>
        <v>45044.960822673602</v>
      </c>
      <c r="B1439" s="1" t="str">
        <f ca="1">IFERROR(__xludf.DUMMYFUNCTION("""COMPUTED_VALUE"""),"India")</f>
        <v>India</v>
      </c>
      <c r="C1439" s="1">
        <f ca="1">IFERROR(__xludf.DUMMYFUNCTION("""COMPUTED_VALUE"""),765022)</f>
        <v>765022</v>
      </c>
      <c r="D1439" s="1" t="str">
        <f ca="1">IFERROR(__xludf.DUMMYFUNCTION("""COMPUTED_VALUE"""),"Female")</f>
        <v>Female</v>
      </c>
      <c r="E1439" s="1" t="str">
        <f ca="1">IFERROR(__xludf.DUMMYFUNCTION("""COMPUTED_VALUE"""),"My Parents")</f>
        <v>My Parents</v>
      </c>
      <c r="F1439" s="1" t="str">
        <f ca="1">IFERROR(__xludf.DUMMYFUNCTION("""COMPUTED_VALUE"""),"Yes, I will earn and do that")</f>
        <v>Yes, I will earn and do that</v>
      </c>
      <c r="G1439" s="1" t="str">
        <f ca="1">IFERROR(__xludf.DUMMYFUNCTION("""COMPUTED_VALUE"""),"Will work for 3 years or more")</f>
        <v>Will work for 3 years or more</v>
      </c>
      <c r="H1439" s="1" t="str">
        <f ca="1">IFERROR(__xludf.DUMMYFUNCTION("""COMPUTED_VALUE"""),"No")</f>
        <v>No</v>
      </c>
      <c r="I1439" s="1" t="str">
        <f ca="1">IFERROR(__xludf.DUMMYFUNCTION("""COMPUTED_VALUE"""),"Will NOT work for them")</f>
        <v>Will NOT work for them</v>
      </c>
      <c r="J1439" s="1">
        <f ca="1">IFERROR(__xludf.DUMMYFUNCTION("""COMPUTED_VALUE"""),1)</f>
        <v>1</v>
      </c>
      <c r="K1439" s="1" t="str">
        <f ca="1">IFERROR(__xludf.DUMMYFUNCTION("""COMPUTED_VALUE"""),"Hybrid Working Environment with more than 15 days a month at office")</f>
        <v>Hybrid Working Environment with more than 15 days a month at office</v>
      </c>
      <c r="L1439" s="1" t="str">
        <f ca="1">IFERROR(__xludf.DUMMYFUNCTION("""COMPUTED_VALUE"""),"Employer who appreciates learning and enables that environment")</f>
        <v>Employer who appreciates learning and enables that environment</v>
      </c>
      <c r="M143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1439" s="1"/>
      <c r="O1439" s="1" t="str">
        <f ca="1">IFERROR(__xludf.DUMMYFUNCTION("""COMPUTED_VALUE"""),"Manager who explains what is expected, sets a goal and helps achieve it")</f>
        <v>Manager who explains what is expected, sets a goal and helps achieve it</v>
      </c>
      <c r="P1439" s="1" t="str">
        <f ca="1">IFERROR(__xludf.DUMMYFUNCTION("""COMPUTED_VALUE"""),"Work &gt;10 people in Team")</f>
        <v>Work &gt;10 people in Team</v>
      </c>
      <c r="Q1439" s="1" t="s">
        <v>43</v>
      </c>
      <c r="R1439" s="1"/>
    </row>
    <row r="1440" spans="1:18" x14ac:dyDescent="0.25">
      <c r="A1440" s="2">
        <f ca="1">IFERROR(__xludf.DUMMYFUNCTION("""COMPUTED_VALUE"""),45044.9644630439)</f>
        <v>45044.9644630439</v>
      </c>
      <c r="B1440" s="1" t="str">
        <f ca="1">IFERROR(__xludf.DUMMYFUNCTION("""COMPUTED_VALUE"""),"India")</f>
        <v>India</v>
      </c>
      <c r="C1440" s="1">
        <f ca="1">IFERROR(__xludf.DUMMYFUNCTION("""COMPUTED_VALUE"""),530051)</f>
        <v>530051</v>
      </c>
      <c r="D1440" s="1" t="str">
        <f ca="1">IFERROR(__xludf.DUMMYFUNCTION("""COMPUTED_VALUE"""),"Female")</f>
        <v>Female</v>
      </c>
      <c r="E1440" s="1" t="str">
        <f ca="1">IFERROR(__xludf.DUMMYFUNCTION("""COMPUTED_VALUE"""),"People who have changed the world for better")</f>
        <v>People who have changed the world for better</v>
      </c>
      <c r="F1440" s="1" t="str">
        <f ca="1">IFERROR(__xludf.DUMMYFUNCTION("""COMPUTED_VALUE"""),"Yes, I will earn and do that")</f>
        <v>Yes, I will earn and do that</v>
      </c>
      <c r="G1440" s="1" t="str">
        <f ca="1">IFERROR(__xludf.DUMMYFUNCTION("""COMPUTED_VALUE"""),"Will work for 3 years or more")</f>
        <v>Will work for 3 years or more</v>
      </c>
      <c r="H1440" s="1" t="str">
        <f ca="1">IFERROR(__xludf.DUMMYFUNCTION("""COMPUTED_VALUE"""),"No")</f>
        <v>No</v>
      </c>
      <c r="I1440" s="1" t="str">
        <f ca="1">IFERROR(__xludf.DUMMYFUNCTION("""COMPUTED_VALUE"""),"Will NOT work for them")</f>
        <v>Will NOT work for them</v>
      </c>
      <c r="J1440" s="1">
        <f ca="1">IFERROR(__xludf.DUMMYFUNCTION("""COMPUTED_VALUE"""),5)</f>
        <v>5</v>
      </c>
      <c r="K1440" s="1" t="str">
        <f ca="1">IFERROR(__xludf.DUMMYFUNCTION("""COMPUTED_VALUE"""),"Hybrid Working Environment with more than 15 days a month at office")</f>
        <v>Hybrid Working Environment with more than 15 days a month at office</v>
      </c>
      <c r="L1440" s="1" t="str">
        <f ca="1">IFERROR(__xludf.DUMMYFUNCTION("""COMPUTED_VALUE"""),"Employer who pushes your limits by enabling an learning environment, and rewards you at the end")</f>
        <v>Employer who pushes your limits by enabling an learning environment, and rewards you at the end</v>
      </c>
      <c r="M1440" s="1" t="str">
        <f ca="1">IFERROR(__xludf.DUMMYFUNCTION("""COMPUTED_VALUE"""),"Teaching in any of the institutes/colleges/online or offline, Build and develop a Team, I Want to sell things/Sales, An Artificial Intelligence Specialist / Talking to Robots")</f>
        <v>Teaching in any of the institutes/colleges/online or offline, Build and develop a Team, I Want to sell things/Sales, An Artificial Intelligence Specialist / Talking to Robots</v>
      </c>
      <c r="N1440" s="1"/>
      <c r="O1440" s="1" t="str">
        <f ca="1">IFERROR(__xludf.DUMMYFUNCTION("""COMPUTED_VALUE"""),"Manager who sets goal and helps me achieve it")</f>
        <v>Manager who sets goal and helps me achieve it</v>
      </c>
      <c r="P1440" s="1" t="str">
        <f ca="1">IFERROR(__xludf.DUMMYFUNCTION("""COMPUTED_VALUE"""),"Work &lt;=6 People in the Team")</f>
        <v>Work &lt;=6 People in the Team</v>
      </c>
      <c r="Q1440" s="1" t="s">
        <v>42</v>
      </c>
      <c r="R1440" s="1"/>
    </row>
    <row r="1441" spans="1:18" x14ac:dyDescent="0.25">
      <c r="A1441" s="2">
        <f ca="1">IFERROR(__xludf.DUMMYFUNCTION("""COMPUTED_VALUE"""),45044.9650175115)</f>
        <v>45044.965017511502</v>
      </c>
      <c r="B1441" s="1" t="str">
        <f ca="1">IFERROR(__xludf.DUMMYFUNCTION("""COMPUTED_VALUE"""),"India")</f>
        <v>India</v>
      </c>
      <c r="C1441" s="1">
        <f ca="1">IFERROR(__xludf.DUMMYFUNCTION("""COMPUTED_VALUE"""),560067)</f>
        <v>560067</v>
      </c>
      <c r="D1441" s="1" t="str">
        <f ca="1">IFERROR(__xludf.DUMMYFUNCTION("""COMPUTED_VALUE"""),"Male")</f>
        <v>Male</v>
      </c>
      <c r="E1441" s="1" t="str">
        <f ca="1">IFERROR(__xludf.DUMMYFUNCTION("""COMPUTED_VALUE"""),"People from my circle, but not family members")</f>
        <v>People from my circle, but not family members</v>
      </c>
      <c r="F1441" s="1" t="str">
        <f ca="1">IFERROR(__xludf.DUMMYFUNCTION("""COMPUTED_VALUE"""),"No, But if someone could bare the cost I will")</f>
        <v>No, But if someone could bare the cost I will</v>
      </c>
      <c r="G1441" s="1" t="str">
        <f ca="1">IFERROR(__xludf.DUMMYFUNCTION("""COMPUTED_VALUE"""),"Will work for 3 years or more")</f>
        <v>Will work for 3 years or more</v>
      </c>
      <c r="H1441" s="1" t="str">
        <f ca="1">IFERROR(__xludf.DUMMYFUNCTION("""COMPUTED_VALUE"""),"No")</f>
        <v>No</v>
      </c>
      <c r="I1441" s="1" t="str">
        <f ca="1">IFERROR(__xludf.DUMMYFUNCTION("""COMPUTED_VALUE"""),"Will NOT work for them")</f>
        <v>Will NOT work for them</v>
      </c>
      <c r="J1441" s="1">
        <f ca="1">IFERROR(__xludf.DUMMYFUNCTION("""COMPUTED_VALUE"""),1)</f>
        <v>1</v>
      </c>
      <c r="K1441" s="1" t="str">
        <f ca="1">IFERROR(__xludf.DUMMYFUNCTION("""COMPUTED_VALUE"""),"Fully Remote with Options to travel as and when needed")</f>
        <v>Fully Remote with Options to travel as and when needed</v>
      </c>
      <c r="L1441" s="1" t="str">
        <f ca="1">IFERROR(__xludf.DUMMYFUNCTION("""COMPUTED_VALUE"""),"Employer who pushes your limits by enabling an learning environment, and rewards you at the end")</f>
        <v>Employer who pushes your limits by enabling an learning environment, and rewards you at the end</v>
      </c>
      <c r="M144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441" s="1"/>
      <c r="O1441" s="1" t="str">
        <f ca="1">IFERROR(__xludf.DUMMYFUNCTION("""COMPUTED_VALUE"""),"Manager who explains what is expected, sets a goal and helps achieve it")</f>
        <v>Manager who explains what is expected, sets a goal and helps achieve it</v>
      </c>
      <c r="P1441" s="1" t="str">
        <f ca="1">IFERROR(__xludf.DUMMYFUNCTION("""COMPUTED_VALUE"""),"Work &gt;10 people in Team")</f>
        <v>Work &gt;10 people in Team</v>
      </c>
      <c r="Q1441" s="1" t="s">
        <v>43</v>
      </c>
      <c r="R1441" s="1"/>
    </row>
    <row r="1442" spans="1:18" x14ac:dyDescent="0.25">
      <c r="A1442" s="2">
        <f ca="1">IFERROR(__xludf.DUMMYFUNCTION("""COMPUTED_VALUE"""),45044.9684545023)</f>
        <v>45044.968454502297</v>
      </c>
      <c r="B1442" s="1" t="str">
        <f ca="1">IFERROR(__xludf.DUMMYFUNCTION("""COMPUTED_VALUE"""),"India")</f>
        <v>India</v>
      </c>
      <c r="C1442" s="1">
        <f ca="1">IFERROR(__xludf.DUMMYFUNCTION("""COMPUTED_VALUE"""),600015)</f>
        <v>600015</v>
      </c>
      <c r="D1442" s="1" t="str">
        <f ca="1">IFERROR(__xludf.DUMMYFUNCTION("""COMPUTED_VALUE"""),"Female")</f>
        <v>Female</v>
      </c>
      <c r="E1442" s="1" t="str">
        <f ca="1">IFERROR(__xludf.DUMMYFUNCTION("""COMPUTED_VALUE"""),"People who have changed the world for better")</f>
        <v>People who have changed the world for better</v>
      </c>
      <c r="F1442" s="1" t="str">
        <f ca="1">IFERROR(__xludf.DUMMYFUNCTION("""COMPUTED_VALUE"""),"Yes, I will earn and do that")</f>
        <v>Yes, I will earn and do that</v>
      </c>
      <c r="G1442" s="1" t="str">
        <f ca="1">IFERROR(__xludf.DUMMYFUNCTION("""COMPUTED_VALUE"""),"This will be hard to do, but if it is the right company I would try")</f>
        <v>This will be hard to do, but if it is the right company I would try</v>
      </c>
      <c r="H1442" s="1" t="str">
        <f ca="1">IFERROR(__xludf.DUMMYFUNCTION("""COMPUTED_VALUE"""),"No")</f>
        <v>No</v>
      </c>
      <c r="I1442" s="1" t="str">
        <f ca="1">IFERROR(__xludf.DUMMYFUNCTION("""COMPUTED_VALUE"""),"Will NOT work for them")</f>
        <v>Will NOT work for them</v>
      </c>
      <c r="J1442" s="1">
        <f ca="1">IFERROR(__xludf.DUMMYFUNCTION("""COMPUTED_VALUE"""),9)</f>
        <v>9</v>
      </c>
      <c r="K1442" s="1" t="str">
        <f ca="1">IFERROR(__xludf.DUMMYFUNCTION("""COMPUTED_VALUE"""),"Hybrid Working Environment with less than 3 days a month at office")</f>
        <v>Hybrid Working Environment with less than 3 days a month at office</v>
      </c>
      <c r="L1442" s="1" t="str">
        <f ca="1">IFERROR(__xludf.DUMMYFUNCTION("""COMPUTED_VALUE"""),"Employer who appreciates learning and enables that environment")</f>
        <v>Employer who appreciates learning and enables that environment</v>
      </c>
      <c r="M1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442" s="1"/>
      <c r="O1442" s="1" t="str">
        <f ca="1">IFERROR(__xludf.DUMMYFUNCTION("""COMPUTED_VALUE"""),"Manager who sets goal and helps me achieve it")</f>
        <v>Manager who sets goal and helps me achieve it</v>
      </c>
      <c r="P1442" s="1" t="str">
        <f ca="1">IFERROR(__xludf.DUMMYFUNCTION("""COMPUTED_VALUE"""),"Work &gt;10 people in Team")</f>
        <v>Work &gt;10 people in Team</v>
      </c>
      <c r="Q1442" s="1" t="s">
        <v>43</v>
      </c>
      <c r="R1442" s="1"/>
    </row>
    <row r="1443" spans="1:18" x14ac:dyDescent="0.25">
      <c r="A1443" s="2">
        <f ca="1">IFERROR(__xludf.DUMMYFUNCTION("""COMPUTED_VALUE"""),45044.9764543634)</f>
        <v>45044.976454363401</v>
      </c>
      <c r="B1443" s="1" t="str">
        <f ca="1">IFERROR(__xludf.DUMMYFUNCTION("""COMPUTED_VALUE"""),"India")</f>
        <v>India</v>
      </c>
      <c r="C1443" s="1">
        <f ca="1">IFERROR(__xludf.DUMMYFUNCTION("""COMPUTED_VALUE"""),560090)</f>
        <v>560090</v>
      </c>
      <c r="D1443" s="1" t="str">
        <f ca="1">IFERROR(__xludf.DUMMYFUNCTION("""COMPUTED_VALUE"""),"Male")</f>
        <v>Male</v>
      </c>
      <c r="E1443" s="1" t="str">
        <f ca="1">IFERROR(__xludf.DUMMYFUNCTION("""COMPUTED_VALUE"""),"My Parents")</f>
        <v>My Parents</v>
      </c>
      <c r="F1443" s="1" t="str">
        <f ca="1">IFERROR(__xludf.DUMMYFUNCTION("""COMPUTED_VALUE"""),"No, But if someone could bare the cost I will")</f>
        <v>No, But if someone could bare the cost I will</v>
      </c>
      <c r="G1443" s="1" t="str">
        <f ca="1">IFERROR(__xludf.DUMMYFUNCTION("""COMPUTED_VALUE"""),"No way")</f>
        <v>No way</v>
      </c>
      <c r="H1443" s="1" t="str">
        <f ca="1">IFERROR(__xludf.DUMMYFUNCTION("""COMPUTED_VALUE"""),"No")</f>
        <v>No</v>
      </c>
      <c r="I1443" s="1" t="str">
        <f ca="1">IFERROR(__xludf.DUMMYFUNCTION("""COMPUTED_VALUE"""),"Will NOT work for them")</f>
        <v>Will NOT work for them</v>
      </c>
      <c r="J1443" s="1">
        <f ca="1">IFERROR(__xludf.DUMMYFUNCTION("""COMPUTED_VALUE"""),6)</f>
        <v>6</v>
      </c>
      <c r="K1443" s="1" t="str">
        <f ca="1">IFERROR(__xludf.DUMMYFUNCTION("""COMPUTED_VALUE"""),"Hybrid Working Environment with more than 15 days a month at office")</f>
        <v>Hybrid Working Environment with more than 15 days a month at office</v>
      </c>
      <c r="L1443" s="1" t="str">
        <f ca="1">IFERROR(__xludf.DUMMYFUNCTION("""COMPUTED_VALUE"""),"Employer who pushes your limits by enabling an learning environment, and rewards you at the end")</f>
        <v>Employer who pushes your limits by enabling an learning environment, and rewards you at the end</v>
      </c>
      <c r="M1443"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N1443" s="1"/>
      <c r="O1443" s="1" t="str">
        <f ca="1">IFERROR(__xludf.DUMMYFUNCTION("""COMPUTED_VALUE"""),"Manager who sets targets and expects me to achieve it")</f>
        <v>Manager who sets targets and expects me to achieve it</v>
      </c>
      <c r="P1443" s="1" t="str">
        <f ca="1">IFERROR(__xludf.DUMMYFUNCTION("""COMPUTED_VALUE"""),"Work &lt;=6 People in the Team")</f>
        <v>Work &lt;=6 People in the Team</v>
      </c>
      <c r="Q1443" s="1" t="s">
        <v>43</v>
      </c>
      <c r="R1443" s="1"/>
    </row>
    <row r="1444" spans="1:18" x14ac:dyDescent="0.25">
      <c r="A1444" s="2">
        <f ca="1">IFERROR(__xludf.DUMMYFUNCTION("""COMPUTED_VALUE"""),45044.9845628935)</f>
        <v>45044.9845628935</v>
      </c>
      <c r="B1444" s="1" t="str">
        <f ca="1">IFERROR(__xludf.DUMMYFUNCTION("""COMPUTED_VALUE"""),"India")</f>
        <v>India</v>
      </c>
      <c r="C1444" s="1">
        <f ca="1">IFERROR(__xludf.DUMMYFUNCTION("""COMPUTED_VALUE"""),410206)</f>
        <v>410206</v>
      </c>
      <c r="D1444" s="1" t="str">
        <f ca="1">IFERROR(__xludf.DUMMYFUNCTION("""COMPUTED_VALUE"""),"Female")</f>
        <v>Female</v>
      </c>
      <c r="E1444" s="1" t="str">
        <f ca="1">IFERROR(__xludf.DUMMYFUNCTION("""COMPUTED_VALUE"""),"Social Media like LinkedIn")</f>
        <v>Social Media like LinkedIn</v>
      </c>
      <c r="F1444" s="1" t="str">
        <f ca="1">IFERROR(__xludf.DUMMYFUNCTION("""COMPUTED_VALUE"""),"Yes, I will earn and do that")</f>
        <v>Yes, I will earn and do that</v>
      </c>
      <c r="G1444" s="1" t="str">
        <f ca="1">IFERROR(__xludf.DUMMYFUNCTION("""COMPUTED_VALUE"""),"This will be hard to do, but if it is the right company I would try")</f>
        <v>This will be hard to do, but if it is the right company I would try</v>
      </c>
      <c r="H1444" s="1" t="str">
        <f ca="1">IFERROR(__xludf.DUMMYFUNCTION("""COMPUTED_VALUE"""),"No")</f>
        <v>No</v>
      </c>
      <c r="I1444" s="1" t="str">
        <f ca="1">IFERROR(__xludf.DUMMYFUNCTION("""COMPUTED_VALUE"""),"Will NOT work for them")</f>
        <v>Will NOT work for them</v>
      </c>
      <c r="J1444" s="1">
        <f ca="1">IFERROR(__xludf.DUMMYFUNCTION("""COMPUTED_VALUE"""),7)</f>
        <v>7</v>
      </c>
      <c r="K1444" s="1" t="str">
        <f ca="1">IFERROR(__xludf.DUMMYFUNCTION("""COMPUTED_VALUE"""),"Hybrid Working Environment with more than 15 days a month at office")</f>
        <v>Hybrid Working Environment with more than 15 days a month at office</v>
      </c>
      <c r="L1444" s="1" t="str">
        <f ca="1">IFERROR(__xludf.DUMMYFUNCTION("""COMPUTED_VALUE"""),"Employer who appreciates learning and enables that environment")</f>
        <v>Employer who appreciates learning and enables that environment</v>
      </c>
      <c r="M144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1444" s="1"/>
      <c r="O1444" s="1" t="str">
        <f ca="1">IFERROR(__xludf.DUMMYFUNCTION("""COMPUTED_VALUE"""),"Manager who explains what is expected, sets a goal and helps achieve it")</f>
        <v>Manager who explains what is expected, sets a goal and helps achieve it</v>
      </c>
      <c r="P1444" s="1" t="str">
        <f ca="1">IFERROR(__xludf.DUMMYFUNCTION("""COMPUTED_VALUE"""),"Work &lt;=6 People in the Team")</f>
        <v>Work &lt;=6 People in the Team</v>
      </c>
      <c r="Q1444" s="1" t="s">
        <v>40</v>
      </c>
      <c r="R1444" s="1"/>
    </row>
    <row r="1445" spans="1:18" x14ac:dyDescent="0.25">
      <c r="A1445" s="2">
        <f ca="1">IFERROR(__xludf.DUMMYFUNCTION("""COMPUTED_VALUE"""),45044.993011493)</f>
        <v>45044.993011493003</v>
      </c>
      <c r="B1445" s="1" t="str">
        <f ca="1">IFERROR(__xludf.DUMMYFUNCTION("""COMPUTED_VALUE"""),"India")</f>
        <v>India</v>
      </c>
      <c r="C1445" s="1">
        <f ca="1">IFERROR(__xludf.DUMMYFUNCTION("""COMPUTED_VALUE"""),562107)</f>
        <v>562107</v>
      </c>
      <c r="D1445" s="1" t="str">
        <f ca="1">IFERROR(__xludf.DUMMYFUNCTION("""COMPUTED_VALUE"""),"Female")</f>
        <v>Female</v>
      </c>
      <c r="E1445" s="1" t="str">
        <f ca="1">IFERROR(__xludf.DUMMYFUNCTION("""COMPUTED_VALUE"""),"People who have changed the world for better")</f>
        <v>People who have changed the world for better</v>
      </c>
      <c r="F1445" s="1" t="str">
        <f ca="1">IFERROR(__xludf.DUMMYFUNCTION("""COMPUTED_VALUE"""),"Yes, I will earn and do that")</f>
        <v>Yes, I will earn and do that</v>
      </c>
      <c r="G1445" s="1" t="str">
        <f ca="1">IFERROR(__xludf.DUMMYFUNCTION("""COMPUTED_VALUE"""),"This will be hard to do, but if it is the right company I would try")</f>
        <v>This will be hard to do, but if it is the right company I would try</v>
      </c>
      <c r="H1445" s="1" t="str">
        <f ca="1">IFERROR(__xludf.DUMMYFUNCTION("""COMPUTED_VALUE"""),"No")</f>
        <v>No</v>
      </c>
      <c r="I1445" s="1" t="str">
        <f ca="1">IFERROR(__xludf.DUMMYFUNCTION("""COMPUTED_VALUE"""),"Will NOT work for them")</f>
        <v>Will NOT work for them</v>
      </c>
      <c r="J1445" s="1">
        <f ca="1">IFERROR(__xludf.DUMMYFUNCTION("""COMPUTED_VALUE"""),3)</f>
        <v>3</v>
      </c>
      <c r="K1445" s="1" t="str">
        <f ca="1">IFERROR(__xludf.DUMMYFUNCTION("""COMPUTED_VALUE"""),"Hybrid Working Environment with more than 15 days a month at office")</f>
        <v>Hybrid Working Environment with more than 15 days a month at office</v>
      </c>
      <c r="L1445" s="1" t="str">
        <f ca="1">IFERROR(__xludf.DUMMYFUNCTION("""COMPUTED_VALUE"""),"Employer who pushes your limits by enabling an learning environment, and rewards you at the end")</f>
        <v>Employer who pushes your limits by enabling an learning environment, and rewards you at the end</v>
      </c>
      <c r="M1445"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N1445" s="1"/>
      <c r="O1445" s="1" t="str">
        <f ca="1">IFERROR(__xludf.DUMMYFUNCTION("""COMPUTED_VALUE"""),"Manager who explains what is expected, sets a goal and helps achieve it")</f>
        <v>Manager who explains what is expected, sets a goal and helps achieve it</v>
      </c>
      <c r="P1445" s="1" t="str">
        <f ca="1">IFERROR(__xludf.DUMMYFUNCTION("""COMPUTED_VALUE"""),"Work &lt;=6 People in the Team")</f>
        <v>Work &lt;=6 People in the Team</v>
      </c>
      <c r="Q1445" s="1" t="s">
        <v>43</v>
      </c>
      <c r="R1445" s="1"/>
    </row>
    <row r="1446" spans="1:18" x14ac:dyDescent="0.25">
      <c r="A1446" s="2">
        <f ca="1">IFERROR(__xludf.DUMMYFUNCTION("""COMPUTED_VALUE"""),45044.9931558101)</f>
        <v>45044.993155810102</v>
      </c>
      <c r="B1446" s="1" t="str">
        <f ca="1">IFERROR(__xludf.DUMMYFUNCTION("""COMPUTED_VALUE"""),"India")</f>
        <v>India</v>
      </c>
      <c r="C1446" s="1">
        <f ca="1">IFERROR(__xludf.DUMMYFUNCTION("""COMPUTED_VALUE"""),638004)</f>
        <v>638004</v>
      </c>
      <c r="D1446" s="1" t="str">
        <f ca="1">IFERROR(__xludf.DUMMYFUNCTION("""COMPUTED_VALUE"""),"Male")</f>
        <v>Male</v>
      </c>
      <c r="E1446" s="1" t="str">
        <f ca="1">IFERROR(__xludf.DUMMYFUNCTION("""COMPUTED_VALUE"""),"My Parents")</f>
        <v>My Parents</v>
      </c>
      <c r="F1446" s="1" t="str">
        <f ca="1">IFERROR(__xludf.DUMMYFUNCTION("""COMPUTED_VALUE"""),"Yes, I will earn and do that")</f>
        <v>Yes, I will earn and do that</v>
      </c>
      <c r="G1446" s="1" t="str">
        <f ca="1">IFERROR(__xludf.DUMMYFUNCTION("""COMPUTED_VALUE"""),"Will work for 3 years or more")</f>
        <v>Will work for 3 years or more</v>
      </c>
      <c r="H1446" s="1" t="str">
        <f ca="1">IFERROR(__xludf.DUMMYFUNCTION("""COMPUTED_VALUE"""),"No")</f>
        <v>No</v>
      </c>
      <c r="I1446" s="1" t="str">
        <f ca="1">IFERROR(__xludf.DUMMYFUNCTION("""COMPUTED_VALUE"""),"Will NOT work for them")</f>
        <v>Will NOT work for them</v>
      </c>
      <c r="J1446" s="1">
        <f ca="1">IFERROR(__xludf.DUMMYFUNCTION("""COMPUTED_VALUE"""),8)</f>
        <v>8</v>
      </c>
      <c r="K1446" s="1" t="str">
        <f ca="1">IFERROR(__xludf.DUMMYFUNCTION("""COMPUTED_VALUE"""),"Every Day Office Environment")</f>
        <v>Every Day Office Environment</v>
      </c>
      <c r="L1446" s="1" t="str">
        <f ca="1">IFERROR(__xludf.DUMMYFUNCTION("""COMPUTED_VALUE"""),"Employer who rewards learning and enables that environment")</f>
        <v>Employer who rewards learning and enables that environment</v>
      </c>
      <c r="M144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446" s="1"/>
      <c r="O1446" s="1" t="str">
        <f ca="1">IFERROR(__xludf.DUMMYFUNCTION("""COMPUTED_VALUE"""),"Manager who clearly describes what she/he needs")</f>
        <v>Manager who clearly describes what she/he needs</v>
      </c>
      <c r="P1446" s="1" t="str">
        <f ca="1">IFERROR(__xludf.DUMMYFUNCTION("""COMPUTED_VALUE"""),"Work &lt;=6 People in the Team")</f>
        <v>Work &lt;=6 People in the Team</v>
      </c>
      <c r="Q1446" s="1" t="s">
        <v>43</v>
      </c>
      <c r="R1446" s="1"/>
    </row>
    <row r="1447" spans="1:18" x14ac:dyDescent="0.25">
      <c r="A1447" s="2">
        <f ca="1">IFERROR(__xludf.DUMMYFUNCTION("""COMPUTED_VALUE"""),45045.006365949)</f>
        <v>45045.006365948997</v>
      </c>
      <c r="B1447" s="1" t="str">
        <f ca="1">IFERROR(__xludf.DUMMYFUNCTION("""COMPUTED_VALUE"""),"India")</f>
        <v>India</v>
      </c>
      <c r="C1447" s="1">
        <f ca="1">IFERROR(__xludf.DUMMYFUNCTION("""COMPUTED_VALUE"""),500001)</f>
        <v>500001</v>
      </c>
      <c r="D1447" s="1" t="str">
        <f ca="1">IFERROR(__xludf.DUMMYFUNCTION("""COMPUTED_VALUE"""),"Male")</f>
        <v>Male</v>
      </c>
      <c r="E1447" s="1" t="str">
        <f ca="1">IFERROR(__xludf.DUMMYFUNCTION("""COMPUTED_VALUE"""),"People from my circle, but not family members")</f>
        <v>People from my circle, but not family members</v>
      </c>
      <c r="F1447" s="1" t="str">
        <f ca="1">IFERROR(__xludf.DUMMYFUNCTION("""COMPUTED_VALUE"""),"Yes, I will earn and do that")</f>
        <v>Yes, I will earn and do that</v>
      </c>
      <c r="G1447" s="1" t="str">
        <f ca="1">IFERROR(__xludf.DUMMYFUNCTION("""COMPUTED_VALUE"""),"Will work for 3 years or more")</f>
        <v>Will work for 3 years or more</v>
      </c>
      <c r="H1447" s="1" t="str">
        <f ca="1">IFERROR(__xludf.DUMMYFUNCTION("""COMPUTED_VALUE"""),"Yes")</f>
        <v>Yes</v>
      </c>
      <c r="I1447" s="1" t="str">
        <f ca="1">IFERROR(__xludf.DUMMYFUNCTION("""COMPUTED_VALUE"""),"Will work for them")</f>
        <v>Will work for them</v>
      </c>
      <c r="J1447" s="1">
        <f ca="1">IFERROR(__xludf.DUMMYFUNCTION("""COMPUTED_VALUE"""),2)</f>
        <v>2</v>
      </c>
      <c r="K1447" s="1" t="str">
        <f ca="1">IFERROR(__xludf.DUMMYFUNCTION("""COMPUTED_VALUE"""),"Fully Remote with Options to travel as and when needed")</f>
        <v>Fully Remote with Options to travel as and when needed</v>
      </c>
      <c r="L1447" s="1" t="str">
        <f ca="1">IFERROR(__xludf.DUMMYFUNCTION("""COMPUTED_VALUE"""),"Employer who pushes your limits by enabling an learning environment, and rewards you at the end")</f>
        <v>Employer who pushes your limits by enabling an learning environment, and rewards you at the end</v>
      </c>
      <c r="M1447"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N1447" s="1"/>
      <c r="O1447" s="1" t="str">
        <f ca="1">IFERROR(__xludf.DUMMYFUNCTION("""COMPUTED_VALUE"""),"Manager who explains what is expected, sets a goal and helps achieve it")</f>
        <v>Manager who explains what is expected, sets a goal and helps achieve it</v>
      </c>
      <c r="P1447" s="1" t="str">
        <f ca="1">IFERROR(__xludf.DUMMYFUNCTION("""COMPUTED_VALUE"""),"Work &lt;67 People in the Team")</f>
        <v>Work &lt;67 People in the Team</v>
      </c>
      <c r="Q1447" s="1" t="s">
        <v>43</v>
      </c>
      <c r="R1447" s="1"/>
    </row>
    <row r="1448" spans="1:18" x14ac:dyDescent="0.25">
      <c r="A1448" s="2">
        <f ca="1">IFERROR(__xludf.DUMMYFUNCTION("""COMPUTED_VALUE"""),45045.0122109143)</f>
        <v>45045.012210914298</v>
      </c>
      <c r="B1448" s="1" t="str">
        <f ca="1">IFERROR(__xludf.DUMMYFUNCTION("""COMPUTED_VALUE"""),"India")</f>
        <v>India</v>
      </c>
      <c r="C1448" s="1">
        <f ca="1">IFERROR(__xludf.DUMMYFUNCTION("""COMPUTED_VALUE"""),400074)</f>
        <v>400074</v>
      </c>
      <c r="D1448" s="1" t="str">
        <f ca="1">IFERROR(__xludf.DUMMYFUNCTION("""COMPUTED_VALUE"""),"Male")</f>
        <v>Male</v>
      </c>
      <c r="E1448" s="1" t="str">
        <f ca="1">IFERROR(__xludf.DUMMYFUNCTION("""COMPUTED_VALUE"""),"People from my circle, but not family members")</f>
        <v>People from my circle, but not family members</v>
      </c>
      <c r="F1448" s="1" t="str">
        <f ca="1">IFERROR(__xludf.DUMMYFUNCTION("""COMPUTED_VALUE"""),"No, But if someone could bare the cost I will")</f>
        <v>No, But if someone could bare the cost I will</v>
      </c>
      <c r="G1448" s="1" t="str">
        <f ca="1">IFERROR(__xludf.DUMMYFUNCTION("""COMPUTED_VALUE"""),"Will work for 3 years or more")</f>
        <v>Will work for 3 years or more</v>
      </c>
      <c r="H1448" s="1" t="str">
        <f ca="1">IFERROR(__xludf.DUMMYFUNCTION("""COMPUTED_VALUE"""),"Yes")</f>
        <v>Yes</v>
      </c>
      <c r="I1448" s="1" t="str">
        <f ca="1">IFERROR(__xludf.DUMMYFUNCTION("""COMPUTED_VALUE"""),"Will NOT work for them")</f>
        <v>Will NOT work for them</v>
      </c>
      <c r="J1448" s="1">
        <f ca="1">IFERROR(__xludf.DUMMYFUNCTION("""COMPUTED_VALUE"""),5)</f>
        <v>5</v>
      </c>
      <c r="K1448" s="1" t="str">
        <f ca="1">IFERROR(__xludf.DUMMYFUNCTION("""COMPUTED_VALUE"""),"Hybrid Working Environment with more than 15 days a month at office")</f>
        <v>Hybrid Working Environment with more than 15 days a month at office</v>
      </c>
      <c r="L1448" s="1" t="str">
        <f ca="1">IFERROR(__xludf.DUMMYFUNCTION("""COMPUTED_VALUE"""),"Employer who rewards learning and enables that environment")</f>
        <v>Employer who rewards learning and enables that environment</v>
      </c>
      <c r="M1448"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N1448" s="1"/>
      <c r="O1448" s="1" t="str">
        <f ca="1">IFERROR(__xludf.DUMMYFUNCTION("""COMPUTED_VALUE"""),"Manager who explains what is expected, sets a goal and helps achieve it")</f>
        <v>Manager who explains what is expected, sets a goal and helps achieve it</v>
      </c>
      <c r="P1448" s="1" t="str">
        <f ca="1">IFERROR(__xludf.DUMMYFUNCTION("""COMPUTED_VALUE"""),"Work &gt;10 people in Team")</f>
        <v>Work &gt;10 people in Team</v>
      </c>
      <c r="Q1448" s="1" t="s">
        <v>43</v>
      </c>
      <c r="R1448" s="1"/>
    </row>
    <row r="1449" spans="1:18" x14ac:dyDescent="0.25">
      <c r="A1449" s="2">
        <f ca="1">IFERROR(__xludf.DUMMYFUNCTION("""COMPUTED_VALUE"""),45045.0167609143)</f>
        <v>45045.016760914303</v>
      </c>
      <c r="B1449" s="1" t="str">
        <f ca="1">IFERROR(__xludf.DUMMYFUNCTION("""COMPUTED_VALUE"""),"India")</f>
        <v>India</v>
      </c>
      <c r="C1449" s="1">
        <f ca="1">IFERROR(__xludf.DUMMYFUNCTION("""COMPUTED_VALUE"""),500001)</f>
        <v>500001</v>
      </c>
      <c r="D1449" s="1" t="str">
        <f ca="1">IFERROR(__xludf.DUMMYFUNCTION("""COMPUTED_VALUE"""),"Female")</f>
        <v>Female</v>
      </c>
      <c r="E1449" s="1" t="str">
        <f ca="1">IFERROR(__xludf.DUMMYFUNCTION("""COMPUTED_VALUE"""),"My Parents")</f>
        <v>My Parents</v>
      </c>
      <c r="F1449" s="1" t="str">
        <f ca="1">IFERROR(__xludf.DUMMYFUNCTION("""COMPUTED_VALUE"""),"Yes, I will earn and do that")</f>
        <v>Yes, I will earn and do that</v>
      </c>
      <c r="G1449" s="1" t="str">
        <f ca="1">IFERROR(__xludf.DUMMYFUNCTION("""COMPUTED_VALUE"""),"This will be hard to do, but if it is the right company I would try")</f>
        <v>This will be hard to do, but if it is the right company I would try</v>
      </c>
      <c r="H1449" s="1" t="str">
        <f ca="1">IFERROR(__xludf.DUMMYFUNCTION("""COMPUTED_VALUE"""),"No")</f>
        <v>No</v>
      </c>
      <c r="I1449" s="1" t="str">
        <f ca="1">IFERROR(__xludf.DUMMYFUNCTION("""COMPUTED_VALUE"""),"Will NOT work for them")</f>
        <v>Will NOT work for them</v>
      </c>
      <c r="J1449" s="1">
        <f ca="1">IFERROR(__xludf.DUMMYFUNCTION("""COMPUTED_VALUE"""),4)</f>
        <v>4</v>
      </c>
      <c r="K1449" s="1" t="str">
        <f ca="1">IFERROR(__xludf.DUMMYFUNCTION("""COMPUTED_VALUE"""),"Fully Remote with Options to travel as and when needed")</f>
        <v>Fully Remote with Options to travel as and when needed</v>
      </c>
      <c r="L1449" s="1" t="str">
        <f ca="1">IFERROR(__xludf.DUMMYFUNCTION("""COMPUTED_VALUE"""),"Employer who rewards learning and enables that environment")</f>
        <v>Employer who rewards learning and enables that environment</v>
      </c>
      <c r="M1449"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N1449" s="1"/>
      <c r="O1449" s="1" t="str">
        <f ca="1">IFERROR(__xludf.DUMMYFUNCTION("""COMPUTED_VALUE"""),"Manager who explains what is expected, sets a goal and helps achieve it")</f>
        <v>Manager who explains what is expected, sets a goal and helps achieve it</v>
      </c>
      <c r="P1449" s="1" t="str">
        <f ca="1">IFERROR(__xludf.DUMMYFUNCTION("""COMPUTED_VALUE"""),"Work Alone, &lt;=6 in team")</f>
        <v>Work Alone, &lt;=6 in team</v>
      </c>
      <c r="Q1449" s="1" t="s">
        <v>43</v>
      </c>
      <c r="R1449" s="1"/>
    </row>
    <row r="1450" spans="1:18" x14ac:dyDescent="0.25">
      <c r="A1450" s="2">
        <f ca="1">IFERROR(__xludf.DUMMYFUNCTION("""COMPUTED_VALUE"""),45045.0241839583)</f>
        <v>45045.024183958303</v>
      </c>
      <c r="B1450" s="1" t="str">
        <f ca="1">IFERROR(__xludf.DUMMYFUNCTION("""COMPUTED_VALUE"""),"India")</f>
        <v>India</v>
      </c>
      <c r="C1450" s="1">
        <f ca="1">IFERROR(__xludf.DUMMYFUNCTION("""COMPUTED_VALUE"""),247667)</f>
        <v>247667</v>
      </c>
      <c r="D1450" s="1" t="str">
        <f ca="1">IFERROR(__xludf.DUMMYFUNCTION("""COMPUTED_VALUE"""),"Male")</f>
        <v>Male</v>
      </c>
      <c r="E1450" s="1" t="str">
        <f ca="1">IFERROR(__xludf.DUMMYFUNCTION("""COMPUTED_VALUE"""),"People who have changed the world for better")</f>
        <v>People who have changed the world for better</v>
      </c>
      <c r="F1450" s="1" t="str">
        <f ca="1">IFERROR(__xludf.DUMMYFUNCTION("""COMPUTED_VALUE"""),"Yes, I will earn and do that")</f>
        <v>Yes, I will earn and do that</v>
      </c>
      <c r="G1450" s="1" t="str">
        <f ca="1">IFERROR(__xludf.DUMMYFUNCTION("""COMPUTED_VALUE"""),"Will work for 3 years or more")</f>
        <v>Will work for 3 years or more</v>
      </c>
      <c r="H1450" s="1" t="str">
        <f ca="1">IFERROR(__xludf.DUMMYFUNCTION("""COMPUTED_VALUE"""),"No")</f>
        <v>No</v>
      </c>
      <c r="I1450" s="1" t="str">
        <f ca="1">IFERROR(__xludf.DUMMYFUNCTION("""COMPUTED_VALUE"""),"Will NOT work for them")</f>
        <v>Will NOT work for them</v>
      </c>
      <c r="J1450" s="1">
        <f ca="1">IFERROR(__xludf.DUMMYFUNCTION("""COMPUTED_VALUE"""),7)</f>
        <v>7</v>
      </c>
      <c r="K1450" s="1" t="str">
        <f ca="1">IFERROR(__xludf.DUMMYFUNCTION("""COMPUTED_VALUE"""),"Hybrid Working Environment with less than 3 days a month at office")</f>
        <v>Hybrid Working Environment with less than 3 days a month at office</v>
      </c>
      <c r="L1450" s="1" t="str">
        <f ca="1">IFERROR(__xludf.DUMMYFUNCTION("""COMPUTED_VALUE"""),"Employer who pushes your limits by enabling an learning environment, and rewards you at the end")</f>
        <v>Employer who pushes your limits by enabling an learning environment, and rewards you at the end</v>
      </c>
      <c r="M1450"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N1450" s="1"/>
      <c r="O1450" s="1" t="str">
        <f ca="1">IFERROR(__xludf.DUMMYFUNCTION("""COMPUTED_VALUE"""),"Manager who clearly describes what she/he needs")</f>
        <v>Manager who clearly describes what she/he needs</v>
      </c>
      <c r="P1450" s="1" t="str">
        <f ca="1">IFERROR(__xludf.DUMMYFUNCTION("""COMPUTED_VALUE"""),"Work &gt;10 people in Team")</f>
        <v>Work &gt;10 people in Team</v>
      </c>
      <c r="Q1450" s="1" t="s">
        <v>43</v>
      </c>
      <c r="R1450" s="1"/>
    </row>
    <row r="1451" spans="1:18" x14ac:dyDescent="0.25">
      <c r="A1451" s="2">
        <f ca="1">IFERROR(__xludf.DUMMYFUNCTION("""COMPUTED_VALUE"""),45045.0409939583)</f>
        <v>45045.040993958297</v>
      </c>
      <c r="B1451" s="1" t="str">
        <f ca="1">IFERROR(__xludf.DUMMYFUNCTION("""COMPUTED_VALUE"""),"India")</f>
        <v>India</v>
      </c>
      <c r="C1451" s="1">
        <f ca="1">IFERROR(__xludf.DUMMYFUNCTION("""COMPUTED_VALUE"""),500016)</f>
        <v>500016</v>
      </c>
      <c r="D1451" s="1" t="str">
        <f ca="1">IFERROR(__xludf.DUMMYFUNCTION("""COMPUTED_VALUE"""),"Male")</f>
        <v>Male</v>
      </c>
      <c r="E1451" s="1" t="str">
        <f ca="1">IFERROR(__xludf.DUMMYFUNCTION("""COMPUTED_VALUE"""),"My Parents")</f>
        <v>My Parents</v>
      </c>
      <c r="F1451" s="1" t="str">
        <f ca="1">IFERROR(__xludf.DUMMYFUNCTION("""COMPUTED_VALUE"""),"No, But if someone could bare the cost I will")</f>
        <v>No, But if someone could bare the cost I will</v>
      </c>
      <c r="G1451" s="1" t="str">
        <f ca="1">IFERROR(__xludf.DUMMYFUNCTION("""COMPUTED_VALUE"""),"This will be hard to do, but if it is the right company I would try")</f>
        <v>This will be hard to do, but if it is the right company I would try</v>
      </c>
      <c r="H1451" s="1" t="str">
        <f ca="1">IFERROR(__xludf.DUMMYFUNCTION("""COMPUTED_VALUE"""),"No")</f>
        <v>No</v>
      </c>
      <c r="I1451" s="1" t="str">
        <f ca="1">IFERROR(__xludf.DUMMYFUNCTION("""COMPUTED_VALUE"""),"Will NOT work for them")</f>
        <v>Will NOT work for them</v>
      </c>
      <c r="J1451" s="1">
        <f ca="1">IFERROR(__xludf.DUMMYFUNCTION("""COMPUTED_VALUE"""),1)</f>
        <v>1</v>
      </c>
      <c r="K1451" s="1" t="str">
        <f ca="1">IFERROR(__xludf.DUMMYFUNCTION("""COMPUTED_VALUE"""),"Hybrid Working Environment with more than 15 days a month at office")</f>
        <v>Hybrid Working Environment with more than 15 days a month at office</v>
      </c>
      <c r="L1451" s="1" t="str">
        <f ca="1">IFERROR(__xludf.DUMMYFUNCTION("""COMPUTED_VALUE"""),"Employer who appreciates learning and enables that environment")</f>
        <v>Employer who appreciates learning and enables that environment</v>
      </c>
      <c r="M1451"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1451" s="1"/>
      <c r="O1451" s="1" t="str">
        <f ca="1">IFERROR(__xludf.DUMMYFUNCTION("""COMPUTED_VALUE"""),"Manager who explains what is expected, sets a goal and helps achieve it")</f>
        <v>Manager who explains what is expected, sets a goal and helps achieve it</v>
      </c>
      <c r="P1451" s="1" t="str">
        <f ca="1">IFERROR(__xludf.DUMMYFUNCTION("""COMPUTED_VALUE"""),"Work &lt;=6 People in the Team")</f>
        <v>Work &lt;=6 People in the Team</v>
      </c>
      <c r="Q1451" s="1" t="s">
        <v>43</v>
      </c>
      <c r="R1451" s="1"/>
    </row>
    <row r="1452" spans="1:18" x14ac:dyDescent="0.25">
      <c r="A1452" s="2">
        <f ca="1">IFERROR(__xludf.DUMMYFUNCTION("""COMPUTED_VALUE"""),45045.0489693055)</f>
        <v>45045.048969305499</v>
      </c>
      <c r="B1452" s="1" t="str">
        <f ca="1">IFERROR(__xludf.DUMMYFUNCTION("""COMPUTED_VALUE"""),"India")</f>
        <v>India</v>
      </c>
      <c r="C1452" s="1">
        <f ca="1">IFERROR(__xludf.DUMMYFUNCTION("""COMPUTED_VALUE"""),560064)</f>
        <v>560064</v>
      </c>
      <c r="D1452" s="1" t="str">
        <f ca="1">IFERROR(__xludf.DUMMYFUNCTION("""COMPUTED_VALUE"""),"Male")</f>
        <v>Male</v>
      </c>
      <c r="E1452" s="1" t="str">
        <f ca="1">IFERROR(__xludf.DUMMYFUNCTION("""COMPUTED_VALUE"""),"People from my circle, but not family members")</f>
        <v>People from my circle, but not family members</v>
      </c>
      <c r="F1452" s="1" t="str">
        <f ca="1">IFERROR(__xludf.DUMMYFUNCTION("""COMPUTED_VALUE"""),"No I would not be pursuing Higher Education outside of India")</f>
        <v>No I would not be pursuing Higher Education outside of India</v>
      </c>
      <c r="G1452" s="1" t="str">
        <f ca="1">IFERROR(__xludf.DUMMYFUNCTION("""COMPUTED_VALUE"""),"Will work for 3 years or more")</f>
        <v>Will work for 3 years or more</v>
      </c>
      <c r="H1452" s="1" t="str">
        <f ca="1">IFERROR(__xludf.DUMMYFUNCTION("""COMPUTED_VALUE"""),"Yes")</f>
        <v>Yes</v>
      </c>
      <c r="I1452" s="1" t="str">
        <f ca="1">IFERROR(__xludf.DUMMYFUNCTION("""COMPUTED_VALUE"""),"Will NOT work for them")</f>
        <v>Will NOT work for them</v>
      </c>
      <c r="J1452" s="1">
        <f ca="1">IFERROR(__xludf.DUMMYFUNCTION("""COMPUTED_VALUE"""),6)</f>
        <v>6</v>
      </c>
      <c r="K1452" s="1" t="str">
        <f ca="1">IFERROR(__xludf.DUMMYFUNCTION("""COMPUTED_VALUE"""),"Hybrid Working Environment with more than 15 days a month at office")</f>
        <v>Hybrid Working Environment with more than 15 days a month at office</v>
      </c>
      <c r="L1452" s="1" t="str">
        <f ca="1">IFERROR(__xludf.DUMMYFUNCTION("""COMPUTED_VALUE"""),"Employer who pushes your limits by enabling an learning environment, and rewards you at the end")</f>
        <v>Employer who pushes your limits by enabling an learning environment, and rewards you at the end</v>
      </c>
      <c r="M145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1452" s="1"/>
      <c r="O1452" s="1" t="str">
        <f ca="1">IFERROR(__xludf.DUMMYFUNCTION("""COMPUTED_VALUE"""),"Manager who explains what is expected, sets a goal and helps achieve it")</f>
        <v>Manager who explains what is expected, sets a goal and helps achieve it</v>
      </c>
      <c r="P1452" s="1" t="str">
        <f ca="1">IFERROR(__xludf.DUMMYFUNCTION("""COMPUTED_VALUE"""),"Work &lt;67 People in the Team")</f>
        <v>Work &lt;67 People in the Team</v>
      </c>
      <c r="Q1452" s="1" t="s">
        <v>40</v>
      </c>
      <c r="R1452" s="1"/>
    </row>
    <row r="1453" spans="1:18" x14ac:dyDescent="0.25">
      <c r="A1453" s="2">
        <f ca="1">IFERROR(__xludf.DUMMYFUNCTION("""COMPUTED_VALUE"""),45045.0720153703)</f>
        <v>45045.072015370301</v>
      </c>
      <c r="B1453" s="1" t="str">
        <f ca="1">IFERROR(__xludf.DUMMYFUNCTION("""COMPUTED_VALUE"""),"India")</f>
        <v>India</v>
      </c>
      <c r="C1453" s="1">
        <f ca="1">IFERROR(__xludf.DUMMYFUNCTION("""COMPUTED_VALUE"""),695033)</f>
        <v>695033</v>
      </c>
      <c r="D1453" s="1" t="str">
        <f ca="1">IFERROR(__xludf.DUMMYFUNCTION("""COMPUTED_VALUE"""),"Male")</f>
        <v>Male</v>
      </c>
      <c r="E1453" s="1" t="str">
        <f ca="1">IFERROR(__xludf.DUMMYFUNCTION("""COMPUTED_VALUE"""),"Influencers who had successful careers")</f>
        <v>Influencers who had successful careers</v>
      </c>
      <c r="F1453" s="1" t="str">
        <f ca="1">IFERROR(__xludf.DUMMYFUNCTION("""COMPUTED_VALUE"""),"No, But if someone could bare the cost I will")</f>
        <v>No, But if someone could bare the cost I will</v>
      </c>
      <c r="G1453" s="1" t="str">
        <f ca="1">IFERROR(__xludf.DUMMYFUNCTION("""COMPUTED_VALUE"""),"This will be hard to do, but if it is the right company I would try")</f>
        <v>This will be hard to do, but if it is the right company I would try</v>
      </c>
      <c r="H1453" s="1" t="str">
        <f ca="1">IFERROR(__xludf.DUMMYFUNCTION("""COMPUTED_VALUE"""),"Yes")</f>
        <v>Yes</v>
      </c>
      <c r="I1453" s="1" t="str">
        <f ca="1">IFERROR(__xludf.DUMMYFUNCTION("""COMPUTED_VALUE"""),"Will NOT work for them")</f>
        <v>Will NOT work for them</v>
      </c>
      <c r="J1453" s="1">
        <f ca="1">IFERROR(__xludf.DUMMYFUNCTION("""COMPUTED_VALUE"""),5)</f>
        <v>5</v>
      </c>
      <c r="K1453" s="1" t="str">
        <f ca="1">IFERROR(__xludf.DUMMYFUNCTION("""COMPUTED_VALUE"""),"Hybrid Working Environment with less than 3 days a month at office")</f>
        <v>Hybrid Working Environment with less than 3 days a month at office</v>
      </c>
      <c r="L1453" s="1" t="str">
        <f ca="1">IFERROR(__xludf.DUMMYFUNCTION("""COMPUTED_VALUE"""),"Employer who appreciates learning and enables that environment")</f>
        <v>Employer who appreciates learning and enables that environment</v>
      </c>
      <c r="M1453"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N1453" s="1"/>
      <c r="O1453" s="1" t="str">
        <f ca="1">IFERROR(__xludf.DUMMYFUNCTION("""COMPUTED_VALUE"""),"Manager who sets goal and helps me achieve it")</f>
        <v>Manager who sets goal and helps me achieve it</v>
      </c>
      <c r="P1453" s="1" t="str">
        <f ca="1">IFERROR(__xludf.DUMMYFUNCTION("""COMPUTED_VALUE"""),"Work &lt;=6 People in the Team")</f>
        <v>Work &lt;=6 People in the Team</v>
      </c>
      <c r="Q1453" s="1" t="s">
        <v>40</v>
      </c>
      <c r="R1453" s="1"/>
    </row>
    <row r="1454" spans="1:18" x14ac:dyDescent="0.25">
      <c r="A1454" s="2">
        <f ca="1">IFERROR(__xludf.DUMMYFUNCTION("""COMPUTED_VALUE"""),45045.2251423958)</f>
        <v>45045.225142395801</v>
      </c>
      <c r="B1454" s="1" t="str">
        <f ca="1">IFERROR(__xludf.DUMMYFUNCTION("""COMPUTED_VALUE"""),"India")</f>
        <v>India</v>
      </c>
      <c r="C1454" s="1">
        <f ca="1">IFERROR(__xludf.DUMMYFUNCTION("""COMPUTED_VALUE"""),500008)</f>
        <v>500008</v>
      </c>
      <c r="D1454" s="1" t="str">
        <f ca="1">IFERROR(__xludf.DUMMYFUNCTION("""COMPUTED_VALUE"""),"Female")</f>
        <v>Female</v>
      </c>
      <c r="E1454" s="1" t="str">
        <f ca="1">IFERROR(__xludf.DUMMYFUNCTION("""COMPUTED_VALUE"""),"My Parents")</f>
        <v>My Parents</v>
      </c>
      <c r="F1454" s="1" t="str">
        <f ca="1">IFERROR(__xludf.DUMMYFUNCTION("""COMPUTED_VALUE"""),"Yes, I will earn and do that")</f>
        <v>Yes, I will earn and do that</v>
      </c>
      <c r="G1454" s="1" t="str">
        <f ca="1">IFERROR(__xludf.DUMMYFUNCTION("""COMPUTED_VALUE"""),"No way")</f>
        <v>No way</v>
      </c>
      <c r="H1454" s="1" t="str">
        <f ca="1">IFERROR(__xludf.DUMMYFUNCTION("""COMPUTED_VALUE"""),"No")</f>
        <v>No</v>
      </c>
      <c r="I1454" s="1" t="str">
        <f ca="1">IFERROR(__xludf.DUMMYFUNCTION("""COMPUTED_VALUE"""),"Will NOT work for them")</f>
        <v>Will NOT work for them</v>
      </c>
      <c r="J1454" s="1">
        <f ca="1">IFERROR(__xludf.DUMMYFUNCTION("""COMPUTED_VALUE"""),6)</f>
        <v>6</v>
      </c>
      <c r="K1454" s="1" t="str">
        <f ca="1">IFERROR(__xludf.DUMMYFUNCTION("""COMPUTED_VALUE"""),"Fully Remote with Options to travel as and when needed")</f>
        <v>Fully Remote with Options to travel as and when needed</v>
      </c>
      <c r="L1454" s="1" t="str">
        <f ca="1">IFERROR(__xludf.DUMMYFUNCTION("""COMPUTED_VALUE"""),"Employer who pushes your limits by enabling an learning environment, and rewards you at the end")</f>
        <v>Employer who pushes your limits by enabling an learning environment, and rewards you at the end</v>
      </c>
      <c r="M1454"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N1454" s="1"/>
      <c r="O1454" s="1" t="str">
        <f ca="1">IFERROR(__xludf.DUMMYFUNCTION("""COMPUTED_VALUE"""),"Manager who explains what is expected, sets a goal and helps achieve it")</f>
        <v>Manager who explains what is expected, sets a goal and helps achieve it</v>
      </c>
      <c r="P1454" s="1" t="str">
        <f ca="1">IFERROR(__xludf.DUMMYFUNCTION("""COMPUTED_VALUE"""),"Work &lt;=6 People in the Team")</f>
        <v>Work &lt;=6 People in the Team</v>
      </c>
      <c r="Q1454" s="1" t="s">
        <v>43</v>
      </c>
      <c r="R1454" s="1"/>
    </row>
    <row r="1455" spans="1:18" x14ac:dyDescent="0.25">
      <c r="A1455" s="2">
        <f ca="1">IFERROR(__xludf.DUMMYFUNCTION("""COMPUTED_VALUE"""),45045.2783016087)</f>
        <v>45045.278301608698</v>
      </c>
      <c r="B1455" s="1" t="str">
        <f ca="1">IFERROR(__xludf.DUMMYFUNCTION("""COMPUTED_VALUE"""),"India")</f>
        <v>India</v>
      </c>
      <c r="C1455" s="1">
        <f ca="1">IFERROR(__xludf.DUMMYFUNCTION("""COMPUTED_VALUE"""),500043)</f>
        <v>500043</v>
      </c>
      <c r="D1455" s="1" t="str">
        <f ca="1">IFERROR(__xludf.DUMMYFUNCTION("""COMPUTED_VALUE"""),"Female")</f>
        <v>Female</v>
      </c>
      <c r="E1455" s="1" t="str">
        <f ca="1">IFERROR(__xludf.DUMMYFUNCTION("""COMPUTED_VALUE"""),"My Parents")</f>
        <v>My Parents</v>
      </c>
      <c r="F1455" s="1" t="str">
        <f ca="1">IFERROR(__xludf.DUMMYFUNCTION("""COMPUTED_VALUE"""),"No, But if someone could bare the cost I will")</f>
        <v>No, But if someone could bare the cost I will</v>
      </c>
      <c r="G1455" s="1" t="str">
        <f ca="1">IFERROR(__xludf.DUMMYFUNCTION("""COMPUTED_VALUE"""),"Will work for 3 years or more")</f>
        <v>Will work for 3 years or more</v>
      </c>
      <c r="H1455" s="1" t="str">
        <f ca="1">IFERROR(__xludf.DUMMYFUNCTION("""COMPUTED_VALUE"""),"No")</f>
        <v>No</v>
      </c>
      <c r="I1455" s="1" t="str">
        <f ca="1">IFERROR(__xludf.DUMMYFUNCTION("""COMPUTED_VALUE"""),"Will NOT work for them")</f>
        <v>Will NOT work for them</v>
      </c>
      <c r="J1455" s="1">
        <f ca="1">IFERROR(__xludf.DUMMYFUNCTION("""COMPUTED_VALUE"""),1)</f>
        <v>1</v>
      </c>
      <c r="K1455" s="1" t="str">
        <f ca="1">IFERROR(__xludf.DUMMYFUNCTION("""COMPUTED_VALUE"""),"Fully Remote with Options to travel as and when needed")</f>
        <v>Fully Remote with Options to travel as and when needed</v>
      </c>
      <c r="L1455" s="1" t="str">
        <f ca="1">IFERROR(__xludf.DUMMYFUNCTION("""COMPUTED_VALUE"""),"Employer who rewards learning and enables that environment")</f>
        <v>Employer who rewards learning and enables that environment</v>
      </c>
      <c r="M1455"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455" s="1"/>
      <c r="O1455" s="1" t="str">
        <f ca="1">IFERROR(__xludf.DUMMYFUNCTION("""COMPUTED_VALUE"""),"Manager who clearly describes what she/he needs")</f>
        <v>Manager who clearly describes what she/he needs</v>
      </c>
      <c r="P1455" s="1" t="str">
        <f ca="1">IFERROR(__xludf.DUMMYFUNCTION("""COMPUTED_VALUE"""),"Work &gt;=7 People in the Team")</f>
        <v>Work &gt;=7 People in the Team</v>
      </c>
      <c r="Q1455" s="1" t="s">
        <v>43</v>
      </c>
      <c r="R1455" s="1"/>
    </row>
    <row r="1456" spans="1:18" x14ac:dyDescent="0.25">
      <c r="A1456" s="2">
        <f ca="1">IFERROR(__xludf.DUMMYFUNCTION("""COMPUTED_VALUE"""),45045.3252866435)</f>
        <v>45045.3252866435</v>
      </c>
      <c r="B1456" s="1" t="str">
        <f ca="1">IFERROR(__xludf.DUMMYFUNCTION("""COMPUTED_VALUE"""),"India")</f>
        <v>India</v>
      </c>
      <c r="C1456" s="1">
        <f ca="1">IFERROR(__xludf.DUMMYFUNCTION("""COMPUTED_VALUE"""),500088)</f>
        <v>500088</v>
      </c>
      <c r="D1456" s="1" t="str">
        <f ca="1">IFERROR(__xludf.DUMMYFUNCTION("""COMPUTED_VALUE"""),"Female")</f>
        <v>Female</v>
      </c>
      <c r="E1456" s="1" t="str">
        <f ca="1">IFERROR(__xludf.DUMMYFUNCTION("""COMPUTED_VALUE"""),"People who have changed the world for better")</f>
        <v>People who have changed the world for better</v>
      </c>
      <c r="F1456" s="1" t="str">
        <f ca="1">IFERROR(__xludf.DUMMYFUNCTION("""COMPUTED_VALUE"""),"No I would not be pursuing Higher Education outside of India")</f>
        <v>No I would not be pursuing Higher Education outside of India</v>
      </c>
      <c r="G1456" s="1" t="str">
        <f ca="1">IFERROR(__xludf.DUMMYFUNCTION("""COMPUTED_VALUE"""),"This will be hard to do, but if it is the right company I would try")</f>
        <v>This will be hard to do, but if it is the right company I would try</v>
      </c>
      <c r="H1456" s="1" t="str">
        <f ca="1">IFERROR(__xludf.DUMMYFUNCTION("""COMPUTED_VALUE"""),"Yes")</f>
        <v>Yes</v>
      </c>
      <c r="I1456" s="1" t="str">
        <f ca="1">IFERROR(__xludf.DUMMYFUNCTION("""COMPUTED_VALUE"""),"Will NOT work for them")</f>
        <v>Will NOT work for them</v>
      </c>
      <c r="J1456" s="1">
        <f ca="1">IFERROR(__xludf.DUMMYFUNCTION("""COMPUTED_VALUE"""),10)</f>
        <v>10</v>
      </c>
      <c r="K1456" s="1" t="str">
        <f ca="1">IFERROR(__xludf.DUMMYFUNCTION("""COMPUTED_VALUE"""),"Hybrid Working Environment with more than 15 days a month at office")</f>
        <v>Hybrid Working Environment with more than 15 days a month at office</v>
      </c>
      <c r="L1456" s="1" t="str">
        <f ca="1">IFERROR(__xludf.DUMMYFUNCTION("""COMPUTED_VALUE"""),"Employer who appreciates learning and enables that environment")</f>
        <v>Employer who appreciates learning and enables that environment</v>
      </c>
      <c r="M145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456" s="1"/>
      <c r="O1456" s="1" t="str">
        <f ca="1">IFERROR(__xludf.DUMMYFUNCTION("""COMPUTED_VALUE"""),"Manager who explains what is expected, sets a goal and helps achieve it")</f>
        <v>Manager who explains what is expected, sets a goal and helps achieve it</v>
      </c>
      <c r="P1456" s="1" t="str">
        <f ca="1">IFERROR(__xludf.DUMMYFUNCTION("""COMPUTED_VALUE"""),"Work &gt;=7 People in the Team")</f>
        <v>Work &gt;=7 People in the Team</v>
      </c>
      <c r="Q1456" s="1" t="s">
        <v>43</v>
      </c>
      <c r="R1456" s="1"/>
    </row>
    <row r="1457" spans="1:18" x14ac:dyDescent="0.25">
      <c r="A1457" s="2">
        <f ca="1">IFERROR(__xludf.DUMMYFUNCTION("""COMPUTED_VALUE"""),45045.3398399884)</f>
        <v>45045.339839988403</v>
      </c>
      <c r="B1457" s="1" t="str">
        <f ca="1">IFERROR(__xludf.DUMMYFUNCTION("""COMPUTED_VALUE"""),"India")</f>
        <v>India</v>
      </c>
      <c r="C1457" s="1">
        <f ca="1">IFERROR(__xludf.DUMMYFUNCTION("""COMPUTED_VALUE"""),505460)</f>
        <v>505460</v>
      </c>
      <c r="D1457" s="1" t="str">
        <f ca="1">IFERROR(__xludf.DUMMYFUNCTION("""COMPUTED_VALUE"""),"Male")</f>
        <v>Male</v>
      </c>
      <c r="E1457" s="1" t="str">
        <f ca="1">IFERROR(__xludf.DUMMYFUNCTION("""COMPUTED_VALUE"""),"My Parents")</f>
        <v>My Parents</v>
      </c>
      <c r="F1457" s="1" t="str">
        <f ca="1">IFERROR(__xludf.DUMMYFUNCTION("""COMPUTED_VALUE"""),"No I would not be pursuing Higher Education outside of India")</f>
        <v>No I would not be pursuing Higher Education outside of India</v>
      </c>
      <c r="G1457" s="1" t="str">
        <f ca="1">IFERROR(__xludf.DUMMYFUNCTION("""COMPUTED_VALUE"""),"This will be hard to do, but if it is the right company I would try")</f>
        <v>This will be hard to do, but if it is the right company I would try</v>
      </c>
      <c r="H1457" s="1" t="str">
        <f ca="1">IFERROR(__xludf.DUMMYFUNCTION("""COMPUTED_VALUE"""),"No")</f>
        <v>No</v>
      </c>
      <c r="I1457" s="1" t="str">
        <f ca="1">IFERROR(__xludf.DUMMYFUNCTION("""COMPUTED_VALUE"""),"Will NOT work for them")</f>
        <v>Will NOT work for them</v>
      </c>
      <c r="J1457" s="1">
        <f ca="1">IFERROR(__xludf.DUMMYFUNCTION("""COMPUTED_VALUE"""),7)</f>
        <v>7</v>
      </c>
      <c r="K1457" s="1" t="str">
        <f ca="1">IFERROR(__xludf.DUMMYFUNCTION("""COMPUTED_VALUE"""),"Hybrid Working Environment with less than 3 days a month at office")</f>
        <v>Hybrid Working Environment with less than 3 days a month at office</v>
      </c>
      <c r="L1457" s="1" t="str">
        <f ca="1">IFERROR(__xludf.DUMMYFUNCTION("""COMPUTED_VALUE"""),"Employer who appreciates learning and enables that environment")</f>
        <v>Employer who appreciates learning and enables that environment</v>
      </c>
      <c r="M1457"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N1457" s="1"/>
      <c r="O1457" s="1" t="str">
        <f ca="1">IFERROR(__xludf.DUMMYFUNCTION("""COMPUTED_VALUE"""),"Manager who explains what is expected, sets a goal and helps achieve it")</f>
        <v>Manager who explains what is expected, sets a goal and helps achieve it</v>
      </c>
      <c r="P1457" s="1" t="str">
        <f ca="1">IFERROR(__xludf.DUMMYFUNCTION("""COMPUTED_VALUE"""),"Work &lt;=6 People in the Team")</f>
        <v>Work &lt;=6 People in the Team</v>
      </c>
      <c r="Q1457" s="1" t="s">
        <v>43</v>
      </c>
      <c r="R1457" s="1"/>
    </row>
    <row r="1458" spans="1:18" x14ac:dyDescent="0.25">
      <c r="A1458" s="2">
        <f ca="1">IFERROR(__xludf.DUMMYFUNCTION("""COMPUTED_VALUE"""),45045.3400963194)</f>
        <v>45045.3400963194</v>
      </c>
      <c r="B1458" s="1" t="str">
        <f ca="1">IFERROR(__xludf.DUMMYFUNCTION("""COMPUTED_VALUE"""),"India")</f>
        <v>India</v>
      </c>
      <c r="C1458" s="1">
        <f ca="1">IFERROR(__xludf.DUMMYFUNCTION("""COMPUTED_VALUE"""),500070)</f>
        <v>500070</v>
      </c>
      <c r="D1458" s="1" t="str">
        <f ca="1">IFERROR(__xludf.DUMMYFUNCTION("""COMPUTED_VALUE"""),"Female")</f>
        <v>Female</v>
      </c>
      <c r="E1458" s="1" t="str">
        <f ca="1">IFERROR(__xludf.DUMMYFUNCTION("""COMPUTED_VALUE"""),"People from my circle, but not family members")</f>
        <v>People from my circle, but not family members</v>
      </c>
      <c r="F1458" s="1" t="str">
        <f ca="1">IFERROR(__xludf.DUMMYFUNCTION("""COMPUTED_VALUE"""),"No, But if someone could bare the cost I will")</f>
        <v>No, But if someone could bare the cost I will</v>
      </c>
      <c r="G1458" s="1" t="str">
        <f ca="1">IFERROR(__xludf.DUMMYFUNCTION("""COMPUTED_VALUE"""),"No way")</f>
        <v>No way</v>
      </c>
      <c r="H1458" s="1" t="str">
        <f ca="1">IFERROR(__xludf.DUMMYFUNCTION("""COMPUTED_VALUE"""),"No")</f>
        <v>No</v>
      </c>
      <c r="I1458" s="1" t="str">
        <f ca="1">IFERROR(__xludf.DUMMYFUNCTION("""COMPUTED_VALUE"""),"Will NOT work for them")</f>
        <v>Will NOT work for them</v>
      </c>
      <c r="J1458" s="1">
        <f ca="1">IFERROR(__xludf.DUMMYFUNCTION("""COMPUTED_VALUE"""),1)</f>
        <v>1</v>
      </c>
      <c r="K1458" s="1" t="str">
        <f ca="1">IFERROR(__xludf.DUMMYFUNCTION("""COMPUTED_VALUE"""),"Fully Remote with Options to travel as and when needed")</f>
        <v>Fully Remote with Options to travel as and when needed</v>
      </c>
      <c r="L1458" s="1" t="str">
        <f ca="1">IFERROR(__xludf.DUMMYFUNCTION("""COMPUTED_VALUE"""),"Employer who pushes your limits by enabling an learning environment, and rewards you at the end")</f>
        <v>Employer who pushes your limits by enabling an learning environment, and rewards you at the end</v>
      </c>
      <c r="M1458"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N1458" s="1"/>
      <c r="O1458" s="1" t="str">
        <f ca="1">IFERROR(__xludf.DUMMYFUNCTION("""COMPUTED_VALUE"""),"Manager who explains what is expected, sets a goal and helps achieve it")</f>
        <v>Manager who explains what is expected, sets a goal and helps achieve it</v>
      </c>
      <c r="P1458" s="1" t="str">
        <f ca="1">IFERROR(__xludf.DUMMYFUNCTION("""COMPUTED_VALUE"""),"Work alone")</f>
        <v>Work alone</v>
      </c>
      <c r="Q1458" s="1" t="s">
        <v>43</v>
      </c>
      <c r="R1458" s="1"/>
    </row>
    <row r="1459" spans="1:18" x14ac:dyDescent="0.25">
      <c r="A1459" s="2">
        <f ca="1">IFERROR(__xludf.DUMMYFUNCTION("""COMPUTED_VALUE"""),45045.3421630902)</f>
        <v>45045.342163090201</v>
      </c>
      <c r="B1459" s="1" t="str">
        <f ca="1">IFERROR(__xludf.DUMMYFUNCTION("""COMPUTED_VALUE"""),"India")</f>
        <v>India</v>
      </c>
      <c r="C1459" s="1">
        <f ca="1">IFERROR(__xludf.DUMMYFUNCTION("""COMPUTED_VALUE"""),508234)</f>
        <v>508234</v>
      </c>
      <c r="D1459" s="1" t="str">
        <f ca="1">IFERROR(__xludf.DUMMYFUNCTION("""COMPUTED_VALUE"""),"Female")</f>
        <v>Female</v>
      </c>
      <c r="E1459" s="1" t="str">
        <f ca="1">IFERROR(__xludf.DUMMYFUNCTION("""COMPUTED_VALUE"""),"My Parents")</f>
        <v>My Parents</v>
      </c>
      <c r="F1459" s="1" t="str">
        <f ca="1">IFERROR(__xludf.DUMMYFUNCTION("""COMPUTED_VALUE"""),"Yes, I will earn and do that")</f>
        <v>Yes, I will earn and do that</v>
      </c>
      <c r="G1459" s="1" t="str">
        <f ca="1">IFERROR(__xludf.DUMMYFUNCTION("""COMPUTED_VALUE"""),"This will be hard to do, but if it is the right company I would try")</f>
        <v>This will be hard to do, but if it is the right company I would try</v>
      </c>
      <c r="H1459" s="1" t="str">
        <f ca="1">IFERROR(__xludf.DUMMYFUNCTION("""COMPUTED_VALUE"""),"Yes")</f>
        <v>Yes</v>
      </c>
      <c r="I1459" s="1" t="str">
        <f ca="1">IFERROR(__xludf.DUMMYFUNCTION("""COMPUTED_VALUE"""),"Will NOT work for them")</f>
        <v>Will NOT work for them</v>
      </c>
      <c r="J1459" s="1">
        <f ca="1">IFERROR(__xludf.DUMMYFUNCTION("""COMPUTED_VALUE"""),5)</f>
        <v>5</v>
      </c>
      <c r="K1459" s="1" t="str">
        <f ca="1">IFERROR(__xludf.DUMMYFUNCTION("""COMPUTED_VALUE"""),"Every Day Office Environment")</f>
        <v>Every Day Office Environment</v>
      </c>
      <c r="L1459" s="1" t="str">
        <f ca="1">IFERROR(__xludf.DUMMYFUNCTION("""COMPUTED_VALUE"""),"Employer who appreciates learning and enables that environment")</f>
        <v>Employer who appreciates learning and enables that environment</v>
      </c>
      <c r="M145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N1459" s="1"/>
      <c r="O1459" s="1" t="str">
        <f ca="1">IFERROR(__xludf.DUMMYFUNCTION("""COMPUTED_VALUE"""),"Manager who clearly describes what she/he needs")</f>
        <v>Manager who clearly describes what she/he needs</v>
      </c>
      <c r="P1459" s="1" t="str">
        <f ca="1">IFERROR(__xludf.DUMMYFUNCTION("""COMPUTED_VALUE"""),"Work &lt;=6 People in the Team")</f>
        <v>Work &lt;=6 People in the Team</v>
      </c>
      <c r="Q1459" s="1" t="s">
        <v>43</v>
      </c>
      <c r="R1459" s="1"/>
    </row>
    <row r="1460" spans="1:18" x14ac:dyDescent="0.25">
      <c r="A1460" s="2">
        <f ca="1">IFERROR(__xludf.DUMMYFUNCTION("""COMPUTED_VALUE"""),45045.3641467245)</f>
        <v>45045.364146724503</v>
      </c>
      <c r="B1460" s="1" t="str">
        <f ca="1">IFERROR(__xludf.DUMMYFUNCTION("""COMPUTED_VALUE"""),"India")</f>
        <v>India</v>
      </c>
      <c r="C1460" s="1">
        <f ca="1">IFERROR(__xludf.DUMMYFUNCTION("""COMPUTED_VALUE"""),224135)</f>
        <v>224135</v>
      </c>
      <c r="D1460" s="1" t="str">
        <f ca="1">IFERROR(__xludf.DUMMYFUNCTION("""COMPUTED_VALUE"""),"Male")</f>
        <v>Male</v>
      </c>
      <c r="E1460" s="1" t="str">
        <f ca="1">IFERROR(__xludf.DUMMYFUNCTION("""COMPUTED_VALUE"""),"My Parents")</f>
        <v>My Parents</v>
      </c>
      <c r="F1460" s="1" t="str">
        <f ca="1">IFERROR(__xludf.DUMMYFUNCTION("""COMPUTED_VALUE"""),"No I would not be pursuing Higher Education outside of India")</f>
        <v>No I would not be pursuing Higher Education outside of India</v>
      </c>
      <c r="G1460" s="1" t="str">
        <f ca="1">IFERROR(__xludf.DUMMYFUNCTION("""COMPUTED_VALUE"""),"Will work for 3 years or more")</f>
        <v>Will work for 3 years or more</v>
      </c>
      <c r="H1460" s="1" t="str">
        <f ca="1">IFERROR(__xludf.DUMMYFUNCTION("""COMPUTED_VALUE"""),"No")</f>
        <v>No</v>
      </c>
      <c r="I1460" s="1" t="str">
        <f ca="1">IFERROR(__xludf.DUMMYFUNCTION("""COMPUTED_VALUE"""),"Will work for them")</f>
        <v>Will work for them</v>
      </c>
      <c r="J1460" s="1">
        <f ca="1">IFERROR(__xludf.DUMMYFUNCTION("""COMPUTED_VALUE"""),1)</f>
        <v>1</v>
      </c>
      <c r="K1460" s="1" t="str">
        <f ca="1">IFERROR(__xludf.DUMMYFUNCTION("""COMPUTED_VALUE"""),"Hybrid Working Environment with more than 15 days a month at office")</f>
        <v>Hybrid Working Environment with more than 15 days a month at office</v>
      </c>
      <c r="L1460" s="1" t="str">
        <f ca="1">IFERROR(__xludf.DUMMYFUNCTION("""COMPUTED_VALUE"""),"Employer who appreciates learning and enables that environment")</f>
        <v>Employer who appreciates learning and enables that environment</v>
      </c>
      <c r="M1460"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N1460" s="1"/>
      <c r="O1460" s="1" t="str">
        <f ca="1">IFERROR(__xludf.DUMMYFUNCTION("""COMPUTED_VALUE"""),"Manager who explains what is expected, sets a goal and helps achieve it")</f>
        <v>Manager who explains what is expected, sets a goal and helps achieve it</v>
      </c>
      <c r="P1460" s="1" t="str">
        <f ca="1">IFERROR(__xludf.DUMMYFUNCTION("""COMPUTED_VALUE"""),"Work  &lt;67 people in team")</f>
        <v>Work  &lt;67 people in team</v>
      </c>
      <c r="Q1460" s="1" t="s">
        <v>40</v>
      </c>
      <c r="R1460" s="1"/>
    </row>
    <row r="1461" spans="1:18" x14ac:dyDescent="0.25">
      <c r="A1461" s="2">
        <f ca="1">IFERROR(__xludf.DUMMYFUNCTION("""COMPUTED_VALUE"""),45045.387292824)</f>
        <v>45045.387292824002</v>
      </c>
      <c r="B1461" s="1" t="str">
        <f ca="1">IFERROR(__xludf.DUMMYFUNCTION("""COMPUTED_VALUE"""),"India")</f>
        <v>India</v>
      </c>
      <c r="C1461" s="1">
        <f ca="1">IFERROR(__xludf.DUMMYFUNCTION("""COMPUTED_VALUE"""),641006)</f>
        <v>641006</v>
      </c>
      <c r="D1461" s="1" t="str">
        <f ca="1">IFERROR(__xludf.DUMMYFUNCTION("""COMPUTED_VALUE"""),"Female")</f>
        <v>Female</v>
      </c>
      <c r="E1461" s="1" t="str">
        <f ca="1">IFERROR(__xludf.DUMMYFUNCTION("""COMPUTED_VALUE"""),"People who have changed the world for better")</f>
        <v>People who have changed the world for better</v>
      </c>
      <c r="F1461" s="1" t="str">
        <f ca="1">IFERROR(__xludf.DUMMYFUNCTION("""COMPUTED_VALUE"""),"No I would not be pursuing Higher Education outside of India")</f>
        <v>No I would not be pursuing Higher Education outside of India</v>
      </c>
      <c r="G1461" s="1" t="str">
        <f ca="1">IFERROR(__xludf.DUMMYFUNCTION("""COMPUTED_VALUE"""),"This will be hard to do, but if it is the right company I would try")</f>
        <v>This will be hard to do, but if it is the right company I would try</v>
      </c>
      <c r="H1461" s="1" t="str">
        <f ca="1">IFERROR(__xludf.DUMMYFUNCTION("""COMPUTED_VALUE"""),"No")</f>
        <v>No</v>
      </c>
      <c r="I1461" s="1" t="str">
        <f ca="1">IFERROR(__xludf.DUMMYFUNCTION("""COMPUTED_VALUE"""),"Will work for them")</f>
        <v>Will work for them</v>
      </c>
      <c r="J1461" s="1">
        <f ca="1">IFERROR(__xludf.DUMMYFUNCTION("""COMPUTED_VALUE"""),7)</f>
        <v>7</v>
      </c>
      <c r="K1461" s="1" t="str">
        <f ca="1">IFERROR(__xludf.DUMMYFUNCTION("""COMPUTED_VALUE"""),"Every Day Office Environment")</f>
        <v>Every Day Office Environment</v>
      </c>
      <c r="L1461" s="1" t="str">
        <f ca="1">IFERROR(__xludf.DUMMYFUNCTION("""COMPUTED_VALUE"""),"Employer who pushes your limits by enabling an learning environment, and rewards you at the end")</f>
        <v>Employer who pushes your limits by enabling an learning environment, and rewards you at the end</v>
      </c>
      <c r="M146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1461" s="1"/>
      <c r="O1461" s="1" t="str">
        <f ca="1">IFERROR(__xludf.DUMMYFUNCTION("""COMPUTED_VALUE"""),"Manager who clearly describes what she/he needs")</f>
        <v>Manager who clearly describes what she/he needs</v>
      </c>
      <c r="P1461" s="1" t="str">
        <f ca="1">IFERROR(__xludf.DUMMYFUNCTION("""COMPUTED_VALUE"""),"Work &gt;10 people in Team")</f>
        <v>Work &gt;10 people in Team</v>
      </c>
      <c r="Q1461" s="1" t="s">
        <v>40</v>
      </c>
      <c r="R1461" s="1"/>
    </row>
    <row r="1462" spans="1:18" x14ac:dyDescent="0.25">
      <c r="A1462" s="2">
        <f ca="1">IFERROR(__xludf.DUMMYFUNCTION("""COMPUTED_VALUE"""),45045.40869603)</f>
        <v>45045.408696029997</v>
      </c>
      <c r="B1462" s="1" t="str">
        <f ca="1">IFERROR(__xludf.DUMMYFUNCTION("""COMPUTED_VALUE"""),"India")</f>
        <v>India</v>
      </c>
      <c r="C1462" s="1">
        <f ca="1">IFERROR(__xludf.DUMMYFUNCTION("""COMPUTED_VALUE"""),201306)</f>
        <v>201306</v>
      </c>
      <c r="D1462" s="1" t="str">
        <f ca="1">IFERROR(__xludf.DUMMYFUNCTION("""COMPUTED_VALUE"""),"Male")</f>
        <v>Male</v>
      </c>
      <c r="E1462" s="1" t="str">
        <f ca="1">IFERROR(__xludf.DUMMYFUNCTION("""COMPUTED_VALUE"""),"My Parents")</f>
        <v>My Parents</v>
      </c>
      <c r="F1462" s="1" t="str">
        <f ca="1">IFERROR(__xludf.DUMMYFUNCTION("""COMPUTED_VALUE"""),"Yes, I will earn and do that")</f>
        <v>Yes, I will earn and do that</v>
      </c>
      <c r="G1462" s="1" t="str">
        <f ca="1">IFERROR(__xludf.DUMMYFUNCTION("""COMPUTED_VALUE"""),"This will be hard to do, but if it is the right company I would try")</f>
        <v>This will be hard to do, but if it is the right company I would try</v>
      </c>
      <c r="H1462" s="1" t="str">
        <f ca="1">IFERROR(__xludf.DUMMYFUNCTION("""COMPUTED_VALUE"""),"No")</f>
        <v>No</v>
      </c>
      <c r="I1462" s="1" t="str">
        <f ca="1">IFERROR(__xludf.DUMMYFUNCTION("""COMPUTED_VALUE"""),"Will NOT work for them")</f>
        <v>Will NOT work for them</v>
      </c>
      <c r="J1462" s="1">
        <f ca="1">IFERROR(__xludf.DUMMYFUNCTION("""COMPUTED_VALUE"""),3)</f>
        <v>3</v>
      </c>
      <c r="K1462" s="1" t="str">
        <f ca="1">IFERROR(__xludf.DUMMYFUNCTION("""COMPUTED_VALUE"""),"Hybrid Working Environment with more than 15 days a month at office")</f>
        <v>Hybrid Working Environment with more than 15 days a month at office</v>
      </c>
      <c r="L1462" s="1" t="str">
        <f ca="1">IFERROR(__xludf.DUMMYFUNCTION("""COMPUTED_VALUE"""),"Employer who pushes your limits by enabling an learning environment, and rewards you at the end")</f>
        <v>Employer who pushes your limits by enabling an learning environment, and rewards you at the end</v>
      </c>
      <c r="M1462"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N1462" s="1"/>
      <c r="O1462" s="1" t="str">
        <f ca="1">IFERROR(__xludf.DUMMYFUNCTION("""COMPUTED_VALUE"""),"Manager who explains what is expected, sets a goal and helps achieve it")</f>
        <v>Manager who explains what is expected, sets a goal and helps achieve it</v>
      </c>
      <c r="P1462" s="1" t="str">
        <f ca="1">IFERROR(__xludf.DUMMYFUNCTION("""COMPUTED_VALUE"""),"Work &gt;10 people in Team")</f>
        <v>Work &gt;10 people in Team</v>
      </c>
      <c r="Q1462" s="1" t="s">
        <v>43</v>
      </c>
      <c r="R1462" s="1"/>
    </row>
    <row r="1463" spans="1:18" x14ac:dyDescent="0.25">
      <c r="A1463" s="2">
        <f ca="1">IFERROR(__xludf.DUMMYFUNCTION("""COMPUTED_VALUE"""),45045.4124406365)</f>
        <v>45045.412440636501</v>
      </c>
      <c r="B1463" s="1" t="str">
        <f ca="1">IFERROR(__xludf.DUMMYFUNCTION("""COMPUTED_VALUE"""),"India")</f>
        <v>India</v>
      </c>
      <c r="C1463" s="1">
        <f ca="1">IFERROR(__xludf.DUMMYFUNCTION("""COMPUTED_VALUE"""),110092)</f>
        <v>110092</v>
      </c>
      <c r="D1463" s="1" t="str">
        <f ca="1">IFERROR(__xludf.DUMMYFUNCTION("""COMPUTED_VALUE"""),"Male")</f>
        <v>Male</v>
      </c>
      <c r="E1463" s="1" t="str">
        <f ca="1">IFERROR(__xludf.DUMMYFUNCTION("""COMPUTED_VALUE"""),"Social Media like LinkedIn")</f>
        <v>Social Media like LinkedIn</v>
      </c>
      <c r="F1463" s="1" t="str">
        <f ca="1">IFERROR(__xludf.DUMMYFUNCTION("""COMPUTED_VALUE"""),"No I would not be pursuing Higher Education outside of India")</f>
        <v>No I would not be pursuing Higher Education outside of India</v>
      </c>
      <c r="G1463" s="1" t="str">
        <f ca="1">IFERROR(__xludf.DUMMYFUNCTION("""COMPUTED_VALUE"""),"Will work for 3 years or more")</f>
        <v>Will work for 3 years or more</v>
      </c>
      <c r="H1463" s="1" t="str">
        <f ca="1">IFERROR(__xludf.DUMMYFUNCTION("""COMPUTED_VALUE"""),"No")</f>
        <v>No</v>
      </c>
      <c r="I1463" s="1" t="str">
        <f ca="1">IFERROR(__xludf.DUMMYFUNCTION("""COMPUTED_VALUE"""),"Will NOT work for them")</f>
        <v>Will NOT work for them</v>
      </c>
      <c r="J1463" s="1">
        <f ca="1">IFERROR(__xludf.DUMMYFUNCTION("""COMPUTED_VALUE"""),1)</f>
        <v>1</v>
      </c>
      <c r="K1463" s="1" t="str">
        <f ca="1">IFERROR(__xludf.DUMMYFUNCTION("""COMPUTED_VALUE"""),"Every Day Office Environment")</f>
        <v>Every Day Office Environment</v>
      </c>
      <c r="L1463" s="1" t="str">
        <f ca="1">IFERROR(__xludf.DUMMYFUNCTION("""COMPUTED_VALUE"""),"Employer who pushes your limits by enabling an learning environment, and rewards you at the end")</f>
        <v>Employer who pushes your limits by enabling an learning environment, and rewards you at the end</v>
      </c>
      <c r="M1463" s="1" t="str">
        <f ca="1">IFERROR(__xludf.DUMMYFUNCTION("""COMPUTED_VALUE"""),"Business Operations in any organization, Look deeply into Data and generate insights, Work in a BPO setup for some well known client, Work as a freelancer and do my thing my way")</f>
        <v>Business Operations in any organization, Look deeply into Data and generate insights, Work in a BPO setup for some well known client, Work as a freelancer and do my thing my way</v>
      </c>
      <c r="N1463" s="1"/>
      <c r="O1463" s="1" t="str">
        <f ca="1">IFERROR(__xludf.DUMMYFUNCTION("""COMPUTED_VALUE"""),"Manager who explains what is expected, sets a goal and helps achieve it")</f>
        <v>Manager who explains what is expected, sets a goal and helps achieve it</v>
      </c>
      <c r="P1463" s="1" t="str">
        <f ca="1">IFERROR(__xludf.DUMMYFUNCTION("""COMPUTED_VALUE"""),"Work &gt;10 people in Team")</f>
        <v>Work &gt;10 people in Team</v>
      </c>
      <c r="Q1463" s="1" t="s">
        <v>40</v>
      </c>
      <c r="R1463" s="1"/>
    </row>
    <row r="1464" spans="1:18" x14ac:dyDescent="0.25">
      <c r="A1464" s="2">
        <f ca="1">IFERROR(__xludf.DUMMYFUNCTION("""COMPUTED_VALUE"""),45045.4146012731)</f>
        <v>45045.4146012731</v>
      </c>
      <c r="B1464" s="1" t="str">
        <f ca="1">IFERROR(__xludf.DUMMYFUNCTION("""COMPUTED_VALUE"""),"India")</f>
        <v>India</v>
      </c>
      <c r="C1464" s="1">
        <f ca="1">IFERROR(__xludf.DUMMYFUNCTION("""COMPUTED_VALUE"""),201301)</f>
        <v>201301</v>
      </c>
      <c r="D1464" s="1" t="str">
        <f ca="1">IFERROR(__xludf.DUMMYFUNCTION("""COMPUTED_VALUE"""),"Female")</f>
        <v>Female</v>
      </c>
      <c r="E1464" s="1" t="str">
        <f ca="1">IFERROR(__xludf.DUMMYFUNCTION("""COMPUTED_VALUE"""),"People who have changed the world for better")</f>
        <v>People who have changed the world for better</v>
      </c>
      <c r="F1464" s="1" t="str">
        <f ca="1">IFERROR(__xludf.DUMMYFUNCTION("""COMPUTED_VALUE"""),"Yes, I will earn and do that")</f>
        <v>Yes, I will earn and do that</v>
      </c>
      <c r="G1464" s="1" t="str">
        <f ca="1">IFERROR(__xludf.DUMMYFUNCTION("""COMPUTED_VALUE"""),"Will work for 3 years or more")</f>
        <v>Will work for 3 years or more</v>
      </c>
      <c r="H1464" s="1" t="str">
        <f ca="1">IFERROR(__xludf.DUMMYFUNCTION("""COMPUTED_VALUE"""),"Yes")</f>
        <v>Yes</v>
      </c>
      <c r="I1464" s="1" t="str">
        <f ca="1">IFERROR(__xludf.DUMMYFUNCTION("""COMPUTED_VALUE"""),"Will NOT work for them")</f>
        <v>Will NOT work for them</v>
      </c>
      <c r="J1464" s="1">
        <f ca="1">IFERROR(__xludf.DUMMYFUNCTION("""COMPUTED_VALUE"""),8)</f>
        <v>8</v>
      </c>
      <c r="K1464" s="1" t="str">
        <f ca="1">IFERROR(__xludf.DUMMYFUNCTION("""COMPUTED_VALUE"""),"Hybrid Working Environment with less than 3 days a month at office")</f>
        <v>Hybrid Working Environment with less than 3 days a month at office</v>
      </c>
      <c r="L1464" s="1" t="str">
        <f ca="1">IFERROR(__xludf.DUMMYFUNCTION("""COMPUTED_VALUE"""),"Employer who appreciates learning and enables that environment")</f>
        <v>Employer who appreciates learning and enables that environment</v>
      </c>
      <c r="M146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N1464" s="1"/>
      <c r="O1464" s="1" t="str">
        <f ca="1">IFERROR(__xludf.DUMMYFUNCTION("""COMPUTED_VALUE"""),"Manager who explains what is expected, sets a goal and helps achieve it")</f>
        <v>Manager who explains what is expected, sets a goal and helps achieve it</v>
      </c>
      <c r="P1464" s="1" t="str">
        <f ca="1">IFERROR(__xludf.DUMMYFUNCTION("""COMPUTED_VALUE"""),"Work  &lt;67 people in team")</f>
        <v>Work  &lt;67 people in team</v>
      </c>
      <c r="Q1464" s="1" t="s">
        <v>43</v>
      </c>
      <c r="R1464" s="1"/>
    </row>
    <row r="1465" spans="1:18" x14ac:dyDescent="0.25">
      <c r="A1465" s="2">
        <f ca="1">IFERROR(__xludf.DUMMYFUNCTION("""COMPUTED_VALUE"""),45045.4153253009)</f>
        <v>45045.415325300899</v>
      </c>
      <c r="B1465" s="1" t="str">
        <f ca="1">IFERROR(__xludf.DUMMYFUNCTION("""COMPUTED_VALUE"""),"India")</f>
        <v>India</v>
      </c>
      <c r="C1465" s="1">
        <f ca="1">IFERROR(__xludf.DUMMYFUNCTION("""COMPUTED_VALUE"""),628552)</f>
        <v>628552</v>
      </c>
      <c r="D1465" s="1" t="str">
        <f ca="1">IFERROR(__xludf.DUMMYFUNCTION("""COMPUTED_VALUE"""),"Male")</f>
        <v>Male</v>
      </c>
      <c r="E1465" s="1" t="str">
        <f ca="1">IFERROR(__xludf.DUMMYFUNCTION("""COMPUTED_VALUE"""),"Social Media like LinkedIn")</f>
        <v>Social Media like LinkedIn</v>
      </c>
      <c r="F1465" s="1" t="str">
        <f ca="1">IFERROR(__xludf.DUMMYFUNCTION("""COMPUTED_VALUE"""),"Yes, I will earn and do that")</f>
        <v>Yes, I will earn and do that</v>
      </c>
      <c r="G1465" s="1" t="str">
        <f ca="1">IFERROR(__xludf.DUMMYFUNCTION("""COMPUTED_VALUE"""),"This will be hard to do, but if it is the right company I would try")</f>
        <v>This will be hard to do, but if it is the right company I would try</v>
      </c>
      <c r="H1465" s="1" t="str">
        <f ca="1">IFERROR(__xludf.DUMMYFUNCTION("""COMPUTED_VALUE"""),"Yes")</f>
        <v>Yes</v>
      </c>
      <c r="I1465" s="1" t="str">
        <f ca="1">IFERROR(__xludf.DUMMYFUNCTION("""COMPUTED_VALUE"""),"Will work for them")</f>
        <v>Will work for them</v>
      </c>
      <c r="J1465" s="1">
        <f ca="1">IFERROR(__xludf.DUMMYFUNCTION("""COMPUTED_VALUE"""),7)</f>
        <v>7</v>
      </c>
      <c r="K1465" s="1" t="str">
        <f ca="1">IFERROR(__xludf.DUMMYFUNCTION("""COMPUTED_VALUE"""),"Every Day Office Environment")</f>
        <v>Every Day Office Environment</v>
      </c>
      <c r="L1465" s="1" t="str">
        <f ca="1">IFERROR(__xludf.DUMMYFUNCTION("""COMPUTED_VALUE"""),"Employer who appreciates learning and enables that environment")</f>
        <v>Employer who appreciates learning and enables that environment</v>
      </c>
      <c r="M1465"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1465" s="1"/>
      <c r="O1465" s="1" t="str">
        <f ca="1">IFERROR(__xludf.DUMMYFUNCTION("""COMPUTED_VALUE"""),"Manager who explains what is expected, sets a goal and helps achieve it")</f>
        <v>Manager who explains what is expected, sets a goal and helps achieve it</v>
      </c>
      <c r="P1465" s="1" t="str">
        <f ca="1">IFERROR(__xludf.DUMMYFUNCTION("""COMPUTED_VALUE"""),"Work &lt;=6 People in the Team")</f>
        <v>Work &lt;=6 People in the Team</v>
      </c>
      <c r="Q1465" s="1" t="s">
        <v>43</v>
      </c>
      <c r="R1465" s="1"/>
    </row>
    <row r="1466" spans="1:18" x14ac:dyDescent="0.25">
      <c r="A1466" s="2">
        <f ca="1">IFERROR(__xludf.DUMMYFUNCTION("""COMPUTED_VALUE"""),45045.418949155)</f>
        <v>45045.418949154999</v>
      </c>
      <c r="B1466" s="1" t="str">
        <f ca="1">IFERROR(__xludf.DUMMYFUNCTION("""COMPUTED_VALUE"""),"India")</f>
        <v>India</v>
      </c>
      <c r="C1466" s="1">
        <f ca="1">IFERROR(__xludf.DUMMYFUNCTION("""COMPUTED_VALUE"""),110096)</f>
        <v>110096</v>
      </c>
      <c r="D1466" s="1" t="str">
        <f ca="1">IFERROR(__xludf.DUMMYFUNCTION("""COMPUTED_VALUE"""),"Male")</f>
        <v>Male</v>
      </c>
      <c r="E1466" s="1" t="str">
        <f ca="1">IFERROR(__xludf.DUMMYFUNCTION("""COMPUTED_VALUE"""),"Social Media like LinkedIn")</f>
        <v>Social Media like LinkedIn</v>
      </c>
      <c r="F1466" s="1" t="str">
        <f ca="1">IFERROR(__xludf.DUMMYFUNCTION("""COMPUTED_VALUE"""),"Yes, I will earn and do that")</f>
        <v>Yes, I will earn and do that</v>
      </c>
      <c r="G1466" s="1" t="str">
        <f ca="1">IFERROR(__xludf.DUMMYFUNCTION("""COMPUTED_VALUE"""),"Will work for 3 years or more")</f>
        <v>Will work for 3 years or more</v>
      </c>
      <c r="H1466" s="1" t="str">
        <f ca="1">IFERROR(__xludf.DUMMYFUNCTION("""COMPUTED_VALUE"""),"Yes")</f>
        <v>Yes</v>
      </c>
      <c r="I1466" s="1" t="str">
        <f ca="1">IFERROR(__xludf.DUMMYFUNCTION("""COMPUTED_VALUE"""),"Will NOT work for them")</f>
        <v>Will NOT work for them</v>
      </c>
      <c r="J1466" s="1">
        <f ca="1">IFERROR(__xludf.DUMMYFUNCTION("""COMPUTED_VALUE"""),10)</f>
        <v>10</v>
      </c>
      <c r="K1466" s="1" t="str">
        <f ca="1">IFERROR(__xludf.DUMMYFUNCTION("""COMPUTED_VALUE"""),"Hybrid Working Environment with more than 15 days a month at office")</f>
        <v>Hybrid Working Environment with more than 15 days a month at office</v>
      </c>
      <c r="L1466" s="1" t="str">
        <f ca="1">IFERROR(__xludf.DUMMYFUNCTION("""COMPUTED_VALUE"""),"Employer who appreciates learning and enables that environment")</f>
        <v>Employer who appreciates learning and enables that environment</v>
      </c>
      <c r="M1466" s="1" t="str">
        <f ca="1">IFERROR(__xludf.DUMMYFUNCTION("""COMPUTED_VALUE"""),"Business Operations in any organization, Work in a BPO setup for some well known client, Work as a freelancer and do my thing my way, Entrepreneur or Start Up")</f>
        <v>Business Operations in any organization, Work in a BPO setup for some well known client, Work as a freelancer and do my thing my way, Entrepreneur or Start Up</v>
      </c>
      <c r="N1466" s="1"/>
      <c r="O1466" s="1" t="str">
        <f ca="1">IFERROR(__xludf.DUMMYFUNCTION("""COMPUTED_VALUE"""),"Manager who explains what is expected, sets a goal and helps achieve it")</f>
        <v>Manager who explains what is expected, sets a goal and helps achieve it</v>
      </c>
      <c r="P1466" s="1" t="str">
        <f ca="1">IFERROR(__xludf.DUMMYFUNCTION("""COMPUTED_VALUE"""),"Work &gt;10 people in Team")</f>
        <v>Work &gt;10 people in Team</v>
      </c>
      <c r="Q1466" s="1" t="s">
        <v>43</v>
      </c>
      <c r="R1466" s="1"/>
    </row>
    <row r="1467" spans="1:18" x14ac:dyDescent="0.25">
      <c r="A1467" s="2">
        <f ca="1">IFERROR(__xludf.DUMMYFUNCTION("""COMPUTED_VALUE"""),45045.4277299999)</f>
        <v>45045.427729999901</v>
      </c>
      <c r="B1467" s="1" t="str">
        <f ca="1">IFERROR(__xludf.DUMMYFUNCTION("""COMPUTED_VALUE"""),"India")</f>
        <v>India</v>
      </c>
      <c r="C1467" s="1">
        <f ca="1">IFERROR(__xludf.DUMMYFUNCTION("""COMPUTED_VALUE"""),201301)</f>
        <v>201301</v>
      </c>
      <c r="D1467" s="1" t="str">
        <f ca="1">IFERROR(__xludf.DUMMYFUNCTION("""COMPUTED_VALUE"""),"Female")</f>
        <v>Female</v>
      </c>
      <c r="E1467" s="1" t="str">
        <f ca="1">IFERROR(__xludf.DUMMYFUNCTION("""COMPUTED_VALUE"""),"Social Media like LinkedIn")</f>
        <v>Social Media like LinkedIn</v>
      </c>
      <c r="F1467" s="1" t="str">
        <f ca="1">IFERROR(__xludf.DUMMYFUNCTION("""COMPUTED_VALUE"""),"Yes, I will earn and do that")</f>
        <v>Yes, I will earn and do that</v>
      </c>
      <c r="G1467" s="1" t="str">
        <f ca="1">IFERROR(__xludf.DUMMYFUNCTION("""COMPUTED_VALUE"""),"This will be hard to do, but if it is the right company I would try")</f>
        <v>This will be hard to do, but if it is the right company I would try</v>
      </c>
      <c r="H1467" s="1" t="str">
        <f ca="1">IFERROR(__xludf.DUMMYFUNCTION("""COMPUTED_VALUE"""),"Yes")</f>
        <v>Yes</v>
      </c>
      <c r="I1467" s="1" t="str">
        <f ca="1">IFERROR(__xludf.DUMMYFUNCTION("""COMPUTED_VALUE"""),"Will NOT work for them")</f>
        <v>Will NOT work for them</v>
      </c>
      <c r="J1467" s="1">
        <f ca="1">IFERROR(__xludf.DUMMYFUNCTION("""COMPUTED_VALUE"""),8)</f>
        <v>8</v>
      </c>
      <c r="K1467" s="1" t="str">
        <f ca="1">IFERROR(__xludf.DUMMYFUNCTION("""COMPUTED_VALUE"""),"Every Day Office Environment")</f>
        <v>Every Day Office Environment</v>
      </c>
      <c r="L1467" s="1" t="str">
        <f ca="1">IFERROR(__xludf.DUMMYFUNCTION("""COMPUTED_VALUE"""),"Employer who pushes your limits by enabling an learning environment, and rewards you at the end")</f>
        <v>Employer who pushes your limits by enabling an learning environment, and rewards you at the end</v>
      </c>
      <c r="M1467"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N1467" s="1"/>
      <c r="O1467" s="1" t="str">
        <f ca="1">IFERROR(__xludf.DUMMYFUNCTION("""COMPUTED_VALUE"""),"Manager who explains what is expected, sets a goal and helps achieve it")</f>
        <v>Manager who explains what is expected, sets a goal and helps achieve it</v>
      </c>
      <c r="P1467" s="1" t="str">
        <f ca="1">IFERROR(__xludf.DUMMYFUNCTION("""COMPUTED_VALUE"""),"Work &gt;10 people in Team")</f>
        <v>Work &gt;10 people in Team</v>
      </c>
      <c r="Q1467" s="1" t="s">
        <v>43</v>
      </c>
      <c r="R1467" s="1"/>
    </row>
    <row r="1468" spans="1:18" x14ac:dyDescent="0.25">
      <c r="A1468" s="2">
        <f ca="1">IFERROR(__xludf.DUMMYFUNCTION("""COMPUTED_VALUE"""),45045.4292243402)</f>
        <v>45045.429224340201</v>
      </c>
      <c r="B1468" s="1" t="str">
        <f ca="1">IFERROR(__xludf.DUMMYFUNCTION("""COMPUTED_VALUE"""),"India")</f>
        <v>India</v>
      </c>
      <c r="C1468" s="1">
        <f ca="1">IFERROR(__xludf.DUMMYFUNCTION("""COMPUTED_VALUE"""),201301)</f>
        <v>201301</v>
      </c>
      <c r="D1468" s="1" t="str">
        <f ca="1">IFERROR(__xludf.DUMMYFUNCTION("""COMPUTED_VALUE"""),"Female")</f>
        <v>Female</v>
      </c>
      <c r="E1468" s="1" t="str">
        <f ca="1">IFERROR(__xludf.DUMMYFUNCTION("""COMPUTED_VALUE"""),"Social Media like LinkedIn")</f>
        <v>Social Media like LinkedIn</v>
      </c>
      <c r="F1468" s="1" t="str">
        <f ca="1">IFERROR(__xludf.DUMMYFUNCTION("""COMPUTED_VALUE"""),"Yes, I will earn and do that")</f>
        <v>Yes, I will earn and do that</v>
      </c>
      <c r="G1468" s="1" t="str">
        <f ca="1">IFERROR(__xludf.DUMMYFUNCTION("""COMPUTED_VALUE"""),"This will be hard to do, but if it is the right company I would try")</f>
        <v>This will be hard to do, but if it is the right company I would try</v>
      </c>
      <c r="H1468" s="1" t="str">
        <f ca="1">IFERROR(__xludf.DUMMYFUNCTION("""COMPUTED_VALUE"""),"No")</f>
        <v>No</v>
      </c>
      <c r="I1468" s="1" t="str">
        <f ca="1">IFERROR(__xludf.DUMMYFUNCTION("""COMPUTED_VALUE"""),"Will NOT work for them")</f>
        <v>Will NOT work for them</v>
      </c>
      <c r="J1468" s="1">
        <f ca="1">IFERROR(__xludf.DUMMYFUNCTION("""COMPUTED_VALUE"""),9)</f>
        <v>9</v>
      </c>
      <c r="K1468" s="1" t="str">
        <f ca="1">IFERROR(__xludf.DUMMYFUNCTION("""COMPUTED_VALUE"""),"Hybrid Working Environment with less than 3 days a month at office")</f>
        <v>Hybrid Working Environment with less than 3 days a month at office</v>
      </c>
      <c r="L1468" s="1" t="str">
        <f ca="1">IFERROR(__xludf.DUMMYFUNCTION("""COMPUTED_VALUE"""),"Employer who rewards learning and enables that environment")</f>
        <v>Employer who rewards learning and enables that environment</v>
      </c>
      <c r="M1468"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N1468" s="1"/>
      <c r="O1468" s="1" t="str">
        <f ca="1">IFERROR(__xludf.DUMMYFUNCTION("""COMPUTED_VALUE"""),"Manager who clearly describes what she/he needs")</f>
        <v>Manager who clearly describes what she/he needs</v>
      </c>
      <c r="P1468" s="1" t="str">
        <f ca="1">IFERROR(__xludf.DUMMYFUNCTION("""COMPUTED_VALUE"""),"Work &lt;=6 People in the Team")</f>
        <v>Work &lt;=6 People in the Team</v>
      </c>
      <c r="Q1468" s="1" t="s">
        <v>43</v>
      </c>
      <c r="R1468" s="1"/>
    </row>
    <row r="1469" spans="1:18" x14ac:dyDescent="0.25">
      <c r="A1469" s="2">
        <f ca="1">IFERROR(__xludf.DUMMYFUNCTION("""COMPUTED_VALUE"""),45045.4318748148)</f>
        <v>45045.4318748148</v>
      </c>
      <c r="B1469" s="1" t="str">
        <f ca="1">IFERROR(__xludf.DUMMYFUNCTION("""COMPUTED_VALUE"""),"India")</f>
        <v>India</v>
      </c>
      <c r="C1469" s="1">
        <f ca="1">IFERROR(__xludf.DUMMYFUNCTION("""COMPUTED_VALUE"""),110092)</f>
        <v>110092</v>
      </c>
      <c r="D1469" s="1" t="str">
        <f ca="1">IFERROR(__xludf.DUMMYFUNCTION("""COMPUTED_VALUE"""),"Male")</f>
        <v>Male</v>
      </c>
      <c r="E1469" s="1" t="str">
        <f ca="1">IFERROR(__xludf.DUMMYFUNCTION("""COMPUTED_VALUE"""),"Social Media like LinkedIn")</f>
        <v>Social Media like LinkedIn</v>
      </c>
      <c r="F1469" s="1" t="str">
        <f ca="1">IFERROR(__xludf.DUMMYFUNCTION("""COMPUTED_VALUE"""),"Yes, I will earn and do that")</f>
        <v>Yes, I will earn and do that</v>
      </c>
      <c r="G1469" s="1" t="str">
        <f ca="1">IFERROR(__xludf.DUMMYFUNCTION("""COMPUTED_VALUE"""),"This will be hard to do, but if it is the right company I would try")</f>
        <v>This will be hard to do, but if it is the right company I would try</v>
      </c>
      <c r="H1469" s="1" t="str">
        <f ca="1">IFERROR(__xludf.DUMMYFUNCTION("""COMPUTED_VALUE"""),"Yes")</f>
        <v>Yes</v>
      </c>
      <c r="I1469" s="1" t="str">
        <f ca="1">IFERROR(__xludf.DUMMYFUNCTION("""COMPUTED_VALUE"""),"Will NOT work for them")</f>
        <v>Will NOT work for them</v>
      </c>
      <c r="J1469" s="1">
        <f ca="1">IFERROR(__xludf.DUMMYFUNCTION("""COMPUTED_VALUE"""),3)</f>
        <v>3</v>
      </c>
      <c r="K1469" s="1" t="str">
        <f ca="1">IFERROR(__xludf.DUMMYFUNCTION("""COMPUTED_VALUE"""),"Fully Remote with Options to travel as and when needed")</f>
        <v>Fully Remote with Options to travel as and when needed</v>
      </c>
      <c r="L1469" s="1" t="str">
        <f ca="1">IFERROR(__xludf.DUMMYFUNCTION("""COMPUTED_VALUE"""),"Employer who pushes your limits and doesn't enables learning environment and never rewards you")</f>
        <v>Employer who pushes your limits and doesn't enables learning environment and never rewards you</v>
      </c>
      <c r="M1469" s="1" t="str">
        <f ca="1">IFERROR(__xludf.DUMMYFUNCTION("""COMPUTED_VALUE"""),"Business Operations in any organization, Design and Develop amazing software, Work in a BPO setup for some well known client, Entrepreneur or Start Up")</f>
        <v>Business Operations in any organization, Design and Develop amazing software, Work in a BPO setup for some well known client, Entrepreneur or Start Up</v>
      </c>
      <c r="N1469" s="1"/>
      <c r="O1469" s="1" t="str">
        <f ca="1">IFERROR(__xludf.DUMMYFUNCTION("""COMPUTED_VALUE"""),"Manager who sets goal and helps me achieve it")</f>
        <v>Manager who sets goal and helps me achieve it</v>
      </c>
      <c r="P1469" s="1" t="str">
        <f ca="1">IFERROR(__xludf.DUMMYFUNCTION("""COMPUTED_VALUE"""),"Work &gt;10 people in Team")</f>
        <v>Work &gt;10 people in Team</v>
      </c>
      <c r="Q1469" s="1" t="s">
        <v>43</v>
      </c>
      <c r="R1469" s="1"/>
    </row>
    <row r="1470" spans="1:18" x14ac:dyDescent="0.25">
      <c r="A1470" s="2">
        <f ca="1">IFERROR(__xludf.DUMMYFUNCTION("""COMPUTED_VALUE"""),45045.4320789467)</f>
        <v>45045.432078946702</v>
      </c>
      <c r="B1470" s="1" t="str">
        <f ca="1">IFERROR(__xludf.DUMMYFUNCTION("""COMPUTED_VALUE"""),"India")</f>
        <v>India</v>
      </c>
      <c r="C1470" s="1">
        <f ca="1">IFERROR(__xludf.DUMMYFUNCTION("""COMPUTED_VALUE"""),201301)</f>
        <v>201301</v>
      </c>
      <c r="D1470" s="1" t="str">
        <f ca="1">IFERROR(__xludf.DUMMYFUNCTION("""COMPUTED_VALUE"""),"Male")</f>
        <v>Male</v>
      </c>
      <c r="E1470" s="1" t="str">
        <f ca="1">IFERROR(__xludf.DUMMYFUNCTION("""COMPUTED_VALUE"""),"People from my circle, but not family members")</f>
        <v>People from my circle, but not family members</v>
      </c>
      <c r="F1470" s="1" t="str">
        <f ca="1">IFERROR(__xludf.DUMMYFUNCTION("""COMPUTED_VALUE"""),"No, But if someone could bare the cost I will")</f>
        <v>No, But if someone could bare the cost I will</v>
      </c>
      <c r="G1470" s="1" t="str">
        <f ca="1">IFERROR(__xludf.DUMMYFUNCTION("""COMPUTED_VALUE"""),"This will be hard to do, but if it is the right company I would try")</f>
        <v>This will be hard to do, but if it is the right company I would try</v>
      </c>
      <c r="H1470" s="1" t="str">
        <f ca="1">IFERROR(__xludf.DUMMYFUNCTION("""COMPUTED_VALUE"""),"Yes")</f>
        <v>Yes</v>
      </c>
      <c r="I1470" s="1" t="str">
        <f ca="1">IFERROR(__xludf.DUMMYFUNCTION("""COMPUTED_VALUE"""),"Will NOT work for them")</f>
        <v>Will NOT work for them</v>
      </c>
      <c r="J1470" s="1">
        <f ca="1">IFERROR(__xludf.DUMMYFUNCTION("""COMPUTED_VALUE"""),3)</f>
        <v>3</v>
      </c>
      <c r="K1470" s="1" t="str">
        <f ca="1">IFERROR(__xludf.DUMMYFUNCTION("""COMPUTED_VALUE"""),"Fully Remote with Options to travel as and when needed")</f>
        <v>Fully Remote with Options to travel as and when needed</v>
      </c>
      <c r="L1470" s="1" t="str">
        <f ca="1">IFERROR(__xludf.DUMMYFUNCTION("""COMPUTED_VALUE"""),"Employer who rewards learning and enables that environment")</f>
        <v>Employer who rewards learning and enables that environment</v>
      </c>
      <c r="M1470" s="1" t="str">
        <f ca="1">IFERROR(__xludf.DUMMYFUNCTION("""COMPUTED_VALUE"""),"Look deeply into Data and generate insights, Work in a BPO setup for some well known client, Work as a freelancer and do my thing my way, Entrepreneur or Start Up")</f>
        <v>Look deeply into Data and generate insights, Work in a BPO setup for some well known client, Work as a freelancer and do my thing my way, Entrepreneur or Start Up</v>
      </c>
      <c r="N1470" s="1"/>
      <c r="O1470" s="1" t="str">
        <f ca="1">IFERROR(__xludf.DUMMYFUNCTION("""COMPUTED_VALUE"""),"Manager who sets goal and helps me achieve it")</f>
        <v>Manager who sets goal and helps me achieve it</v>
      </c>
      <c r="P1470" s="1" t="str">
        <f ca="1">IFERROR(__xludf.DUMMYFUNCTION("""COMPUTED_VALUE"""),"Work &gt;10 people in Team")</f>
        <v>Work &gt;10 people in Team</v>
      </c>
      <c r="Q1470" s="1" t="s">
        <v>43</v>
      </c>
      <c r="R1470" s="1"/>
    </row>
    <row r="1471" spans="1:18" x14ac:dyDescent="0.25">
      <c r="A1471" s="2">
        <f ca="1">IFERROR(__xludf.DUMMYFUNCTION("""COMPUTED_VALUE"""),45045.4413526273)</f>
        <v>45045.441352627298</v>
      </c>
      <c r="B1471" s="1" t="str">
        <f ca="1">IFERROR(__xludf.DUMMYFUNCTION("""COMPUTED_VALUE"""),"India")</f>
        <v>India</v>
      </c>
      <c r="C1471" s="1">
        <f ca="1">IFERROR(__xludf.DUMMYFUNCTION("""COMPUTED_VALUE"""),121003)</f>
        <v>121003</v>
      </c>
      <c r="D1471" s="1" t="str">
        <f ca="1">IFERROR(__xludf.DUMMYFUNCTION("""COMPUTED_VALUE"""),"Male")</f>
        <v>Male</v>
      </c>
      <c r="E1471" s="1" t="str">
        <f ca="1">IFERROR(__xludf.DUMMYFUNCTION("""COMPUTED_VALUE"""),"My Parents")</f>
        <v>My Parents</v>
      </c>
      <c r="F1471" s="1" t="str">
        <f ca="1">IFERROR(__xludf.DUMMYFUNCTION("""COMPUTED_VALUE"""),"Yes, I will earn and do that")</f>
        <v>Yes, I will earn and do that</v>
      </c>
      <c r="G1471" s="1" t="str">
        <f ca="1">IFERROR(__xludf.DUMMYFUNCTION("""COMPUTED_VALUE"""),"This will be hard to do, but if it is the right company I would try")</f>
        <v>This will be hard to do, but if it is the right company I would try</v>
      </c>
      <c r="H1471" s="1" t="str">
        <f ca="1">IFERROR(__xludf.DUMMYFUNCTION("""COMPUTED_VALUE"""),"No")</f>
        <v>No</v>
      </c>
      <c r="I1471" s="1" t="str">
        <f ca="1">IFERROR(__xludf.DUMMYFUNCTION("""COMPUTED_VALUE"""),"Will NOT work for them")</f>
        <v>Will NOT work for them</v>
      </c>
      <c r="J1471" s="1">
        <f ca="1">IFERROR(__xludf.DUMMYFUNCTION("""COMPUTED_VALUE"""),1)</f>
        <v>1</v>
      </c>
      <c r="K1471" s="1" t="str">
        <f ca="1">IFERROR(__xludf.DUMMYFUNCTION("""COMPUTED_VALUE"""),"Hybrid Working Environment with more than 15 days a month at office")</f>
        <v>Hybrid Working Environment with more than 15 days a month at office</v>
      </c>
      <c r="L1471" s="1" t="str">
        <f ca="1">IFERROR(__xludf.DUMMYFUNCTION("""COMPUTED_VALUE"""),"Employer who pushes your limits by enabling an learning environment, and rewards you at the end")</f>
        <v>Employer who pushes your limits by enabling an learning environment, and rewards you at the end</v>
      </c>
      <c r="M1471"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N1471" s="1"/>
      <c r="O1471" s="1" t="str">
        <f ca="1">IFERROR(__xludf.DUMMYFUNCTION("""COMPUTED_VALUE"""),"Manager who explains what is expected, sets a goal and helps achieve it")</f>
        <v>Manager who explains what is expected, sets a goal and helps achieve it</v>
      </c>
      <c r="P1471" s="1" t="str">
        <f ca="1">IFERROR(__xludf.DUMMYFUNCTION("""COMPUTED_VALUE"""),"Work &gt;=7 People in the Team")</f>
        <v>Work &gt;=7 People in the Team</v>
      </c>
      <c r="Q1471" s="1" t="s">
        <v>43</v>
      </c>
      <c r="R1471" s="1"/>
    </row>
    <row r="1472" spans="1:18" x14ac:dyDescent="0.25">
      <c r="A1472" s="2">
        <f ca="1">IFERROR(__xludf.DUMMYFUNCTION("""COMPUTED_VALUE"""),45045.4484797106)</f>
        <v>45045.448479710598</v>
      </c>
      <c r="B1472" s="1" t="str">
        <f ca="1">IFERROR(__xludf.DUMMYFUNCTION("""COMPUTED_VALUE"""),"India")</f>
        <v>India</v>
      </c>
      <c r="C1472" s="1">
        <f ca="1">IFERROR(__xludf.DUMMYFUNCTION("""COMPUTED_VALUE"""),201010)</f>
        <v>201010</v>
      </c>
      <c r="D1472" s="1" t="str">
        <f ca="1">IFERROR(__xludf.DUMMYFUNCTION("""COMPUTED_VALUE"""),"Male")</f>
        <v>Male</v>
      </c>
      <c r="E1472" s="1" t="str">
        <f ca="1">IFERROR(__xludf.DUMMYFUNCTION("""COMPUTED_VALUE"""),"People from my circle, but not family members")</f>
        <v>People from my circle, but not family members</v>
      </c>
      <c r="F1472" s="1" t="str">
        <f ca="1">IFERROR(__xludf.DUMMYFUNCTION("""COMPUTED_VALUE"""),"Yes, I will earn and do that")</f>
        <v>Yes, I will earn and do that</v>
      </c>
      <c r="G1472" s="1" t="str">
        <f ca="1">IFERROR(__xludf.DUMMYFUNCTION("""COMPUTED_VALUE"""),"This will be hard to do, but if it is the right company I would try")</f>
        <v>This will be hard to do, but if it is the right company I would try</v>
      </c>
      <c r="H1472" s="1" t="str">
        <f ca="1">IFERROR(__xludf.DUMMYFUNCTION("""COMPUTED_VALUE"""),"Yes")</f>
        <v>Yes</v>
      </c>
      <c r="I1472" s="1" t="str">
        <f ca="1">IFERROR(__xludf.DUMMYFUNCTION("""COMPUTED_VALUE"""),"Will NOT work for them")</f>
        <v>Will NOT work for them</v>
      </c>
      <c r="J1472" s="1">
        <f ca="1">IFERROR(__xludf.DUMMYFUNCTION("""COMPUTED_VALUE"""),8)</f>
        <v>8</v>
      </c>
      <c r="K1472" s="1" t="str">
        <f ca="1">IFERROR(__xludf.DUMMYFUNCTION("""COMPUTED_VALUE"""),"Fully Remote with Options to travel as and when needed")</f>
        <v>Fully Remote with Options to travel as and when needed</v>
      </c>
      <c r="L1472" s="1" t="str">
        <f ca="1">IFERROR(__xludf.DUMMYFUNCTION("""COMPUTED_VALUE"""),"Employer who pushes your limits by enabling an learning environment, and rewards you at the end")</f>
        <v>Employer who pushes your limits by enabling an learning environment, and rewards you at the end</v>
      </c>
      <c r="M147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N1472" s="1"/>
      <c r="O1472" s="1" t="str">
        <f ca="1">IFERROR(__xludf.DUMMYFUNCTION("""COMPUTED_VALUE"""),"Manager who explains what is expected, sets a goal and helps achieve it")</f>
        <v>Manager who explains what is expected, sets a goal and helps achieve it</v>
      </c>
      <c r="P1472" s="1" t="str">
        <f ca="1">IFERROR(__xludf.DUMMYFUNCTION("""COMPUTED_VALUE"""),"Work Alone, &lt;67 people in team")</f>
        <v>Work Alone, &lt;67 people in team</v>
      </c>
      <c r="Q1472" s="1" t="s">
        <v>43</v>
      </c>
      <c r="R1472" s="1"/>
    </row>
    <row r="1473" spans="1:18" x14ac:dyDescent="0.25">
      <c r="A1473" s="2">
        <f ca="1">IFERROR(__xludf.DUMMYFUNCTION("""COMPUTED_VALUE"""),45045.4496415625)</f>
        <v>45045.449641562504</v>
      </c>
      <c r="B1473" s="1" t="str">
        <f ca="1">IFERROR(__xludf.DUMMYFUNCTION("""COMPUTED_VALUE"""),"India")</f>
        <v>India</v>
      </c>
      <c r="C1473" s="1">
        <f ca="1">IFERROR(__xludf.DUMMYFUNCTION("""COMPUTED_VALUE"""),743127)</f>
        <v>743127</v>
      </c>
      <c r="D1473" s="1" t="str">
        <f ca="1">IFERROR(__xludf.DUMMYFUNCTION("""COMPUTED_VALUE"""),"Male")</f>
        <v>Male</v>
      </c>
      <c r="E1473" s="1" t="str">
        <f ca="1">IFERROR(__xludf.DUMMYFUNCTION("""COMPUTED_VALUE"""),"People who have changed the world for better")</f>
        <v>People who have changed the world for better</v>
      </c>
      <c r="F1473" s="1" t="str">
        <f ca="1">IFERROR(__xludf.DUMMYFUNCTION("""COMPUTED_VALUE"""),"Yes, I will earn and do that")</f>
        <v>Yes, I will earn and do that</v>
      </c>
      <c r="G1473" s="1" t="str">
        <f ca="1">IFERROR(__xludf.DUMMYFUNCTION("""COMPUTED_VALUE"""),"Will work for 3 years or more")</f>
        <v>Will work for 3 years or more</v>
      </c>
      <c r="H1473" s="1" t="str">
        <f ca="1">IFERROR(__xludf.DUMMYFUNCTION("""COMPUTED_VALUE"""),"Yes")</f>
        <v>Yes</v>
      </c>
      <c r="I1473" s="1" t="str">
        <f ca="1">IFERROR(__xludf.DUMMYFUNCTION("""COMPUTED_VALUE"""),"Will work for them")</f>
        <v>Will work for them</v>
      </c>
      <c r="J1473" s="1">
        <f ca="1">IFERROR(__xludf.DUMMYFUNCTION("""COMPUTED_VALUE"""),7)</f>
        <v>7</v>
      </c>
      <c r="K1473" s="1" t="str">
        <f ca="1">IFERROR(__xludf.DUMMYFUNCTION("""COMPUTED_VALUE"""),"Hybrid Working Environment with more than 15 days a month at office")</f>
        <v>Hybrid Working Environment with more than 15 days a month at office</v>
      </c>
      <c r="L1473" s="1" t="str">
        <f ca="1">IFERROR(__xludf.DUMMYFUNCTION("""COMPUTED_VALUE"""),"Employer who appreciates learning and enables that environment")</f>
        <v>Employer who appreciates learning and enables that environment</v>
      </c>
      <c r="M147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N1473" s="1"/>
      <c r="O1473" s="1" t="str">
        <f ca="1">IFERROR(__xludf.DUMMYFUNCTION("""COMPUTED_VALUE"""),"Manager who clearly describes what she/he needs")</f>
        <v>Manager who clearly describes what she/he needs</v>
      </c>
      <c r="P1473" s="1" t="str">
        <f ca="1">IFERROR(__xludf.DUMMYFUNCTION("""COMPUTED_VALUE"""),"Work &lt;=6 People in the Team")</f>
        <v>Work &lt;=6 People in the Team</v>
      </c>
      <c r="Q1473" s="1" t="s">
        <v>43</v>
      </c>
      <c r="R1473" s="1"/>
    </row>
    <row r="1474" spans="1:18" x14ac:dyDescent="0.25">
      <c r="A1474" s="2">
        <f ca="1">IFERROR(__xludf.DUMMYFUNCTION("""COMPUTED_VALUE"""),45045.4621660069)</f>
        <v>45045.462166006902</v>
      </c>
      <c r="B1474" s="1" t="str">
        <f ca="1">IFERROR(__xludf.DUMMYFUNCTION("""COMPUTED_VALUE"""),"India")</f>
        <v>India</v>
      </c>
      <c r="C1474" s="1">
        <f ca="1">IFERROR(__xludf.DUMMYFUNCTION("""COMPUTED_VALUE"""),587102)</f>
        <v>587102</v>
      </c>
      <c r="D1474" s="1" t="str">
        <f ca="1">IFERROR(__xludf.DUMMYFUNCTION("""COMPUTED_VALUE"""),"Male")</f>
        <v>Male</v>
      </c>
      <c r="E1474" s="1" t="str">
        <f ca="1">IFERROR(__xludf.DUMMYFUNCTION("""COMPUTED_VALUE"""),"Influencers who had successful careers")</f>
        <v>Influencers who had successful careers</v>
      </c>
      <c r="F1474" s="1" t="str">
        <f ca="1">IFERROR(__xludf.DUMMYFUNCTION("""COMPUTED_VALUE"""),"No, But if someone could bare the cost I will")</f>
        <v>No, But if someone could bare the cost I will</v>
      </c>
      <c r="G1474" s="1" t="str">
        <f ca="1">IFERROR(__xludf.DUMMYFUNCTION("""COMPUTED_VALUE"""),"This will be hard to do, but if it is the right company I would try")</f>
        <v>This will be hard to do, but if it is the right company I would try</v>
      </c>
      <c r="H1474" s="1" t="str">
        <f ca="1">IFERROR(__xludf.DUMMYFUNCTION("""COMPUTED_VALUE"""),"No")</f>
        <v>No</v>
      </c>
      <c r="I1474" s="1" t="str">
        <f ca="1">IFERROR(__xludf.DUMMYFUNCTION("""COMPUTED_VALUE"""),"Will NOT work for them")</f>
        <v>Will NOT work for them</v>
      </c>
      <c r="J1474" s="1">
        <f ca="1">IFERROR(__xludf.DUMMYFUNCTION("""COMPUTED_VALUE"""),5)</f>
        <v>5</v>
      </c>
      <c r="K1474" s="1" t="str">
        <f ca="1">IFERROR(__xludf.DUMMYFUNCTION("""COMPUTED_VALUE"""),"Fully Remote with Options to travel as and when needed")</f>
        <v>Fully Remote with Options to travel as and when needed</v>
      </c>
      <c r="L1474" s="1" t="str">
        <f ca="1">IFERROR(__xludf.DUMMYFUNCTION("""COMPUTED_VALUE"""),"Employer who pushes your limits by enabling an learning environment, and rewards you at the end")</f>
        <v>Employer who pushes your limits by enabling an learning environment, and rewards you at the end</v>
      </c>
      <c r="M147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474" s="1"/>
      <c r="O1474" s="1" t="str">
        <f ca="1">IFERROR(__xludf.DUMMYFUNCTION("""COMPUTED_VALUE"""),"Manager who explains what is expected, sets a goal and helps achieve it")</f>
        <v>Manager who explains what is expected, sets a goal and helps achieve it</v>
      </c>
      <c r="P1474" s="1" t="str">
        <f ca="1">IFERROR(__xludf.DUMMYFUNCTION("""COMPUTED_VALUE"""),"Work alone, Work &gt;=7 People in the Team")</f>
        <v>Work alone, Work &gt;=7 People in the Team</v>
      </c>
      <c r="Q1474" s="1" t="s">
        <v>43</v>
      </c>
      <c r="R1474" s="1"/>
    </row>
    <row r="1475" spans="1:18" x14ac:dyDescent="0.25">
      <c r="A1475" s="2">
        <f ca="1">IFERROR(__xludf.DUMMYFUNCTION("""COMPUTED_VALUE"""),45045.4631351157)</f>
        <v>45045.4631351157</v>
      </c>
      <c r="B1475" s="1" t="str">
        <f ca="1">IFERROR(__xludf.DUMMYFUNCTION("""COMPUTED_VALUE"""),"India")</f>
        <v>India</v>
      </c>
      <c r="C1475" s="1">
        <f ca="1">IFERROR(__xludf.DUMMYFUNCTION("""COMPUTED_VALUE"""),500008)</f>
        <v>500008</v>
      </c>
      <c r="D1475" s="1" t="str">
        <f ca="1">IFERROR(__xludf.DUMMYFUNCTION("""COMPUTED_VALUE"""),"Female")</f>
        <v>Female</v>
      </c>
      <c r="E1475" s="1" t="str">
        <f ca="1">IFERROR(__xludf.DUMMYFUNCTION("""COMPUTED_VALUE"""),"My Parents")</f>
        <v>My Parents</v>
      </c>
      <c r="F1475" s="1" t="str">
        <f ca="1">IFERROR(__xludf.DUMMYFUNCTION("""COMPUTED_VALUE"""),"No, But if someone could bare the cost I will")</f>
        <v>No, But if someone could bare the cost I will</v>
      </c>
      <c r="G1475" s="1" t="str">
        <f ca="1">IFERROR(__xludf.DUMMYFUNCTION("""COMPUTED_VALUE"""),"This will be hard to do, but if it is the right company I would try")</f>
        <v>This will be hard to do, but if it is the right company I would try</v>
      </c>
      <c r="H1475" s="1" t="str">
        <f ca="1">IFERROR(__xludf.DUMMYFUNCTION("""COMPUTED_VALUE"""),"No")</f>
        <v>No</v>
      </c>
      <c r="I1475" s="1" t="str">
        <f ca="1">IFERROR(__xludf.DUMMYFUNCTION("""COMPUTED_VALUE"""),"Will NOT work for them")</f>
        <v>Will NOT work for them</v>
      </c>
      <c r="J1475" s="1">
        <f ca="1">IFERROR(__xludf.DUMMYFUNCTION("""COMPUTED_VALUE"""),6)</f>
        <v>6</v>
      </c>
      <c r="K1475" s="1" t="str">
        <f ca="1">IFERROR(__xludf.DUMMYFUNCTION("""COMPUTED_VALUE"""),"Fully Remote with Options to travel as and when needed")</f>
        <v>Fully Remote with Options to travel as and when needed</v>
      </c>
      <c r="L1475" s="1" t="str">
        <f ca="1">IFERROR(__xludf.DUMMYFUNCTION("""COMPUTED_VALUE"""),"Employer who rewards learning and enables that environment")</f>
        <v>Employer who rewards learning and enables that environment</v>
      </c>
      <c r="M1475"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N1475" s="1"/>
      <c r="O1475" s="1" t="str">
        <f ca="1">IFERROR(__xludf.DUMMYFUNCTION("""COMPUTED_VALUE"""),"Manager who explains what is expected, sets a goal and helps achieve it")</f>
        <v>Manager who explains what is expected, sets a goal and helps achieve it</v>
      </c>
      <c r="P1475" s="1" t="str">
        <f ca="1">IFERROR(__xludf.DUMMYFUNCTION("""COMPUTED_VALUE"""),"Work &lt;=6 People in the Team")</f>
        <v>Work &lt;=6 People in the Team</v>
      </c>
      <c r="Q1475" s="1" t="s">
        <v>43</v>
      </c>
      <c r="R1475" s="1"/>
    </row>
    <row r="1476" spans="1:18" x14ac:dyDescent="0.25">
      <c r="A1476" s="2">
        <f ca="1">IFERROR(__xludf.DUMMYFUNCTION("""COMPUTED_VALUE"""),45045.4664011921)</f>
        <v>45045.466401192098</v>
      </c>
      <c r="B1476" s="1" t="str">
        <f ca="1">IFERROR(__xludf.DUMMYFUNCTION("""COMPUTED_VALUE"""),"India")</f>
        <v>India</v>
      </c>
      <c r="C1476" s="1">
        <f ca="1">IFERROR(__xludf.DUMMYFUNCTION("""COMPUTED_VALUE"""),147003)</f>
        <v>147003</v>
      </c>
      <c r="D1476" s="1" t="str">
        <f ca="1">IFERROR(__xludf.DUMMYFUNCTION("""COMPUTED_VALUE"""),"Male")</f>
        <v>Male</v>
      </c>
      <c r="E1476" s="1" t="str">
        <f ca="1">IFERROR(__xludf.DUMMYFUNCTION("""COMPUTED_VALUE"""),"People who have changed the world for better")</f>
        <v>People who have changed the world for better</v>
      </c>
      <c r="F1476" s="1" t="str">
        <f ca="1">IFERROR(__xludf.DUMMYFUNCTION("""COMPUTED_VALUE"""),"No I would not be pursuing Higher Education outside of India")</f>
        <v>No I would not be pursuing Higher Education outside of India</v>
      </c>
      <c r="G1476" s="1" t="str">
        <f ca="1">IFERROR(__xludf.DUMMYFUNCTION("""COMPUTED_VALUE"""),"This will be hard to do, but if it is the right company I would try")</f>
        <v>This will be hard to do, but if it is the right company I would try</v>
      </c>
      <c r="H1476" s="1" t="str">
        <f ca="1">IFERROR(__xludf.DUMMYFUNCTION("""COMPUTED_VALUE"""),"No")</f>
        <v>No</v>
      </c>
      <c r="I1476" s="1" t="str">
        <f ca="1">IFERROR(__xludf.DUMMYFUNCTION("""COMPUTED_VALUE"""),"Will NOT work for them")</f>
        <v>Will NOT work for them</v>
      </c>
      <c r="J1476" s="1">
        <f ca="1">IFERROR(__xludf.DUMMYFUNCTION("""COMPUTED_VALUE"""),2)</f>
        <v>2</v>
      </c>
      <c r="K1476" s="1" t="str">
        <f ca="1">IFERROR(__xludf.DUMMYFUNCTION("""COMPUTED_VALUE"""),"Fully Remote with Options to travel as and when needed")</f>
        <v>Fully Remote with Options to travel as and when needed</v>
      </c>
      <c r="L1476" s="1" t="str">
        <f ca="1">IFERROR(__xludf.DUMMYFUNCTION("""COMPUTED_VALUE"""),"Employer who pushes your limits by enabling an learning environment, and rewards you at the end")</f>
        <v>Employer who pushes your limits by enabling an learning environment, and rewards you at the end</v>
      </c>
      <c r="M1476"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N1476" s="1"/>
      <c r="O1476" s="1" t="str">
        <f ca="1">IFERROR(__xludf.DUMMYFUNCTION("""COMPUTED_VALUE"""),"Manager who explains what is expected, sets a goal and helps achieve it")</f>
        <v>Manager who explains what is expected, sets a goal and helps achieve it</v>
      </c>
      <c r="P1476" s="1" t="str">
        <f ca="1">IFERROR(__xludf.DUMMYFUNCTION("""COMPUTED_VALUE"""),"Work &lt;=6 People in the Team")</f>
        <v>Work &lt;=6 People in the Team</v>
      </c>
      <c r="Q1476" s="1" t="s">
        <v>43</v>
      </c>
      <c r="R1476" s="1"/>
    </row>
    <row r="1477" spans="1:18" x14ac:dyDescent="0.25">
      <c r="A1477" s="2">
        <f ca="1">IFERROR(__xludf.DUMMYFUNCTION("""COMPUTED_VALUE"""),45045.477346875)</f>
        <v>45045.477346874999</v>
      </c>
      <c r="B1477" s="1" t="str">
        <f ca="1">IFERROR(__xludf.DUMMYFUNCTION("""COMPUTED_VALUE"""),"India")</f>
        <v>India</v>
      </c>
      <c r="C1477" s="1">
        <f ca="1">IFERROR(__xludf.DUMMYFUNCTION("""COMPUTED_VALUE"""),600087)</f>
        <v>600087</v>
      </c>
      <c r="D1477" s="1" t="str">
        <f ca="1">IFERROR(__xludf.DUMMYFUNCTION("""COMPUTED_VALUE"""),"Male")</f>
        <v>Male</v>
      </c>
      <c r="E1477" s="1" t="str">
        <f ca="1">IFERROR(__xludf.DUMMYFUNCTION("""COMPUTED_VALUE"""),"My Parents")</f>
        <v>My Parents</v>
      </c>
      <c r="F1477" s="1" t="str">
        <f ca="1">IFERROR(__xludf.DUMMYFUNCTION("""COMPUTED_VALUE"""),"No I would not be pursuing Higher Education outside of India")</f>
        <v>No I would not be pursuing Higher Education outside of India</v>
      </c>
      <c r="G1477" s="1" t="str">
        <f ca="1">IFERROR(__xludf.DUMMYFUNCTION("""COMPUTED_VALUE"""),"Will work for 3 years or more")</f>
        <v>Will work for 3 years or more</v>
      </c>
      <c r="H1477" s="1" t="str">
        <f ca="1">IFERROR(__xludf.DUMMYFUNCTION("""COMPUTED_VALUE"""),"No")</f>
        <v>No</v>
      </c>
      <c r="I1477" s="1" t="str">
        <f ca="1">IFERROR(__xludf.DUMMYFUNCTION("""COMPUTED_VALUE"""),"Will work for them")</f>
        <v>Will work for them</v>
      </c>
      <c r="J1477" s="1">
        <f ca="1">IFERROR(__xludf.DUMMYFUNCTION("""COMPUTED_VALUE"""),8)</f>
        <v>8</v>
      </c>
      <c r="K1477" s="1" t="str">
        <f ca="1">IFERROR(__xludf.DUMMYFUNCTION("""COMPUTED_VALUE"""),"Every Day Office Environment")</f>
        <v>Every Day Office Environment</v>
      </c>
      <c r="L1477" s="1" t="str">
        <f ca="1">IFERROR(__xludf.DUMMYFUNCTION("""COMPUTED_VALUE"""),"Employer who pushes your limits by enabling an learning environment, and rewards you at the end")</f>
        <v>Employer who pushes your limits by enabling an learning environment, and rewards you at the end</v>
      </c>
      <c r="M1477"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1477" s="1"/>
      <c r="O1477" s="1" t="str">
        <f ca="1">IFERROR(__xludf.DUMMYFUNCTION("""COMPUTED_VALUE"""),"Manager who clearly describes what she/he needs")</f>
        <v>Manager who clearly describes what she/he needs</v>
      </c>
      <c r="P1477" s="1" t="str">
        <f ca="1">IFERROR(__xludf.DUMMYFUNCTION("""COMPUTED_VALUE"""),"Work &lt;=6 People in the Team")</f>
        <v>Work &lt;=6 People in the Team</v>
      </c>
      <c r="Q1477" s="1" t="s">
        <v>43</v>
      </c>
      <c r="R1477" s="1"/>
    </row>
    <row r="1478" spans="1:18" x14ac:dyDescent="0.25">
      <c r="A1478" s="2">
        <f ca="1">IFERROR(__xludf.DUMMYFUNCTION("""COMPUTED_VALUE"""),45045.4773648031)</f>
        <v>45045.477364803097</v>
      </c>
      <c r="B1478" s="1" t="str">
        <f ca="1">IFERROR(__xludf.DUMMYFUNCTION("""COMPUTED_VALUE"""),"India")</f>
        <v>India</v>
      </c>
      <c r="C1478" s="1">
        <f ca="1">IFERROR(__xludf.DUMMYFUNCTION("""COMPUTED_VALUE"""),452002)</f>
        <v>452002</v>
      </c>
      <c r="D1478" s="1" t="str">
        <f ca="1">IFERROR(__xludf.DUMMYFUNCTION("""COMPUTED_VALUE"""),"Male")</f>
        <v>Male</v>
      </c>
      <c r="E1478" s="1" t="str">
        <f ca="1">IFERROR(__xludf.DUMMYFUNCTION("""COMPUTED_VALUE"""),"Social Media like LinkedIn")</f>
        <v>Social Media like LinkedIn</v>
      </c>
      <c r="F1478" s="1" t="str">
        <f ca="1">IFERROR(__xludf.DUMMYFUNCTION("""COMPUTED_VALUE"""),"Yes, I will earn and do that")</f>
        <v>Yes, I will earn and do that</v>
      </c>
      <c r="G1478" s="1" t="str">
        <f ca="1">IFERROR(__xludf.DUMMYFUNCTION("""COMPUTED_VALUE"""),"This will be hard to do, but if it is the right company I would try")</f>
        <v>This will be hard to do, but if it is the right company I would try</v>
      </c>
      <c r="H1478" s="1" t="str">
        <f ca="1">IFERROR(__xludf.DUMMYFUNCTION("""COMPUTED_VALUE"""),"No")</f>
        <v>No</v>
      </c>
      <c r="I1478" s="1" t="str">
        <f ca="1">IFERROR(__xludf.DUMMYFUNCTION("""COMPUTED_VALUE"""),"Will NOT work for them")</f>
        <v>Will NOT work for them</v>
      </c>
      <c r="J1478" s="1">
        <f ca="1">IFERROR(__xludf.DUMMYFUNCTION("""COMPUTED_VALUE"""),5)</f>
        <v>5</v>
      </c>
      <c r="K1478" s="1" t="str">
        <f ca="1">IFERROR(__xludf.DUMMYFUNCTION("""COMPUTED_VALUE"""),"Fully Remote with Options to travel as and when needed")</f>
        <v>Fully Remote with Options to travel as and when needed</v>
      </c>
      <c r="L1478" s="1" t="str">
        <f ca="1">IFERROR(__xludf.DUMMYFUNCTION("""COMPUTED_VALUE"""),"Employer who pushes your limits by enabling an learning environment, and rewards you at the end")</f>
        <v>Employer who pushes your limits by enabling an learning environment, and rewards you at the end</v>
      </c>
      <c r="M1478"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N1478" s="1"/>
      <c r="O1478" s="1" t="str">
        <f ca="1">IFERROR(__xludf.DUMMYFUNCTION("""COMPUTED_VALUE"""),"Manager who explains what is expected, sets a goal and helps achieve it")</f>
        <v>Manager who explains what is expected, sets a goal and helps achieve it</v>
      </c>
      <c r="P1478" s="1" t="str">
        <f ca="1">IFERROR(__xludf.DUMMYFUNCTION("""COMPUTED_VALUE"""),"Work &lt;=6 People in the Team")</f>
        <v>Work &lt;=6 People in the Team</v>
      </c>
      <c r="Q1478" s="1" t="s">
        <v>40</v>
      </c>
      <c r="R1478" s="1"/>
    </row>
    <row r="1479" spans="1:18" x14ac:dyDescent="0.25">
      <c r="A1479" s="2">
        <f ca="1">IFERROR(__xludf.DUMMYFUNCTION("""COMPUTED_VALUE"""),45045.4775513773)</f>
        <v>45045.477551377298</v>
      </c>
      <c r="B1479" s="1" t="str">
        <f ca="1">IFERROR(__xludf.DUMMYFUNCTION("""COMPUTED_VALUE"""),"India")</f>
        <v>India</v>
      </c>
      <c r="C1479" s="1">
        <f ca="1">IFERROR(__xludf.DUMMYFUNCTION("""COMPUTED_VALUE"""),147001)</f>
        <v>147001</v>
      </c>
      <c r="D1479" s="1" t="str">
        <f ca="1">IFERROR(__xludf.DUMMYFUNCTION("""COMPUTED_VALUE"""),"Male")</f>
        <v>Male</v>
      </c>
      <c r="E1479" s="1" t="str">
        <f ca="1">IFERROR(__xludf.DUMMYFUNCTION("""COMPUTED_VALUE"""),"People who have changed the world for better")</f>
        <v>People who have changed the world for better</v>
      </c>
      <c r="F1479" s="1" t="str">
        <f ca="1">IFERROR(__xludf.DUMMYFUNCTION("""COMPUTED_VALUE"""),"No, But if someone could bare the cost I will")</f>
        <v>No, But if someone could bare the cost I will</v>
      </c>
      <c r="G1479" s="1" t="str">
        <f ca="1">IFERROR(__xludf.DUMMYFUNCTION("""COMPUTED_VALUE"""),"Will work for 3 years or more")</f>
        <v>Will work for 3 years or more</v>
      </c>
      <c r="H1479" s="1" t="str">
        <f ca="1">IFERROR(__xludf.DUMMYFUNCTION("""COMPUTED_VALUE"""),"No")</f>
        <v>No</v>
      </c>
      <c r="I1479" s="1" t="str">
        <f ca="1">IFERROR(__xludf.DUMMYFUNCTION("""COMPUTED_VALUE"""),"Will NOT work for them")</f>
        <v>Will NOT work for them</v>
      </c>
      <c r="J1479" s="1">
        <f ca="1">IFERROR(__xludf.DUMMYFUNCTION("""COMPUTED_VALUE"""),5)</f>
        <v>5</v>
      </c>
      <c r="K1479" s="1" t="str">
        <f ca="1">IFERROR(__xludf.DUMMYFUNCTION("""COMPUTED_VALUE"""),"Fully Remote with Options to travel as and when needed")</f>
        <v>Fully Remote with Options to travel as and when needed</v>
      </c>
      <c r="L1479" s="1" t="str">
        <f ca="1">IFERROR(__xludf.DUMMYFUNCTION("""COMPUTED_VALUE"""),"Employer who pushes your limits by enabling an learning environment, and rewards you at the end")</f>
        <v>Employer who pushes your limits by enabling an learning environment, and rewards you at the end</v>
      </c>
      <c r="M1479"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N1479" s="1"/>
      <c r="O1479" s="1" t="str">
        <f ca="1">IFERROR(__xludf.DUMMYFUNCTION("""COMPUTED_VALUE"""),"Manager who explains what is expected, sets a goal and helps achieve it")</f>
        <v>Manager who explains what is expected, sets a goal and helps achieve it</v>
      </c>
      <c r="P1479" s="1" t="str">
        <f ca="1">IFERROR(__xludf.DUMMYFUNCTION("""COMPUTED_VALUE"""),"Work &lt;=6 People in the Team")</f>
        <v>Work &lt;=6 People in the Team</v>
      </c>
      <c r="Q1479" s="1" t="s">
        <v>43</v>
      </c>
      <c r="R1479" s="1"/>
    </row>
    <row r="1480" spans="1:18" x14ac:dyDescent="0.25">
      <c r="A1480" s="2">
        <f ca="1">IFERROR(__xludf.DUMMYFUNCTION("""COMPUTED_VALUE"""),45045.4803837731)</f>
        <v>45045.480383773101</v>
      </c>
      <c r="B1480" s="1" t="str">
        <f ca="1">IFERROR(__xludf.DUMMYFUNCTION("""COMPUTED_VALUE"""),"India")</f>
        <v>India</v>
      </c>
      <c r="C1480" s="1">
        <f ca="1">IFERROR(__xludf.DUMMYFUNCTION("""COMPUTED_VALUE"""),452007)</f>
        <v>452007</v>
      </c>
      <c r="D1480" s="1" t="str">
        <f ca="1">IFERROR(__xludf.DUMMYFUNCTION("""COMPUTED_VALUE"""),"Male")</f>
        <v>Male</v>
      </c>
      <c r="E1480" s="1" t="str">
        <f ca="1">IFERROR(__xludf.DUMMYFUNCTION("""COMPUTED_VALUE"""),"Influencers who had successful careers")</f>
        <v>Influencers who had successful careers</v>
      </c>
      <c r="F1480" s="1" t="str">
        <f ca="1">IFERROR(__xludf.DUMMYFUNCTION("""COMPUTED_VALUE"""),"Yes, I will earn and do that")</f>
        <v>Yes, I will earn and do that</v>
      </c>
      <c r="G1480" s="1" t="str">
        <f ca="1">IFERROR(__xludf.DUMMYFUNCTION("""COMPUTED_VALUE"""),"This will be hard to do, but if it is the right company I would try")</f>
        <v>This will be hard to do, but if it is the right company I would try</v>
      </c>
      <c r="H1480" s="1" t="str">
        <f ca="1">IFERROR(__xludf.DUMMYFUNCTION("""COMPUTED_VALUE"""),"No")</f>
        <v>No</v>
      </c>
      <c r="I1480" s="1" t="str">
        <f ca="1">IFERROR(__xludf.DUMMYFUNCTION("""COMPUTED_VALUE"""),"Will NOT work for them")</f>
        <v>Will NOT work for them</v>
      </c>
      <c r="J1480" s="1">
        <f ca="1">IFERROR(__xludf.DUMMYFUNCTION("""COMPUTED_VALUE"""),3)</f>
        <v>3</v>
      </c>
      <c r="K1480" s="1" t="str">
        <f ca="1">IFERROR(__xludf.DUMMYFUNCTION("""COMPUTED_VALUE"""),"Hybrid Working Environment with less than 3 days a month at office")</f>
        <v>Hybrid Working Environment with less than 3 days a month at office</v>
      </c>
      <c r="L1480" s="1" t="str">
        <f ca="1">IFERROR(__xludf.DUMMYFUNCTION("""COMPUTED_VALUE"""),"Employer who pushes your limits by enabling an learning environment, and rewards you at the end")</f>
        <v>Employer who pushes your limits by enabling an learning environment, and rewards you at the end</v>
      </c>
      <c r="M1480" s="1" t="str">
        <f ca="1">IFERROR(__xludf.DUMMYFUNCTION("""COMPUTED_VALUE"""),"Design and Creative strategy in any company, Look deeply into Data and generate insights, Entrepreneur or Start Up, Manufacturing / Oil and Gas/ Construction / Hard Physical Work related")</f>
        <v>Design and Creative strategy in any company, Look deeply into Data and generate insights, Entrepreneur or Start Up, Manufacturing / Oil and Gas/ Construction / Hard Physical Work related</v>
      </c>
      <c r="N1480" s="1"/>
      <c r="O1480" s="1" t="str">
        <f ca="1">IFERROR(__xludf.DUMMYFUNCTION("""COMPUTED_VALUE"""),"Manager who explains what is expected, sets a goal and helps achieve it")</f>
        <v>Manager who explains what is expected, sets a goal and helps achieve it</v>
      </c>
      <c r="P1480" s="1" t="str">
        <f ca="1">IFERROR(__xludf.DUMMYFUNCTION("""COMPUTED_VALUE"""),"Work &lt;=6 People in the Team")</f>
        <v>Work &lt;=6 People in the Team</v>
      </c>
      <c r="Q1480" s="1" t="s">
        <v>40</v>
      </c>
      <c r="R1480" s="1"/>
    </row>
    <row r="1481" spans="1:18" x14ac:dyDescent="0.25">
      <c r="A1481" s="2">
        <f ca="1">IFERROR(__xludf.DUMMYFUNCTION("""COMPUTED_VALUE"""),45045.4825741088)</f>
        <v>45045.482574108799</v>
      </c>
      <c r="B1481" s="1" t="str">
        <f ca="1">IFERROR(__xludf.DUMMYFUNCTION("""COMPUTED_VALUE"""),"India")</f>
        <v>India</v>
      </c>
      <c r="C1481" s="1">
        <f ca="1">IFERROR(__xludf.DUMMYFUNCTION("""COMPUTED_VALUE"""),560039)</f>
        <v>560039</v>
      </c>
      <c r="D1481" s="1" t="str">
        <f ca="1">IFERROR(__xludf.DUMMYFUNCTION("""COMPUTED_VALUE"""),"Female")</f>
        <v>Female</v>
      </c>
      <c r="E1481" s="1" t="str">
        <f ca="1">IFERROR(__xludf.DUMMYFUNCTION("""COMPUTED_VALUE"""),"My Parents")</f>
        <v>My Parents</v>
      </c>
      <c r="F1481" s="1" t="str">
        <f ca="1">IFERROR(__xludf.DUMMYFUNCTION("""COMPUTED_VALUE"""),"No I would not be pursuing Higher Education outside of India")</f>
        <v>No I would not be pursuing Higher Education outside of India</v>
      </c>
      <c r="G1481" s="1" t="str">
        <f ca="1">IFERROR(__xludf.DUMMYFUNCTION("""COMPUTED_VALUE"""),"This will be hard to do, but if it is the right company I would try")</f>
        <v>This will be hard to do, but if it is the right company I would try</v>
      </c>
      <c r="H1481" s="1" t="str">
        <f ca="1">IFERROR(__xludf.DUMMYFUNCTION("""COMPUTED_VALUE"""),"No")</f>
        <v>No</v>
      </c>
      <c r="I1481" s="1" t="str">
        <f ca="1">IFERROR(__xludf.DUMMYFUNCTION("""COMPUTED_VALUE"""),"Will NOT work for them")</f>
        <v>Will NOT work for them</v>
      </c>
      <c r="J1481" s="1">
        <f ca="1">IFERROR(__xludf.DUMMYFUNCTION("""COMPUTED_VALUE"""),5)</f>
        <v>5</v>
      </c>
      <c r="K1481" s="1" t="str">
        <f ca="1">IFERROR(__xludf.DUMMYFUNCTION("""COMPUTED_VALUE"""),"Hybrid Working Environment with more than 15 days a month at office")</f>
        <v>Hybrid Working Environment with more than 15 days a month at office</v>
      </c>
      <c r="L1481" s="1" t="str">
        <f ca="1">IFERROR(__xludf.DUMMYFUNCTION("""COMPUTED_VALUE"""),"Employer who rewards learning and enables that environment")</f>
        <v>Employer who rewards learning and enables that environment</v>
      </c>
      <c r="M148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N1481" s="1"/>
      <c r="O1481" s="1" t="str">
        <f ca="1">IFERROR(__xludf.DUMMYFUNCTION("""COMPUTED_VALUE"""),"Manager who explains what is expected, sets a goal and helps achieve it")</f>
        <v>Manager who explains what is expected, sets a goal and helps achieve it</v>
      </c>
      <c r="P1481" s="1" t="str">
        <f ca="1">IFERROR(__xludf.DUMMYFUNCTION("""COMPUTED_VALUE"""),"Work &lt;=6 People in the Team")</f>
        <v>Work &lt;=6 People in the Team</v>
      </c>
      <c r="Q1481" s="1" t="s">
        <v>42</v>
      </c>
      <c r="R1481" s="1"/>
    </row>
    <row r="1482" spans="1:18" x14ac:dyDescent="0.25">
      <c r="A1482" s="2">
        <f ca="1">IFERROR(__xludf.DUMMYFUNCTION("""COMPUTED_VALUE"""),45045.483686493)</f>
        <v>45045.483686492997</v>
      </c>
      <c r="B1482" s="1" t="str">
        <f ca="1">IFERROR(__xludf.DUMMYFUNCTION("""COMPUTED_VALUE"""),"India")</f>
        <v>India</v>
      </c>
      <c r="C1482" s="1">
        <f ca="1">IFERROR(__xludf.DUMMYFUNCTION("""COMPUTED_VALUE"""),571401)</f>
        <v>571401</v>
      </c>
      <c r="D1482" s="1" t="str">
        <f ca="1">IFERROR(__xludf.DUMMYFUNCTION("""COMPUTED_VALUE"""),"Female")</f>
        <v>Female</v>
      </c>
      <c r="E1482" s="1" t="str">
        <f ca="1">IFERROR(__xludf.DUMMYFUNCTION("""COMPUTED_VALUE"""),"People who have changed the world for better")</f>
        <v>People who have changed the world for better</v>
      </c>
      <c r="F1482" s="1" t="str">
        <f ca="1">IFERROR(__xludf.DUMMYFUNCTION("""COMPUTED_VALUE"""),"No, But if someone could bare the cost I will")</f>
        <v>No, But if someone could bare the cost I will</v>
      </c>
      <c r="G1482" s="1" t="str">
        <f ca="1">IFERROR(__xludf.DUMMYFUNCTION("""COMPUTED_VALUE"""),"Will work for 3 years or more")</f>
        <v>Will work for 3 years or more</v>
      </c>
      <c r="H1482" s="1" t="str">
        <f ca="1">IFERROR(__xludf.DUMMYFUNCTION("""COMPUTED_VALUE"""),"No")</f>
        <v>No</v>
      </c>
      <c r="I1482" s="1" t="str">
        <f ca="1">IFERROR(__xludf.DUMMYFUNCTION("""COMPUTED_VALUE"""),"Will NOT work for them")</f>
        <v>Will NOT work for them</v>
      </c>
      <c r="J1482" s="1">
        <f ca="1">IFERROR(__xludf.DUMMYFUNCTION("""COMPUTED_VALUE"""),5)</f>
        <v>5</v>
      </c>
      <c r="K1482" s="1" t="str">
        <f ca="1">IFERROR(__xludf.DUMMYFUNCTION("""COMPUTED_VALUE"""),"Hybrid Working Environment with more than 15 days a month at office")</f>
        <v>Hybrid Working Environment with more than 15 days a month at office</v>
      </c>
      <c r="L1482" s="1" t="str">
        <f ca="1">IFERROR(__xludf.DUMMYFUNCTION("""COMPUTED_VALUE"""),"Employer who appreciates learning and enables that environment")</f>
        <v>Employer who appreciates learning and enables that environment</v>
      </c>
      <c r="M1482"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N1482" s="1"/>
      <c r="O1482" s="1" t="str">
        <f ca="1">IFERROR(__xludf.DUMMYFUNCTION("""COMPUTED_VALUE"""),"Manager who clearly describes what she/he needs")</f>
        <v>Manager who clearly describes what she/he needs</v>
      </c>
      <c r="P1482" s="1" t="str">
        <f ca="1">IFERROR(__xludf.DUMMYFUNCTION("""COMPUTED_VALUE"""),"Work &lt;=6 People in the Team")</f>
        <v>Work &lt;=6 People in the Team</v>
      </c>
      <c r="Q1482" s="1" t="s">
        <v>43</v>
      </c>
      <c r="R1482" s="1"/>
    </row>
    <row r="1483" spans="1:18" x14ac:dyDescent="0.25">
      <c r="A1483" s="2">
        <f ca="1">IFERROR(__xludf.DUMMYFUNCTION("""COMPUTED_VALUE"""),45045.491740081)</f>
        <v>45045.491740081001</v>
      </c>
      <c r="B1483" s="1" t="str">
        <f ca="1">IFERROR(__xludf.DUMMYFUNCTION("""COMPUTED_VALUE"""),"India")</f>
        <v>India</v>
      </c>
      <c r="C1483" s="1">
        <f ca="1">IFERROR(__xludf.DUMMYFUNCTION("""COMPUTED_VALUE"""),533201)</f>
        <v>533201</v>
      </c>
      <c r="D1483" s="1" t="str">
        <f ca="1">IFERROR(__xludf.DUMMYFUNCTION("""COMPUTED_VALUE"""),"Female")</f>
        <v>Female</v>
      </c>
      <c r="E1483" s="1" t="str">
        <f ca="1">IFERROR(__xludf.DUMMYFUNCTION("""COMPUTED_VALUE"""),"People from my circle, but not family members")</f>
        <v>People from my circle, but not family members</v>
      </c>
      <c r="F1483" s="1" t="str">
        <f ca="1">IFERROR(__xludf.DUMMYFUNCTION("""COMPUTED_VALUE"""),"Yes, I will earn and do that")</f>
        <v>Yes, I will earn and do that</v>
      </c>
      <c r="G1483" s="1" t="str">
        <f ca="1">IFERROR(__xludf.DUMMYFUNCTION("""COMPUTED_VALUE"""),"This will be hard to do, but if it is the right company I would try")</f>
        <v>This will be hard to do, but if it is the right company I would try</v>
      </c>
      <c r="H1483" s="1" t="str">
        <f ca="1">IFERROR(__xludf.DUMMYFUNCTION("""COMPUTED_VALUE"""),"Yes")</f>
        <v>Yes</v>
      </c>
      <c r="I1483" s="1" t="str">
        <f ca="1">IFERROR(__xludf.DUMMYFUNCTION("""COMPUTED_VALUE"""),"Will work for them")</f>
        <v>Will work for them</v>
      </c>
      <c r="J1483" s="1">
        <f ca="1">IFERROR(__xludf.DUMMYFUNCTION("""COMPUTED_VALUE"""),6)</f>
        <v>6</v>
      </c>
      <c r="K1483" s="1" t="str">
        <f ca="1">IFERROR(__xludf.DUMMYFUNCTION("""COMPUTED_VALUE"""),"Fully Remote with No option to visit offices")</f>
        <v>Fully Remote with No option to visit offices</v>
      </c>
      <c r="L1483" s="1" t="str">
        <f ca="1">IFERROR(__xludf.DUMMYFUNCTION("""COMPUTED_VALUE"""),"Employer who appreciates learning and enables that environment")</f>
        <v>Employer who appreciates learning and enables that environment</v>
      </c>
      <c r="M1483"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N1483" s="1"/>
      <c r="O1483" s="1" t="str">
        <f ca="1">IFERROR(__xludf.DUMMYFUNCTION("""COMPUTED_VALUE"""),"Manager who clearly describes what she/he needs")</f>
        <v>Manager who clearly describes what she/he needs</v>
      </c>
      <c r="P1483" s="1" t="str">
        <f ca="1">IFERROR(__xludf.DUMMYFUNCTION("""COMPUTED_VALUE"""),"Work &lt;=6 People in the Team")</f>
        <v>Work &lt;=6 People in the Team</v>
      </c>
      <c r="Q1483" s="1" t="s">
        <v>43</v>
      </c>
      <c r="R1483" s="1"/>
    </row>
    <row r="1484" spans="1:18" x14ac:dyDescent="0.25">
      <c r="A1484" s="2">
        <f ca="1">IFERROR(__xludf.DUMMYFUNCTION("""COMPUTED_VALUE"""),45045.4926545601)</f>
        <v>45045.492654560097</v>
      </c>
      <c r="B1484" s="1" t="str">
        <f ca="1">IFERROR(__xludf.DUMMYFUNCTION("""COMPUTED_VALUE"""),"India")</f>
        <v>India</v>
      </c>
      <c r="C1484" s="1">
        <f ca="1">IFERROR(__xludf.DUMMYFUNCTION("""COMPUTED_VALUE"""),560073)</f>
        <v>560073</v>
      </c>
      <c r="D1484" s="1" t="str">
        <f ca="1">IFERROR(__xludf.DUMMYFUNCTION("""COMPUTED_VALUE"""),"Female")</f>
        <v>Female</v>
      </c>
      <c r="E1484" s="1" t="str">
        <f ca="1">IFERROR(__xludf.DUMMYFUNCTION("""COMPUTED_VALUE"""),"My Parents")</f>
        <v>My Parents</v>
      </c>
      <c r="F1484" s="1" t="str">
        <f ca="1">IFERROR(__xludf.DUMMYFUNCTION("""COMPUTED_VALUE"""),"No I would not be pursuing Higher Education outside of India")</f>
        <v>No I would not be pursuing Higher Education outside of India</v>
      </c>
      <c r="G1484" s="1" t="str">
        <f ca="1">IFERROR(__xludf.DUMMYFUNCTION("""COMPUTED_VALUE"""),"This will be hard to do, but if it is the right company I would try")</f>
        <v>This will be hard to do, but if it is the right company I would try</v>
      </c>
      <c r="H1484" s="1" t="str">
        <f ca="1">IFERROR(__xludf.DUMMYFUNCTION("""COMPUTED_VALUE"""),"Yes")</f>
        <v>Yes</v>
      </c>
      <c r="I1484" s="1" t="str">
        <f ca="1">IFERROR(__xludf.DUMMYFUNCTION("""COMPUTED_VALUE"""),"Will work for them")</f>
        <v>Will work for them</v>
      </c>
      <c r="J1484" s="1">
        <f ca="1">IFERROR(__xludf.DUMMYFUNCTION("""COMPUTED_VALUE"""),9)</f>
        <v>9</v>
      </c>
      <c r="K1484" s="1" t="str">
        <f ca="1">IFERROR(__xludf.DUMMYFUNCTION("""COMPUTED_VALUE"""),"Hybrid Working Environment with more than 15 days a month at office")</f>
        <v>Hybrid Working Environment with more than 15 days a month at office</v>
      </c>
      <c r="L1484" s="1" t="str">
        <f ca="1">IFERROR(__xludf.DUMMYFUNCTION("""COMPUTED_VALUE"""),"Employer who rewards learning and enables that environment")</f>
        <v>Employer who rewards learning and enables that environment</v>
      </c>
      <c r="M1484"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N1484" s="1"/>
      <c r="O1484" s="1" t="str">
        <f ca="1">IFERROR(__xludf.DUMMYFUNCTION("""COMPUTED_VALUE"""),"Manager who explains what is expected, sets a goal and helps achieve it")</f>
        <v>Manager who explains what is expected, sets a goal and helps achieve it</v>
      </c>
      <c r="P1484" s="1" t="str">
        <f ca="1">IFERROR(__xludf.DUMMYFUNCTION("""COMPUTED_VALUE"""),"Work &gt;10 people in Team")</f>
        <v>Work &gt;10 people in Team</v>
      </c>
      <c r="Q1484" s="1" t="s">
        <v>40</v>
      </c>
      <c r="R1484" s="1"/>
    </row>
    <row r="1485" spans="1:18" x14ac:dyDescent="0.25">
      <c r="A1485" s="2">
        <f ca="1">IFERROR(__xludf.DUMMYFUNCTION("""COMPUTED_VALUE"""),45045.5036151041)</f>
        <v>45045.503615104099</v>
      </c>
      <c r="B1485" s="1" t="str">
        <f ca="1">IFERROR(__xludf.DUMMYFUNCTION("""COMPUTED_VALUE"""),"India")</f>
        <v>India</v>
      </c>
      <c r="C1485" s="1">
        <f ca="1">IFERROR(__xludf.DUMMYFUNCTION("""COMPUTED_VALUE"""),560068)</f>
        <v>560068</v>
      </c>
      <c r="D1485" s="1" t="str">
        <f ca="1">IFERROR(__xludf.DUMMYFUNCTION("""COMPUTED_VALUE"""),"Male")</f>
        <v>Male</v>
      </c>
      <c r="E1485" s="1" t="str">
        <f ca="1">IFERROR(__xludf.DUMMYFUNCTION("""COMPUTED_VALUE"""),"People from my circle, but not family members")</f>
        <v>People from my circle, but not family members</v>
      </c>
      <c r="F1485" s="1" t="str">
        <f ca="1">IFERROR(__xludf.DUMMYFUNCTION("""COMPUTED_VALUE"""),"No I would not be pursuing Higher Education outside of India")</f>
        <v>No I would not be pursuing Higher Education outside of India</v>
      </c>
      <c r="G1485" s="1" t="str">
        <f ca="1">IFERROR(__xludf.DUMMYFUNCTION("""COMPUTED_VALUE"""),"Will work for 3 years or more")</f>
        <v>Will work for 3 years or more</v>
      </c>
      <c r="H1485" s="1" t="str">
        <f ca="1">IFERROR(__xludf.DUMMYFUNCTION("""COMPUTED_VALUE"""),"No")</f>
        <v>No</v>
      </c>
      <c r="I1485" s="1" t="str">
        <f ca="1">IFERROR(__xludf.DUMMYFUNCTION("""COMPUTED_VALUE"""),"Will NOT work for them")</f>
        <v>Will NOT work for them</v>
      </c>
      <c r="J1485" s="1">
        <f ca="1">IFERROR(__xludf.DUMMYFUNCTION("""COMPUTED_VALUE"""),3)</f>
        <v>3</v>
      </c>
      <c r="K1485" s="1" t="str">
        <f ca="1">IFERROR(__xludf.DUMMYFUNCTION("""COMPUTED_VALUE"""),"Every Day Office Environment")</f>
        <v>Every Day Office Environment</v>
      </c>
      <c r="L1485" s="1" t="str">
        <f ca="1">IFERROR(__xludf.DUMMYFUNCTION("""COMPUTED_VALUE"""),"Employer who pushes your limits by enabling an learning environment, and rewards you at the end")</f>
        <v>Employer who pushes your limits by enabling an learning environment, and rewards you at the end</v>
      </c>
      <c r="M1485"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1485" s="1"/>
      <c r="O1485" s="1" t="str">
        <f ca="1">IFERROR(__xludf.DUMMYFUNCTION("""COMPUTED_VALUE"""),"Manager who explains what is expected, sets a goal and helps achieve it")</f>
        <v>Manager who explains what is expected, sets a goal and helps achieve it</v>
      </c>
      <c r="P1485" s="1" t="str">
        <f ca="1">IFERROR(__xludf.DUMMYFUNCTION("""COMPUTED_VALUE"""),"Work &lt;=6 People in the Team")</f>
        <v>Work &lt;=6 People in the Team</v>
      </c>
      <c r="Q1485" s="1" t="s">
        <v>43</v>
      </c>
      <c r="R1485" s="1"/>
    </row>
    <row r="1486" spans="1:18" x14ac:dyDescent="0.25">
      <c r="A1486" s="2">
        <f ca="1">IFERROR(__xludf.DUMMYFUNCTION("""COMPUTED_VALUE"""),45045.5064865162)</f>
        <v>45045.506486516198</v>
      </c>
      <c r="B1486" s="1" t="str">
        <f ca="1">IFERROR(__xludf.DUMMYFUNCTION("""COMPUTED_VALUE"""),"India")</f>
        <v>India</v>
      </c>
      <c r="C1486" s="1">
        <f ca="1">IFERROR(__xludf.DUMMYFUNCTION("""COMPUTED_VALUE"""),201301)</f>
        <v>201301</v>
      </c>
      <c r="D1486" s="1" t="str">
        <f ca="1">IFERROR(__xludf.DUMMYFUNCTION("""COMPUTED_VALUE"""),"Male")</f>
        <v>Male</v>
      </c>
      <c r="E1486" s="1" t="str">
        <f ca="1">IFERROR(__xludf.DUMMYFUNCTION("""COMPUTED_VALUE"""),"People from my circle, but not family members")</f>
        <v>People from my circle, but not family members</v>
      </c>
      <c r="F1486" s="1" t="str">
        <f ca="1">IFERROR(__xludf.DUMMYFUNCTION("""COMPUTED_VALUE"""),"No I would not be pursuing Higher Education outside of India")</f>
        <v>No I would not be pursuing Higher Education outside of India</v>
      </c>
      <c r="G1486" s="1" t="str">
        <f ca="1">IFERROR(__xludf.DUMMYFUNCTION("""COMPUTED_VALUE"""),"This will be hard to do, but if it is the right company I would try")</f>
        <v>This will be hard to do, but if it is the right company I would try</v>
      </c>
      <c r="H1486" s="1" t="str">
        <f ca="1">IFERROR(__xludf.DUMMYFUNCTION("""COMPUTED_VALUE"""),"No")</f>
        <v>No</v>
      </c>
      <c r="I1486" s="1" t="str">
        <f ca="1">IFERROR(__xludf.DUMMYFUNCTION("""COMPUTED_VALUE"""),"Will NOT work for them")</f>
        <v>Will NOT work for them</v>
      </c>
      <c r="J1486" s="1">
        <f ca="1">IFERROR(__xludf.DUMMYFUNCTION("""COMPUTED_VALUE"""),5)</f>
        <v>5</v>
      </c>
      <c r="K1486" s="1" t="str">
        <f ca="1">IFERROR(__xludf.DUMMYFUNCTION("""COMPUTED_VALUE"""),"Every Day Office Environment")</f>
        <v>Every Day Office Environment</v>
      </c>
      <c r="L1486" s="1" t="str">
        <f ca="1">IFERROR(__xludf.DUMMYFUNCTION("""COMPUTED_VALUE"""),"Employer who pushes your limits by enabling an learning environment, and rewards you at the end")</f>
        <v>Employer who pushes your limits by enabling an learning environment, and rewards you at the end</v>
      </c>
      <c r="M1486" s="1" t="str">
        <f ca="1">IFERROR(__xludf.DUMMYFUNCTION("""COMPUTED_VALUE"""),"Build and develop a Team, Work in a BPO setup for some well known client, Entrepreneur or Start Up, An Artificial Intelligence Specialist / Talking to Robots")</f>
        <v>Build and develop a Team, Work in a BPO setup for some well known client, Entrepreneur or Start Up, An Artificial Intelligence Specialist / Talking to Robots</v>
      </c>
      <c r="N1486" s="1"/>
      <c r="O1486" s="1" t="str">
        <f ca="1">IFERROR(__xludf.DUMMYFUNCTION("""COMPUTED_VALUE"""),"Manager who explains what is expected, sets a goal and helps achieve it")</f>
        <v>Manager who explains what is expected, sets a goal and helps achieve it</v>
      </c>
      <c r="P1486" s="1" t="str">
        <f ca="1">IFERROR(__xludf.DUMMYFUNCTION("""COMPUTED_VALUE"""),"Work &gt;10 people in Team")</f>
        <v>Work &gt;10 people in Team</v>
      </c>
      <c r="Q1486" s="1" t="s">
        <v>40</v>
      </c>
      <c r="R1486" s="1"/>
    </row>
    <row r="1487" spans="1:18" x14ac:dyDescent="0.25">
      <c r="A1487" s="2">
        <f ca="1">IFERROR(__xludf.DUMMYFUNCTION("""COMPUTED_VALUE"""),45045.5067363078)</f>
        <v>45045.506736307798</v>
      </c>
      <c r="B1487" s="1" t="str">
        <f ca="1">IFERROR(__xludf.DUMMYFUNCTION("""COMPUTED_VALUE"""),"India")</f>
        <v>India</v>
      </c>
      <c r="C1487" s="1">
        <f ca="1">IFERROR(__xludf.DUMMYFUNCTION("""COMPUTED_VALUE"""),571128)</f>
        <v>571128</v>
      </c>
      <c r="D1487" s="1" t="str">
        <f ca="1">IFERROR(__xludf.DUMMYFUNCTION("""COMPUTED_VALUE"""),"Female")</f>
        <v>Female</v>
      </c>
      <c r="E1487" s="1" t="str">
        <f ca="1">IFERROR(__xludf.DUMMYFUNCTION("""COMPUTED_VALUE"""),"Influencers who had successful careers")</f>
        <v>Influencers who had successful careers</v>
      </c>
      <c r="F1487" s="1" t="str">
        <f ca="1">IFERROR(__xludf.DUMMYFUNCTION("""COMPUTED_VALUE"""),"No I would not be pursuing Higher Education outside of India")</f>
        <v>No I would not be pursuing Higher Education outside of India</v>
      </c>
      <c r="G1487" s="1" t="str">
        <f ca="1">IFERROR(__xludf.DUMMYFUNCTION("""COMPUTED_VALUE"""),"This will be hard to do, but if it is the right company I would try")</f>
        <v>This will be hard to do, but if it is the right company I would try</v>
      </c>
      <c r="H1487" s="1" t="str">
        <f ca="1">IFERROR(__xludf.DUMMYFUNCTION("""COMPUTED_VALUE"""),"No")</f>
        <v>No</v>
      </c>
      <c r="I1487" s="1" t="str">
        <f ca="1">IFERROR(__xludf.DUMMYFUNCTION("""COMPUTED_VALUE"""),"Will NOT work for them")</f>
        <v>Will NOT work for them</v>
      </c>
      <c r="J1487" s="1">
        <f ca="1">IFERROR(__xludf.DUMMYFUNCTION("""COMPUTED_VALUE"""),1)</f>
        <v>1</v>
      </c>
      <c r="K1487" s="1" t="str">
        <f ca="1">IFERROR(__xludf.DUMMYFUNCTION("""COMPUTED_VALUE"""),"Every Day Office Environment")</f>
        <v>Every Day Office Environment</v>
      </c>
      <c r="L1487" s="1" t="str">
        <f ca="1">IFERROR(__xludf.DUMMYFUNCTION("""COMPUTED_VALUE"""),"Employer who rewards learning and enables that environment")</f>
        <v>Employer who rewards learning and enables that environment</v>
      </c>
      <c r="M1487"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N1487" s="1"/>
      <c r="O1487" s="1" t="str">
        <f ca="1">IFERROR(__xludf.DUMMYFUNCTION("""COMPUTED_VALUE"""),"Manager who explains what is expected, sets a goal and helps achieve it")</f>
        <v>Manager who explains what is expected, sets a goal and helps achieve it</v>
      </c>
      <c r="P1487" s="1" t="str">
        <f ca="1">IFERROR(__xludf.DUMMYFUNCTION("""COMPUTED_VALUE"""),"Work &lt;=6 People in the Team")</f>
        <v>Work &lt;=6 People in the Team</v>
      </c>
      <c r="Q1487" s="1" t="s">
        <v>43</v>
      </c>
      <c r="R1487" s="1"/>
    </row>
    <row r="1488" spans="1:18" x14ac:dyDescent="0.25">
      <c r="A1488" s="2">
        <f ca="1">IFERROR(__xludf.DUMMYFUNCTION("""COMPUTED_VALUE"""),45045.5090202662)</f>
        <v>45045.509020266203</v>
      </c>
      <c r="B1488" s="1" t="str">
        <f ca="1">IFERROR(__xludf.DUMMYFUNCTION("""COMPUTED_VALUE"""),"India")</f>
        <v>India</v>
      </c>
      <c r="C1488" s="1">
        <f ca="1">IFERROR(__xludf.DUMMYFUNCTION("""COMPUTED_VALUE"""),208017)</f>
        <v>208017</v>
      </c>
      <c r="D1488" s="1" t="str">
        <f ca="1">IFERROR(__xludf.DUMMYFUNCTION("""COMPUTED_VALUE"""),"Male")</f>
        <v>Male</v>
      </c>
      <c r="E1488" s="1" t="str">
        <f ca="1">IFERROR(__xludf.DUMMYFUNCTION("""COMPUTED_VALUE"""),"My Parents")</f>
        <v>My Parents</v>
      </c>
      <c r="F1488" s="1" t="str">
        <f ca="1">IFERROR(__xludf.DUMMYFUNCTION("""COMPUTED_VALUE"""),"Yes, I will earn and do that")</f>
        <v>Yes, I will earn and do that</v>
      </c>
      <c r="G1488" s="1" t="str">
        <f ca="1">IFERROR(__xludf.DUMMYFUNCTION("""COMPUTED_VALUE"""),"This will be hard to do, but if it is the right company I would try")</f>
        <v>This will be hard to do, but if it is the right company I would try</v>
      </c>
      <c r="H1488" s="1" t="str">
        <f ca="1">IFERROR(__xludf.DUMMYFUNCTION("""COMPUTED_VALUE"""),"No")</f>
        <v>No</v>
      </c>
      <c r="I1488" s="1" t="str">
        <f ca="1">IFERROR(__xludf.DUMMYFUNCTION("""COMPUTED_VALUE"""),"Will NOT work for them")</f>
        <v>Will NOT work for them</v>
      </c>
      <c r="J1488" s="1">
        <f ca="1">IFERROR(__xludf.DUMMYFUNCTION("""COMPUTED_VALUE"""),2)</f>
        <v>2</v>
      </c>
      <c r="K1488" s="1" t="str">
        <f ca="1">IFERROR(__xludf.DUMMYFUNCTION("""COMPUTED_VALUE"""),"Fully Remote with No option to visit offices")</f>
        <v>Fully Remote with No option to visit offices</v>
      </c>
      <c r="L1488" s="1" t="str">
        <f ca="1">IFERROR(__xludf.DUMMYFUNCTION("""COMPUTED_VALUE"""),"Employer who rewards learning and enables that environment")</f>
        <v>Employer who rewards learning and enables that environment</v>
      </c>
      <c r="M1488"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N1488" s="1"/>
      <c r="O1488" s="1" t="str">
        <f ca="1">IFERROR(__xludf.DUMMYFUNCTION("""COMPUTED_VALUE"""),"Manager who explains what is expected, sets a goal and helps achieve it")</f>
        <v>Manager who explains what is expected, sets a goal and helps achieve it</v>
      </c>
      <c r="P1488" s="1" t="str">
        <f ca="1">IFERROR(__xludf.DUMMYFUNCTION("""COMPUTED_VALUE"""),"Work &gt;10 people in Team")</f>
        <v>Work &gt;10 people in Team</v>
      </c>
      <c r="Q1488" s="1" t="s">
        <v>40</v>
      </c>
      <c r="R1488" s="1"/>
    </row>
    <row r="1489" spans="1:18" x14ac:dyDescent="0.25">
      <c r="A1489" s="2">
        <f ca="1">IFERROR(__xludf.DUMMYFUNCTION("""COMPUTED_VALUE"""),45045.5093122916)</f>
        <v>45045.509312291601</v>
      </c>
      <c r="B1489" s="1" t="str">
        <f ca="1">IFERROR(__xludf.DUMMYFUNCTION("""COMPUTED_VALUE"""),"India")</f>
        <v>India</v>
      </c>
      <c r="C1489" s="1">
        <f ca="1">IFERROR(__xludf.DUMMYFUNCTION("""COMPUTED_VALUE"""),201301)</f>
        <v>201301</v>
      </c>
      <c r="D1489" s="1" t="str">
        <f ca="1">IFERROR(__xludf.DUMMYFUNCTION("""COMPUTED_VALUE"""),"Male")</f>
        <v>Male</v>
      </c>
      <c r="E1489" s="1" t="str">
        <f ca="1">IFERROR(__xludf.DUMMYFUNCTION("""COMPUTED_VALUE"""),"People from my circle, but not family members")</f>
        <v>People from my circle, but not family members</v>
      </c>
      <c r="F1489" s="1" t="str">
        <f ca="1">IFERROR(__xludf.DUMMYFUNCTION("""COMPUTED_VALUE"""),"No I would not be pursuing Higher Education outside of India")</f>
        <v>No I would not be pursuing Higher Education outside of India</v>
      </c>
      <c r="G1489" s="1" t="str">
        <f ca="1">IFERROR(__xludf.DUMMYFUNCTION("""COMPUTED_VALUE"""),"This will be hard to do, but if it is the right company I would try")</f>
        <v>This will be hard to do, but if it is the right company I would try</v>
      </c>
      <c r="H1489" s="1" t="str">
        <f ca="1">IFERROR(__xludf.DUMMYFUNCTION("""COMPUTED_VALUE"""),"No")</f>
        <v>No</v>
      </c>
      <c r="I1489" s="1" t="str">
        <f ca="1">IFERROR(__xludf.DUMMYFUNCTION("""COMPUTED_VALUE"""),"Will NOT work for them")</f>
        <v>Will NOT work for them</v>
      </c>
      <c r="J1489" s="1">
        <f ca="1">IFERROR(__xludf.DUMMYFUNCTION("""COMPUTED_VALUE"""),5)</f>
        <v>5</v>
      </c>
      <c r="K1489" s="1" t="str">
        <f ca="1">IFERROR(__xludf.DUMMYFUNCTION("""COMPUTED_VALUE"""),"Every Day Office Environment")</f>
        <v>Every Day Office Environment</v>
      </c>
      <c r="L1489" s="1" t="str">
        <f ca="1">IFERROR(__xludf.DUMMYFUNCTION("""COMPUTED_VALUE"""),"Employer who pushes your limits by enabling an learning environment, and rewards you at the end")</f>
        <v>Employer who pushes your limits by enabling an learning environment, and rewards you at the end</v>
      </c>
      <c r="M1489" s="1" t="str">
        <f ca="1">IFERROR(__xludf.DUMMYFUNCTION("""COMPUTED_VALUE"""),"Business Operations in any organization, Build and develop a Team, Work in a BPO setup for some well known client, Become a content Creator in some platform")</f>
        <v>Business Operations in any organization, Build and develop a Team, Work in a BPO setup for some well known client, Become a content Creator in some platform</v>
      </c>
      <c r="N1489" s="1"/>
      <c r="O1489" s="1" t="str">
        <f ca="1">IFERROR(__xludf.DUMMYFUNCTION("""COMPUTED_VALUE"""),"Manager who explains what is expected, sets a goal and helps achieve it")</f>
        <v>Manager who explains what is expected, sets a goal and helps achieve it</v>
      </c>
      <c r="P1489" s="1" t="str">
        <f ca="1">IFERROR(__xludf.DUMMYFUNCTION("""COMPUTED_VALUE"""),"Work &gt;10 people in Team")</f>
        <v>Work &gt;10 people in Team</v>
      </c>
      <c r="Q1489" s="1" t="s">
        <v>40</v>
      </c>
      <c r="R1489" s="1"/>
    </row>
    <row r="1490" spans="1:18" x14ac:dyDescent="0.25">
      <c r="A1490" s="2">
        <f ca="1">IFERROR(__xludf.DUMMYFUNCTION("""COMPUTED_VALUE"""),45045.5199816666)</f>
        <v>45045.519981666599</v>
      </c>
      <c r="B1490" s="1" t="str">
        <f ca="1">IFERROR(__xludf.DUMMYFUNCTION("""COMPUTED_VALUE"""),"India")</f>
        <v>India</v>
      </c>
      <c r="C1490" s="1">
        <f ca="1">IFERROR(__xludf.DUMMYFUNCTION("""COMPUTED_VALUE"""),146109)</f>
        <v>146109</v>
      </c>
      <c r="D1490" s="1" t="str">
        <f ca="1">IFERROR(__xludf.DUMMYFUNCTION("""COMPUTED_VALUE"""),"Male")</f>
        <v>Male</v>
      </c>
      <c r="E1490" s="1" t="str">
        <f ca="1">IFERROR(__xludf.DUMMYFUNCTION("""COMPUTED_VALUE"""),"People who have changed the world for better")</f>
        <v>People who have changed the world for better</v>
      </c>
      <c r="F1490" s="1" t="str">
        <f ca="1">IFERROR(__xludf.DUMMYFUNCTION("""COMPUTED_VALUE"""),"No I would not be pursuing Higher Education outside of India")</f>
        <v>No I would not be pursuing Higher Education outside of India</v>
      </c>
      <c r="G1490" s="1" t="str">
        <f ca="1">IFERROR(__xludf.DUMMYFUNCTION("""COMPUTED_VALUE"""),"Will work for 3 years or more")</f>
        <v>Will work for 3 years or more</v>
      </c>
      <c r="H1490" s="1" t="str">
        <f ca="1">IFERROR(__xludf.DUMMYFUNCTION("""COMPUTED_VALUE"""),"No")</f>
        <v>No</v>
      </c>
      <c r="I1490" s="1" t="str">
        <f ca="1">IFERROR(__xludf.DUMMYFUNCTION("""COMPUTED_VALUE"""),"Will NOT work for them")</f>
        <v>Will NOT work for them</v>
      </c>
      <c r="J1490" s="1">
        <f ca="1">IFERROR(__xludf.DUMMYFUNCTION("""COMPUTED_VALUE"""),1)</f>
        <v>1</v>
      </c>
      <c r="K1490" s="1" t="str">
        <f ca="1">IFERROR(__xludf.DUMMYFUNCTION("""COMPUTED_VALUE"""),"Hybrid Working Environment with more than 15 days a month at office")</f>
        <v>Hybrid Working Environment with more than 15 days a month at office</v>
      </c>
      <c r="L1490" s="1" t="str">
        <f ca="1">IFERROR(__xludf.DUMMYFUNCTION("""COMPUTED_VALUE"""),"Employer who pushes your limits by enabling an learning environment, and rewards you at the end")</f>
        <v>Employer who pushes your limits by enabling an learning environment, and rewards you at the end</v>
      </c>
      <c r="M149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490" s="1"/>
      <c r="O1490" s="1" t="str">
        <f ca="1">IFERROR(__xludf.DUMMYFUNCTION("""COMPUTED_VALUE"""),"Manager who explains what is expected, sets a goal and helps achieve it")</f>
        <v>Manager who explains what is expected, sets a goal and helps achieve it</v>
      </c>
      <c r="P1490" s="1" t="str">
        <f ca="1">IFERROR(__xludf.DUMMYFUNCTION("""COMPUTED_VALUE"""),"Work &lt;=6 People in the Team")</f>
        <v>Work &lt;=6 People in the Team</v>
      </c>
      <c r="Q1490" s="1" t="s">
        <v>42</v>
      </c>
      <c r="R1490" s="1"/>
    </row>
    <row r="1491" spans="1:18" x14ac:dyDescent="0.25">
      <c r="A1491" s="2">
        <f ca="1">IFERROR(__xludf.DUMMYFUNCTION("""COMPUTED_VALUE"""),45045.5261721875)</f>
        <v>45045.526172187499</v>
      </c>
      <c r="B1491" s="1" t="str">
        <f ca="1">IFERROR(__xludf.DUMMYFUNCTION("""COMPUTED_VALUE"""),"India")</f>
        <v>India</v>
      </c>
      <c r="C1491" s="1">
        <f ca="1">IFERROR(__xludf.DUMMYFUNCTION("""COMPUTED_VALUE"""),731204)</f>
        <v>731204</v>
      </c>
      <c r="D1491" s="1" t="str">
        <f ca="1">IFERROR(__xludf.DUMMYFUNCTION("""COMPUTED_VALUE"""),"Male")</f>
        <v>Male</v>
      </c>
      <c r="E1491" s="1" t="str">
        <f ca="1">IFERROR(__xludf.DUMMYFUNCTION("""COMPUTED_VALUE"""),"People who have changed the world for better")</f>
        <v>People who have changed the world for better</v>
      </c>
      <c r="F1491" s="1" t="str">
        <f ca="1">IFERROR(__xludf.DUMMYFUNCTION("""COMPUTED_VALUE"""),"Yes, I will earn and do that")</f>
        <v>Yes, I will earn and do that</v>
      </c>
      <c r="G1491" s="1" t="str">
        <f ca="1">IFERROR(__xludf.DUMMYFUNCTION("""COMPUTED_VALUE"""),"This will be hard to do, but if it is the right company I would try")</f>
        <v>This will be hard to do, but if it is the right company I would try</v>
      </c>
      <c r="H1491" s="1" t="str">
        <f ca="1">IFERROR(__xludf.DUMMYFUNCTION("""COMPUTED_VALUE"""),"No")</f>
        <v>No</v>
      </c>
      <c r="I1491" s="1" t="str">
        <f ca="1">IFERROR(__xludf.DUMMYFUNCTION("""COMPUTED_VALUE"""),"Will NOT work for them")</f>
        <v>Will NOT work for them</v>
      </c>
      <c r="J1491" s="1">
        <f ca="1">IFERROR(__xludf.DUMMYFUNCTION("""COMPUTED_VALUE"""),2)</f>
        <v>2</v>
      </c>
      <c r="K1491" s="1" t="str">
        <f ca="1">IFERROR(__xludf.DUMMYFUNCTION("""COMPUTED_VALUE"""),"Hybrid Working Environment with more than 15 days a month at office")</f>
        <v>Hybrid Working Environment with more than 15 days a month at office</v>
      </c>
      <c r="L1491" s="1" t="str">
        <f ca="1">IFERROR(__xludf.DUMMYFUNCTION("""COMPUTED_VALUE"""),"Employer who pushes your limits by enabling an learning environment, and rewards you at the end")</f>
        <v>Employer who pushes your limits by enabling an learning environment, and rewards you at the end</v>
      </c>
      <c r="M149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N1491" s="1"/>
      <c r="O1491" s="1" t="str">
        <f ca="1">IFERROR(__xludf.DUMMYFUNCTION("""COMPUTED_VALUE"""),"Manager who explains what is expected, sets a goal and helps achieve it")</f>
        <v>Manager who explains what is expected, sets a goal and helps achieve it</v>
      </c>
      <c r="P1491" s="1" t="str">
        <f ca="1">IFERROR(__xludf.DUMMYFUNCTION("""COMPUTED_VALUE"""),"Work &lt;=6 People in the Team")</f>
        <v>Work &lt;=6 People in the Team</v>
      </c>
      <c r="Q1491" s="1" t="s">
        <v>43</v>
      </c>
      <c r="R1491" s="1"/>
    </row>
    <row r="1492" spans="1:18" x14ac:dyDescent="0.25">
      <c r="A1492" s="2">
        <f ca="1">IFERROR(__xludf.DUMMYFUNCTION("""COMPUTED_VALUE"""),45045.5354120717)</f>
        <v>45045.535412071702</v>
      </c>
      <c r="B1492" s="1" t="str">
        <f ca="1">IFERROR(__xludf.DUMMYFUNCTION("""COMPUTED_VALUE"""),"India")</f>
        <v>India</v>
      </c>
      <c r="C1492" s="1">
        <f ca="1">IFERROR(__xludf.DUMMYFUNCTION("""COMPUTED_VALUE"""),454775)</f>
        <v>454775</v>
      </c>
      <c r="D1492" s="1" t="str">
        <f ca="1">IFERROR(__xludf.DUMMYFUNCTION("""COMPUTED_VALUE"""),"Male")</f>
        <v>Male</v>
      </c>
      <c r="E1492" s="1" t="str">
        <f ca="1">IFERROR(__xludf.DUMMYFUNCTION("""COMPUTED_VALUE"""),"Social Media like LinkedIn")</f>
        <v>Social Media like LinkedIn</v>
      </c>
      <c r="F1492" s="1" t="str">
        <f ca="1">IFERROR(__xludf.DUMMYFUNCTION("""COMPUTED_VALUE"""),"No, But if someone could bare the cost I will")</f>
        <v>No, But if someone could bare the cost I will</v>
      </c>
      <c r="G1492" s="1" t="str">
        <f ca="1">IFERROR(__xludf.DUMMYFUNCTION("""COMPUTED_VALUE"""),"No way")</f>
        <v>No way</v>
      </c>
      <c r="H1492" s="1" t="str">
        <f ca="1">IFERROR(__xludf.DUMMYFUNCTION("""COMPUTED_VALUE"""),"Yes")</f>
        <v>Yes</v>
      </c>
      <c r="I1492" s="1" t="str">
        <f ca="1">IFERROR(__xludf.DUMMYFUNCTION("""COMPUTED_VALUE"""),"Will work for them")</f>
        <v>Will work for them</v>
      </c>
      <c r="J1492" s="1">
        <f ca="1">IFERROR(__xludf.DUMMYFUNCTION("""COMPUTED_VALUE"""),10)</f>
        <v>10</v>
      </c>
      <c r="K1492" s="1" t="str">
        <f ca="1">IFERROR(__xludf.DUMMYFUNCTION("""COMPUTED_VALUE"""),"Hybrid Working Environment with more than 15 days a month at office")</f>
        <v>Hybrid Working Environment with more than 15 days a month at office</v>
      </c>
      <c r="L1492" s="1" t="str">
        <f ca="1">IFERROR(__xludf.DUMMYFUNCTION("""COMPUTED_VALUE"""),"Employer who pushes your limits and doesn't enables learning environment and never rewards you")</f>
        <v>Employer who pushes your limits and doesn't enables learning environment and never rewards you</v>
      </c>
      <c r="M14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N1492" s="1"/>
      <c r="O1492" s="1" t="str">
        <f ca="1">IFERROR(__xludf.DUMMYFUNCTION("""COMPUTED_VALUE"""),"Manager who sets unrealistic targets")</f>
        <v>Manager who sets unrealistic targets</v>
      </c>
      <c r="P1492" s="1" t="str">
        <f ca="1">IFERROR(__xludf.DUMMYFUNCTION("""COMPUTED_VALUE"""),"Work alone")</f>
        <v>Work alone</v>
      </c>
      <c r="Q1492" s="1" t="s">
        <v>44</v>
      </c>
      <c r="R1492" s="1"/>
    </row>
    <row r="1493" spans="1:18" x14ac:dyDescent="0.25">
      <c r="A1493" s="2">
        <f ca="1">IFERROR(__xludf.DUMMYFUNCTION("""COMPUTED_VALUE"""),45045.5401687384)</f>
        <v>45045.5401687384</v>
      </c>
      <c r="B1493" s="1" t="str">
        <f ca="1">IFERROR(__xludf.DUMMYFUNCTION("""COMPUTED_VALUE"""),"India")</f>
        <v>India</v>
      </c>
      <c r="C1493" s="1">
        <f ca="1">IFERROR(__xludf.DUMMYFUNCTION("""COMPUTED_VALUE"""),40089)</f>
        <v>40089</v>
      </c>
      <c r="D1493" s="1" t="str">
        <f ca="1">IFERROR(__xludf.DUMMYFUNCTION("""COMPUTED_VALUE"""),"Female")</f>
        <v>Female</v>
      </c>
      <c r="E1493" s="1" t="str">
        <f ca="1">IFERROR(__xludf.DUMMYFUNCTION("""COMPUTED_VALUE"""),"People from my circle, but not family members")</f>
        <v>People from my circle, but not family members</v>
      </c>
      <c r="F1493" s="1" t="str">
        <f ca="1">IFERROR(__xludf.DUMMYFUNCTION("""COMPUTED_VALUE"""),"No, But if someone could bare the cost I will")</f>
        <v>No, But if someone could bare the cost I will</v>
      </c>
      <c r="G1493" s="1" t="str">
        <f ca="1">IFERROR(__xludf.DUMMYFUNCTION("""COMPUTED_VALUE"""),"Will work for 3 years or more")</f>
        <v>Will work for 3 years or more</v>
      </c>
      <c r="H1493" s="1" t="str">
        <f ca="1">IFERROR(__xludf.DUMMYFUNCTION("""COMPUTED_VALUE"""),"No")</f>
        <v>No</v>
      </c>
      <c r="I1493" s="1" t="str">
        <f ca="1">IFERROR(__xludf.DUMMYFUNCTION("""COMPUTED_VALUE"""),"Will NOT work for them")</f>
        <v>Will NOT work for them</v>
      </c>
      <c r="J1493" s="1">
        <f ca="1">IFERROR(__xludf.DUMMYFUNCTION("""COMPUTED_VALUE"""),5)</f>
        <v>5</v>
      </c>
      <c r="K1493" s="1" t="str">
        <f ca="1">IFERROR(__xludf.DUMMYFUNCTION("""COMPUTED_VALUE"""),"Hybrid Working Environment with less than 3 days a month at office")</f>
        <v>Hybrid Working Environment with less than 3 days a month at office</v>
      </c>
      <c r="L1493" s="1" t="str">
        <f ca="1">IFERROR(__xludf.DUMMYFUNCTION("""COMPUTED_VALUE"""),"Employer who pushes your limits by enabling an learning environment, and rewards you at the end")</f>
        <v>Employer who pushes your limits by enabling an learning environment, and rewards you at the end</v>
      </c>
      <c r="M149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493" s="1"/>
      <c r="O1493" s="1" t="str">
        <f ca="1">IFERROR(__xludf.DUMMYFUNCTION("""COMPUTED_VALUE"""),"Manager who explains what is expected, sets a goal and helps achieve it")</f>
        <v>Manager who explains what is expected, sets a goal and helps achieve it</v>
      </c>
      <c r="P1493" s="1" t="str">
        <f ca="1">IFERROR(__xludf.DUMMYFUNCTION("""COMPUTED_VALUE"""),"Work &lt;=6 People in the Team")</f>
        <v>Work &lt;=6 People in the Team</v>
      </c>
      <c r="Q1493" s="1" t="s">
        <v>43</v>
      </c>
      <c r="R1493" s="1"/>
    </row>
    <row r="1494" spans="1:18" x14ac:dyDescent="0.25">
      <c r="A1494" s="2">
        <f ca="1">IFERROR(__xludf.DUMMYFUNCTION("""COMPUTED_VALUE"""),45045.5448998958)</f>
        <v>45045.544899895802</v>
      </c>
      <c r="B1494" s="1" t="str">
        <f ca="1">IFERROR(__xludf.DUMMYFUNCTION("""COMPUTED_VALUE"""),"India")</f>
        <v>India</v>
      </c>
      <c r="C1494" s="1">
        <f ca="1">IFERROR(__xludf.DUMMYFUNCTION("""COMPUTED_VALUE"""),122052)</f>
        <v>122052</v>
      </c>
      <c r="D1494" s="1" t="str">
        <f ca="1">IFERROR(__xludf.DUMMYFUNCTION("""COMPUTED_VALUE"""),"Female")</f>
        <v>Female</v>
      </c>
      <c r="E1494" s="1" t="str">
        <f ca="1">IFERROR(__xludf.DUMMYFUNCTION("""COMPUTED_VALUE"""),"Social Media like LinkedIn")</f>
        <v>Social Media like LinkedIn</v>
      </c>
      <c r="F1494" s="1" t="str">
        <f ca="1">IFERROR(__xludf.DUMMYFUNCTION("""COMPUTED_VALUE"""),"No, But if someone could bare the cost I will")</f>
        <v>No, But if someone could bare the cost I will</v>
      </c>
      <c r="G1494" s="1" t="str">
        <f ca="1">IFERROR(__xludf.DUMMYFUNCTION("""COMPUTED_VALUE"""),"Will work for 3 years or more")</f>
        <v>Will work for 3 years or more</v>
      </c>
      <c r="H1494" s="1" t="str">
        <f ca="1">IFERROR(__xludf.DUMMYFUNCTION("""COMPUTED_VALUE"""),"Yes")</f>
        <v>Yes</v>
      </c>
      <c r="I1494" s="1" t="str">
        <f ca="1">IFERROR(__xludf.DUMMYFUNCTION("""COMPUTED_VALUE"""),"Will NOT work for them")</f>
        <v>Will NOT work for them</v>
      </c>
      <c r="J1494" s="1">
        <f ca="1">IFERROR(__xludf.DUMMYFUNCTION("""COMPUTED_VALUE"""),4)</f>
        <v>4</v>
      </c>
      <c r="K1494" s="1" t="str">
        <f ca="1">IFERROR(__xludf.DUMMYFUNCTION("""COMPUTED_VALUE"""),"Hybrid Working Environment with less than 3 days a month at office")</f>
        <v>Hybrid Working Environment with less than 3 days a month at office</v>
      </c>
      <c r="L1494" s="1" t="str">
        <f ca="1">IFERROR(__xludf.DUMMYFUNCTION("""COMPUTED_VALUE"""),"Employer who pushes your limits by enabling an learning environment, and rewards you at the end")</f>
        <v>Employer who pushes your limits by enabling an learning environment, and rewards you at the end</v>
      </c>
      <c r="M149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N1494" s="1"/>
      <c r="O1494" s="1" t="str">
        <f ca="1">IFERROR(__xludf.DUMMYFUNCTION("""COMPUTED_VALUE"""),"Manager who explains what is expected, sets a goal and helps achieve it")</f>
        <v>Manager who explains what is expected, sets a goal and helps achieve it</v>
      </c>
      <c r="P1494" s="1" t="str">
        <f ca="1">IFERROR(__xludf.DUMMYFUNCTION("""COMPUTED_VALUE"""),"Work &lt;=6 People in the Team")</f>
        <v>Work &lt;=6 People in the Team</v>
      </c>
      <c r="Q1494" s="1" t="s">
        <v>40</v>
      </c>
      <c r="R1494" s="1"/>
    </row>
    <row r="1495" spans="1:18" x14ac:dyDescent="0.25">
      <c r="A1495" s="2">
        <f ca="1">IFERROR(__xludf.DUMMYFUNCTION("""COMPUTED_VALUE"""),45045.5615088194)</f>
        <v>45045.561508819403</v>
      </c>
      <c r="B1495" s="1" t="str">
        <f ca="1">IFERROR(__xludf.DUMMYFUNCTION("""COMPUTED_VALUE"""),"India")</f>
        <v>India</v>
      </c>
      <c r="C1495" s="1">
        <f ca="1">IFERROR(__xludf.DUMMYFUNCTION("""COMPUTED_VALUE"""),560048)</f>
        <v>560048</v>
      </c>
      <c r="D1495" s="1" t="str">
        <f ca="1">IFERROR(__xludf.DUMMYFUNCTION("""COMPUTED_VALUE"""),"Male")</f>
        <v>Male</v>
      </c>
      <c r="E1495" s="1" t="str">
        <f ca="1">IFERROR(__xludf.DUMMYFUNCTION("""COMPUTED_VALUE"""),"My Parents")</f>
        <v>My Parents</v>
      </c>
      <c r="F1495" s="1" t="str">
        <f ca="1">IFERROR(__xludf.DUMMYFUNCTION("""COMPUTED_VALUE"""),"Yes, I will earn and do that")</f>
        <v>Yes, I will earn and do that</v>
      </c>
      <c r="G1495" s="1" t="str">
        <f ca="1">IFERROR(__xludf.DUMMYFUNCTION("""COMPUTED_VALUE"""),"This will be hard to do, but if it is the right company I would try")</f>
        <v>This will be hard to do, but if it is the right company I would try</v>
      </c>
      <c r="H1495" s="1" t="str">
        <f ca="1">IFERROR(__xludf.DUMMYFUNCTION("""COMPUTED_VALUE"""),"No")</f>
        <v>No</v>
      </c>
      <c r="I1495" s="1" t="str">
        <f ca="1">IFERROR(__xludf.DUMMYFUNCTION("""COMPUTED_VALUE"""),"Will NOT work for them")</f>
        <v>Will NOT work for them</v>
      </c>
      <c r="J1495" s="1">
        <f ca="1">IFERROR(__xludf.DUMMYFUNCTION("""COMPUTED_VALUE"""),5)</f>
        <v>5</v>
      </c>
      <c r="K1495" s="1" t="str">
        <f ca="1">IFERROR(__xludf.DUMMYFUNCTION("""COMPUTED_VALUE"""),"Hybrid Working Environment with more than 15 days a month at office")</f>
        <v>Hybrid Working Environment with more than 15 days a month at office</v>
      </c>
      <c r="L1495" s="1" t="str">
        <f ca="1">IFERROR(__xludf.DUMMYFUNCTION("""COMPUTED_VALUE"""),"Employer who pushes your limits by enabling an learning environment, and rewards you at the end")</f>
        <v>Employer who pushes your limits by enabling an learning environment, and rewards you at the end</v>
      </c>
      <c r="M1495"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N1495" s="1"/>
      <c r="O1495" s="1" t="str">
        <f ca="1">IFERROR(__xludf.DUMMYFUNCTION("""COMPUTED_VALUE"""),"Manager who explains what is expected, sets a goal and helps achieve it")</f>
        <v>Manager who explains what is expected, sets a goal and helps achieve it</v>
      </c>
      <c r="P1495" s="1" t="str">
        <f ca="1">IFERROR(__xludf.DUMMYFUNCTION("""COMPUTED_VALUE"""),"Work &gt;=7 People in the Team")</f>
        <v>Work &gt;=7 People in the Team</v>
      </c>
      <c r="Q1495" s="1" t="s">
        <v>40</v>
      </c>
      <c r="R1495" s="1"/>
    </row>
    <row r="1496" spans="1:18" x14ac:dyDescent="0.25">
      <c r="A1496" s="2">
        <f ca="1">IFERROR(__xludf.DUMMYFUNCTION("""COMPUTED_VALUE"""),45045.5634289814)</f>
        <v>45045.563428981397</v>
      </c>
      <c r="B1496" s="1" t="str">
        <f ca="1">IFERROR(__xludf.DUMMYFUNCTION("""COMPUTED_VALUE"""),"India")</f>
        <v>India</v>
      </c>
      <c r="C1496" s="1">
        <f ca="1">IFERROR(__xludf.DUMMYFUNCTION("""COMPUTED_VALUE"""),440023)</f>
        <v>440023</v>
      </c>
      <c r="D1496" s="1" t="str">
        <f ca="1">IFERROR(__xludf.DUMMYFUNCTION("""COMPUTED_VALUE"""),"Male")</f>
        <v>Male</v>
      </c>
      <c r="E1496" s="1" t="str">
        <f ca="1">IFERROR(__xludf.DUMMYFUNCTION("""COMPUTED_VALUE"""),"My Parents")</f>
        <v>My Parents</v>
      </c>
      <c r="F1496" s="1" t="str">
        <f ca="1">IFERROR(__xludf.DUMMYFUNCTION("""COMPUTED_VALUE"""),"No, But if someone could bare the cost I will")</f>
        <v>No, But if someone could bare the cost I will</v>
      </c>
      <c r="G1496" s="1" t="str">
        <f ca="1">IFERROR(__xludf.DUMMYFUNCTION("""COMPUTED_VALUE"""),"Will work for 3 years or more")</f>
        <v>Will work for 3 years or more</v>
      </c>
      <c r="H1496" s="1" t="str">
        <f ca="1">IFERROR(__xludf.DUMMYFUNCTION("""COMPUTED_VALUE"""),"No")</f>
        <v>No</v>
      </c>
      <c r="I1496" s="1" t="str">
        <f ca="1">IFERROR(__xludf.DUMMYFUNCTION("""COMPUTED_VALUE"""),"Will NOT work for them")</f>
        <v>Will NOT work for them</v>
      </c>
      <c r="J1496" s="1">
        <f ca="1">IFERROR(__xludf.DUMMYFUNCTION("""COMPUTED_VALUE"""),1)</f>
        <v>1</v>
      </c>
      <c r="K1496" s="1" t="str">
        <f ca="1">IFERROR(__xludf.DUMMYFUNCTION("""COMPUTED_VALUE"""),"Fully Remote with Options to travel as and when needed")</f>
        <v>Fully Remote with Options to travel as and when needed</v>
      </c>
      <c r="L1496" s="1" t="str">
        <f ca="1">IFERROR(__xludf.DUMMYFUNCTION("""COMPUTED_VALUE"""),"Employer who appreciates learning and enables that environment")</f>
        <v>Employer who appreciates learning and enables that environment</v>
      </c>
      <c r="M149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496" s="1"/>
      <c r="O1496" s="1" t="str">
        <f ca="1">IFERROR(__xludf.DUMMYFUNCTION("""COMPUTED_VALUE"""),"Manager who explains what is expected, sets a goal and helps achieve it")</f>
        <v>Manager who explains what is expected, sets a goal and helps achieve it</v>
      </c>
      <c r="P1496" s="1" t="str">
        <f ca="1">IFERROR(__xludf.DUMMYFUNCTION("""COMPUTED_VALUE"""),"Work &lt;=6 People in the Team")</f>
        <v>Work &lt;=6 People in the Team</v>
      </c>
      <c r="Q1496" s="1" t="s">
        <v>40</v>
      </c>
      <c r="R1496" s="1"/>
    </row>
    <row r="1497" spans="1:18" x14ac:dyDescent="0.25">
      <c r="A1497" s="2">
        <f ca="1">IFERROR(__xludf.DUMMYFUNCTION("""COMPUTED_VALUE"""),45045.5641728125)</f>
        <v>45045.564172812497</v>
      </c>
      <c r="B1497" s="1" t="str">
        <f ca="1">IFERROR(__xludf.DUMMYFUNCTION("""COMPUTED_VALUE"""),"India")</f>
        <v>India</v>
      </c>
      <c r="C1497" s="1">
        <f ca="1">IFERROR(__xludf.DUMMYFUNCTION("""COMPUTED_VALUE"""),560093)</f>
        <v>560093</v>
      </c>
      <c r="D1497" s="1" t="str">
        <f ca="1">IFERROR(__xludf.DUMMYFUNCTION("""COMPUTED_VALUE"""),"Female")</f>
        <v>Female</v>
      </c>
      <c r="E1497" s="1" t="str">
        <f ca="1">IFERROR(__xludf.DUMMYFUNCTION("""COMPUTED_VALUE"""),"My Parents")</f>
        <v>My Parents</v>
      </c>
      <c r="F1497" s="1" t="str">
        <f ca="1">IFERROR(__xludf.DUMMYFUNCTION("""COMPUTED_VALUE"""),"No, But if someone could bare the cost I will")</f>
        <v>No, But if someone could bare the cost I will</v>
      </c>
      <c r="G1497" s="1" t="str">
        <f ca="1">IFERROR(__xludf.DUMMYFUNCTION("""COMPUTED_VALUE"""),"Will work for 3 years or more")</f>
        <v>Will work for 3 years or more</v>
      </c>
      <c r="H1497" s="1" t="str">
        <f ca="1">IFERROR(__xludf.DUMMYFUNCTION("""COMPUTED_VALUE"""),"Yes")</f>
        <v>Yes</v>
      </c>
      <c r="I1497" s="1" t="str">
        <f ca="1">IFERROR(__xludf.DUMMYFUNCTION("""COMPUTED_VALUE"""),"Will work for them")</f>
        <v>Will work for them</v>
      </c>
      <c r="J1497" s="1">
        <f ca="1">IFERROR(__xludf.DUMMYFUNCTION("""COMPUTED_VALUE"""),10)</f>
        <v>10</v>
      </c>
      <c r="K1497" s="1" t="str">
        <f ca="1">IFERROR(__xludf.DUMMYFUNCTION("""COMPUTED_VALUE"""),"Fully Remote with Options to travel as and when needed")</f>
        <v>Fully Remote with Options to travel as and when needed</v>
      </c>
      <c r="L1497" s="1" t="str">
        <f ca="1">IFERROR(__xludf.DUMMYFUNCTION("""COMPUTED_VALUE"""),"Employer who appreciates learning and enables that environment")</f>
        <v>Employer who appreciates learning and enables that environment</v>
      </c>
      <c r="M1497"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N1497" s="1"/>
      <c r="O1497" s="1" t="str">
        <f ca="1">IFERROR(__xludf.DUMMYFUNCTION("""COMPUTED_VALUE"""),"Manager who clearly describes what she/he needs")</f>
        <v>Manager who clearly describes what she/he needs</v>
      </c>
      <c r="P1497" s="1" t="str">
        <f ca="1">IFERROR(__xludf.DUMMYFUNCTION("""COMPUTED_VALUE"""),"Work &gt;=7 People in the Team")</f>
        <v>Work &gt;=7 People in the Team</v>
      </c>
      <c r="Q1497" s="1" t="s">
        <v>40</v>
      </c>
      <c r="R1497" s="1"/>
    </row>
    <row r="1498" spans="1:18" x14ac:dyDescent="0.25">
      <c r="A1498" s="2">
        <f ca="1">IFERROR(__xludf.DUMMYFUNCTION("""COMPUTED_VALUE"""),45045.57889125)</f>
        <v>45045.578891249999</v>
      </c>
      <c r="B1498" s="1" t="str">
        <f ca="1">IFERROR(__xludf.DUMMYFUNCTION("""COMPUTED_VALUE"""),"India")</f>
        <v>India</v>
      </c>
      <c r="C1498" s="1">
        <f ca="1">IFERROR(__xludf.DUMMYFUNCTION("""COMPUTED_VALUE"""),431122)</f>
        <v>431122</v>
      </c>
      <c r="D1498" s="1" t="str">
        <f ca="1">IFERROR(__xludf.DUMMYFUNCTION("""COMPUTED_VALUE"""),"Male")</f>
        <v>Male</v>
      </c>
      <c r="E1498" s="1" t="str">
        <f ca="1">IFERROR(__xludf.DUMMYFUNCTION("""COMPUTED_VALUE"""),"My Parents")</f>
        <v>My Parents</v>
      </c>
      <c r="F1498" s="1" t="str">
        <f ca="1">IFERROR(__xludf.DUMMYFUNCTION("""COMPUTED_VALUE"""),"Yes, I will earn and do that")</f>
        <v>Yes, I will earn and do that</v>
      </c>
      <c r="G1498" s="1" t="str">
        <f ca="1">IFERROR(__xludf.DUMMYFUNCTION("""COMPUTED_VALUE"""),"Will work for 3 years or more")</f>
        <v>Will work for 3 years or more</v>
      </c>
      <c r="H1498" s="1" t="str">
        <f ca="1">IFERROR(__xludf.DUMMYFUNCTION("""COMPUTED_VALUE"""),"No")</f>
        <v>No</v>
      </c>
      <c r="I1498" s="1" t="str">
        <f ca="1">IFERROR(__xludf.DUMMYFUNCTION("""COMPUTED_VALUE"""),"Will NOT work for them")</f>
        <v>Will NOT work for them</v>
      </c>
      <c r="J1498" s="1">
        <f ca="1">IFERROR(__xludf.DUMMYFUNCTION("""COMPUTED_VALUE"""),8)</f>
        <v>8</v>
      </c>
      <c r="K1498" s="1" t="str">
        <f ca="1">IFERROR(__xludf.DUMMYFUNCTION("""COMPUTED_VALUE"""),"Fully Remote with Options to travel as and when needed")</f>
        <v>Fully Remote with Options to travel as and when needed</v>
      </c>
      <c r="L1498" s="1" t="str">
        <f ca="1">IFERROR(__xludf.DUMMYFUNCTION("""COMPUTED_VALUE"""),"Employer who appreciates learning and enables that environment")</f>
        <v>Employer who appreciates learning and enables that environment</v>
      </c>
      <c r="M1498"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N1498" s="1"/>
      <c r="O1498" s="1" t="str">
        <f ca="1">IFERROR(__xludf.DUMMYFUNCTION("""COMPUTED_VALUE"""),"Manager who explains what is expected, sets a goal and helps achieve it")</f>
        <v>Manager who explains what is expected, sets a goal and helps achieve it</v>
      </c>
      <c r="P1498" s="1" t="str">
        <f ca="1">IFERROR(__xludf.DUMMYFUNCTION("""COMPUTED_VALUE"""),"Work &gt;=7 People in the Team")</f>
        <v>Work &gt;=7 People in the Team</v>
      </c>
      <c r="Q1498" s="1" t="s">
        <v>43</v>
      </c>
      <c r="R1498" s="1"/>
    </row>
    <row r="1499" spans="1:18" x14ac:dyDescent="0.25">
      <c r="A1499" s="2">
        <f ca="1">IFERROR(__xludf.DUMMYFUNCTION("""COMPUTED_VALUE"""),45045.5802555671)</f>
        <v>45045.580255567103</v>
      </c>
      <c r="B1499" s="1" t="str">
        <f ca="1">IFERROR(__xludf.DUMMYFUNCTION("""COMPUTED_VALUE"""),"India")</f>
        <v>India</v>
      </c>
      <c r="C1499" s="1">
        <f ca="1">IFERROR(__xludf.DUMMYFUNCTION("""COMPUTED_VALUE"""),530068)</f>
        <v>530068</v>
      </c>
      <c r="D1499" s="1" t="str">
        <f ca="1">IFERROR(__xludf.DUMMYFUNCTION("""COMPUTED_VALUE"""),"Male")</f>
        <v>Male</v>
      </c>
      <c r="E1499" s="1" t="str">
        <f ca="1">IFERROR(__xludf.DUMMYFUNCTION("""COMPUTED_VALUE"""),"My Parents")</f>
        <v>My Parents</v>
      </c>
      <c r="F1499" s="1" t="str">
        <f ca="1">IFERROR(__xludf.DUMMYFUNCTION("""COMPUTED_VALUE"""),"Yes, I will earn and do that")</f>
        <v>Yes, I will earn and do that</v>
      </c>
      <c r="G1499" s="1" t="str">
        <f ca="1">IFERROR(__xludf.DUMMYFUNCTION("""COMPUTED_VALUE"""),"This will be hard to do, but if it is the right company I would try")</f>
        <v>This will be hard to do, but if it is the right company I would try</v>
      </c>
      <c r="H1499" s="1" t="str">
        <f ca="1">IFERROR(__xludf.DUMMYFUNCTION("""COMPUTED_VALUE"""),"No")</f>
        <v>No</v>
      </c>
      <c r="I1499" s="1" t="str">
        <f ca="1">IFERROR(__xludf.DUMMYFUNCTION("""COMPUTED_VALUE"""),"Will NOT work for them")</f>
        <v>Will NOT work for them</v>
      </c>
      <c r="J1499" s="1">
        <f ca="1">IFERROR(__xludf.DUMMYFUNCTION("""COMPUTED_VALUE"""),1)</f>
        <v>1</v>
      </c>
      <c r="K1499" s="1" t="str">
        <f ca="1">IFERROR(__xludf.DUMMYFUNCTION("""COMPUTED_VALUE"""),"Hybrid Working Environment with less than 3 days a month at office")</f>
        <v>Hybrid Working Environment with less than 3 days a month at office</v>
      </c>
      <c r="L1499" s="1" t="str">
        <f ca="1">IFERROR(__xludf.DUMMYFUNCTION("""COMPUTED_VALUE"""),"Employer who appreciates learning and enables that environment")</f>
        <v>Employer who appreciates learning and enables that environment</v>
      </c>
      <c r="M149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1499" s="1"/>
      <c r="O1499" s="1" t="str">
        <f ca="1">IFERROR(__xludf.DUMMYFUNCTION("""COMPUTED_VALUE"""),"Manager who explains what is expected, sets a goal and helps achieve it")</f>
        <v>Manager who explains what is expected, sets a goal and helps achieve it</v>
      </c>
      <c r="P1499" s="1" t="str">
        <f ca="1">IFERROR(__xludf.DUMMYFUNCTION("""COMPUTED_VALUE"""),"Work &gt;10 people in Team")</f>
        <v>Work &gt;10 people in Team</v>
      </c>
      <c r="Q1499" s="1" t="s">
        <v>40</v>
      </c>
      <c r="R1499" s="1"/>
    </row>
    <row r="1500" spans="1:18" x14ac:dyDescent="0.25">
      <c r="A1500" s="2">
        <f ca="1">IFERROR(__xludf.DUMMYFUNCTION("""COMPUTED_VALUE"""),45045.6004709722)</f>
        <v>45045.600470972196</v>
      </c>
      <c r="B1500" s="1" t="str">
        <f ca="1">IFERROR(__xludf.DUMMYFUNCTION("""COMPUTED_VALUE"""),"India")</f>
        <v>India</v>
      </c>
      <c r="C1500" s="1">
        <f ca="1">IFERROR(__xludf.DUMMYFUNCTION("""COMPUTED_VALUE"""),313002)</f>
        <v>313002</v>
      </c>
      <c r="D1500" s="1" t="str">
        <f ca="1">IFERROR(__xludf.DUMMYFUNCTION("""COMPUTED_VALUE"""),"Female")</f>
        <v>Female</v>
      </c>
      <c r="E1500" s="1" t="str">
        <f ca="1">IFERROR(__xludf.DUMMYFUNCTION("""COMPUTED_VALUE"""),"My Parents")</f>
        <v>My Parents</v>
      </c>
      <c r="F1500" s="1" t="str">
        <f ca="1">IFERROR(__xludf.DUMMYFUNCTION("""COMPUTED_VALUE"""),"No, But if someone could bare the cost I will")</f>
        <v>No, But if someone could bare the cost I will</v>
      </c>
      <c r="G1500" s="1" t="str">
        <f ca="1">IFERROR(__xludf.DUMMYFUNCTION("""COMPUTED_VALUE"""),"Will work for 3 years or more")</f>
        <v>Will work for 3 years or more</v>
      </c>
      <c r="H1500" s="1" t="str">
        <f ca="1">IFERROR(__xludf.DUMMYFUNCTION("""COMPUTED_VALUE"""),"No")</f>
        <v>No</v>
      </c>
      <c r="I1500" s="1" t="str">
        <f ca="1">IFERROR(__xludf.DUMMYFUNCTION("""COMPUTED_VALUE"""),"Will NOT work for them")</f>
        <v>Will NOT work for them</v>
      </c>
      <c r="J1500" s="1">
        <f ca="1">IFERROR(__xludf.DUMMYFUNCTION("""COMPUTED_VALUE"""),5)</f>
        <v>5</v>
      </c>
      <c r="K1500" s="1" t="str">
        <f ca="1">IFERROR(__xludf.DUMMYFUNCTION("""COMPUTED_VALUE"""),"Hybrid Working Environment with more than 15 days a month at office")</f>
        <v>Hybrid Working Environment with more than 15 days a month at office</v>
      </c>
      <c r="L1500" s="1" t="str">
        <f ca="1">IFERROR(__xludf.DUMMYFUNCTION("""COMPUTED_VALUE"""),"Employer who pushes your limits by enabling an learning environment, and rewards you at the end")</f>
        <v>Employer who pushes your limits by enabling an learning environment, and rewards you at the end</v>
      </c>
      <c r="M150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N1500" s="1"/>
      <c r="O1500" s="1" t="str">
        <f ca="1">IFERROR(__xludf.DUMMYFUNCTION("""COMPUTED_VALUE"""),"Manager who sets goal and helps me achieve it")</f>
        <v>Manager who sets goal and helps me achieve it</v>
      </c>
      <c r="P1500" s="1" t="str">
        <f ca="1">IFERROR(__xludf.DUMMYFUNCTION("""COMPUTED_VALUE"""),"Work &lt;=6 People in the Team")</f>
        <v>Work &lt;=6 People in the Team</v>
      </c>
      <c r="Q1500" s="1" t="s">
        <v>43</v>
      </c>
      <c r="R1500" s="1"/>
    </row>
    <row r="1501" spans="1:18" x14ac:dyDescent="0.25">
      <c r="A1501" s="2">
        <f ca="1">IFERROR(__xludf.DUMMYFUNCTION("""COMPUTED_VALUE"""),45045.6054785648)</f>
        <v>45045.605478564801</v>
      </c>
      <c r="B1501" s="1" t="str">
        <f ca="1">IFERROR(__xludf.DUMMYFUNCTION("""COMPUTED_VALUE"""),"India")</f>
        <v>India</v>
      </c>
      <c r="C1501" s="1">
        <f ca="1">IFERROR(__xludf.DUMMYFUNCTION("""COMPUTED_VALUE"""),395006)</f>
        <v>395006</v>
      </c>
      <c r="D1501" s="1" t="str">
        <f ca="1">IFERROR(__xludf.DUMMYFUNCTION("""COMPUTED_VALUE"""),"Male")</f>
        <v>Male</v>
      </c>
      <c r="E1501" s="1" t="str">
        <f ca="1">IFERROR(__xludf.DUMMYFUNCTION("""COMPUTED_VALUE"""),"People from my circle, but not family members")</f>
        <v>People from my circle, but not family members</v>
      </c>
      <c r="F1501" s="1" t="str">
        <f ca="1">IFERROR(__xludf.DUMMYFUNCTION("""COMPUTED_VALUE"""),"Yes, I will earn and do that")</f>
        <v>Yes, I will earn and do that</v>
      </c>
      <c r="G1501" s="1" t="str">
        <f ca="1">IFERROR(__xludf.DUMMYFUNCTION("""COMPUTED_VALUE"""),"This will be hard to do, but if it is the right company I would try")</f>
        <v>This will be hard to do, but if it is the right company I would try</v>
      </c>
      <c r="H1501" s="1" t="str">
        <f ca="1">IFERROR(__xludf.DUMMYFUNCTION("""COMPUTED_VALUE"""),"No")</f>
        <v>No</v>
      </c>
      <c r="I1501" s="1" t="str">
        <f ca="1">IFERROR(__xludf.DUMMYFUNCTION("""COMPUTED_VALUE"""),"Will NOT work for them")</f>
        <v>Will NOT work for them</v>
      </c>
      <c r="J1501" s="1">
        <f ca="1">IFERROR(__xludf.DUMMYFUNCTION("""COMPUTED_VALUE"""),1)</f>
        <v>1</v>
      </c>
      <c r="K1501" s="1" t="str">
        <f ca="1">IFERROR(__xludf.DUMMYFUNCTION("""COMPUTED_VALUE"""),"Every Day Office Environment")</f>
        <v>Every Day Office Environment</v>
      </c>
      <c r="L1501" s="1" t="str">
        <f ca="1">IFERROR(__xludf.DUMMYFUNCTION("""COMPUTED_VALUE"""),"Employer who pushes your limits by enabling an learning environment, and rewards you at the end")</f>
        <v>Employer who pushes your limits by enabling an learning environment, and rewards you at the end</v>
      </c>
      <c r="M1501"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N1501" s="1"/>
      <c r="O1501" s="1" t="str">
        <f ca="1">IFERROR(__xludf.DUMMYFUNCTION("""COMPUTED_VALUE"""),"Manager who sets goal and helps me achieve it")</f>
        <v>Manager who sets goal and helps me achieve it</v>
      </c>
      <c r="P1501" s="1" t="str">
        <f ca="1">IFERROR(__xludf.DUMMYFUNCTION("""COMPUTED_VALUE"""),"Work &lt;=6 People in the Team")</f>
        <v>Work &lt;=6 People in the Team</v>
      </c>
      <c r="Q1501" s="1" t="s">
        <v>42</v>
      </c>
      <c r="R1501" s="1"/>
    </row>
    <row r="1502" spans="1:18" x14ac:dyDescent="0.25">
      <c r="A1502" s="2">
        <f ca="1">IFERROR(__xludf.DUMMYFUNCTION("""COMPUTED_VALUE"""),45045.6157628588)</f>
        <v>45045.615762858797</v>
      </c>
      <c r="B1502" s="1" t="str">
        <f ca="1">IFERROR(__xludf.DUMMYFUNCTION("""COMPUTED_VALUE"""),"India")</f>
        <v>India</v>
      </c>
      <c r="C1502" s="1">
        <f ca="1">IFERROR(__xludf.DUMMYFUNCTION("""COMPUTED_VALUE"""),600097)</f>
        <v>600097</v>
      </c>
      <c r="D1502" s="1" t="str">
        <f ca="1">IFERROR(__xludf.DUMMYFUNCTION("""COMPUTED_VALUE"""),"Male")</f>
        <v>Male</v>
      </c>
      <c r="E1502" s="1" t="str">
        <f ca="1">IFERROR(__xludf.DUMMYFUNCTION("""COMPUTED_VALUE"""),"My Parents")</f>
        <v>My Parents</v>
      </c>
      <c r="F1502" s="1" t="str">
        <f ca="1">IFERROR(__xludf.DUMMYFUNCTION("""COMPUTED_VALUE"""),"No, But if someone could bare the cost I will")</f>
        <v>No, But if someone could bare the cost I will</v>
      </c>
      <c r="G1502" s="1" t="str">
        <f ca="1">IFERROR(__xludf.DUMMYFUNCTION("""COMPUTED_VALUE"""),"This will be hard to do, but if it is the right company I would try")</f>
        <v>This will be hard to do, but if it is the right company I would try</v>
      </c>
      <c r="H1502" s="1" t="str">
        <f ca="1">IFERROR(__xludf.DUMMYFUNCTION("""COMPUTED_VALUE"""),"Yes")</f>
        <v>Yes</v>
      </c>
      <c r="I1502" s="1" t="str">
        <f ca="1">IFERROR(__xludf.DUMMYFUNCTION("""COMPUTED_VALUE"""),"Will work for them")</f>
        <v>Will work for them</v>
      </c>
      <c r="J1502" s="1">
        <f ca="1">IFERROR(__xludf.DUMMYFUNCTION("""COMPUTED_VALUE"""),10)</f>
        <v>10</v>
      </c>
      <c r="K1502" s="1" t="str">
        <f ca="1">IFERROR(__xludf.DUMMYFUNCTION("""COMPUTED_VALUE"""),"Hybrid Working Environment with more than 15 days a month at office")</f>
        <v>Hybrid Working Environment with more than 15 days a month at office</v>
      </c>
      <c r="L1502" s="1" t="str">
        <f ca="1">IFERROR(__xludf.DUMMYFUNCTION("""COMPUTED_VALUE"""),"Employer who rewards learning and enables that environment")</f>
        <v>Employer who rewards learning and enables that environment</v>
      </c>
      <c r="M1502"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N1502" s="1"/>
      <c r="O1502" s="1" t="str">
        <f ca="1">IFERROR(__xludf.DUMMYFUNCTION("""COMPUTED_VALUE"""),"Manager who explains what is expected, sets a goal and helps achieve it")</f>
        <v>Manager who explains what is expected, sets a goal and helps achieve it</v>
      </c>
      <c r="P1502" s="1" t="str">
        <f ca="1">IFERROR(__xludf.DUMMYFUNCTION("""COMPUTED_VALUE"""),"Work  &lt;67 people in team")</f>
        <v>Work  &lt;67 people in team</v>
      </c>
      <c r="Q1502" s="1" t="s">
        <v>43</v>
      </c>
      <c r="R1502" s="1"/>
    </row>
    <row r="1503" spans="1:18" x14ac:dyDescent="0.25">
      <c r="A1503" s="2">
        <f ca="1">IFERROR(__xludf.DUMMYFUNCTION("""COMPUTED_VALUE"""),45045.6175001851)</f>
        <v>45045.617500185101</v>
      </c>
      <c r="B1503" s="1" t="str">
        <f ca="1">IFERROR(__xludf.DUMMYFUNCTION("""COMPUTED_VALUE"""),"India")</f>
        <v>India</v>
      </c>
      <c r="C1503" s="1">
        <f ca="1">IFERROR(__xludf.DUMMYFUNCTION("""COMPUTED_VALUE"""),421301)</f>
        <v>421301</v>
      </c>
      <c r="D1503" s="1" t="str">
        <f ca="1">IFERROR(__xludf.DUMMYFUNCTION("""COMPUTED_VALUE"""),"Female")</f>
        <v>Female</v>
      </c>
      <c r="E1503" s="1" t="str">
        <f ca="1">IFERROR(__xludf.DUMMYFUNCTION("""COMPUTED_VALUE"""),"My Parents")</f>
        <v>My Parents</v>
      </c>
      <c r="F1503" s="1" t="str">
        <f ca="1">IFERROR(__xludf.DUMMYFUNCTION("""COMPUTED_VALUE"""),"No I would not be pursuing Higher Education outside of India")</f>
        <v>No I would not be pursuing Higher Education outside of India</v>
      </c>
      <c r="G1503" s="1" t="str">
        <f ca="1">IFERROR(__xludf.DUMMYFUNCTION("""COMPUTED_VALUE"""),"This will be hard to do, but if it is the right company I would try")</f>
        <v>This will be hard to do, but if it is the right company I would try</v>
      </c>
      <c r="H1503" s="1" t="str">
        <f ca="1">IFERROR(__xludf.DUMMYFUNCTION("""COMPUTED_VALUE"""),"No")</f>
        <v>No</v>
      </c>
      <c r="I1503" s="1" t="str">
        <f ca="1">IFERROR(__xludf.DUMMYFUNCTION("""COMPUTED_VALUE"""),"Will NOT work for them")</f>
        <v>Will NOT work for them</v>
      </c>
      <c r="J1503" s="1">
        <f ca="1">IFERROR(__xludf.DUMMYFUNCTION("""COMPUTED_VALUE"""),5)</f>
        <v>5</v>
      </c>
      <c r="K1503" s="1" t="str">
        <f ca="1">IFERROR(__xludf.DUMMYFUNCTION("""COMPUTED_VALUE"""),"Hybrid Working Environment with more than 15 days a month at office")</f>
        <v>Hybrid Working Environment with more than 15 days a month at office</v>
      </c>
      <c r="L1503" s="1" t="str">
        <f ca="1">IFERROR(__xludf.DUMMYFUNCTION("""COMPUTED_VALUE"""),"Employer who appreciates learning and enables that environment")</f>
        <v>Employer who appreciates learning and enables that environment</v>
      </c>
      <c r="M150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503" s="1"/>
      <c r="O1503" s="1" t="str">
        <f ca="1">IFERROR(__xludf.DUMMYFUNCTION("""COMPUTED_VALUE"""),"Manager who explains what is expected, sets a goal and helps achieve it")</f>
        <v>Manager who explains what is expected, sets a goal and helps achieve it</v>
      </c>
      <c r="P1503" s="1" t="str">
        <f ca="1">IFERROR(__xludf.DUMMYFUNCTION("""COMPUTED_VALUE"""),"Work Alone, &lt;=6 in team")</f>
        <v>Work Alone, &lt;=6 in team</v>
      </c>
      <c r="Q1503" s="1" t="s">
        <v>43</v>
      </c>
      <c r="R1503" s="1"/>
    </row>
    <row r="1504" spans="1:18" x14ac:dyDescent="0.25">
      <c r="A1504" s="2">
        <f ca="1">IFERROR(__xludf.DUMMYFUNCTION("""COMPUTED_VALUE"""),45045.6179723263)</f>
        <v>45045.617972326298</v>
      </c>
      <c r="B1504" s="1" t="str">
        <f ca="1">IFERROR(__xludf.DUMMYFUNCTION("""COMPUTED_VALUE"""),"India")</f>
        <v>India</v>
      </c>
      <c r="C1504" s="1">
        <f ca="1">IFERROR(__xludf.DUMMYFUNCTION("""COMPUTED_VALUE"""),400102)</f>
        <v>400102</v>
      </c>
      <c r="D1504" s="1" t="str">
        <f ca="1">IFERROR(__xludf.DUMMYFUNCTION("""COMPUTED_VALUE"""),"Male")</f>
        <v>Male</v>
      </c>
      <c r="E1504" s="1" t="str">
        <f ca="1">IFERROR(__xludf.DUMMYFUNCTION("""COMPUTED_VALUE"""),"My Parents")</f>
        <v>My Parents</v>
      </c>
      <c r="F1504" s="1" t="str">
        <f ca="1">IFERROR(__xludf.DUMMYFUNCTION("""COMPUTED_VALUE"""),"Yes, I will earn and do that")</f>
        <v>Yes, I will earn and do that</v>
      </c>
      <c r="G1504" s="1" t="str">
        <f ca="1">IFERROR(__xludf.DUMMYFUNCTION("""COMPUTED_VALUE"""),"Will work for 3 years or more")</f>
        <v>Will work for 3 years or more</v>
      </c>
      <c r="H1504" s="1" t="str">
        <f ca="1">IFERROR(__xludf.DUMMYFUNCTION("""COMPUTED_VALUE"""),"No")</f>
        <v>No</v>
      </c>
      <c r="I1504" s="1" t="str">
        <f ca="1">IFERROR(__xludf.DUMMYFUNCTION("""COMPUTED_VALUE"""),"Will work for them")</f>
        <v>Will work for them</v>
      </c>
      <c r="J1504" s="1">
        <f ca="1">IFERROR(__xludf.DUMMYFUNCTION("""COMPUTED_VALUE"""),6)</f>
        <v>6</v>
      </c>
      <c r="K1504" s="1" t="str">
        <f ca="1">IFERROR(__xludf.DUMMYFUNCTION("""COMPUTED_VALUE"""),"Hybrid Working Environment with more than 15 days a month at office")</f>
        <v>Hybrid Working Environment with more than 15 days a month at office</v>
      </c>
      <c r="L1504" s="1" t="str">
        <f ca="1">IFERROR(__xludf.DUMMYFUNCTION("""COMPUTED_VALUE"""),"Employer who pushes your limits by enabling an learning environment, and rewards you at the end")</f>
        <v>Employer who pushes your limits by enabling an learning environment, and rewards you at the end</v>
      </c>
      <c r="M1504"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N1504" s="1"/>
      <c r="O1504" s="1" t="str">
        <f ca="1">IFERROR(__xludf.DUMMYFUNCTION("""COMPUTED_VALUE"""),"Manager who explains what is expected, sets a goal and helps achieve it")</f>
        <v>Manager who explains what is expected, sets a goal and helps achieve it</v>
      </c>
      <c r="P1504" s="1" t="str">
        <f ca="1">IFERROR(__xludf.DUMMYFUNCTION("""COMPUTED_VALUE"""),"Work &lt;=6 People in the Team")</f>
        <v>Work &lt;=6 People in the Team</v>
      </c>
      <c r="Q1504" s="1" t="s">
        <v>43</v>
      </c>
      <c r="R1504" s="1"/>
    </row>
    <row r="1505" spans="1:18" x14ac:dyDescent="0.25">
      <c r="A1505" s="2">
        <f ca="1">IFERROR(__xludf.DUMMYFUNCTION("""COMPUTED_VALUE"""),45045.6197212615)</f>
        <v>45045.619721261501</v>
      </c>
      <c r="B1505" s="1" t="str">
        <f ca="1">IFERROR(__xludf.DUMMYFUNCTION("""COMPUTED_VALUE"""),"India")</f>
        <v>India</v>
      </c>
      <c r="C1505" s="1">
        <f ca="1">IFERROR(__xludf.DUMMYFUNCTION("""COMPUTED_VALUE"""),92)</f>
        <v>92</v>
      </c>
      <c r="D1505" s="1" t="str">
        <f ca="1">IFERROR(__xludf.DUMMYFUNCTION("""COMPUTED_VALUE"""),"Female")</f>
        <v>Female</v>
      </c>
      <c r="E1505" s="1" t="str">
        <f ca="1">IFERROR(__xludf.DUMMYFUNCTION("""COMPUTED_VALUE"""),"People who have changed the world for better")</f>
        <v>People who have changed the world for better</v>
      </c>
      <c r="F1505" s="1" t="str">
        <f ca="1">IFERROR(__xludf.DUMMYFUNCTION("""COMPUTED_VALUE"""),"No I would not be pursuing Higher Education outside of India")</f>
        <v>No I would not be pursuing Higher Education outside of India</v>
      </c>
      <c r="G1505" s="1" t="str">
        <f ca="1">IFERROR(__xludf.DUMMYFUNCTION("""COMPUTED_VALUE"""),"This will be hard to do, but if it is the right company I would try")</f>
        <v>This will be hard to do, but if it is the right company I would try</v>
      </c>
      <c r="H1505" s="1" t="str">
        <f ca="1">IFERROR(__xludf.DUMMYFUNCTION("""COMPUTED_VALUE"""),"No")</f>
        <v>No</v>
      </c>
      <c r="I1505" s="1" t="str">
        <f ca="1">IFERROR(__xludf.DUMMYFUNCTION("""COMPUTED_VALUE"""),"Will NOT work for them")</f>
        <v>Will NOT work for them</v>
      </c>
      <c r="J1505" s="1">
        <f ca="1">IFERROR(__xludf.DUMMYFUNCTION("""COMPUTED_VALUE"""),3)</f>
        <v>3</v>
      </c>
      <c r="K1505" s="1" t="str">
        <f ca="1">IFERROR(__xludf.DUMMYFUNCTION("""COMPUTED_VALUE"""),"Hybrid Working Environment with more than 15 days a month at office")</f>
        <v>Hybrid Working Environment with more than 15 days a month at office</v>
      </c>
      <c r="L1505" s="1" t="str">
        <f ca="1">IFERROR(__xludf.DUMMYFUNCTION("""COMPUTED_VALUE"""),"Employer who pushes your limits by enabling an learning environment, and rewards you at the end")</f>
        <v>Employer who pushes your limits by enabling an learning environment, and rewards you at the end</v>
      </c>
      <c r="M1505"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N1505" s="1"/>
      <c r="O1505" s="1" t="str">
        <f ca="1">IFERROR(__xludf.DUMMYFUNCTION("""COMPUTED_VALUE"""),"Manager who explains what is expected, sets a goal and helps achieve it")</f>
        <v>Manager who explains what is expected, sets a goal and helps achieve it</v>
      </c>
      <c r="P1505" s="1" t="str">
        <f ca="1">IFERROR(__xludf.DUMMYFUNCTION("""COMPUTED_VALUE"""),"Work &lt;=6 People in the Team")</f>
        <v>Work &lt;=6 People in the Team</v>
      </c>
      <c r="Q1505" s="1" t="s">
        <v>40</v>
      </c>
      <c r="R1505" s="1"/>
    </row>
    <row r="1506" spans="1:18" x14ac:dyDescent="0.25">
      <c r="A1506" s="2">
        <f ca="1">IFERROR(__xludf.DUMMYFUNCTION("""COMPUTED_VALUE"""),45045.6200476504)</f>
        <v>45045.620047650402</v>
      </c>
      <c r="B1506" s="1" t="str">
        <f ca="1">IFERROR(__xludf.DUMMYFUNCTION("""COMPUTED_VALUE"""),"Others")</f>
        <v>Others</v>
      </c>
      <c r="C1506" s="1" t="str">
        <f ca="1">IFERROR(__xludf.DUMMYFUNCTION("""COMPUTED_VALUE"""),"PR17QS")</f>
        <v>PR17QS</v>
      </c>
      <c r="D1506" s="1" t="str">
        <f ca="1">IFERROR(__xludf.DUMMYFUNCTION("""COMPUTED_VALUE"""),"Female")</f>
        <v>Female</v>
      </c>
      <c r="E1506" s="1" t="str">
        <f ca="1">IFERROR(__xludf.DUMMYFUNCTION("""COMPUTED_VALUE"""),"My Parents")</f>
        <v>My Parents</v>
      </c>
      <c r="F1506" s="1" t="str">
        <f ca="1">IFERROR(__xludf.DUMMYFUNCTION("""COMPUTED_VALUE"""),"Yes, I will earn and do that")</f>
        <v>Yes, I will earn and do that</v>
      </c>
      <c r="G1506" s="1" t="str">
        <f ca="1">IFERROR(__xludf.DUMMYFUNCTION("""COMPUTED_VALUE"""),"This will be hard to do, but if it is the right company I would try")</f>
        <v>This will be hard to do, but if it is the right company I would try</v>
      </c>
      <c r="H1506" s="1" t="str">
        <f ca="1">IFERROR(__xludf.DUMMYFUNCTION("""COMPUTED_VALUE"""),"No")</f>
        <v>No</v>
      </c>
      <c r="I1506" s="1" t="str">
        <f ca="1">IFERROR(__xludf.DUMMYFUNCTION("""COMPUTED_VALUE"""),"Will NOT work for them")</f>
        <v>Will NOT work for them</v>
      </c>
      <c r="J1506" s="1">
        <f ca="1">IFERROR(__xludf.DUMMYFUNCTION("""COMPUTED_VALUE"""),2)</f>
        <v>2</v>
      </c>
      <c r="K1506" s="1" t="str">
        <f ca="1">IFERROR(__xludf.DUMMYFUNCTION("""COMPUTED_VALUE"""),"Hybrid Working Environment with more than 15 days a month at office")</f>
        <v>Hybrid Working Environment with more than 15 days a month at office</v>
      </c>
      <c r="L1506" s="1" t="str">
        <f ca="1">IFERROR(__xludf.DUMMYFUNCTION("""COMPUTED_VALUE"""),"Employer who pushes your limits by enabling an learning environment, and rewards you at the end")</f>
        <v>Employer who pushes your limits by enabling an learning environment, and rewards you at the end</v>
      </c>
      <c r="M150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N1506" s="1"/>
      <c r="O1506" s="1" t="str">
        <f ca="1">IFERROR(__xludf.DUMMYFUNCTION("""COMPUTED_VALUE"""),"Manager who explains what is expected, sets a goal and helps achieve it")</f>
        <v>Manager who explains what is expected, sets a goal and helps achieve it</v>
      </c>
      <c r="P1506" s="1" t="str">
        <f ca="1">IFERROR(__xludf.DUMMYFUNCTION("""COMPUTED_VALUE"""),"Work &lt;=6 People in the Team")</f>
        <v>Work &lt;=6 People in the Team</v>
      </c>
      <c r="Q1506" s="1" t="s">
        <v>43</v>
      </c>
      <c r="R1506" s="1"/>
    </row>
    <row r="1507" spans="1:18" x14ac:dyDescent="0.25">
      <c r="A1507" s="2">
        <f ca="1">IFERROR(__xludf.DUMMYFUNCTION("""COMPUTED_VALUE"""),45045.62200603)</f>
        <v>45045.622006029997</v>
      </c>
      <c r="B1507" s="1" t="str">
        <f ca="1">IFERROR(__xludf.DUMMYFUNCTION("""COMPUTED_VALUE"""),"India")</f>
        <v>India</v>
      </c>
      <c r="C1507" s="1">
        <f ca="1">IFERROR(__xludf.DUMMYFUNCTION("""COMPUTED_VALUE"""),400008)</f>
        <v>400008</v>
      </c>
      <c r="D1507" s="1" t="str">
        <f ca="1">IFERROR(__xludf.DUMMYFUNCTION("""COMPUTED_VALUE"""),"Male")</f>
        <v>Male</v>
      </c>
      <c r="E1507" s="1" t="str">
        <f ca="1">IFERROR(__xludf.DUMMYFUNCTION("""COMPUTED_VALUE"""),"My Parents")</f>
        <v>My Parents</v>
      </c>
      <c r="F1507" s="1" t="str">
        <f ca="1">IFERROR(__xludf.DUMMYFUNCTION("""COMPUTED_VALUE"""),"No I would not be pursuing Higher Education outside of India")</f>
        <v>No I would not be pursuing Higher Education outside of India</v>
      </c>
      <c r="G1507" s="1" t="str">
        <f ca="1">IFERROR(__xludf.DUMMYFUNCTION("""COMPUTED_VALUE"""),"This will be hard to do, but if it is the right company I would try")</f>
        <v>This will be hard to do, but if it is the right company I would try</v>
      </c>
      <c r="H1507" s="1" t="str">
        <f ca="1">IFERROR(__xludf.DUMMYFUNCTION("""COMPUTED_VALUE"""),"Yes")</f>
        <v>Yes</v>
      </c>
      <c r="I1507" s="1" t="str">
        <f ca="1">IFERROR(__xludf.DUMMYFUNCTION("""COMPUTED_VALUE"""),"Will NOT work for them")</f>
        <v>Will NOT work for them</v>
      </c>
      <c r="J1507" s="1">
        <f ca="1">IFERROR(__xludf.DUMMYFUNCTION("""COMPUTED_VALUE"""),5)</f>
        <v>5</v>
      </c>
      <c r="K1507" s="1" t="str">
        <f ca="1">IFERROR(__xludf.DUMMYFUNCTION("""COMPUTED_VALUE"""),"Hybrid Working Environment with more than 15 days a month at office")</f>
        <v>Hybrid Working Environment with more than 15 days a month at office</v>
      </c>
      <c r="L1507" s="1" t="str">
        <f ca="1">IFERROR(__xludf.DUMMYFUNCTION("""COMPUTED_VALUE"""),"Employer who pushes your limits by enabling an learning environment, and rewards you at the end")</f>
        <v>Employer who pushes your limits by enabling an learning environment, and rewards you at the end</v>
      </c>
      <c r="M1507"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N1507" s="1"/>
      <c r="O1507" s="1" t="str">
        <f ca="1">IFERROR(__xludf.DUMMYFUNCTION("""COMPUTED_VALUE"""),"Manager who explains what is expected, sets a goal and helps achieve it")</f>
        <v>Manager who explains what is expected, sets a goal and helps achieve it</v>
      </c>
      <c r="P1507" s="1" t="str">
        <f ca="1">IFERROR(__xludf.DUMMYFUNCTION("""COMPUTED_VALUE"""),"Work &gt;10 people in Team")</f>
        <v>Work &gt;10 people in Team</v>
      </c>
      <c r="Q1507" s="1" t="s">
        <v>42</v>
      </c>
      <c r="R1507" s="1"/>
    </row>
    <row r="1508" spans="1:18" x14ac:dyDescent="0.25">
      <c r="A1508" s="2">
        <f ca="1">IFERROR(__xludf.DUMMYFUNCTION("""COMPUTED_VALUE"""),45045.625838993)</f>
        <v>45045.625838993001</v>
      </c>
      <c r="B1508" s="1" t="str">
        <f ca="1">IFERROR(__xludf.DUMMYFUNCTION("""COMPUTED_VALUE"""),"India")</f>
        <v>India</v>
      </c>
      <c r="C1508" s="1">
        <f ca="1">IFERROR(__xludf.DUMMYFUNCTION("""COMPUTED_VALUE"""),410206)</f>
        <v>410206</v>
      </c>
      <c r="D1508" s="1" t="str">
        <f ca="1">IFERROR(__xludf.DUMMYFUNCTION("""COMPUTED_VALUE"""),"Female")</f>
        <v>Female</v>
      </c>
      <c r="E1508" s="1" t="str">
        <f ca="1">IFERROR(__xludf.DUMMYFUNCTION("""COMPUTED_VALUE"""),"People who have changed the world for better")</f>
        <v>People who have changed the world for better</v>
      </c>
      <c r="F1508" s="1" t="str">
        <f ca="1">IFERROR(__xludf.DUMMYFUNCTION("""COMPUTED_VALUE"""),"Yes, I will earn and do that")</f>
        <v>Yes, I will earn and do that</v>
      </c>
      <c r="G1508" s="1" t="str">
        <f ca="1">IFERROR(__xludf.DUMMYFUNCTION("""COMPUTED_VALUE"""),"This will be hard to do, but if it is the right company I would try")</f>
        <v>This will be hard to do, but if it is the right company I would try</v>
      </c>
      <c r="H1508" s="1" t="str">
        <f ca="1">IFERROR(__xludf.DUMMYFUNCTION("""COMPUTED_VALUE"""),"No")</f>
        <v>No</v>
      </c>
      <c r="I1508" s="1" t="str">
        <f ca="1">IFERROR(__xludf.DUMMYFUNCTION("""COMPUTED_VALUE"""),"Will NOT work for them")</f>
        <v>Will NOT work for them</v>
      </c>
      <c r="J1508" s="1">
        <f ca="1">IFERROR(__xludf.DUMMYFUNCTION("""COMPUTED_VALUE"""),3)</f>
        <v>3</v>
      </c>
      <c r="K1508" s="1" t="str">
        <f ca="1">IFERROR(__xludf.DUMMYFUNCTION("""COMPUTED_VALUE"""),"Every Day Office Environment")</f>
        <v>Every Day Office Environment</v>
      </c>
      <c r="L1508" s="1" t="str">
        <f ca="1">IFERROR(__xludf.DUMMYFUNCTION("""COMPUTED_VALUE"""),"Employer who pushes your limits by enabling an learning environment, and rewards you at the end")</f>
        <v>Employer who pushes your limits by enabling an learning environment, and rewards you at the end</v>
      </c>
      <c r="M15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N1508" s="1"/>
      <c r="O1508" s="1" t="str">
        <f ca="1">IFERROR(__xludf.DUMMYFUNCTION("""COMPUTED_VALUE"""),"Manager who explains what is expected, sets a goal and helps achieve it")</f>
        <v>Manager who explains what is expected, sets a goal and helps achieve it</v>
      </c>
      <c r="P1508" s="1" t="str">
        <f ca="1">IFERROR(__xludf.DUMMYFUNCTION("""COMPUTED_VALUE"""),"Work &lt;=6 People in the Team")</f>
        <v>Work &lt;=6 People in the Team</v>
      </c>
      <c r="Q1508" s="1" t="s">
        <v>43</v>
      </c>
      <c r="R1508" s="1"/>
    </row>
    <row r="1509" spans="1:18" x14ac:dyDescent="0.25">
      <c r="A1509" s="2">
        <f ca="1">IFERROR(__xludf.DUMMYFUNCTION("""COMPUTED_VALUE"""),45045.6280369097)</f>
        <v>45045.6280369097</v>
      </c>
      <c r="B1509" s="1" t="str">
        <f ca="1">IFERROR(__xludf.DUMMYFUNCTION("""COMPUTED_VALUE"""),"India")</f>
        <v>India</v>
      </c>
      <c r="C1509" s="1">
        <f ca="1">IFERROR(__xludf.DUMMYFUNCTION("""COMPUTED_VALUE"""),242401)</f>
        <v>242401</v>
      </c>
      <c r="D1509" s="1" t="str">
        <f ca="1">IFERROR(__xludf.DUMMYFUNCTION("""COMPUTED_VALUE"""),"Male")</f>
        <v>Male</v>
      </c>
      <c r="E1509" s="1" t="str">
        <f ca="1">IFERROR(__xludf.DUMMYFUNCTION("""COMPUTED_VALUE"""),"People from my circle, but not family members")</f>
        <v>People from my circle, but not family members</v>
      </c>
      <c r="F1509" s="1" t="str">
        <f ca="1">IFERROR(__xludf.DUMMYFUNCTION("""COMPUTED_VALUE"""),"No I would not be pursuing Higher Education outside of India")</f>
        <v>No I would not be pursuing Higher Education outside of India</v>
      </c>
      <c r="G1509" s="1" t="str">
        <f ca="1">IFERROR(__xludf.DUMMYFUNCTION("""COMPUTED_VALUE"""),"Will work for 3 years or more")</f>
        <v>Will work for 3 years or more</v>
      </c>
      <c r="H1509" s="1" t="str">
        <f ca="1">IFERROR(__xludf.DUMMYFUNCTION("""COMPUTED_VALUE"""),"No")</f>
        <v>No</v>
      </c>
      <c r="I1509" s="1" t="str">
        <f ca="1">IFERROR(__xludf.DUMMYFUNCTION("""COMPUTED_VALUE"""),"Will NOT work for them")</f>
        <v>Will NOT work for them</v>
      </c>
      <c r="J1509" s="1">
        <f ca="1">IFERROR(__xludf.DUMMYFUNCTION("""COMPUTED_VALUE"""),3)</f>
        <v>3</v>
      </c>
      <c r="K1509" s="1" t="str">
        <f ca="1">IFERROR(__xludf.DUMMYFUNCTION("""COMPUTED_VALUE"""),"Hybrid Working Environment with more than 15 days a month at office")</f>
        <v>Hybrid Working Environment with more than 15 days a month at office</v>
      </c>
      <c r="L1509" s="1" t="str">
        <f ca="1">IFERROR(__xludf.DUMMYFUNCTION("""COMPUTED_VALUE"""),"Employer who rewards learning and enables that environment")</f>
        <v>Employer who rewards learning and enables that environment</v>
      </c>
      <c r="M1509"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N1509" s="1"/>
      <c r="O1509" s="1" t="str">
        <f ca="1">IFERROR(__xludf.DUMMYFUNCTION("""COMPUTED_VALUE"""),"Manager who explains what is expected, sets a goal and helps achieve it")</f>
        <v>Manager who explains what is expected, sets a goal and helps achieve it</v>
      </c>
      <c r="P1509" s="1" t="str">
        <f ca="1">IFERROR(__xludf.DUMMYFUNCTION("""COMPUTED_VALUE"""),"Work &lt;=6 People in the Team")</f>
        <v>Work &lt;=6 People in the Team</v>
      </c>
      <c r="Q1509" s="1" t="s">
        <v>40</v>
      </c>
      <c r="R1509" s="1"/>
    </row>
    <row r="1510" spans="1:18" x14ac:dyDescent="0.25">
      <c r="A1510" s="2">
        <f ca="1">IFERROR(__xludf.DUMMYFUNCTION("""COMPUTED_VALUE"""),45045.6338825115)</f>
        <v>45045.633882511502</v>
      </c>
      <c r="B1510" s="1" t="str">
        <f ca="1">IFERROR(__xludf.DUMMYFUNCTION("""COMPUTED_VALUE"""),"India")</f>
        <v>India</v>
      </c>
      <c r="C1510" s="1">
        <f ca="1">IFERROR(__xludf.DUMMYFUNCTION("""COMPUTED_VALUE"""),410206)</f>
        <v>410206</v>
      </c>
      <c r="D1510" s="1" t="str">
        <f ca="1">IFERROR(__xludf.DUMMYFUNCTION("""COMPUTED_VALUE"""),"Female")</f>
        <v>Female</v>
      </c>
      <c r="E1510" s="1" t="str">
        <f ca="1">IFERROR(__xludf.DUMMYFUNCTION("""COMPUTED_VALUE"""),"People from my circle, but not family members")</f>
        <v>People from my circle, but not family members</v>
      </c>
      <c r="F1510" s="1" t="str">
        <f ca="1">IFERROR(__xludf.DUMMYFUNCTION("""COMPUTED_VALUE"""),"No, But if someone could bare the cost I will")</f>
        <v>No, But if someone could bare the cost I will</v>
      </c>
      <c r="G1510" s="1" t="str">
        <f ca="1">IFERROR(__xludf.DUMMYFUNCTION("""COMPUTED_VALUE"""),"This will be hard to do, but if it is the right company I would try")</f>
        <v>This will be hard to do, but if it is the right company I would try</v>
      </c>
      <c r="H1510" s="1" t="str">
        <f ca="1">IFERROR(__xludf.DUMMYFUNCTION("""COMPUTED_VALUE"""),"No")</f>
        <v>No</v>
      </c>
      <c r="I1510" s="1" t="str">
        <f ca="1">IFERROR(__xludf.DUMMYFUNCTION("""COMPUTED_VALUE"""),"Will NOT work for them")</f>
        <v>Will NOT work for them</v>
      </c>
      <c r="J1510" s="1">
        <f ca="1">IFERROR(__xludf.DUMMYFUNCTION("""COMPUTED_VALUE"""),6)</f>
        <v>6</v>
      </c>
      <c r="K1510" s="1" t="str">
        <f ca="1">IFERROR(__xludf.DUMMYFUNCTION("""COMPUTED_VALUE"""),"Hybrid Working Environment with more than 15 days a month at office")</f>
        <v>Hybrid Working Environment with more than 15 days a month at office</v>
      </c>
      <c r="L1510" s="1" t="str">
        <f ca="1">IFERROR(__xludf.DUMMYFUNCTION("""COMPUTED_VALUE"""),"Employer who pushes your limits by enabling an learning environment, and rewards you at the end")</f>
        <v>Employer who pushes your limits by enabling an learning environment, and rewards you at the end</v>
      </c>
      <c r="M151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1510" s="1"/>
      <c r="O1510" s="1" t="str">
        <f ca="1">IFERROR(__xludf.DUMMYFUNCTION("""COMPUTED_VALUE"""),"Manager who explains what is expected, sets a goal and helps achieve it")</f>
        <v>Manager who explains what is expected, sets a goal and helps achieve it</v>
      </c>
      <c r="P1510" s="1" t="str">
        <f ca="1">IFERROR(__xludf.DUMMYFUNCTION("""COMPUTED_VALUE"""),"Work &lt;=6 People in the Team")</f>
        <v>Work &lt;=6 People in the Team</v>
      </c>
      <c r="Q1510" s="1" t="s">
        <v>43</v>
      </c>
      <c r="R1510" s="1"/>
    </row>
    <row r="1511" spans="1:18" x14ac:dyDescent="0.25">
      <c r="A1511" s="2">
        <f ca="1">IFERROR(__xludf.DUMMYFUNCTION("""COMPUTED_VALUE"""),45045.6368648958)</f>
        <v>45045.636864895801</v>
      </c>
      <c r="B1511" s="1" t="str">
        <f ca="1">IFERROR(__xludf.DUMMYFUNCTION("""COMPUTED_VALUE"""),"India")</f>
        <v>India</v>
      </c>
      <c r="C1511" s="1">
        <f ca="1">IFERROR(__xludf.DUMMYFUNCTION("""COMPUTED_VALUE"""),500090)</f>
        <v>500090</v>
      </c>
      <c r="D1511" s="1" t="str">
        <f ca="1">IFERROR(__xludf.DUMMYFUNCTION("""COMPUTED_VALUE"""),"Female")</f>
        <v>Female</v>
      </c>
      <c r="E1511" s="1" t="str">
        <f ca="1">IFERROR(__xludf.DUMMYFUNCTION("""COMPUTED_VALUE"""),"My Parents")</f>
        <v>My Parents</v>
      </c>
      <c r="F1511" s="1" t="str">
        <f ca="1">IFERROR(__xludf.DUMMYFUNCTION("""COMPUTED_VALUE"""),"No I would not be pursuing Higher Education outside of India")</f>
        <v>No I would not be pursuing Higher Education outside of India</v>
      </c>
      <c r="G1511" s="1" t="str">
        <f ca="1">IFERROR(__xludf.DUMMYFUNCTION("""COMPUTED_VALUE"""),"This will be hard to do, but if it is the right company I would try")</f>
        <v>This will be hard to do, but if it is the right company I would try</v>
      </c>
      <c r="H1511" s="1" t="str">
        <f ca="1">IFERROR(__xludf.DUMMYFUNCTION("""COMPUTED_VALUE"""),"No")</f>
        <v>No</v>
      </c>
      <c r="I1511" s="1" t="str">
        <f ca="1">IFERROR(__xludf.DUMMYFUNCTION("""COMPUTED_VALUE"""),"Will NOT work for them")</f>
        <v>Will NOT work for them</v>
      </c>
      <c r="J1511" s="1">
        <f ca="1">IFERROR(__xludf.DUMMYFUNCTION("""COMPUTED_VALUE"""),3)</f>
        <v>3</v>
      </c>
      <c r="K1511" s="1" t="str">
        <f ca="1">IFERROR(__xludf.DUMMYFUNCTION("""COMPUTED_VALUE"""),"Hybrid Working Environment with less than 3 days a month at office")</f>
        <v>Hybrid Working Environment with less than 3 days a month at office</v>
      </c>
      <c r="L1511" s="1" t="str">
        <f ca="1">IFERROR(__xludf.DUMMYFUNCTION("""COMPUTED_VALUE"""),"Employer who rewards learning and enables that environment")</f>
        <v>Employer who rewards learning and enables that environment</v>
      </c>
      <c r="M151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N1511" s="1"/>
      <c r="O1511" s="1" t="str">
        <f ca="1">IFERROR(__xludf.DUMMYFUNCTION("""COMPUTED_VALUE"""),"Manager who explains what is expected, sets a goal and helps achieve it")</f>
        <v>Manager who explains what is expected, sets a goal and helps achieve it</v>
      </c>
      <c r="P1511" s="1" t="str">
        <f ca="1">IFERROR(__xludf.DUMMYFUNCTION("""COMPUTED_VALUE"""),"Work &lt;=6 People in the Team")</f>
        <v>Work &lt;=6 People in the Team</v>
      </c>
      <c r="Q1511" s="1" t="s">
        <v>43</v>
      </c>
      <c r="R1511" s="1"/>
    </row>
    <row r="1512" spans="1:18" x14ac:dyDescent="0.25">
      <c r="A1512" s="2">
        <f ca="1">IFERROR(__xludf.DUMMYFUNCTION("""COMPUTED_VALUE"""),45045.6375940277)</f>
        <v>45045.637594027699</v>
      </c>
      <c r="B1512" s="1" t="str">
        <f ca="1">IFERROR(__xludf.DUMMYFUNCTION("""COMPUTED_VALUE"""),"India")</f>
        <v>India</v>
      </c>
      <c r="C1512" s="1">
        <f ca="1">IFERROR(__xludf.DUMMYFUNCTION("""COMPUTED_VALUE"""),370465)</f>
        <v>370465</v>
      </c>
      <c r="D1512" s="1" t="str">
        <f ca="1">IFERROR(__xludf.DUMMYFUNCTION("""COMPUTED_VALUE"""),"Female")</f>
        <v>Female</v>
      </c>
      <c r="E1512" s="1" t="str">
        <f ca="1">IFERROR(__xludf.DUMMYFUNCTION("""COMPUTED_VALUE"""),"People from my circle, but not family members")</f>
        <v>People from my circle, but not family members</v>
      </c>
      <c r="F1512" s="1" t="str">
        <f ca="1">IFERROR(__xludf.DUMMYFUNCTION("""COMPUTED_VALUE"""),"Yes, I will earn and do that")</f>
        <v>Yes, I will earn and do that</v>
      </c>
      <c r="G1512" s="1" t="str">
        <f ca="1">IFERROR(__xludf.DUMMYFUNCTION("""COMPUTED_VALUE"""),"Will work for 3 years or more")</f>
        <v>Will work for 3 years or more</v>
      </c>
      <c r="H1512" s="1" t="str">
        <f ca="1">IFERROR(__xludf.DUMMYFUNCTION("""COMPUTED_VALUE"""),"No")</f>
        <v>No</v>
      </c>
      <c r="I1512" s="1" t="str">
        <f ca="1">IFERROR(__xludf.DUMMYFUNCTION("""COMPUTED_VALUE"""),"Will NOT work for them")</f>
        <v>Will NOT work for them</v>
      </c>
      <c r="J1512" s="1">
        <f ca="1">IFERROR(__xludf.DUMMYFUNCTION("""COMPUTED_VALUE"""),3)</f>
        <v>3</v>
      </c>
      <c r="K1512" s="1" t="str">
        <f ca="1">IFERROR(__xludf.DUMMYFUNCTION("""COMPUTED_VALUE"""),"Hybrid Working Environment with more than 15 days a month at office")</f>
        <v>Hybrid Working Environment with more than 15 days a month at office</v>
      </c>
      <c r="L1512" s="1" t="str">
        <f ca="1">IFERROR(__xludf.DUMMYFUNCTION("""COMPUTED_VALUE"""),"Employer who pushes your limits by enabling an learning environment, and rewards you at the end")</f>
        <v>Employer who pushes your limits by enabling an learning environment, and rewards you at the end</v>
      </c>
      <c r="M1512" s="1" t="str">
        <f ca="1">IFERROR(__xludf.DUMMYFUNCTION("""COMPUTED_VALUE"""),"Business Operations in any organization, Manage and drive End-to-End Projects or Products, Become a content Creator in some platform, I Want to sell things/Sales")</f>
        <v>Business Operations in any organization, Manage and drive End-to-End Projects or Products, Become a content Creator in some platform, I Want to sell things/Sales</v>
      </c>
      <c r="N1512" s="1"/>
      <c r="O1512" s="1" t="str">
        <f ca="1">IFERROR(__xludf.DUMMYFUNCTION("""COMPUTED_VALUE"""),"Manager who explains what is expected, sets a goal and helps achieve it")</f>
        <v>Manager who explains what is expected, sets a goal and helps achieve it</v>
      </c>
      <c r="P1512" s="1" t="str">
        <f ca="1">IFERROR(__xludf.DUMMYFUNCTION("""COMPUTED_VALUE"""),"Work &lt;=6 People in the Team")</f>
        <v>Work &lt;=6 People in the Team</v>
      </c>
      <c r="Q1512" s="1" t="s">
        <v>40</v>
      </c>
      <c r="R1512" s="1"/>
    </row>
    <row r="1513" spans="1:18" x14ac:dyDescent="0.25">
      <c r="A1513" s="2">
        <f ca="1">IFERROR(__xludf.DUMMYFUNCTION("""COMPUTED_VALUE"""),45045.6382432407)</f>
        <v>45045.638243240697</v>
      </c>
      <c r="B1513" s="1" t="str">
        <f ca="1">IFERROR(__xludf.DUMMYFUNCTION("""COMPUTED_VALUE"""),"India")</f>
        <v>India</v>
      </c>
      <c r="C1513" s="1">
        <f ca="1">IFERROR(__xludf.DUMMYFUNCTION("""COMPUTED_VALUE"""),410206)</f>
        <v>410206</v>
      </c>
      <c r="D1513" s="1" t="str">
        <f ca="1">IFERROR(__xludf.DUMMYFUNCTION("""COMPUTED_VALUE"""),"Female")</f>
        <v>Female</v>
      </c>
      <c r="E1513" s="1" t="str">
        <f ca="1">IFERROR(__xludf.DUMMYFUNCTION("""COMPUTED_VALUE"""),"People from my circle, but not family members")</f>
        <v>People from my circle, but not family members</v>
      </c>
      <c r="F1513" s="1" t="str">
        <f ca="1">IFERROR(__xludf.DUMMYFUNCTION("""COMPUTED_VALUE"""),"Yes, I will earn and do that")</f>
        <v>Yes, I will earn and do that</v>
      </c>
      <c r="G1513" s="1" t="str">
        <f ca="1">IFERROR(__xludf.DUMMYFUNCTION("""COMPUTED_VALUE"""),"This will be hard to do, but if it is the right company I would try")</f>
        <v>This will be hard to do, but if it is the right company I would try</v>
      </c>
      <c r="H1513" s="1" t="str">
        <f ca="1">IFERROR(__xludf.DUMMYFUNCTION("""COMPUTED_VALUE"""),"No")</f>
        <v>No</v>
      </c>
      <c r="I1513" s="1" t="str">
        <f ca="1">IFERROR(__xludf.DUMMYFUNCTION("""COMPUTED_VALUE"""),"Will NOT work for them")</f>
        <v>Will NOT work for them</v>
      </c>
      <c r="J1513" s="1">
        <f ca="1">IFERROR(__xludf.DUMMYFUNCTION("""COMPUTED_VALUE"""),2)</f>
        <v>2</v>
      </c>
      <c r="K1513" s="1" t="str">
        <f ca="1">IFERROR(__xludf.DUMMYFUNCTION("""COMPUTED_VALUE"""),"Hybrid Working Environment with less than 3 days a month at office")</f>
        <v>Hybrid Working Environment with less than 3 days a month at office</v>
      </c>
      <c r="L1513" s="1" t="str">
        <f ca="1">IFERROR(__xludf.DUMMYFUNCTION("""COMPUTED_VALUE"""),"Employer who pushes your limits by enabling an learning environment, and rewards you at the end")</f>
        <v>Employer who pushes your limits by enabling an learning environment, and rewards you at the end</v>
      </c>
      <c r="M151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1513" s="1"/>
      <c r="O1513" s="1" t="str">
        <f ca="1">IFERROR(__xludf.DUMMYFUNCTION("""COMPUTED_VALUE"""),"Manager who explains what is expected, sets a goal and helps achieve it")</f>
        <v>Manager who explains what is expected, sets a goal and helps achieve it</v>
      </c>
      <c r="P1513" s="1" t="str">
        <f ca="1">IFERROR(__xludf.DUMMYFUNCTION("""COMPUTED_VALUE"""),"Work &lt;=6 People in the Team")</f>
        <v>Work &lt;=6 People in the Team</v>
      </c>
      <c r="Q1513" s="1" t="s">
        <v>43</v>
      </c>
      <c r="R1513" s="1"/>
    </row>
    <row r="1514" spans="1:18" x14ac:dyDescent="0.25">
      <c r="A1514" s="2">
        <f ca="1">IFERROR(__xludf.DUMMYFUNCTION("""COMPUTED_VALUE"""),45045.6471599768)</f>
        <v>45045.647159976797</v>
      </c>
      <c r="B1514" s="1" t="str">
        <f ca="1">IFERROR(__xludf.DUMMYFUNCTION("""COMPUTED_VALUE"""),"India")</f>
        <v>India</v>
      </c>
      <c r="C1514" s="1">
        <f ca="1">IFERROR(__xludf.DUMMYFUNCTION("""COMPUTED_VALUE"""),421103)</f>
        <v>421103</v>
      </c>
      <c r="D1514" s="1" t="str">
        <f ca="1">IFERROR(__xludf.DUMMYFUNCTION("""COMPUTED_VALUE"""),"Male")</f>
        <v>Male</v>
      </c>
      <c r="E1514" s="1" t="str">
        <f ca="1">IFERROR(__xludf.DUMMYFUNCTION("""COMPUTED_VALUE"""),"Influencers who had successful careers")</f>
        <v>Influencers who had successful careers</v>
      </c>
      <c r="F1514" s="1" t="str">
        <f ca="1">IFERROR(__xludf.DUMMYFUNCTION("""COMPUTED_VALUE"""),"Yes, I will earn and do that")</f>
        <v>Yes, I will earn and do that</v>
      </c>
      <c r="G1514" s="1" t="str">
        <f ca="1">IFERROR(__xludf.DUMMYFUNCTION("""COMPUTED_VALUE"""),"This will be hard to do, but if it is the right company I would try")</f>
        <v>This will be hard to do, but if it is the right company I would try</v>
      </c>
      <c r="H1514" s="1" t="str">
        <f ca="1">IFERROR(__xludf.DUMMYFUNCTION("""COMPUTED_VALUE"""),"No")</f>
        <v>No</v>
      </c>
      <c r="I1514" s="1" t="str">
        <f ca="1">IFERROR(__xludf.DUMMYFUNCTION("""COMPUTED_VALUE"""),"Will NOT work for them")</f>
        <v>Will NOT work for them</v>
      </c>
      <c r="J1514" s="1">
        <f ca="1">IFERROR(__xludf.DUMMYFUNCTION("""COMPUTED_VALUE"""),7)</f>
        <v>7</v>
      </c>
      <c r="K1514" s="1" t="str">
        <f ca="1">IFERROR(__xludf.DUMMYFUNCTION("""COMPUTED_VALUE"""),"Fully Remote with Options to travel as and when needed")</f>
        <v>Fully Remote with Options to travel as and when needed</v>
      </c>
      <c r="L1514" s="1" t="str">
        <f ca="1">IFERROR(__xludf.DUMMYFUNCTION("""COMPUTED_VALUE"""),"Employer who pushes your limits by enabling an learning environment, and rewards you at the end")</f>
        <v>Employer who pushes your limits by enabling an learning environment, and rewards you at the end</v>
      </c>
      <c r="M1514"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N1514" s="1"/>
      <c r="O1514" s="1" t="str">
        <f ca="1">IFERROR(__xludf.DUMMYFUNCTION("""COMPUTED_VALUE"""),"Manager who explains what is expected, sets a goal and helps achieve it")</f>
        <v>Manager who explains what is expected, sets a goal and helps achieve it</v>
      </c>
      <c r="P1514" s="1" t="str">
        <f ca="1">IFERROR(__xludf.DUMMYFUNCTION("""COMPUTED_VALUE"""),"Work alone")</f>
        <v>Work alone</v>
      </c>
      <c r="Q1514" s="1" t="s">
        <v>43</v>
      </c>
      <c r="R1514" s="1"/>
    </row>
    <row r="1515" spans="1:18" x14ac:dyDescent="0.25">
      <c r="A1515" s="2">
        <f ca="1">IFERROR(__xludf.DUMMYFUNCTION("""COMPUTED_VALUE"""),45045.6488073379)</f>
        <v>45045.648807337901</v>
      </c>
      <c r="B1515" s="1" t="str">
        <f ca="1">IFERROR(__xludf.DUMMYFUNCTION("""COMPUTED_VALUE"""),"India")</f>
        <v>India</v>
      </c>
      <c r="C1515" s="1">
        <f ca="1">IFERROR(__xludf.DUMMYFUNCTION("""COMPUTED_VALUE"""),751012)</f>
        <v>751012</v>
      </c>
      <c r="D1515" s="1" t="str">
        <f ca="1">IFERROR(__xludf.DUMMYFUNCTION("""COMPUTED_VALUE"""),"Female")</f>
        <v>Female</v>
      </c>
      <c r="E1515" s="1" t="str">
        <f ca="1">IFERROR(__xludf.DUMMYFUNCTION("""COMPUTED_VALUE"""),"People who have changed the world for better")</f>
        <v>People who have changed the world for better</v>
      </c>
      <c r="F1515" s="1" t="str">
        <f ca="1">IFERROR(__xludf.DUMMYFUNCTION("""COMPUTED_VALUE"""),"No I would not be pursuing Higher Education outside of India")</f>
        <v>No I would not be pursuing Higher Education outside of India</v>
      </c>
      <c r="G1515" s="1" t="str">
        <f ca="1">IFERROR(__xludf.DUMMYFUNCTION("""COMPUTED_VALUE"""),"Will work for 3 years or more")</f>
        <v>Will work for 3 years or more</v>
      </c>
      <c r="H1515" s="1" t="str">
        <f ca="1">IFERROR(__xludf.DUMMYFUNCTION("""COMPUTED_VALUE"""),"No")</f>
        <v>No</v>
      </c>
      <c r="I1515" s="1" t="str">
        <f ca="1">IFERROR(__xludf.DUMMYFUNCTION("""COMPUTED_VALUE"""),"Will NOT work for them")</f>
        <v>Will NOT work for them</v>
      </c>
      <c r="J1515" s="1">
        <f ca="1">IFERROR(__xludf.DUMMYFUNCTION("""COMPUTED_VALUE"""),6)</f>
        <v>6</v>
      </c>
      <c r="K1515" s="1" t="str">
        <f ca="1">IFERROR(__xludf.DUMMYFUNCTION("""COMPUTED_VALUE"""),"Fully Remote with Options to travel as and when needed")</f>
        <v>Fully Remote with Options to travel as and when needed</v>
      </c>
      <c r="L1515" s="1" t="str">
        <f ca="1">IFERROR(__xludf.DUMMYFUNCTION("""COMPUTED_VALUE"""),"Employer who pushes your limits by enabling an learning environment, and rewards you at the end")</f>
        <v>Employer who pushes your limits by enabling an learning environment, and rewards you at the end</v>
      </c>
      <c r="M1515"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N1515" s="1"/>
      <c r="O1515" s="1" t="str">
        <f ca="1">IFERROR(__xludf.DUMMYFUNCTION("""COMPUTED_VALUE"""),"Manager who explains what is expected, sets a goal and helps achieve it")</f>
        <v>Manager who explains what is expected, sets a goal and helps achieve it</v>
      </c>
      <c r="P1515" s="1" t="str">
        <f ca="1">IFERROR(__xludf.DUMMYFUNCTION("""COMPUTED_VALUE"""),"Work alone, Work &gt;10 people in Team")</f>
        <v>Work alone, Work &gt;10 people in Team</v>
      </c>
      <c r="Q1515" s="1" t="s">
        <v>40</v>
      </c>
      <c r="R1515" s="1"/>
    </row>
    <row r="1516" spans="1:18" x14ac:dyDescent="0.25">
      <c r="A1516" s="2">
        <f ca="1">IFERROR(__xludf.DUMMYFUNCTION("""COMPUTED_VALUE"""),45045.6504436574)</f>
        <v>45045.650443657403</v>
      </c>
      <c r="B1516" s="1" t="str">
        <f ca="1">IFERROR(__xludf.DUMMYFUNCTION("""COMPUTED_VALUE"""),"India")</f>
        <v>India</v>
      </c>
      <c r="C1516" s="1">
        <f ca="1">IFERROR(__xludf.DUMMYFUNCTION("""COMPUTED_VALUE"""),560107)</f>
        <v>560107</v>
      </c>
      <c r="D1516" s="1" t="str">
        <f ca="1">IFERROR(__xludf.DUMMYFUNCTION("""COMPUTED_VALUE"""),"Male")</f>
        <v>Male</v>
      </c>
      <c r="E1516" s="1" t="str">
        <f ca="1">IFERROR(__xludf.DUMMYFUNCTION("""COMPUTED_VALUE"""),"People who have changed the world for better")</f>
        <v>People who have changed the world for better</v>
      </c>
      <c r="F1516" s="1" t="str">
        <f ca="1">IFERROR(__xludf.DUMMYFUNCTION("""COMPUTED_VALUE"""),"Yes, I will earn and do that")</f>
        <v>Yes, I will earn and do that</v>
      </c>
      <c r="G1516" s="1" t="str">
        <f ca="1">IFERROR(__xludf.DUMMYFUNCTION("""COMPUTED_VALUE"""),"This will be hard to do, but if it is the right company I would try")</f>
        <v>This will be hard to do, but if it is the right company I would try</v>
      </c>
      <c r="H1516" s="1" t="str">
        <f ca="1">IFERROR(__xludf.DUMMYFUNCTION("""COMPUTED_VALUE"""),"No")</f>
        <v>No</v>
      </c>
      <c r="I1516" s="1" t="str">
        <f ca="1">IFERROR(__xludf.DUMMYFUNCTION("""COMPUTED_VALUE"""),"Will work for them")</f>
        <v>Will work for them</v>
      </c>
      <c r="J1516" s="1">
        <f ca="1">IFERROR(__xludf.DUMMYFUNCTION("""COMPUTED_VALUE"""),7)</f>
        <v>7</v>
      </c>
      <c r="K1516" s="1" t="str">
        <f ca="1">IFERROR(__xludf.DUMMYFUNCTION("""COMPUTED_VALUE"""),"Hybrid Working Environment with more than 15 days a month at office")</f>
        <v>Hybrid Working Environment with more than 15 days a month at office</v>
      </c>
      <c r="L1516" s="1" t="str">
        <f ca="1">IFERROR(__xludf.DUMMYFUNCTION("""COMPUTED_VALUE"""),"Employer who pushes your limits by enabling an learning environment, and rewards you at the end")</f>
        <v>Employer who pushes your limits by enabling an learning environment, and rewards you at the end</v>
      </c>
      <c r="M1516"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1516" s="1"/>
      <c r="O1516" s="1" t="str">
        <f ca="1">IFERROR(__xludf.DUMMYFUNCTION("""COMPUTED_VALUE"""),"Manager who sets goal and helps me achieve it")</f>
        <v>Manager who sets goal and helps me achieve it</v>
      </c>
      <c r="P1516" s="1" t="str">
        <f ca="1">IFERROR(__xludf.DUMMYFUNCTION("""COMPUTED_VALUE"""),"Work  &lt;67 people in team")</f>
        <v>Work  &lt;67 people in team</v>
      </c>
      <c r="Q1516" s="1" t="s">
        <v>43</v>
      </c>
      <c r="R1516" s="1"/>
    </row>
    <row r="1517" spans="1:18" x14ac:dyDescent="0.25">
      <c r="A1517" s="2">
        <f ca="1">IFERROR(__xludf.DUMMYFUNCTION("""COMPUTED_VALUE"""),45045.6549437731)</f>
        <v>45045.654943773101</v>
      </c>
      <c r="B1517" s="1" t="str">
        <f ca="1">IFERROR(__xludf.DUMMYFUNCTION("""COMPUTED_VALUE"""),"India")</f>
        <v>India</v>
      </c>
      <c r="C1517" s="1">
        <f ca="1">IFERROR(__xludf.DUMMYFUNCTION("""COMPUTED_VALUE"""),590005)</f>
        <v>590005</v>
      </c>
      <c r="D1517" s="1" t="str">
        <f ca="1">IFERROR(__xludf.DUMMYFUNCTION("""COMPUTED_VALUE"""),"Male")</f>
        <v>Male</v>
      </c>
      <c r="E1517" s="1" t="str">
        <f ca="1">IFERROR(__xludf.DUMMYFUNCTION("""COMPUTED_VALUE"""),"Social Media like LinkedIn")</f>
        <v>Social Media like LinkedIn</v>
      </c>
      <c r="F1517" s="1" t="str">
        <f ca="1">IFERROR(__xludf.DUMMYFUNCTION("""COMPUTED_VALUE"""),"No I would not be pursuing Higher Education outside of India")</f>
        <v>No I would not be pursuing Higher Education outside of India</v>
      </c>
      <c r="G1517" s="1" t="str">
        <f ca="1">IFERROR(__xludf.DUMMYFUNCTION("""COMPUTED_VALUE"""),"Will work for 3 years or more")</f>
        <v>Will work for 3 years or more</v>
      </c>
      <c r="H1517" s="1" t="str">
        <f ca="1">IFERROR(__xludf.DUMMYFUNCTION("""COMPUTED_VALUE"""),"No")</f>
        <v>No</v>
      </c>
      <c r="I1517" s="1" t="str">
        <f ca="1">IFERROR(__xludf.DUMMYFUNCTION("""COMPUTED_VALUE"""),"Will NOT work for them")</f>
        <v>Will NOT work for them</v>
      </c>
      <c r="J1517" s="1">
        <f ca="1">IFERROR(__xludf.DUMMYFUNCTION("""COMPUTED_VALUE"""),6)</f>
        <v>6</v>
      </c>
      <c r="K1517" s="1" t="str">
        <f ca="1">IFERROR(__xludf.DUMMYFUNCTION("""COMPUTED_VALUE"""),"Hybrid Working Environment with less than 3 days a month at office")</f>
        <v>Hybrid Working Environment with less than 3 days a month at office</v>
      </c>
      <c r="L1517" s="1" t="str">
        <f ca="1">IFERROR(__xludf.DUMMYFUNCTION("""COMPUTED_VALUE"""),"Employer who pushes your limits by enabling an learning environment, and rewards you at the end")</f>
        <v>Employer who pushes your limits by enabling an learning environment, and rewards you at the end</v>
      </c>
      <c r="M1517" s="1" t="str">
        <f ca="1">IFERROR(__xludf.DUMMYFUNCTION("""COMPUTED_VALUE"""),"Design and Creative strategy in any company, Teaching in any of the institutes/colleges/online or offline, Design and Develop amazing software, Manufacturing / Oil and Gas/ Construction / Hard Physical Work related")</f>
        <v>Design and Creative strategy in any company, Teaching in any of the institutes/colleges/online or offline, Design and Develop amazing software, Manufacturing / Oil and Gas/ Construction / Hard Physical Work related</v>
      </c>
      <c r="N1517" s="1"/>
      <c r="O1517" s="1" t="str">
        <f ca="1">IFERROR(__xludf.DUMMYFUNCTION("""COMPUTED_VALUE"""),"Manager who explains what is expected, sets a goal and helps achieve it")</f>
        <v>Manager who explains what is expected, sets a goal and helps achieve it</v>
      </c>
      <c r="P1517" s="1" t="str">
        <f ca="1">IFERROR(__xludf.DUMMYFUNCTION("""COMPUTED_VALUE"""),"Work &gt;10 people in Team")</f>
        <v>Work &gt;10 people in Team</v>
      </c>
      <c r="Q1517" s="1" t="s">
        <v>40</v>
      </c>
      <c r="R1517" s="1"/>
    </row>
    <row r="1518" spans="1:18" x14ac:dyDescent="0.25">
      <c r="A1518" s="2">
        <f ca="1">IFERROR(__xludf.DUMMYFUNCTION("""COMPUTED_VALUE"""),45045.6550591088)</f>
        <v>45045.655059108802</v>
      </c>
      <c r="B1518" s="1" t="str">
        <f ca="1">IFERROR(__xludf.DUMMYFUNCTION("""COMPUTED_VALUE"""),"India")</f>
        <v>India</v>
      </c>
      <c r="C1518" s="1">
        <f ca="1">IFERROR(__xludf.DUMMYFUNCTION("""COMPUTED_VALUE"""),533201)</f>
        <v>533201</v>
      </c>
      <c r="D1518" s="1" t="str">
        <f ca="1">IFERROR(__xludf.DUMMYFUNCTION("""COMPUTED_VALUE"""),"Male")</f>
        <v>Male</v>
      </c>
      <c r="E1518" s="1" t="str">
        <f ca="1">IFERROR(__xludf.DUMMYFUNCTION("""COMPUTED_VALUE"""),"People from my circle, but not family members")</f>
        <v>People from my circle, but not family members</v>
      </c>
      <c r="F1518" s="1" t="str">
        <f ca="1">IFERROR(__xludf.DUMMYFUNCTION("""COMPUTED_VALUE"""),"No I would not be pursuing Higher Education outside of India")</f>
        <v>No I would not be pursuing Higher Education outside of India</v>
      </c>
      <c r="G1518" s="1" t="str">
        <f ca="1">IFERROR(__xludf.DUMMYFUNCTION("""COMPUTED_VALUE"""),"Will work for 3 years or more")</f>
        <v>Will work for 3 years or more</v>
      </c>
      <c r="H1518" s="1" t="str">
        <f ca="1">IFERROR(__xludf.DUMMYFUNCTION("""COMPUTED_VALUE"""),"No")</f>
        <v>No</v>
      </c>
      <c r="I1518" s="1" t="str">
        <f ca="1">IFERROR(__xludf.DUMMYFUNCTION("""COMPUTED_VALUE"""),"Will NOT work for them")</f>
        <v>Will NOT work for them</v>
      </c>
      <c r="J1518" s="1">
        <f ca="1">IFERROR(__xludf.DUMMYFUNCTION("""COMPUTED_VALUE"""),1)</f>
        <v>1</v>
      </c>
      <c r="K1518" s="1" t="str">
        <f ca="1">IFERROR(__xludf.DUMMYFUNCTION("""COMPUTED_VALUE"""),"Every Day Office Environment")</f>
        <v>Every Day Office Environment</v>
      </c>
      <c r="L1518" s="1" t="str">
        <f ca="1">IFERROR(__xludf.DUMMYFUNCTION("""COMPUTED_VALUE"""),"Employer who pushes your limits by enabling an learning environment, and rewards you at the end")</f>
        <v>Employer who pushes your limits by enabling an learning environment, and rewards you at the end</v>
      </c>
      <c r="M1518" s="1" t="str">
        <f ca="1">IFERROR(__xludf.DUMMYFUNCTION("""COMPUTED_VALUE"""),"Manage and drive End-to-End Projects or Products, Build and develop a Team, Become a content Creator in some platform, An Artificial Intelligence Specialist / Talking to Robots")</f>
        <v>Manage and drive End-to-End Projects or Products, Build and develop a Team, Become a content Creator in some platform, An Artificial Intelligence Specialist / Talking to Robots</v>
      </c>
      <c r="N1518" s="1"/>
      <c r="O1518" s="1" t="str">
        <f ca="1">IFERROR(__xludf.DUMMYFUNCTION("""COMPUTED_VALUE"""),"Manager who explains what is expected, sets a goal and helps achieve it")</f>
        <v>Manager who explains what is expected, sets a goal and helps achieve it</v>
      </c>
      <c r="P1518" s="1" t="str">
        <f ca="1">IFERROR(__xludf.DUMMYFUNCTION("""COMPUTED_VALUE"""),"Work &gt;10 people in Team")</f>
        <v>Work &gt;10 people in Team</v>
      </c>
      <c r="Q1518" s="1" t="s">
        <v>43</v>
      </c>
      <c r="R1518" s="1"/>
    </row>
    <row r="1519" spans="1:18" x14ac:dyDescent="0.25">
      <c r="A1519" s="2">
        <f ca="1">IFERROR(__xludf.DUMMYFUNCTION("""COMPUTED_VALUE"""),45045.657750706)</f>
        <v>45045.657750705999</v>
      </c>
      <c r="B1519" s="1" t="str">
        <f ca="1">IFERROR(__xludf.DUMMYFUNCTION("""COMPUTED_VALUE"""),"India")</f>
        <v>India</v>
      </c>
      <c r="C1519" s="1">
        <f ca="1">IFERROR(__xludf.DUMMYFUNCTION("""COMPUTED_VALUE"""),560038)</f>
        <v>560038</v>
      </c>
      <c r="D1519" s="1" t="str">
        <f ca="1">IFERROR(__xludf.DUMMYFUNCTION("""COMPUTED_VALUE"""),"Male")</f>
        <v>Male</v>
      </c>
      <c r="E1519" s="1" t="str">
        <f ca="1">IFERROR(__xludf.DUMMYFUNCTION("""COMPUTED_VALUE"""),"People from my circle, but not family members")</f>
        <v>People from my circle, but not family members</v>
      </c>
      <c r="F1519" s="1" t="str">
        <f ca="1">IFERROR(__xludf.DUMMYFUNCTION("""COMPUTED_VALUE"""),"No I would not be pursuing Higher Education outside of India")</f>
        <v>No I would not be pursuing Higher Education outside of India</v>
      </c>
      <c r="G1519" s="1" t="str">
        <f ca="1">IFERROR(__xludf.DUMMYFUNCTION("""COMPUTED_VALUE"""),"This will be hard to do, but if it is the right company I would try")</f>
        <v>This will be hard to do, but if it is the right company I would try</v>
      </c>
      <c r="H1519" s="1" t="str">
        <f ca="1">IFERROR(__xludf.DUMMYFUNCTION("""COMPUTED_VALUE"""),"Yes")</f>
        <v>Yes</v>
      </c>
      <c r="I1519" s="1" t="str">
        <f ca="1">IFERROR(__xludf.DUMMYFUNCTION("""COMPUTED_VALUE"""),"Will NOT work for them")</f>
        <v>Will NOT work for them</v>
      </c>
      <c r="J1519" s="1">
        <f ca="1">IFERROR(__xludf.DUMMYFUNCTION("""COMPUTED_VALUE"""),4)</f>
        <v>4</v>
      </c>
      <c r="K1519" s="1" t="str">
        <f ca="1">IFERROR(__xludf.DUMMYFUNCTION("""COMPUTED_VALUE"""),"Every Day Office Environment")</f>
        <v>Every Day Office Environment</v>
      </c>
      <c r="L1519" s="1" t="str">
        <f ca="1">IFERROR(__xludf.DUMMYFUNCTION("""COMPUTED_VALUE"""),"Employer who pushes your limits by enabling an learning environment, and rewards you at the end")</f>
        <v>Employer who pushes your limits by enabling an learning environment, and rewards you at the end</v>
      </c>
      <c r="M151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N1519" s="1"/>
      <c r="O1519" s="1" t="str">
        <f ca="1">IFERROR(__xludf.DUMMYFUNCTION("""COMPUTED_VALUE"""),"Manager who explains what is expected, sets a goal and helps achieve it")</f>
        <v>Manager who explains what is expected, sets a goal and helps achieve it</v>
      </c>
      <c r="P1519" s="1" t="str">
        <f ca="1">IFERROR(__xludf.DUMMYFUNCTION("""COMPUTED_VALUE"""),"Work &lt;=6 People in the Team")</f>
        <v>Work &lt;=6 People in the Team</v>
      </c>
      <c r="Q1519" s="1" t="s">
        <v>43</v>
      </c>
      <c r="R1519" s="1"/>
    </row>
    <row r="1520" spans="1:18" x14ac:dyDescent="0.25">
      <c r="A1520" s="2">
        <f ca="1">IFERROR(__xludf.DUMMYFUNCTION("""COMPUTED_VALUE"""),45045.6717107523)</f>
        <v>45045.6717107523</v>
      </c>
      <c r="B1520" s="1" t="str">
        <f ca="1">IFERROR(__xludf.DUMMYFUNCTION("""COMPUTED_VALUE"""),"India")</f>
        <v>India</v>
      </c>
      <c r="C1520" s="1">
        <f ca="1">IFERROR(__xludf.DUMMYFUNCTION("""COMPUTED_VALUE"""),400103)</f>
        <v>400103</v>
      </c>
      <c r="D1520" s="1" t="str">
        <f ca="1">IFERROR(__xludf.DUMMYFUNCTION("""COMPUTED_VALUE"""),"Female")</f>
        <v>Female</v>
      </c>
      <c r="E1520" s="1" t="str">
        <f ca="1">IFERROR(__xludf.DUMMYFUNCTION("""COMPUTED_VALUE"""),"My Parents")</f>
        <v>My Parents</v>
      </c>
      <c r="F1520" s="1" t="str">
        <f ca="1">IFERROR(__xludf.DUMMYFUNCTION("""COMPUTED_VALUE"""),"No I would not be pursuing Higher Education outside of India")</f>
        <v>No I would not be pursuing Higher Education outside of India</v>
      </c>
      <c r="G1520" s="1" t="str">
        <f ca="1">IFERROR(__xludf.DUMMYFUNCTION("""COMPUTED_VALUE"""),"Will work for 3 years or more")</f>
        <v>Will work for 3 years or more</v>
      </c>
      <c r="H1520" s="1" t="str">
        <f ca="1">IFERROR(__xludf.DUMMYFUNCTION("""COMPUTED_VALUE"""),"Yes")</f>
        <v>Yes</v>
      </c>
      <c r="I1520" s="1" t="str">
        <f ca="1">IFERROR(__xludf.DUMMYFUNCTION("""COMPUTED_VALUE"""),"Will NOT work for them")</f>
        <v>Will NOT work for them</v>
      </c>
      <c r="J1520" s="1">
        <f ca="1">IFERROR(__xludf.DUMMYFUNCTION("""COMPUTED_VALUE"""),7)</f>
        <v>7</v>
      </c>
      <c r="K1520" s="1" t="str">
        <f ca="1">IFERROR(__xludf.DUMMYFUNCTION("""COMPUTED_VALUE"""),"Fully Remote with Options to travel as and when needed")</f>
        <v>Fully Remote with Options to travel as and when needed</v>
      </c>
      <c r="L1520" s="1" t="str">
        <f ca="1">IFERROR(__xludf.DUMMYFUNCTION("""COMPUTED_VALUE"""),"Employer who pushes your limits by enabling an learning environment, and rewards you at the end")</f>
        <v>Employer who pushes your limits by enabling an learning environment, and rewards you at the end</v>
      </c>
      <c r="M152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520" s="1"/>
      <c r="O1520" s="1" t="str">
        <f ca="1">IFERROR(__xludf.DUMMYFUNCTION("""COMPUTED_VALUE"""),"Manager who explains what is expected, sets a goal and helps achieve it")</f>
        <v>Manager who explains what is expected, sets a goal and helps achieve it</v>
      </c>
      <c r="P1520" s="1" t="str">
        <f ca="1">IFERROR(__xludf.DUMMYFUNCTION("""COMPUTED_VALUE"""),"Work  &lt;67 people in team")</f>
        <v>Work  &lt;67 people in team</v>
      </c>
      <c r="Q1520" s="1" t="s">
        <v>43</v>
      </c>
      <c r="R1520" s="1"/>
    </row>
    <row r="1521" spans="1:18" x14ac:dyDescent="0.25">
      <c r="A1521" s="2">
        <f ca="1">IFERROR(__xludf.DUMMYFUNCTION("""COMPUTED_VALUE"""),45045.686766331)</f>
        <v>45045.686766330997</v>
      </c>
      <c r="B1521" s="1" t="str">
        <f ca="1">IFERROR(__xludf.DUMMYFUNCTION("""COMPUTED_VALUE"""),"India")</f>
        <v>India</v>
      </c>
      <c r="C1521" s="1">
        <f ca="1">IFERROR(__xludf.DUMMYFUNCTION("""COMPUTED_VALUE"""),410210)</f>
        <v>410210</v>
      </c>
      <c r="D1521" s="1" t="str">
        <f ca="1">IFERROR(__xludf.DUMMYFUNCTION("""COMPUTED_VALUE"""),"Male")</f>
        <v>Male</v>
      </c>
      <c r="E1521" s="1" t="str">
        <f ca="1">IFERROR(__xludf.DUMMYFUNCTION("""COMPUTED_VALUE"""),"People from my circle, but not family members")</f>
        <v>People from my circle, but not family members</v>
      </c>
      <c r="F1521" s="1" t="str">
        <f ca="1">IFERROR(__xludf.DUMMYFUNCTION("""COMPUTED_VALUE"""),"No I would not be pursuing Higher Education outside of India")</f>
        <v>No I would not be pursuing Higher Education outside of India</v>
      </c>
      <c r="G1521" s="1" t="str">
        <f ca="1">IFERROR(__xludf.DUMMYFUNCTION("""COMPUTED_VALUE"""),"Will work for 3 years or more")</f>
        <v>Will work for 3 years or more</v>
      </c>
      <c r="H1521" s="1" t="str">
        <f ca="1">IFERROR(__xludf.DUMMYFUNCTION("""COMPUTED_VALUE"""),"Yes")</f>
        <v>Yes</v>
      </c>
      <c r="I1521" s="1" t="str">
        <f ca="1">IFERROR(__xludf.DUMMYFUNCTION("""COMPUTED_VALUE"""),"Will NOT work for them")</f>
        <v>Will NOT work for them</v>
      </c>
      <c r="J1521" s="1">
        <f ca="1">IFERROR(__xludf.DUMMYFUNCTION("""COMPUTED_VALUE"""),8)</f>
        <v>8</v>
      </c>
      <c r="K1521" s="1" t="str">
        <f ca="1">IFERROR(__xludf.DUMMYFUNCTION("""COMPUTED_VALUE"""),"Fully Remote with Options to travel as and when needed")</f>
        <v>Fully Remote with Options to travel as and when needed</v>
      </c>
      <c r="L1521" s="1" t="str">
        <f ca="1">IFERROR(__xludf.DUMMYFUNCTION("""COMPUTED_VALUE"""),"Employer who pushes your limits by enabling an learning environment, and rewards you at the end")</f>
        <v>Employer who pushes your limits by enabling an learning environment, and rewards you at the end</v>
      </c>
      <c r="M1521"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N1521" s="1"/>
      <c r="O1521" s="1" t="str">
        <f ca="1">IFERROR(__xludf.DUMMYFUNCTION("""COMPUTED_VALUE"""),"Manager who explains what is expected, sets a goal and helps achieve it")</f>
        <v>Manager who explains what is expected, sets a goal and helps achieve it</v>
      </c>
      <c r="P1521" s="1" t="str">
        <f ca="1">IFERROR(__xludf.DUMMYFUNCTION("""COMPUTED_VALUE"""),"Work &gt;10 people in Team")</f>
        <v>Work &gt;10 people in Team</v>
      </c>
      <c r="Q1521" s="1" t="s">
        <v>43</v>
      </c>
      <c r="R1521" s="1"/>
    </row>
    <row r="1522" spans="1:18" x14ac:dyDescent="0.25">
      <c r="A1522" s="2">
        <f ca="1">IFERROR(__xludf.DUMMYFUNCTION("""COMPUTED_VALUE"""),45045.6906418055)</f>
        <v>45045.6906418055</v>
      </c>
      <c r="B1522" s="1" t="str">
        <f ca="1">IFERROR(__xludf.DUMMYFUNCTION("""COMPUTED_VALUE"""),"India")</f>
        <v>India</v>
      </c>
      <c r="C1522" s="1">
        <f ca="1">IFERROR(__xludf.DUMMYFUNCTION("""COMPUTED_VALUE"""),400709)</f>
        <v>400709</v>
      </c>
      <c r="D1522" s="1" t="str">
        <f ca="1">IFERROR(__xludf.DUMMYFUNCTION("""COMPUTED_VALUE"""),"Male")</f>
        <v>Male</v>
      </c>
      <c r="E1522" s="1" t="str">
        <f ca="1">IFERROR(__xludf.DUMMYFUNCTION("""COMPUTED_VALUE"""),"My Parents")</f>
        <v>My Parents</v>
      </c>
      <c r="F1522" s="1" t="str">
        <f ca="1">IFERROR(__xludf.DUMMYFUNCTION("""COMPUTED_VALUE"""),"No I would not be pursuing Higher Education outside of India")</f>
        <v>No I would not be pursuing Higher Education outside of India</v>
      </c>
      <c r="G1522" s="1" t="str">
        <f ca="1">IFERROR(__xludf.DUMMYFUNCTION("""COMPUTED_VALUE"""),"No way")</f>
        <v>No way</v>
      </c>
      <c r="H1522" s="1" t="str">
        <f ca="1">IFERROR(__xludf.DUMMYFUNCTION("""COMPUTED_VALUE"""),"Yes")</f>
        <v>Yes</v>
      </c>
      <c r="I1522" s="1" t="str">
        <f ca="1">IFERROR(__xludf.DUMMYFUNCTION("""COMPUTED_VALUE"""),"Will work for them")</f>
        <v>Will work for them</v>
      </c>
      <c r="J1522" s="1">
        <f ca="1">IFERROR(__xludf.DUMMYFUNCTION("""COMPUTED_VALUE"""),10)</f>
        <v>10</v>
      </c>
      <c r="K1522" s="1" t="str">
        <f ca="1">IFERROR(__xludf.DUMMYFUNCTION("""COMPUTED_VALUE"""),"Every Day Office Environment")</f>
        <v>Every Day Office Environment</v>
      </c>
      <c r="L1522" s="1" t="str">
        <f ca="1">IFERROR(__xludf.DUMMYFUNCTION("""COMPUTED_VALUE"""),"Employer who appreciates learning and enables that environment")</f>
        <v>Employer who appreciates learning and enables that environment</v>
      </c>
      <c r="M1522"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N1522" s="1"/>
      <c r="O1522" s="1" t="str">
        <f ca="1">IFERROR(__xludf.DUMMYFUNCTION("""COMPUTED_VALUE"""),"Manager who sets goal and helps me achieve it")</f>
        <v>Manager who sets goal and helps me achieve it</v>
      </c>
      <c r="P1522" s="1" t="str">
        <f ca="1">IFERROR(__xludf.DUMMYFUNCTION("""COMPUTED_VALUE"""),"Work Alone, &lt;=6 in team")</f>
        <v>Work Alone, &lt;=6 in team</v>
      </c>
      <c r="Q1522" s="1" t="s">
        <v>43</v>
      </c>
      <c r="R1522" s="1"/>
    </row>
    <row r="1523" spans="1:18" x14ac:dyDescent="0.25">
      <c r="A1523" s="2">
        <f ca="1">IFERROR(__xludf.DUMMYFUNCTION("""COMPUTED_VALUE"""),45045.7052571064)</f>
        <v>45045.705257106398</v>
      </c>
      <c r="B1523" s="1" t="str">
        <f ca="1">IFERROR(__xludf.DUMMYFUNCTION("""COMPUTED_VALUE"""),"India")</f>
        <v>India</v>
      </c>
      <c r="C1523" s="1">
        <f ca="1">IFERROR(__xludf.DUMMYFUNCTION("""COMPUTED_VALUE"""),147003)</f>
        <v>147003</v>
      </c>
      <c r="D1523" s="1" t="str">
        <f ca="1">IFERROR(__xludf.DUMMYFUNCTION("""COMPUTED_VALUE"""),"Male")</f>
        <v>Male</v>
      </c>
      <c r="E1523" s="1" t="str">
        <f ca="1">IFERROR(__xludf.DUMMYFUNCTION("""COMPUTED_VALUE"""),"People from my circle, but not family members")</f>
        <v>People from my circle, but not family members</v>
      </c>
      <c r="F1523" s="1" t="str">
        <f ca="1">IFERROR(__xludf.DUMMYFUNCTION("""COMPUTED_VALUE"""),"No I would not be pursuing Higher Education outside of India")</f>
        <v>No I would not be pursuing Higher Education outside of India</v>
      </c>
      <c r="G1523" s="1" t="str">
        <f ca="1">IFERROR(__xludf.DUMMYFUNCTION("""COMPUTED_VALUE"""),"This will be hard to do, but if it is the right company I would try")</f>
        <v>This will be hard to do, but if it is the right company I would try</v>
      </c>
      <c r="H1523" s="1" t="str">
        <f ca="1">IFERROR(__xludf.DUMMYFUNCTION("""COMPUTED_VALUE"""),"No")</f>
        <v>No</v>
      </c>
      <c r="I1523" s="1" t="str">
        <f ca="1">IFERROR(__xludf.DUMMYFUNCTION("""COMPUTED_VALUE"""),"Will NOT work for them")</f>
        <v>Will NOT work for them</v>
      </c>
      <c r="J1523" s="1">
        <f ca="1">IFERROR(__xludf.DUMMYFUNCTION("""COMPUTED_VALUE"""),7)</f>
        <v>7</v>
      </c>
      <c r="K1523" s="1" t="str">
        <f ca="1">IFERROR(__xludf.DUMMYFUNCTION("""COMPUTED_VALUE"""),"Hybrid Working Environment with more than 15 days a month at office")</f>
        <v>Hybrid Working Environment with more than 15 days a month at office</v>
      </c>
      <c r="L1523" s="1" t="str">
        <f ca="1">IFERROR(__xludf.DUMMYFUNCTION("""COMPUTED_VALUE"""),"Employer who pushes your limits by enabling an learning environment, and rewards you at the end")</f>
        <v>Employer who pushes your limits by enabling an learning environment, and rewards you at the end</v>
      </c>
      <c r="M15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523" s="1"/>
      <c r="O1523" s="1" t="str">
        <f ca="1">IFERROR(__xludf.DUMMYFUNCTION("""COMPUTED_VALUE"""),"Manager who explains what is expected, sets a goal and helps achieve it")</f>
        <v>Manager who explains what is expected, sets a goal and helps achieve it</v>
      </c>
      <c r="P1523" s="1" t="str">
        <f ca="1">IFERROR(__xludf.DUMMYFUNCTION("""COMPUTED_VALUE"""),"Work Alone, &lt;=6 in team")</f>
        <v>Work Alone, &lt;=6 in team</v>
      </c>
      <c r="Q1523" s="1" t="s">
        <v>40</v>
      </c>
      <c r="R1523" s="1"/>
    </row>
    <row r="1524" spans="1:18" x14ac:dyDescent="0.25">
      <c r="A1524" s="2">
        <f ca="1">IFERROR(__xludf.DUMMYFUNCTION("""COMPUTED_VALUE"""),45045.7074385648)</f>
        <v>45045.707438564801</v>
      </c>
      <c r="B1524" s="1" t="str">
        <f ca="1">IFERROR(__xludf.DUMMYFUNCTION("""COMPUTED_VALUE"""),"India")</f>
        <v>India</v>
      </c>
      <c r="C1524" s="1">
        <f ca="1">IFERROR(__xludf.DUMMYFUNCTION("""COMPUTED_VALUE"""),456010)</f>
        <v>456010</v>
      </c>
      <c r="D1524" s="1" t="str">
        <f ca="1">IFERROR(__xludf.DUMMYFUNCTION("""COMPUTED_VALUE"""),"Female")</f>
        <v>Female</v>
      </c>
      <c r="E1524" s="1" t="str">
        <f ca="1">IFERROR(__xludf.DUMMYFUNCTION("""COMPUTED_VALUE"""),"Social Media like LinkedIn")</f>
        <v>Social Media like LinkedIn</v>
      </c>
      <c r="F1524" s="1" t="str">
        <f ca="1">IFERROR(__xludf.DUMMYFUNCTION("""COMPUTED_VALUE"""),"Yes, I will earn and do that")</f>
        <v>Yes, I will earn and do that</v>
      </c>
      <c r="G1524" s="1" t="str">
        <f ca="1">IFERROR(__xludf.DUMMYFUNCTION("""COMPUTED_VALUE"""),"This will be hard to do, but if it is the right company I would try")</f>
        <v>This will be hard to do, but if it is the right company I would try</v>
      </c>
      <c r="H1524" s="1" t="str">
        <f ca="1">IFERROR(__xludf.DUMMYFUNCTION("""COMPUTED_VALUE"""),"No")</f>
        <v>No</v>
      </c>
      <c r="I1524" s="1" t="str">
        <f ca="1">IFERROR(__xludf.DUMMYFUNCTION("""COMPUTED_VALUE"""),"Will NOT work for them")</f>
        <v>Will NOT work for them</v>
      </c>
      <c r="J1524" s="1">
        <f ca="1">IFERROR(__xludf.DUMMYFUNCTION("""COMPUTED_VALUE"""),5)</f>
        <v>5</v>
      </c>
      <c r="K1524" s="1" t="str">
        <f ca="1">IFERROR(__xludf.DUMMYFUNCTION("""COMPUTED_VALUE"""),"Hybrid Working Environment with more than 15 days a month at office")</f>
        <v>Hybrid Working Environment with more than 15 days a month at office</v>
      </c>
      <c r="L1524" s="1" t="str">
        <f ca="1">IFERROR(__xludf.DUMMYFUNCTION("""COMPUTED_VALUE"""),"Employer who pushes your limits by enabling an learning environment, and rewards you at the end")</f>
        <v>Employer who pushes your limits by enabling an learning environment, and rewards you at the end</v>
      </c>
      <c r="M152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1524" s="1"/>
      <c r="O1524" s="1" t="str">
        <f ca="1">IFERROR(__xludf.DUMMYFUNCTION("""COMPUTED_VALUE"""),"Manager who sets goal and helps me achieve it")</f>
        <v>Manager who sets goal and helps me achieve it</v>
      </c>
      <c r="P1524" s="1" t="str">
        <f ca="1">IFERROR(__xludf.DUMMYFUNCTION("""COMPUTED_VALUE"""),"Work &lt;=6 People in the Team")</f>
        <v>Work &lt;=6 People in the Team</v>
      </c>
      <c r="Q1524" s="1" t="s">
        <v>43</v>
      </c>
      <c r="R1524" s="1"/>
    </row>
    <row r="1525" spans="1:18" x14ac:dyDescent="0.25">
      <c r="A1525" s="2">
        <f ca="1">IFERROR(__xludf.DUMMYFUNCTION("""COMPUTED_VALUE"""),45045.7078788657)</f>
        <v>45045.707878865702</v>
      </c>
      <c r="B1525" s="1" t="str">
        <f ca="1">IFERROR(__xludf.DUMMYFUNCTION("""COMPUTED_VALUE"""),"India")</f>
        <v>India</v>
      </c>
      <c r="C1525" s="1">
        <f ca="1">IFERROR(__xludf.DUMMYFUNCTION("""COMPUTED_VALUE"""),142026)</f>
        <v>142026</v>
      </c>
      <c r="D1525" s="1" t="str">
        <f ca="1">IFERROR(__xludf.DUMMYFUNCTION("""COMPUTED_VALUE"""),"Female")</f>
        <v>Female</v>
      </c>
      <c r="E1525" s="1" t="str">
        <f ca="1">IFERROR(__xludf.DUMMYFUNCTION("""COMPUTED_VALUE"""),"People who have changed the world for better")</f>
        <v>People who have changed the world for better</v>
      </c>
      <c r="F1525" s="1" t="str">
        <f ca="1">IFERROR(__xludf.DUMMYFUNCTION("""COMPUTED_VALUE"""),"Yes, I will earn and do that")</f>
        <v>Yes, I will earn and do that</v>
      </c>
      <c r="G1525" s="1" t="str">
        <f ca="1">IFERROR(__xludf.DUMMYFUNCTION("""COMPUTED_VALUE"""),"Will work for 3 years or more")</f>
        <v>Will work for 3 years or more</v>
      </c>
      <c r="H1525" s="1" t="str">
        <f ca="1">IFERROR(__xludf.DUMMYFUNCTION("""COMPUTED_VALUE"""),"No")</f>
        <v>No</v>
      </c>
      <c r="I1525" s="1" t="str">
        <f ca="1">IFERROR(__xludf.DUMMYFUNCTION("""COMPUTED_VALUE"""),"Will NOT work for them")</f>
        <v>Will NOT work for them</v>
      </c>
      <c r="J1525" s="1">
        <f ca="1">IFERROR(__xludf.DUMMYFUNCTION("""COMPUTED_VALUE"""),4)</f>
        <v>4</v>
      </c>
      <c r="K1525" s="1" t="str">
        <f ca="1">IFERROR(__xludf.DUMMYFUNCTION("""COMPUTED_VALUE"""),"Fully Remote with Options to travel as and when needed")</f>
        <v>Fully Remote with Options to travel as and when needed</v>
      </c>
      <c r="L1525" s="1" t="str">
        <f ca="1">IFERROR(__xludf.DUMMYFUNCTION("""COMPUTED_VALUE"""),"Employer who pushes your limits by enabling an learning environment, and rewards you at the end")</f>
        <v>Employer who pushes your limits by enabling an learning environment, and rewards you at the end</v>
      </c>
      <c r="M15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525" s="1"/>
      <c r="O1525" s="1" t="str">
        <f ca="1">IFERROR(__xludf.DUMMYFUNCTION("""COMPUTED_VALUE"""),"Manager who explains what is expected, sets a goal and helps achieve it")</f>
        <v>Manager who explains what is expected, sets a goal and helps achieve it</v>
      </c>
      <c r="P1525" s="1" t="str">
        <f ca="1">IFERROR(__xludf.DUMMYFUNCTION("""COMPUTED_VALUE"""),"Work &lt;=6 People in the Team")</f>
        <v>Work &lt;=6 People in the Team</v>
      </c>
      <c r="Q1525" s="1" t="s">
        <v>43</v>
      </c>
      <c r="R1525" s="1"/>
    </row>
    <row r="1526" spans="1:18" x14ac:dyDescent="0.25">
      <c r="A1526" s="2">
        <f ca="1">IFERROR(__xludf.DUMMYFUNCTION("""COMPUTED_VALUE"""),45045.7144385879)</f>
        <v>45045.7144385879</v>
      </c>
      <c r="B1526" s="1" t="str">
        <f ca="1">IFERROR(__xludf.DUMMYFUNCTION("""COMPUTED_VALUE"""),"India")</f>
        <v>India</v>
      </c>
      <c r="C1526" s="1">
        <f ca="1">IFERROR(__xludf.DUMMYFUNCTION("""COMPUTED_VALUE"""),605004)</f>
        <v>605004</v>
      </c>
      <c r="D1526" s="1" t="str">
        <f ca="1">IFERROR(__xludf.DUMMYFUNCTION("""COMPUTED_VALUE"""),"Female")</f>
        <v>Female</v>
      </c>
      <c r="E1526" s="1" t="str">
        <f ca="1">IFERROR(__xludf.DUMMYFUNCTION("""COMPUTED_VALUE"""),"Influencers who had successful careers")</f>
        <v>Influencers who had successful careers</v>
      </c>
      <c r="F1526" s="1" t="str">
        <f ca="1">IFERROR(__xludf.DUMMYFUNCTION("""COMPUTED_VALUE"""),"No, But if someone could bare the cost I will")</f>
        <v>No, But if someone could bare the cost I will</v>
      </c>
      <c r="G1526" s="1" t="str">
        <f ca="1">IFERROR(__xludf.DUMMYFUNCTION("""COMPUTED_VALUE"""),"This will be hard to do, but if it is the right company I would try")</f>
        <v>This will be hard to do, but if it is the right company I would try</v>
      </c>
      <c r="H1526" s="1" t="str">
        <f ca="1">IFERROR(__xludf.DUMMYFUNCTION("""COMPUTED_VALUE"""),"No")</f>
        <v>No</v>
      </c>
      <c r="I1526" s="1" t="str">
        <f ca="1">IFERROR(__xludf.DUMMYFUNCTION("""COMPUTED_VALUE"""),"Will NOT work for them")</f>
        <v>Will NOT work for them</v>
      </c>
      <c r="J1526" s="1">
        <f ca="1">IFERROR(__xludf.DUMMYFUNCTION("""COMPUTED_VALUE"""),8)</f>
        <v>8</v>
      </c>
      <c r="K1526" s="1" t="str">
        <f ca="1">IFERROR(__xludf.DUMMYFUNCTION("""COMPUTED_VALUE"""),"Fully Remote with Options to travel as and when needed")</f>
        <v>Fully Remote with Options to travel as and when needed</v>
      </c>
      <c r="L1526" s="1" t="str">
        <f ca="1">IFERROR(__xludf.DUMMYFUNCTION("""COMPUTED_VALUE"""),"Employer who pushes your limits by enabling an learning environment, and rewards you at the end")</f>
        <v>Employer who pushes your limits by enabling an learning environment, and rewards you at the end</v>
      </c>
      <c r="M152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526" s="1"/>
      <c r="O1526" s="1" t="str">
        <f ca="1">IFERROR(__xludf.DUMMYFUNCTION("""COMPUTED_VALUE"""),"Manager who explains what is expected, sets a goal and helps achieve it")</f>
        <v>Manager who explains what is expected, sets a goal and helps achieve it</v>
      </c>
      <c r="P1526" s="1" t="str">
        <f ca="1">IFERROR(__xludf.DUMMYFUNCTION("""COMPUTED_VALUE"""),"Work &lt;=6 People in the Team")</f>
        <v>Work &lt;=6 People in the Team</v>
      </c>
      <c r="Q1526" s="1" t="s">
        <v>40</v>
      </c>
      <c r="R1526" s="1"/>
    </row>
    <row r="1527" spans="1:18" x14ac:dyDescent="0.25">
      <c r="A1527" s="2">
        <f ca="1">IFERROR(__xludf.DUMMYFUNCTION("""COMPUTED_VALUE"""),45045.7155325231)</f>
        <v>45045.7155325231</v>
      </c>
      <c r="B1527" s="1" t="str">
        <f ca="1">IFERROR(__xludf.DUMMYFUNCTION("""COMPUTED_VALUE"""),"India")</f>
        <v>India</v>
      </c>
      <c r="C1527" s="1">
        <f ca="1">IFERROR(__xludf.DUMMYFUNCTION("""COMPUTED_VALUE"""),456010)</f>
        <v>456010</v>
      </c>
      <c r="D1527" s="1" t="str">
        <f ca="1">IFERROR(__xludf.DUMMYFUNCTION("""COMPUTED_VALUE"""),"Female")</f>
        <v>Female</v>
      </c>
      <c r="E1527" s="1" t="str">
        <f ca="1">IFERROR(__xludf.DUMMYFUNCTION("""COMPUTED_VALUE"""),"My Parents")</f>
        <v>My Parents</v>
      </c>
      <c r="F1527" s="1" t="str">
        <f ca="1">IFERROR(__xludf.DUMMYFUNCTION("""COMPUTED_VALUE"""),"No, But if someone could bare the cost I will")</f>
        <v>No, But if someone could bare the cost I will</v>
      </c>
      <c r="G1527" s="1" t="str">
        <f ca="1">IFERROR(__xludf.DUMMYFUNCTION("""COMPUTED_VALUE"""),"Will work for 3 years or more")</f>
        <v>Will work for 3 years or more</v>
      </c>
      <c r="H1527" s="1" t="str">
        <f ca="1">IFERROR(__xludf.DUMMYFUNCTION("""COMPUTED_VALUE"""),"No")</f>
        <v>No</v>
      </c>
      <c r="I1527" s="1" t="str">
        <f ca="1">IFERROR(__xludf.DUMMYFUNCTION("""COMPUTED_VALUE"""),"Will NOT work for them")</f>
        <v>Will NOT work for them</v>
      </c>
      <c r="J1527" s="1">
        <f ca="1">IFERROR(__xludf.DUMMYFUNCTION("""COMPUTED_VALUE"""),1)</f>
        <v>1</v>
      </c>
      <c r="K1527" s="1" t="str">
        <f ca="1">IFERROR(__xludf.DUMMYFUNCTION("""COMPUTED_VALUE"""),"Fully Remote with No option to visit offices")</f>
        <v>Fully Remote with No option to visit offices</v>
      </c>
      <c r="L1527" s="1" t="str">
        <f ca="1">IFERROR(__xludf.DUMMYFUNCTION("""COMPUTED_VALUE"""),"Employer who rewards learning and enables that environment")</f>
        <v>Employer who rewards learning and enables that environment</v>
      </c>
      <c r="M1527"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527" s="1"/>
      <c r="O1527" s="1" t="str">
        <f ca="1">IFERROR(__xludf.DUMMYFUNCTION("""COMPUTED_VALUE"""),"Manager who clearly describes what she/he needs")</f>
        <v>Manager who clearly describes what she/he needs</v>
      </c>
      <c r="P1527" s="1" t="str">
        <f ca="1">IFERROR(__xludf.DUMMYFUNCTION("""COMPUTED_VALUE"""),"Work alone")</f>
        <v>Work alone</v>
      </c>
      <c r="Q1527" s="1" t="s">
        <v>43</v>
      </c>
      <c r="R1527" s="1"/>
    </row>
    <row r="1528" spans="1:18" x14ac:dyDescent="0.25">
      <c r="A1528" s="2">
        <f ca="1">IFERROR(__xludf.DUMMYFUNCTION("""COMPUTED_VALUE"""),45045.7192017013)</f>
        <v>45045.7192017013</v>
      </c>
      <c r="B1528" s="1" t="str">
        <f ca="1">IFERROR(__xludf.DUMMYFUNCTION("""COMPUTED_VALUE"""),"India")</f>
        <v>India</v>
      </c>
      <c r="C1528" s="1">
        <f ca="1">IFERROR(__xludf.DUMMYFUNCTION("""COMPUTED_VALUE"""),456006)</f>
        <v>456006</v>
      </c>
      <c r="D1528" s="1" t="str">
        <f ca="1">IFERROR(__xludf.DUMMYFUNCTION("""COMPUTED_VALUE"""),"Male")</f>
        <v>Male</v>
      </c>
      <c r="E1528" s="1" t="str">
        <f ca="1">IFERROR(__xludf.DUMMYFUNCTION("""COMPUTED_VALUE"""),"My Parents")</f>
        <v>My Parents</v>
      </c>
      <c r="F1528" s="1" t="str">
        <f ca="1">IFERROR(__xludf.DUMMYFUNCTION("""COMPUTED_VALUE"""),"Yes, I will earn and do that")</f>
        <v>Yes, I will earn and do that</v>
      </c>
      <c r="G1528" s="1" t="str">
        <f ca="1">IFERROR(__xludf.DUMMYFUNCTION("""COMPUTED_VALUE"""),"No way")</f>
        <v>No way</v>
      </c>
      <c r="H1528" s="1" t="str">
        <f ca="1">IFERROR(__xludf.DUMMYFUNCTION("""COMPUTED_VALUE"""),"Yes")</f>
        <v>Yes</v>
      </c>
      <c r="I1528" s="1" t="str">
        <f ca="1">IFERROR(__xludf.DUMMYFUNCTION("""COMPUTED_VALUE"""),"Will work for them")</f>
        <v>Will work for them</v>
      </c>
      <c r="J1528" s="1">
        <f ca="1">IFERROR(__xludf.DUMMYFUNCTION("""COMPUTED_VALUE"""),1)</f>
        <v>1</v>
      </c>
      <c r="K1528" s="1" t="str">
        <f ca="1">IFERROR(__xludf.DUMMYFUNCTION("""COMPUTED_VALUE"""),"Every Day Office Environment")</f>
        <v>Every Day Office Environment</v>
      </c>
      <c r="L1528" s="1" t="str">
        <f ca="1">IFERROR(__xludf.DUMMYFUNCTION("""COMPUTED_VALUE"""),"Employer who appreciates learning and enables that environment")</f>
        <v>Employer who appreciates learning and enables that environment</v>
      </c>
      <c r="M1528"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N1528" s="1"/>
      <c r="O1528" s="1" t="str">
        <f ca="1">IFERROR(__xludf.DUMMYFUNCTION("""COMPUTED_VALUE"""),"Manager who clearly describes what she/he needs")</f>
        <v>Manager who clearly describes what she/he needs</v>
      </c>
      <c r="P1528" s="1" t="str">
        <f ca="1">IFERROR(__xludf.DUMMYFUNCTION("""COMPUTED_VALUE"""),"Work &lt;=6 People in the Team")</f>
        <v>Work &lt;=6 People in the Team</v>
      </c>
      <c r="Q1528" s="1" t="s">
        <v>43</v>
      </c>
      <c r="R1528" s="1"/>
    </row>
    <row r="1529" spans="1:18" x14ac:dyDescent="0.25">
      <c r="A1529" s="2">
        <f ca="1">IFERROR(__xludf.DUMMYFUNCTION("""COMPUTED_VALUE"""),45045.7210609027)</f>
        <v>45045.721060902702</v>
      </c>
      <c r="B1529" s="1" t="str">
        <f ca="1">IFERROR(__xludf.DUMMYFUNCTION("""COMPUTED_VALUE"""),"India")</f>
        <v>India</v>
      </c>
      <c r="C1529" s="1">
        <f ca="1">IFERROR(__xludf.DUMMYFUNCTION("""COMPUTED_VALUE"""),452010)</f>
        <v>452010</v>
      </c>
      <c r="D1529" s="1" t="str">
        <f ca="1">IFERROR(__xludf.DUMMYFUNCTION("""COMPUTED_VALUE"""),"Male")</f>
        <v>Male</v>
      </c>
      <c r="E1529" s="1" t="str">
        <f ca="1">IFERROR(__xludf.DUMMYFUNCTION("""COMPUTED_VALUE"""),"People from my circle, but not family members")</f>
        <v>People from my circle, but not family members</v>
      </c>
      <c r="F1529" s="1" t="str">
        <f ca="1">IFERROR(__xludf.DUMMYFUNCTION("""COMPUTED_VALUE"""),"No I would not be pursuing Higher Education outside of India")</f>
        <v>No I would not be pursuing Higher Education outside of India</v>
      </c>
      <c r="G1529" s="1" t="str">
        <f ca="1">IFERROR(__xludf.DUMMYFUNCTION("""COMPUTED_VALUE"""),"Will work for 3 years or more")</f>
        <v>Will work for 3 years or more</v>
      </c>
      <c r="H1529" s="1" t="str">
        <f ca="1">IFERROR(__xludf.DUMMYFUNCTION("""COMPUTED_VALUE"""),"No")</f>
        <v>No</v>
      </c>
      <c r="I1529" s="1" t="str">
        <f ca="1">IFERROR(__xludf.DUMMYFUNCTION("""COMPUTED_VALUE"""),"Will NOT work for them")</f>
        <v>Will NOT work for them</v>
      </c>
      <c r="J1529" s="1">
        <f ca="1">IFERROR(__xludf.DUMMYFUNCTION("""COMPUTED_VALUE"""),10)</f>
        <v>10</v>
      </c>
      <c r="K1529" s="1" t="str">
        <f ca="1">IFERROR(__xludf.DUMMYFUNCTION("""COMPUTED_VALUE"""),"Fully Remote with Options to travel as and when needed")</f>
        <v>Fully Remote with Options to travel as and when needed</v>
      </c>
      <c r="L1529" s="1" t="str">
        <f ca="1">IFERROR(__xludf.DUMMYFUNCTION("""COMPUTED_VALUE"""),"Employer who appreciates learning and enables that environment")</f>
        <v>Employer who appreciates learning and enables that environment</v>
      </c>
      <c r="M152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N1529" s="1"/>
      <c r="O1529" s="1" t="str">
        <f ca="1">IFERROR(__xludf.DUMMYFUNCTION("""COMPUTED_VALUE"""),"Manager who explains what is expected, sets a goal and helps achieve it")</f>
        <v>Manager who explains what is expected, sets a goal and helps achieve it</v>
      </c>
      <c r="P1529" s="1" t="str">
        <f ca="1">IFERROR(__xludf.DUMMYFUNCTION("""COMPUTED_VALUE"""),"Work &gt;10 people in Team")</f>
        <v>Work &gt;10 people in Team</v>
      </c>
      <c r="Q1529" s="1" t="s">
        <v>44</v>
      </c>
      <c r="R1529" s="1"/>
    </row>
    <row r="1530" spans="1:18" x14ac:dyDescent="0.25">
      <c r="A1530" s="2">
        <f ca="1">IFERROR(__xludf.DUMMYFUNCTION("""COMPUTED_VALUE"""),45045.7228673958)</f>
        <v>45045.722867395802</v>
      </c>
      <c r="B1530" s="1" t="str">
        <f ca="1">IFERROR(__xludf.DUMMYFUNCTION("""COMPUTED_VALUE"""),"India")</f>
        <v>India</v>
      </c>
      <c r="C1530" s="1">
        <f ca="1">IFERROR(__xludf.DUMMYFUNCTION("""COMPUTED_VALUE"""),456010)</f>
        <v>456010</v>
      </c>
      <c r="D1530" s="1" t="str">
        <f ca="1">IFERROR(__xludf.DUMMYFUNCTION("""COMPUTED_VALUE"""),"Female")</f>
        <v>Female</v>
      </c>
      <c r="E1530" s="1" t="str">
        <f ca="1">IFERROR(__xludf.DUMMYFUNCTION("""COMPUTED_VALUE"""),"My Parents")</f>
        <v>My Parents</v>
      </c>
      <c r="F1530" s="1" t="str">
        <f ca="1">IFERROR(__xludf.DUMMYFUNCTION("""COMPUTED_VALUE"""),"Yes, I will earn and do that")</f>
        <v>Yes, I will earn and do that</v>
      </c>
      <c r="G1530" s="1" t="str">
        <f ca="1">IFERROR(__xludf.DUMMYFUNCTION("""COMPUTED_VALUE"""),"This will be hard to do, but if it is the right company I would try")</f>
        <v>This will be hard to do, but if it is the right company I would try</v>
      </c>
      <c r="H1530" s="1" t="str">
        <f ca="1">IFERROR(__xludf.DUMMYFUNCTION("""COMPUTED_VALUE"""),"Yes")</f>
        <v>Yes</v>
      </c>
      <c r="I1530" s="1" t="str">
        <f ca="1">IFERROR(__xludf.DUMMYFUNCTION("""COMPUTED_VALUE"""),"Will work for them")</f>
        <v>Will work for them</v>
      </c>
      <c r="J1530" s="1">
        <f ca="1">IFERROR(__xludf.DUMMYFUNCTION("""COMPUTED_VALUE"""),5)</f>
        <v>5</v>
      </c>
      <c r="K1530" s="1" t="str">
        <f ca="1">IFERROR(__xludf.DUMMYFUNCTION("""COMPUTED_VALUE"""),"Hybrid Working Environment with less than 3 days a month at office")</f>
        <v>Hybrid Working Environment with less than 3 days a month at office</v>
      </c>
      <c r="L1530" s="1" t="str">
        <f ca="1">IFERROR(__xludf.DUMMYFUNCTION("""COMPUTED_VALUE"""),"Employer who pushes your limits by enabling an learning environment, and rewards you at the end")</f>
        <v>Employer who pushes your limits by enabling an learning environment, and rewards you at the end</v>
      </c>
      <c r="M153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530" s="1"/>
      <c r="O1530" s="1" t="str">
        <f ca="1">IFERROR(__xludf.DUMMYFUNCTION("""COMPUTED_VALUE"""),"Manager who explains what is expected, sets a goal and helps achieve it")</f>
        <v>Manager who explains what is expected, sets a goal and helps achieve it</v>
      </c>
      <c r="P1530" s="1" t="str">
        <f ca="1">IFERROR(__xludf.DUMMYFUNCTION("""COMPUTED_VALUE"""),"Work &gt;10 people in Team")</f>
        <v>Work &gt;10 people in Team</v>
      </c>
      <c r="Q1530" s="1" t="s">
        <v>43</v>
      </c>
      <c r="R1530" s="1"/>
    </row>
    <row r="1531" spans="1:18" x14ac:dyDescent="0.25">
      <c r="A1531" s="2">
        <f ca="1">IFERROR(__xludf.DUMMYFUNCTION("""COMPUTED_VALUE"""),45045.7333492129)</f>
        <v>45045.733349212896</v>
      </c>
      <c r="B1531" s="1" t="str">
        <f ca="1">IFERROR(__xludf.DUMMYFUNCTION("""COMPUTED_VALUE"""),"India")</f>
        <v>India</v>
      </c>
      <c r="C1531" s="1">
        <f ca="1">IFERROR(__xludf.DUMMYFUNCTION("""COMPUTED_VALUE"""),721302)</f>
        <v>721302</v>
      </c>
      <c r="D1531" s="1" t="str">
        <f ca="1">IFERROR(__xludf.DUMMYFUNCTION("""COMPUTED_VALUE"""),"Female")</f>
        <v>Female</v>
      </c>
      <c r="E1531" s="1" t="str">
        <f ca="1">IFERROR(__xludf.DUMMYFUNCTION("""COMPUTED_VALUE"""),"People who have changed the world for better")</f>
        <v>People who have changed the world for better</v>
      </c>
      <c r="F1531" s="1" t="str">
        <f ca="1">IFERROR(__xludf.DUMMYFUNCTION("""COMPUTED_VALUE"""),"Yes, I will earn and do that")</f>
        <v>Yes, I will earn and do that</v>
      </c>
      <c r="G1531" s="1" t="str">
        <f ca="1">IFERROR(__xludf.DUMMYFUNCTION("""COMPUTED_VALUE"""),"This will be hard to do, but if it is the right company I would try")</f>
        <v>This will be hard to do, but if it is the right company I would try</v>
      </c>
      <c r="H1531" s="1" t="str">
        <f ca="1">IFERROR(__xludf.DUMMYFUNCTION("""COMPUTED_VALUE"""),"No")</f>
        <v>No</v>
      </c>
      <c r="I1531" s="1" t="str">
        <f ca="1">IFERROR(__xludf.DUMMYFUNCTION("""COMPUTED_VALUE"""),"Will NOT work for them")</f>
        <v>Will NOT work for them</v>
      </c>
      <c r="J1531" s="1">
        <f ca="1">IFERROR(__xludf.DUMMYFUNCTION("""COMPUTED_VALUE"""),5)</f>
        <v>5</v>
      </c>
      <c r="K1531" s="1" t="str">
        <f ca="1">IFERROR(__xludf.DUMMYFUNCTION("""COMPUTED_VALUE"""),"Fully Remote with Options to travel as and when needed")</f>
        <v>Fully Remote with Options to travel as and when needed</v>
      </c>
      <c r="L1531" s="1" t="str">
        <f ca="1">IFERROR(__xludf.DUMMYFUNCTION("""COMPUTED_VALUE"""),"Employer who pushes your limits by enabling an learning environment, and rewards you at the end")</f>
        <v>Employer who pushes your limits by enabling an learning environment, and rewards you at the end</v>
      </c>
      <c r="M1531"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N1531" s="1"/>
      <c r="O1531" s="1" t="str">
        <f ca="1">IFERROR(__xludf.DUMMYFUNCTION("""COMPUTED_VALUE"""),"Manager who explains what is expected, sets a goal and helps achieve it")</f>
        <v>Manager who explains what is expected, sets a goal and helps achieve it</v>
      </c>
      <c r="P1531" s="1" t="str">
        <f ca="1">IFERROR(__xludf.DUMMYFUNCTION("""COMPUTED_VALUE"""),"Work &lt;=6 People in the Team")</f>
        <v>Work &lt;=6 People in the Team</v>
      </c>
      <c r="Q1531" s="1" t="s">
        <v>43</v>
      </c>
      <c r="R1531" s="1"/>
    </row>
    <row r="1532" spans="1:18" x14ac:dyDescent="0.25">
      <c r="A1532" s="2">
        <f ca="1">IFERROR(__xludf.DUMMYFUNCTION("""COMPUTED_VALUE"""),45045.7371481481)</f>
        <v>45045.737148148102</v>
      </c>
      <c r="B1532" s="1" t="str">
        <f ca="1">IFERROR(__xludf.DUMMYFUNCTION("""COMPUTED_VALUE"""),"India")</f>
        <v>India</v>
      </c>
      <c r="C1532" s="1">
        <f ca="1">IFERROR(__xludf.DUMMYFUNCTION("""COMPUTED_VALUE"""),731130)</f>
        <v>731130</v>
      </c>
      <c r="D1532" s="1" t="str">
        <f ca="1">IFERROR(__xludf.DUMMYFUNCTION("""COMPUTED_VALUE"""),"Male")</f>
        <v>Male</v>
      </c>
      <c r="E1532" s="1" t="str">
        <f ca="1">IFERROR(__xludf.DUMMYFUNCTION("""COMPUTED_VALUE"""),"My Parents")</f>
        <v>My Parents</v>
      </c>
      <c r="F1532" s="1" t="str">
        <f ca="1">IFERROR(__xludf.DUMMYFUNCTION("""COMPUTED_VALUE"""),"Yes, I will earn and do that")</f>
        <v>Yes, I will earn and do that</v>
      </c>
      <c r="G1532" s="1" t="str">
        <f ca="1">IFERROR(__xludf.DUMMYFUNCTION("""COMPUTED_VALUE"""),"This will be hard to do, but if it is the right company I would try")</f>
        <v>This will be hard to do, but if it is the right company I would try</v>
      </c>
      <c r="H1532" s="1" t="str">
        <f ca="1">IFERROR(__xludf.DUMMYFUNCTION("""COMPUTED_VALUE"""),"Yes")</f>
        <v>Yes</v>
      </c>
      <c r="I1532" s="1" t="str">
        <f ca="1">IFERROR(__xludf.DUMMYFUNCTION("""COMPUTED_VALUE"""),"Will work for them")</f>
        <v>Will work for them</v>
      </c>
      <c r="J1532" s="1">
        <f ca="1">IFERROR(__xludf.DUMMYFUNCTION("""COMPUTED_VALUE"""),1)</f>
        <v>1</v>
      </c>
      <c r="K1532" s="1" t="str">
        <f ca="1">IFERROR(__xludf.DUMMYFUNCTION("""COMPUTED_VALUE"""),"Hybrid Working Environment with less than 3 days a month at office")</f>
        <v>Hybrid Working Environment with less than 3 days a month at office</v>
      </c>
      <c r="L1532" s="1" t="str">
        <f ca="1">IFERROR(__xludf.DUMMYFUNCTION("""COMPUTED_VALUE"""),"Employer who pushes your limits by enabling an learning environment, and rewards you at the end")</f>
        <v>Employer who pushes your limits by enabling an learning environment, and rewards you at the end</v>
      </c>
      <c r="M153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N1532" s="1"/>
      <c r="O1532" s="1" t="str">
        <f ca="1">IFERROR(__xludf.DUMMYFUNCTION("""COMPUTED_VALUE"""),"Manager who clearly describes what she/he needs")</f>
        <v>Manager who clearly describes what she/he needs</v>
      </c>
      <c r="P1532" s="1" t="str">
        <f ca="1">IFERROR(__xludf.DUMMYFUNCTION("""COMPUTED_VALUE"""),"Work &lt;=6 People in the Team")</f>
        <v>Work &lt;=6 People in the Team</v>
      </c>
      <c r="Q1532" s="1" t="s">
        <v>43</v>
      </c>
      <c r="R1532" s="1"/>
    </row>
    <row r="1533" spans="1:18" x14ac:dyDescent="0.25">
      <c r="A1533" s="2">
        <f ca="1">IFERROR(__xludf.DUMMYFUNCTION("""COMPUTED_VALUE"""),45045.7386199652)</f>
        <v>45045.738619965203</v>
      </c>
      <c r="B1533" s="1" t="str">
        <f ca="1">IFERROR(__xludf.DUMMYFUNCTION("""COMPUTED_VALUE"""),"India")</f>
        <v>India</v>
      </c>
      <c r="C1533" s="1">
        <f ca="1">IFERROR(__xludf.DUMMYFUNCTION("""COMPUTED_VALUE"""),600049)</f>
        <v>600049</v>
      </c>
      <c r="D1533" s="1" t="str">
        <f ca="1">IFERROR(__xludf.DUMMYFUNCTION("""COMPUTED_VALUE"""),"Female")</f>
        <v>Female</v>
      </c>
      <c r="E1533" s="1" t="str">
        <f ca="1">IFERROR(__xludf.DUMMYFUNCTION("""COMPUTED_VALUE"""),"Influencers who had successful careers")</f>
        <v>Influencers who had successful careers</v>
      </c>
      <c r="F1533" s="1" t="str">
        <f ca="1">IFERROR(__xludf.DUMMYFUNCTION("""COMPUTED_VALUE"""),"Yes, I will earn and do that")</f>
        <v>Yes, I will earn and do that</v>
      </c>
      <c r="G1533" s="1" t="str">
        <f ca="1">IFERROR(__xludf.DUMMYFUNCTION("""COMPUTED_VALUE"""),"Will work for 3 years or more")</f>
        <v>Will work for 3 years or more</v>
      </c>
      <c r="H1533" s="1" t="str">
        <f ca="1">IFERROR(__xludf.DUMMYFUNCTION("""COMPUTED_VALUE"""),"No")</f>
        <v>No</v>
      </c>
      <c r="I1533" s="1" t="str">
        <f ca="1">IFERROR(__xludf.DUMMYFUNCTION("""COMPUTED_VALUE"""),"Will NOT work for them")</f>
        <v>Will NOT work for them</v>
      </c>
      <c r="J1533" s="1">
        <f ca="1">IFERROR(__xludf.DUMMYFUNCTION("""COMPUTED_VALUE"""),5)</f>
        <v>5</v>
      </c>
      <c r="K1533" s="1" t="str">
        <f ca="1">IFERROR(__xludf.DUMMYFUNCTION("""COMPUTED_VALUE"""),"Hybrid Working Environment with less than 3 days a month at office")</f>
        <v>Hybrid Working Environment with less than 3 days a month at office</v>
      </c>
      <c r="L1533" s="1" t="str">
        <f ca="1">IFERROR(__xludf.DUMMYFUNCTION("""COMPUTED_VALUE"""),"Employer who rewards learning and enables that environment")</f>
        <v>Employer who rewards learning and enables that environment</v>
      </c>
      <c r="M1533"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N1533" s="1"/>
      <c r="O1533" s="1" t="str">
        <f ca="1">IFERROR(__xludf.DUMMYFUNCTION("""COMPUTED_VALUE"""),"Manager who explains what is expected, sets a goal and helps achieve it")</f>
        <v>Manager who explains what is expected, sets a goal and helps achieve it</v>
      </c>
      <c r="P1533" s="1" t="str">
        <f ca="1">IFERROR(__xludf.DUMMYFUNCTION("""COMPUTED_VALUE"""),"Work &gt;=7 People in the Team")</f>
        <v>Work &gt;=7 People in the Team</v>
      </c>
      <c r="Q1533" s="1" t="s">
        <v>43</v>
      </c>
      <c r="R1533" s="1"/>
    </row>
    <row r="1534" spans="1:18" x14ac:dyDescent="0.25">
      <c r="A1534" s="2">
        <f ca="1">IFERROR(__xludf.DUMMYFUNCTION("""COMPUTED_VALUE"""),45045.7406760069)</f>
        <v>45045.740676006899</v>
      </c>
      <c r="B1534" s="1" t="str">
        <f ca="1">IFERROR(__xludf.DUMMYFUNCTION("""COMPUTED_VALUE"""),"India")</f>
        <v>India</v>
      </c>
      <c r="C1534" s="1">
        <f ca="1">IFERROR(__xludf.DUMMYFUNCTION("""COMPUTED_VALUE"""),781014)</f>
        <v>781014</v>
      </c>
      <c r="D1534" s="1" t="str">
        <f ca="1">IFERROR(__xludf.DUMMYFUNCTION("""COMPUTED_VALUE"""),"Male")</f>
        <v>Male</v>
      </c>
      <c r="E1534" s="1" t="str">
        <f ca="1">IFERROR(__xludf.DUMMYFUNCTION("""COMPUTED_VALUE"""),"People from my circle, but not family members")</f>
        <v>People from my circle, but not family members</v>
      </c>
      <c r="F1534" s="1" t="str">
        <f ca="1">IFERROR(__xludf.DUMMYFUNCTION("""COMPUTED_VALUE"""),"No I would not be pursuing Higher Education outside of India")</f>
        <v>No I would not be pursuing Higher Education outside of India</v>
      </c>
      <c r="G1534" s="1" t="str">
        <f ca="1">IFERROR(__xludf.DUMMYFUNCTION("""COMPUTED_VALUE"""),"Will work for 3 years or more")</f>
        <v>Will work for 3 years or more</v>
      </c>
      <c r="H1534" s="1" t="str">
        <f ca="1">IFERROR(__xludf.DUMMYFUNCTION("""COMPUTED_VALUE"""),"No")</f>
        <v>No</v>
      </c>
      <c r="I1534" s="1" t="str">
        <f ca="1">IFERROR(__xludf.DUMMYFUNCTION("""COMPUTED_VALUE"""),"Will NOT work for them")</f>
        <v>Will NOT work for them</v>
      </c>
      <c r="J1534" s="1">
        <f ca="1">IFERROR(__xludf.DUMMYFUNCTION("""COMPUTED_VALUE"""),5)</f>
        <v>5</v>
      </c>
      <c r="K1534" s="1" t="str">
        <f ca="1">IFERROR(__xludf.DUMMYFUNCTION("""COMPUTED_VALUE"""),"Hybrid Working Environment with more than 15 days a month at office")</f>
        <v>Hybrid Working Environment with more than 15 days a month at office</v>
      </c>
      <c r="L1534" s="1" t="str">
        <f ca="1">IFERROR(__xludf.DUMMYFUNCTION("""COMPUTED_VALUE"""),"Employer who pushes your limits by enabling an learning environment, and rewards you at the end")</f>
        <v>Employer who pushes your limits by enabling an learning environment, and rewards you at the end</v>
      </c>
      <c r="M1534"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N1534" s="1"/>
      <c r="O1534" s="1" t="str">
        <f ca="1">IFERROR(__xludf.DUMMYFUNCTION("""COMPUTED_VALUE"""),"Manager who explains what is expected, sets a goal and helps achieve it")</f>
        <v>Manager who explains what is expected, sets a goal and helps achieve it</v>
      </c>
      <c r="P1534" s="1" t="str">
        <f ca="1">IFERROR(__xludf.DUMMYFUNCTION("""COMPUTED_VALUE"""),"Work  &lt;67 people in team")</f>
        <v>Work  &lt;67 people in team</v>
      </c>
      <c r="Q1534" s="1" t="s">
        <v>40</v>
      </c>
      <c r="R1534" s="1"/>
    </row>
    <row r="1535" spans="1:18" x14ac:dyDescent="0.25">
      <c r="A1535" s="2">
        <f ca="1">IFERROR(__xludf.DUMMYFUNCTION("""COMPUTED_VALUE"""),45045.7491878125)</f>
        <v>45045.7491878125</v>
      </c>
      <c r="B1535" s="1" t="str">
        <f ca="1">IFERROR(__xludf.DUMMYFUNCTION("""COMPUTED_VALUE"""),"India")</f>
        <v>India</v>
      </c>
      <c r="C1535" s="1">
        <f ca="1">IFERROR(__xludf.DUMMYFUNCTION("""COMPUTED_VALUE"""),144602)</f>
        <v>144602</v>
      </c>
      <c r="D1535" s="1" t="str">
        <f ca="1">IFERROR(__xludf.DUMMYFUNCTION("""COMPUTED_VALUE"""),"Male")</f>
        <v>Male</v>
      </c>
      <c r="E1535" s="1" t="str">
        <f ca="1">IFERROR(__xludf.DUMMYFUNCTION("""COMPUTED_VALUE"""),"People from my circle, but not family members")</f>
        <v>People from my circle, but not family members</v>
      </c>
      <c r="F1535" s="1" t="str">
        <f ca="1">IFERROR(__xludf.DUMMYFUNCTION("""COMPUTED_VALUE"""),"Yes, I will earn and do that")</f>
        <v>Yes, I will earn and do that</v>
      </c>
      <c r="G1535" s="1" t="str">
        <f ca="1">IFERROR(__xludf.DUMMYFUNCTION("""COMPUTED_VALUE"""),"This will be hard to do, but if it is the right company I would try")</f>
        <v>This will be hard to do, but if it is the right company I would try</v>
      </c>
      <c r="H1535" s="1" t="str">
        <f ca="1">IFERROR(__xludf.DUMMYFUNCTION("""COMPUTED_VALUE"""),"No")</f>
        <v>No</v>
      </c>
      <c r="I1535" s="1" t="str">
        <f ca="1">IFERROR(__xludf.DUMMYFUNCTION("""COMPUTED_VALUE"""),"Will NOT work for them")</f>
        <v>Will NOT work for them</v>
      </c>
      <c r="J1535" s="1">
        <f ca="1">IFERROR(__xludf.DUMMYFUNCTION("""COMPUTED_VALUE"""),9)</f>
        <v>9</v>
      </c>
      <c r="K1535" s="1" t="str">
        <f ca="1">IFERROR(__xludf.DUMMYFUNCTION("""COMPUTED_VALUE"""),"Hybrid Working Environment with more than 15 days a month at office")</f>
        <v>Hybrid Working Environment with more than 15 days a month at office</v>
      </c>
      <c r="L1535" s="1" t="str">
        <f ca="1">IFERROR(__xludf.DUMMYFUNCTION("""COMPUTED_VALUE"""),"Employer who pushes your limits by enabling an learning environment, and rewards you at the end")</f>
        <v>Employer who pushes your limits by enabling an learning environment, and rewards you at the end</v>
      </c>
      <c r="M1535"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N1535" s="1"/>
      <c r="O1535" s="1" t="str">
        <f ca="1">IFERROR(__xludf.DUMMYFUNCTION("""COMPUTED_VALUE"""),"Manager who explains what is expected, sets a goal and helps achieve it")</f>
        <v>Manager who explains what is expected, sets a goal and helps achieve it</v>
      </c>
      <c r="P1535" s="1" t="str">
        <f ca="1">IFERROR(__xludf.DUMMYFUNCTION("""COMPUTED_VALUE"""),"Work &lt;=6 People in the Team")</f>
        <v>Work &lt;=6 People in the Team</v>
      </c>
      <c r="Q1535" s="1" t="s">
        <v>43</v>
      </c>
      <c r="R1535" s="1"/>
    </row>
    <row r="1536" spans="1:18" x14ac:dyDescent="0.25">
      <c r="A1536" s="2">
        <f ca="1">IFERROR(__xludf.DUMMYFUNCTION("""COMPUTED_VALUE"""),45045.7492109953)</f>
        <v>45045.749210995302</v>
      </c>
      <c r="B1536" s="1" t="str">
        <f ca="1">IFERROR(__xludf.DUMMYFUNCTION("""COMPUTED_VALUE"""),"India")</f>
        <v>India</v>
      </c>
      <c r="C1536" s="1">
        <f ca="1">IFERROR(__xludf.DUMMYFUNCTION("""COMPUTED_VALUE"""),110006)</f>
        <v>110006</v>
      </c>
      <c r="D1536" s="1" t="str">
        <f ca="1">IFERROR(__xludf.DUMMYFUNCTION("""COMPUTED_VALUE"""),"Male")</f>
        <v>Male</v>
      </c>
      <c r="E1536" s="1" t="str">
        <f ca="1">IFERROR(__xludf.DUMMYFUNCTION("""COMPUTED_VALUE"""),"Social Media like LinkedIn")</f>
        <v>Social Media like LinkedIn</v>
      </c>
      <c r="F1536" s="1" t="str">
        <f ca="1">IFERROR(__xludf.DUMMYFUNCTION("""COMPUTED_VALUE"""),"No I would not be pursuing Higher Education outside of India")</f>
        <v>No I would not be pursuing Higher Education outside of India</v>
      </c>
      <c r="G1536" s="1" t="str">
        <f ca="1">IFERROR(__xludf.DUMMYFUNCTION("""COMPUTED_VALUE"""),"This will be hard to do, but if it is the right company I would try")</f>
        <v>This will be hard to do, but if it is the right company I would try</v>
      </c>
      <c r="H1536" s="1" t="str">
        <f ca="1">IFERROR(__xludf.DUMMYFUNCTION("""COMPUTED_VALUE"""),"No")</f>
        <v>No</v>
      </c>
      <c r="I1536" s="1" t="str">
        <f ca="1">IFERROR(__xludf.DUMMYFUNCTION("""COMPUTED_VALUE"""),"Will NOT work for them")</f>
        <v>Will NOT work for them</v>
      </c>
      <c r="J1536" s="1">
        <f ca="1">IFERROR(__xludf.DUMMYFUNCTION("""COMPUTED_VALUE"""),8)</f>
        <v>8</v>
      </c>
      <c r="K1536" s="1" t="str">
        <f ca="1">IFERROR(__xludf.DUMMYFUNCTION("""COMPUTED_VALUE"""),"Hybrid Working Environment with more than 15 days a month at office")</f>
        <v>Hybrid Working Environment with more than 15 days a month at office</v>
      </c>
      <c r="L1536" s="1" t="str">
        <f ca="1">IFERROR(__xludf.DUMMYFUNCTION("""COMPUTED_VALUE"""),"Employer who pushes your limits by enabling an learning environment, and rewards you at the end")</f>
        <v>Employer who pushes your limits by enabling an learning environment, and rewards you at the end</v>
      </c>
      <c r="M1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536" s="1"/>
      <c r="O1536" s="1" t="str">
        <f ca="1">IFERROR(__xludf.DUMMYFUNCTION("""COMPUTED_VALUE"""),"Manager who clearly describes what she/he needs")</f>
        <v>Manager who clearly describes what she/he needs</v>
      </c>
      <c r="P1536" s="1" t="str">
        <f ca="1">IFERROR(__xludf.DUMMYFUNCTION("""COMPUTED_VALUE"""),"Work &gt;10 people in Team")</f>
        <v>Work &gt;10 people in Team</v>
      </c>
      <c r="Q1536" s="1" t="s">
        <v>40</v>
      </c>
      <c r="R1536" s="1"/>
    </row>
    <row r="1537" spans="1:18" x14ac:dyDescent="0.25">
      <c r="A1537" s="2">
        <f ca="1">IFERROR(__xludf.DUMMYFUNCTION("""COMPUTED_VALUE"""),45045.7494537615)</f>
        <v>45045.749453761498</v>
      </c>
      <c r="B1537" s="1" t="str">
        <f ca="1">IFERROR(__xludf.DUMMYFUNCTION("""COMPUTED_VALUE"""),"India")</f>
        <v>India</v>
      </c>
      <c r="C1537" s="1">
        <f ca="1">IFERROR(__xludf.DUMMYFUNCTION("""COMPUTED_VALUE"""),452009)</f>
        <v>452009</v>
      </c>
      <c r="D1537" s="1" t="str">
        <f ca="1">IFERROR(__xludf.DUMMYFUNCTION("""COMPUTED_VALUE"""),"Female")</f>
        <v>Female</v>
      </c>
      <c r="E1537" s="1" t="str">
        <f ca="1">IFERROR(__xludf.DUMMYFUNCTION("""COMPUTED_VALUE"""),"Influencers who had successful careers")</f>
        <v>Influencers who had successful careers</v>
      </c>
      <c r="F1537" s="1" t="str">
        <f ca="1">IFERROR(__xludf.DUMMYFUNCTION("""COMPUTED_VALUE"""),"Yes, I will earn and do that")</f>
        <v>Yes, I will earn and do that</v>
      </c>
      <c r="G1537" s="1" t="str">
        <f ca="1">IFERROR(__xludf.DUMMYFUNCTION("""COMPUTED_VALUE"""),"This will be hard to do, but if it is the right company I would try")</f>
        <v>This will be hard to do, but if it is the right company I would try</v>
      </c>
      <c r="H1537" s="1" t="str">
        <f ca="1">IFERROR(__xludf.DUMMYFUNCTION("""COMPUTED_VALUE"""),"No")</f>
        <v>No</v>
      </c>
      <c r="I1537" s="1" t="str">
        <f ca="1">IFERROR(__xludf.DUMMYFUNCTION("""COMPUTED_VALUE"""),"Will NOT work for them")</f>
        <v>Will NOT work for them</v>
      </c>
      <c r="J1537" s="1">
        <f ca="1">IFERROR(__xludf.DUMMYFUNCTION("""COMPUTED_VALUE"""),5)</f>
        <v>5</v>
      </c>
      <c r="K1537" s="1" t="str">
        <f ca="1">IFERROR(__xludf.DUMMYFUNCTION("""COMPUTED_VALUE"""),"Fully Remote with Options to travel as and when needed")</f>
        <v>Fully Remote with Options to travel as and when needed</v>
      </c>
      <c r="L1537" s="1" t="str">
        <f ca="1">IFERROR(__xludf.DUMMYFUNCTION("""COMPUTED_VALUE"""),"Employer who appreciates learning and enables that environment")</f>
        <v>Employer who appreciates learning and enables that environment</v>
      </c>
      <c r="M15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537" s="1"/>
      <c r="O1537" s="1" t="str">
        <f ca="1">IFERROR(__xludf.DUMMYFUNCTION("""COMPUTED_VALUE"""),"Manager who explains what is expected, sets a goal and helps achieve it")</f>
        <v>Manager who explains what is expected, sets a goal and helps achieve it</v>
      </c>
      <c r="P1537" s="1" t="str">
        <f ca="1">IFERROR(__xludf.DUMMYFUNCTION("""COMPUTED_VALUE"""),"Work &lt;=6 People in the Team")</f>
        <v>Work &lt;=6 People in the Team</v>
      </c>
      <c r="Q1537" s="1" t="s">
        <v>43</v>
      </c>
      <c r="R1537" s="1"/>
    </row>
    <row r="1538" spans="1:18" x14ac:dyDescent="0.25">
      <c r="A1538" s="2">
        <f ca="1">IFERROR(__xludf.DUMMYFUNCTION("""COMPUTED_VALUE"""),45045.7495361805)</f>
        <v>45045.749536180498</v>
      </c>
      <c r="B1538" s="1" t="str">
        <f ca="1">IFERROR(__xludf.DUMMYFUNCTION("""COMPUTED_VALUE"""),"India")</f>
        <v>India</v>
      </c>
      <c r="C1538" s="1">
        <f ca="1">IFERROR(__xludf.DUMMYFUNCTION("""COMPUTED_VALUE"""),456010)</f>
        <v>456010</v>
      </c>
      <c r="D1538" s="1" t="str">
        <f ca="1">IFERROR(__xludf.DUMMYFUNCTION("""COMPUTED_VALUE"""),"Female")</f>
        <v>Female</v>
      </c>
      <c r="E1538" s="1" t="str">
        <f ca="1">IFERROR(__xludf.DUMMYFUNCTION("""COMPUTED_VALUE"""),"People who have changed the world for better")</f>
        <v>People who have changed the world for better</v>
      </c>
      <c r="F1538" s="1" t="str">
        <f ca="1">IFERROR(__xludf.DUMMYFUNCTION("""COMPUTED_VALUE"""),"No, But if someone could bare the cost I will")</f>
        <v>No, But if someone could bare the cost I will</v>
      </c>
      <c r="G1538" s="1" t="str">
        <f ca="1">IFERROR(__xludf.DUMMYFUNCTION("""COMPUTED_VALUE"""),"Will work for 3 years or more")</f>
        <v>Will work for 3 years or more</v>
      </c>
      <c r="H1538" s="1" t="str">
        <f ca="1">IFERROR(__xludf.DUMMYFUNCTION("""COMPUTED_VALUE"""),"Yes")</f>
        <v>Yes</v>
      </c>
      <c r="I1538" s="1" t="str">
        <f ca="1">IFERROR(__xludf.DUMMYFUNCTION("""COMPUTED_VALUE"""),"Will NOT work for them")</f>
        <v>Will NOT work for them</v>
      </c>
      <c r="J1538" s="1">
        <f ca="1">IFERROR(__xludf.DUMMYFUNCTION("""COMPUTED_VALUE"""),7)</f>
        <v>7</v>
      </c>
      <c r="K1538" s="1" t="str">
        <f ca="1">IFERROR(__xludf.DUMMYFUNCTION("""COMPUTED_VALUE"""),"Fully Remote with Options to travel as and when needed")</f>
        <v>Fully Remote with Options to travel as and when needed</v>
      </c>
      <c r="L1538" s="1" t="str">
        <f ca="1">IFERROR(__xludf.DUMMYFUNCTION("""COMPUTED_VALUE"""),"Employer who pushes your limits by enabling an learning environment, and rewards you at the end")</f>
        <v>Employer who pushes your limits by enabling an learning environment, and rewards you at the end</v>
      </c>
      <c r="M1538"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N1538" s="1"/>
      <c r="O1538" s="1" t="str">
        <f ca="1">IFERROR(__xludf.DUMMYFUNCTION("""COMPUTED_VALUE"""),"Manager who sets goal and helps me achieve it")</f>
        <v>Manager who sets goal and helps me achieve it</v>
      </c>
      <c r="P1538" s="1" t="str">
        <f ca="1">IFERROR(__xludf.DUMMYFUNCTION("""COMPUTED_VALUE"""),"Work &lt;=6 People in the Team")</f>
        <v>Work &lt;=6 People in the Team</v>
      </c>
      <c r="Q1538" s="1" t="s">
        <v>43</v>
      </c>
      <c r="R1538" s="1"/>
    </row>
    <row r="1539" spans="1:18" x14ac:dyDescent="0.25">
      <c r="A1539" s="2">
        <f ca="1">IFERROR(__xludf.DUMMYFUNCTION("""COMPUTED_VALUE"""),45045.7515923263)</f>
        <v>45045.751592326298</v>
      </c>
      <c r="B1539" s="1" t="str">
        <f ca="1">IFERROR(__xludf.DUMMYFUNCTION("""COMPUTED_VALUE"""),"India")</f>
        <v>India</v>
      </c>
      <c r="C1539" s="1">
        <f ca="1">IFERROR(__xludf.DUMMYFUNCTION("""COMPUTED_VALUE"""),400067)</f>
        <v>400067</v>
      </c>
      <c r="D1539" s="1" t="str">
        <f ca="1">IFERROR(__xludf.DUMMYFUNCTION("""COMPUTED_VALUE"""),"Female")</f>
        <v>Female</v>
      </c>
      <c r="E1539" s="1" t="str">
        <f ca="1">IFERROR(__xludf.DUMMYFUNCTION("""COMPUTED_VALUE"""),"People from my circle, but not family members")</f>
        <v>People from my circle, but not family members</v>
      </c>
      <c r="F1539" s="1" t="str">
        <f ca="1">IFERROR(__xludf.DUMMYFUNCTION("""COMPUTED_VALUE"""),"Yes, I will earn and do that")</f>
        <v>Yes, I will earn and do that</v>
      </c>
      <c r="G1539" s="1" t="str">
        <f ca="1">IFERROR(__xludf.DUMMYFUNCTION("""COMPUTED_VALUE"""),"This will be hard to do, but if it is the right company I would try")</f>
        <v>This will be hard to do, but if it is the right company I would try</v>
      </c>
      <c r="H1539" s="1" t="str">
        <f ca="1">IFERROR(__xludf.DUMMYFUNCTION("""COMPUTED_VALUE"""),"No")</f>
        <v>No</v>
      </c>
      <c r="I1539" s="1" t="str">
        <f ca="1">IFERROR(__xludf.DUMMYFUNCTION("""COMPUTED_VALUE"""),"Will NOT work for them")</f>
        <v>Will NOT work for them</v>
      </c>
      <c r="J1539" s="1">
        <f ca="1">IFERROR(__xludf.DUMMYFUNCTION("""COMPUTED_VALUE"""),5)</f>
        <v>5</v>
      </c>
      <c r="K1539" s="1" t="str">
        <f ca="1">IFERROR(__xludf.DUMMYFUNCTION("""COMPUTED_VALUE"""),"Fully Remote with Options to travel as and when needed")</f>
        <v>Fully Remote with Options to travel as and when needed</v>
      </c>
      <c r="L1539" s="1" t="str">
        <f ca="1">IFERROR(__xludf.DUMMYFUNCTION("""COMPUTED_VALUE"""),"Employer who pushes your limits by enabling an learning environment, and rewards you at the end")</f>
        <v>Employer who pushes your limits by enabling an learning environment, and rewards you at the end</v>
      </c>
      <c r="M1539"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N1539" s="1"/>
      <c r="O1539" s="1" t="str">
        <f ca="1">IFERROR(__xludf.DUMMYFUNCTION("""COMPUTED_VALUE"""),"Manager who explains what is expected, sets a goal and helps achieve it")</f>
        <v>Manager who explains what is expected, sets a goal and helps achieve it</v>
      </c>
      <c r="P1539" s="1" t="str">
        <f ca="1">IFERROR(__xludf.DUMMYFUNCTION("""COMPUTED_VALUE"""),"Work &gt;=7 People in the Team")</f>
        <v>Work &gt;=7 People in the Team</v>
      </c>
      <c r="Q1539" s="1" t="s">
        <v>40</v>
      </c>
      <c r="R1539" s="1"/>
    </row>
    <row r="1540" spans="1:18" x14ac:dyDescent="0.25">
      <c r="A1540" s="2">
        <f ca="1">IFERROR(__xludf.DUMMYFUNCTION("""COMPUTED_VALUE"""),45045.755997037)</f>
        <v>45045.755997036998</v>
      </c>
      <c r="B1540" s="1" t="str">
        <f ca="1">IFERROR(__xludf.DUMMYFUNCTION("""COMPUTED_VALUE"""),"India")</f>
        <v>India</v>
      </c>
      <c r="C1540" s="1">
        <f ca="1">IFERROR(__xludf.DUMMYFUNCTION("""COMPUTED_VALUE"""),713212)</f>
        <v>713212</v>
      </c>
      <c r="D1540" s="1" t="str">
        <f ca="1">IFERROR(__xludf.DUMMYFUNCTION("""COMPUTED_VALUE"""),"Female")</f>
        <v>Female</v>
      </c>
      <c r="E1540" s="1" t="str">
        <f ca="1">IFERROR(__xludf.DUMMYFUNCTION("""COMPUTED_VALUE"""),"People from my circle, but not family members")</f>
        <v>People from my circle, but not family members</v>
      </c>
      <c r="F1540" s="1" t="str">
        <f ca="1">IFERROR(__xludf.DUMMYFUNCTION("""COMPUTED_VALUE"""),"Yes, I will earn and do that")</f>
        <v>Yes, I will earn and do that</v>
      </c>
      <c r="G1540" s="1" t="str">
        <f ca="1">IFERROR(__xludf.DUMMYFUNCTION("""COMPUTED_VALUE"""),"Will work for 3 years or more")</f>
        <v>Will work for 3 years or more</v>
      </c>
      <c r="H1540" s="1" t="str">
        <f ca="1">IFERROR(__xludf.DUMMYFUNCTION("""COMPUTED_VALUE"""),"No")</f>
        <v>No</v>
      </c>
      <c r="I1540" s="1" t="str">
        <f ca="1">IFERROR(__xludf.DUMMYFUNCTION("""COMPUTED_VALUE"""),"Will NOT work for them")</f>
        <v>Will NOT work for them</v>
      </c>
      <c r="J1540" s="1">
        <f ca="1">IFERROR(__xludf.DUMMYFUNCTION("""COMPUTED_VALUE"""),1)</f>
        <v>1</v>
      </c>
      <c r="K1540" s="1" t="str">
        <f ca="1">IFERROR(__xludf.DUMMYFUNCTION("""COMPUTED_VALUE"""),"Every Day Office Environment")</f>
        <v>Every Day Office Environment</v>
      </c>
      <c r="L1540" s="1" t="str">
        <f ca="1">IFERROR(__xludf.DUMMYFUNCTION("""COMPUTED_VALUE"""),"Employer who rewards learning and enables that environment")</f>
        <v>Employer who rewards learning and enables that environment</v>
      </c>
      <c r="M1540" s="1" t="str">
        <f ca="1">IFERROR(__xludf.DUMMYFUNCTION("""COMPUTED_VALUE"""),"Teaching in any of the institutes/colleges/online or offline, Look deeply into Data and generate insights, Work as a freelancer and do my thing my way, Manufacturing / Oil and Gas/ Construction / Hard Physical Work related")</f>
        <v>Teaching in any of the institutes/colleges/online or offline, Look deeply into Data and generate insights, Work as a freelancer and do my thing my way, Manufacturing / Oil and Gas/ Construction / Hard Physical Work related</v>
      </c>
      <c r="N1540" s="1"/>
      <c r="O1540" s="1" t="str">
        <f ca="1">IFERROR(__xludf.DUMMYFUNCTION("""COMPUTED_VALUE"""),"Manager who explains what is expected, sets a goal and helps achieve it")</f>
        <v>Manager who explains what is expected, sets a goal and helps achieve it</v>
      </c>
      <c r="P1540" s="1" t="str">
        <f ca="1">IFERROR(__xludf.DUMMYFUNCTION("""COMPUTED_VALUE"""),"Work &lt;=6 People in the Team")</f>
        <v>Work &lt;=6 People in the Team</v>
      </c>
      <c r="Q1540" s="1" t="s">
        <v>43</v>
      </c>
      <c r="R1540" s="1"/>
    </row>
    <row r="1541" spans="1:18" x14ac:dyDescent="0.25">
      <c r="A1541" s="2">
        <f ca="1">IFERROR(__xludf.DUMMYFUNCTION("""COMPUTED_VALUE"""),45045.7592626851)</f>
        <v>45045.759262685096</v>
      </c>
      <c r="B1541" s="1" t="str">
        <f ca="1">IFERROR(__xludf.DUMMYFUNCTION("""COMPUTED_VALUE"""),"Others")</f>
        <v>Others</v>
      </c>
      <c r="C1541" s="1">
        <f ca="1">IFERROR(__xludf.DUMMYFUNCTION("""COMPUTED_VALUE"""),641183)</f>
        <v>641183</v>
      </c>
      <c r="D1541" s="1" t="str">
        <f ca="1">IFERROR(__xludf.DUMMYFUNCTION("""COMPUTED_VALUE"""),"Male")</f>
        <v>Male</v>
      </c>
      <c r="E1541" s="1" t="str">
        <f ca="1">IFERROR(__xludf.DUMMYFUNCTION("""COMPUTED_VALUE"""),"Social Media like LinkedIn")</f>
        <v>Social Media like LinkedIn</v>
      </c>
      <c r="F1541" s="1" t="str">
        <f ca="1">IFERROR(__xludf.DUMMYFUNCTION("""COMPUTED_VALUE"""),"Yes, I will earn and do that")</f>
        <v>Yes, I will earn and do that</v>
      </c>
      <c r="G1541" s="1" t="str">
        <f ca="1">IFERROR(__xludf.DUMMYFUNCTION("""COMPUTED_VALUE"""),"This will be hard to do, but if it is the right company I would try")</f>
        <v>This will be hard to do, but if it is the right company I would try</v>
      </c>
      <c r="H1541" s="1" t="str">
        <f ca="1">IFERROR(__xludf.DUMMYFUNCTION("""COMPUTED_VALUE"""),"No")</f>
        <v>No</v>
      </c>
      <c r="I1541" s="1" t="str">
        <f ca="1">IFERROR(__xludf.DUMMYFUNCTION("""COMPUTED_VALUE"""),"Will work for them")</f>
        <v>Will work for them</v>
      </c>
      <c r="J1541" s="1">
        <f ca="1">IFERROR(__xludf.DUMMYFUNCTION("""COMPUTED_VALUE"""),7)</f>
        <v>7</v>
      </c>
      <c r="K1541" s="1" t="str">
        <f ca="1">IFERROR(__xludf.DUMMYFUNCTION("""COMPUTED_VALUE"""),"Hybrid Working Environment with more than 15 days a month at office")</f>
        <v>Hybrid Working Environment with more than 15 days a month at office</v>
      </c>
      <c r="L1541" s="1" t="str">
        <f ca="1">IFERROR(__xludf.DUMMYFUNCTION("""COMPUTED_VALUE"""),"Employer who pushes your limits by enabling an learning environment, and rewards you at the end")</f>
        <v>Employer who pushes your limits by enabling an learning environment, and rewards you at the end</v>
      </c>
      <c r="M1541"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N1541" s="1"/>
      <c r="O1541" s="1" t="str">
        <f ca="1">IFERROR(__xludf.DUMMYFUNCTION("""COMPUTED_VALUE"""),"Manager who explains what is expected, sets a goal and helps achieve it")</f>
        <v>Manager who explains what is expected, sets a goal and helps achieve it</v>
      </c>
      <c r="P1541" s="1" t="str">
        <f ca="1">IFERROR(__xludf.DUMMYFUNCTION("""COMPUTED_VALUE"""),"Work &lt;=6 People in the Team")</f>
        <v>Work &lt;=6 People in the Team</v>
      </c>
      <c r="Q1541" s="1" t="s">
        <v>43</v>
      </c>
      <c r="R1541" s="1"/>
    </row>
    <row r="1542" spans="1:18" x14ac:dyDescent="0.25">
      <c r="A1542" s="2">
        <f ca="1">IFERROR(__xludf.DUMMYFUNCTION("""COMPUTED_VALUE"""),45045.7672358564)</f>
        <v>45045.767235856401</v>
      </c>
      <c r="B1542" s="1" t="str">
        <f ca="1">IFERROR(__xludf.DUMMYFUNCTION("""COMPUTED_VALUE"""),"India")</f>
        <v>India</v>
      </c>
      <c r="C1542" s="1">
        <f ca="1">IFERROR(__xludf.DUMMYFUNCTION("""COMPUTED_VALUE"""),560001)</f>
        <v>560001</v>
      </c>
      <c r="D1542" s="1" t="str">
        <f ca="1">IFERROR(__xludf.DUMMYFUNCTION("""COMPUTED_VALUE"""),"Male")</f>
        <v>Male</v>
      </c>
      <c r="E1542" s="1" t="str">
        <f ca="1">IFERROR(__xludf.DUMMYFUNCTION("""COMPUTED_VALUE"""),"People from my circle, but not family members")</f>
        <v>People from my circle, but not family members</v>
      </c>
      <c r="F1542" s="1" t="str">
        <f ca="1">IFERROR(__xludf.DUMMYFUNCTION("""COMPUTED_VALUE"""),"Yes, I will earn and do that")</f>
        <v>Yes, I will earn and do that</v>
      </c>
      <c r="G1542" s="1" t="str">
        <f ca="1">IFERROR(__xludf.DUMMYFUNCTION("""COMPUTED_VALUE"""),"Will work for 3 years or more")</f>
        <v>Will work for 3 years or more</v>
      </c>
      <c r="H1542" s="1" t="str">
        <f ca="1">IFERROR(__xludf.DUMMYFUNCTION("""COMPUTED_VALUE"""),"No")</f>
        <v>No</v>
      </c>
      <c r="I1542" s="1" t="str">
        <f ca="1">IFERROR(__xludf.DUMMYFUNCTION("""COMPUTED_VALUE"""),"Will NOT work for them")</f>
        <v>Will NOT work for them</v>
      </c>
      <c r="J1542" s="1">
        <f ca="1">IFERROR(__xludf.DUMMYFUNCTION("""COMPUTED_VALUE"""),3)</f>
        <v>3</v>
      </c>
      <c r="K1542" s="1" t="str">
        <f ca="1">IFERROR(__xludf.DUMMYFUNCTION("""COMPUTED_VALUE"""),"Hybrid Working Environment with less than 3 days a month at office")</f>
        <v>Hybrid Working Environment with less than 3 days a month at office</v>
      </c>
      <c r="L1542" s="1" t="str">
        <f ca="1">IFERROR(__xludf.DUMMYFUNCTION("""COMPUTED_VALUE"""),"Employer who appreciates learning and enables that environment")</f>
        <v>Employer who appreciates learning and enables that environment</v>
      </c>
      <c r="M1542"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N1542" s="1"/>
      <c r="O1542" s="1" t="str">
        <f ca="1">IFERROR(__xludf.DUMMYFUNCTION("""COMPUTED_VALUE"""),"Manager who sets targets and expects me to achieve it")</f>
        <v>Manager who sets targets and expects me to achieve it</v>
      </c>
      <c r="P1542" s="1" t="str">
        <f ca="1">IFERROR(__xludf.DUMMYFUNCTION("""COMPUTED_VALUE"""),"Work Alone, &lt;=6 in team")</f>
        <v>Work Alone, &lt;=6 in team</v>
      </c>
      <c r="Q1542" s="1" t="s">
        <v>42</v>
      </c>
      <c r="R1542" s="1"/>
    </row>
    <row r="1543" spans="1:18" x14ac:dyDescent="0.25">
      <c r="A1543" s="2">
        <f ca="1">IFERROR(__xludf.DUMMYFUNCTION("""COMPUTED_VALUE"""),45045.768317662)</f>
        <v>45045.768317661998</v>
      </c>
      <c r="B1543" s="1" t="str">
        <f ca="1">IFERROR(__xludf.DUMMYFUNCTION("""COMPUTED_VALUE"""),"India")</f>
        <v>India</v>
      </c>
      <c r="C1543" s="1">
        <f ca="1">IFERROR(__xludf.DUMMYFUNCTION("""COMPUTED_VALUE"""),533201)</f>
        <v>533201</v>
      </c>
      <c r="D1543" s="1" t="str">
        <f ca="1">IFERROR(__xludf.DUMMYFUNCTION("""COMPUTED_VALUE"""),"Female")</f>
        <v>Female</v>
      </c>
      <c r="E1543" s="1" t="str">
        <f ca="1">IFERROR(__xludf.DUMMYFUNCTION("""COMPUTED_VALUE"""),"People from my circle, but not family members")</f>
        <v>People from my circle, but not family members</v>
      </c>
      <c r="F1543" s="1" t="str">
        <f ca="1">IFERROR(__xludf.DUMMYFUNCTION("""COMPUTED_VALUE"""),"No I would not be pursuing Higher Education outside of India")</f>
        <v>No I would not be pursuing Higher Education outside of India</v>
      </c>
      <c r="G1543" s="1" t="str">
        <f ca="1">IFERROR(__xludf.DUMMYFUNCTION("""COMPUTED_VALUE"""),"This will be hard to do, but if it is the right company I would try")</f>
        <v>This will be hard to do, but if it is the right company I would try</v>
      </c>
      <c r="H1543" s="1" t="str">
        <f ca="1">IFERROR(__xludf.DUMMYFUNCTION("""COMPUTED_VALUE"""),"No")</f>
        <v>No</v>
      </c>
      <c r="I1543" s="1" t="str">
        <f ca="1">IFERROR(__xludf.DUMMYFUNCTION("""COMPUTED_VALUE"""),"Will NOT work for them")</f>
        <v>Will NOT work for them</v>
      </c>
      <c r="J1543" s="1">
        <f ca="1">IFERROR(__xludf.DUMMYFUNCTION("""COMPUTED_VALUE"""),10)</f>
        <v>10</v>
      </c>
      <c r="K1543" s="1" t="str">
        <f ca="1">IFERROR(__xludf.DUMMYFUNCTION("""COMPUTED_VALUE"""),"Fully Remote with No option to visit offices")</f>
        <v>Fully Remote with No option to visit offices</v>
      </c>
      <c r="L1543" s="1" t="str">
        <f ca="1">IFERROR(__xludf.DUMMYFUNCTION("""COMPUTED_VALUE"""),"Employer who appreciates learning and enables that environment")</f>
        <v>Employer who appreciates learning and enables that environment</v>
      </c>
      <c r="M1543"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543" s="1"/>
      <c r="O1543" s="1" t="str">
        <f ca="1">IFERROR(__xludf.DUMMYFUNCTION("""COMPUTED_VALUE"""),"Manager who explains what is expected, sets a goal and helps achieve it")</f>
        <v>Manager who explains what is expected, sets a goal and helps achieve it</v>
      </c>
      <c r="P1543" s="1" t="str">
        <f ca="1">IFERROR(__xludf.DUMMYFUNCTION("""COMPUTED_VALUE"""),"Work &gt;10 people in Team")</f>
        <v>Work &gt;10 people in Team</v>
      </c>
      <c r="Q1543" s="1" t="s">
        <v>43</v>
      </c>
      <c r="R1543" s="1"/>
    </row>
    <row r="1544" spans="1:18" x14ac:dyDescent="0.25">
      <c r="A1544" s="2">
        <f ca="1">IFERROR(__xludf.DUMMYFUNCTION("""COMPUTED_VALUE"""),45045.7724445601)</f>
        <v>45045.772444560098</v>
      </c>
      <c r="B1544" s="1" t="str">
        <f ca="1">IFERROR(__xludf.DUMMYFUNCTION("""COMPUTED_VALUE"""),"India")</f>
        <v>India</v>
      </c>
      <c r="C1544" s="1">
        <f ca="1">IFERROR(__xludf.DUMMYFUNCTION("""COMPUTED_VALUE"""),456010)</f>
        <v>456010</v>
      </c>
      <c r="D1544" s="1" t="str">
        <f ca="1">IFERROR(__xludf.DUMMYFUNCTION("""COMPUTED_VALUE"""),"Male")</f>
        <v>Male</v>
      </c>
      <c r="E1544" s="1" t="str">
        <f ca="1">IFERROR(__xludf.DUMMYFUNCTION("""COMPUTED_VALUE"""),"My Parents")</f>
        <v>My Parents</v>
      </c>
      <c r="F1544" s="1" t="str">
        <f ca="1">IFERROR(__xludf.DUMMYFUNCTION("""COMPUTED_VALUE"""),"No, But if someone could bare the cost I will")</f>
        <v>No, But if someone could bare the cost I will</v>
      </c>
      <c r="G1544" s="1" t="str">
        <f ca="1">IFERROR(__xludf.DUMMYFUNCTION("""COMPUTED_VALUE"""),"Will work for 3 years or more")</f>
        <v>Will work for 3 years or more</v>
      </c>
      <c r="H1544" s="1" t="str">
        <f ca="1">IFERROR(__xludf.DUMMYFUNCTION("""COMPUTED_VALUE"""),"No")</f>
        <v>No</v>
      </c>
      <c r="I1544" s="1" t="str">
        <f ca="1">IFERROR(__xludf.DUMMYFUNCTION("""COMPUTED_VALUE"""),"Will NOT work for them")</f>
        <v>Will NOT work for them</v>
      </c>
      <c r="J1544" s="1">
        <f ca="1">IFERROR(__xludf.DUMMYFUNCTION("""COMPUTED_VALUE"""),4)</f>
        <v>4</v>
      </c>
      <c r="K1544" s="1" t="str">
        <f ca="1">IFERROR(__xludf.DUMMYFUNCTION("""COMPUTED_VALUE"""),"Every Day Office Environment")</f>
        <v>Every Day Office Environment</v>
      </c>
      <c r="L1544" s="1" t="str">
        <f ca="1">IFERROR(__xludf.DUMMYFUNCTION("""COMPUTED_VALUE"""),"Employer who appreciates learning and enables that environment")</f>
        <v>Employer who appreciates learning and enables that environment</v>
      </c>
      <c r="M1544"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N1544" s="1"/>
      <c r="O1544" s="1" t="str">
        <f ca="1">IFERROR(__xludf.DUMMYFUNCTION("""COMPUTED_VALUE"""),"Manager who sets goal and helps me achieve it")</f>
        <v>Manager who sets goal and helps me achieve it</v>
      </c>
      <c r="P1544" s="1" t="str">
        <f ca="1">IFERROR(__xludf.DUMMYFUNCTION("""COMPUTED_VALUE"""),"Work &gt;10 people in Team")</f>
        <v>Work &gt;10 people in Team</v>
      </c>
      <c r="Q1544" s="1" t="s">
        <v>43</v>
      </c>
      <c r="R1544" s="1"/>
    </row>
    <row r="1545" spans="1:18" x14ac:dyDescent="0.25">
      <c r="A1545" s="2">
        <f ca="1">IFERROR(__xludf.DUMMYFUNCTION("""COMPUTED_VALUE"""),45045.7821344675)</f>
        <v>45045.782134467503</v>
      </c>
      <c r="B1545" s="1" t="str">
        <f ca="1">IFERROR(__xludf.DUMMYFUNCTION("""COMPUTED_VALUE"""),"India")</f>
        <v>India</v>
      </c>
      <c r="C1545" s="1">
        <f ca="1">IFERROR(__xludf.DUMMYFUNCTION("""COMPUTED_VALUE"""),122008)</f>
        <v>122008</v>
      </c>
      <c r="D1545" s="1" t="str">
        <f ca="1">IFERROR(__xludf.DUMMYFUNCTION("""COMPUTED_VALUE"""),"Male")</f>
        <v>Male</v>
      </c>
      <c r="E1545" s="1" t="str">
        <f ca="1">IFERROR(__xludf.DUMMYFUNCTION("""COMPUTED_VALUE"""),"My Parents")</f>
        <v>My Parents</v>
      </c>
      <c r="F1545" s="1" t="str">
        <f ca="1">IFERROR(__xludf.DUMMYFUNCTION("""COMPUTED_VALUE"""),"No, But if someone could bare the cost I will")</f>
        <v>No, But if someone could bare the cost I will</v>
      </c>
      <c r="G1545" s="1" t="str">
        <f ca="1">IFERROR(__xludf.DUMMYFUNCTION("""COMPUTED_VALUE"""),"Will work for 3 years or more")</f>
        <v>Will work for 3 years or more</v>
      </c>
      <c r="H1545" s="1" t="str">
        <f ca="1">IFERROR(__xludf.DUMMYFUNCTION("""COMPUTED_VALUE"""),"No")</f>
        <v>No</v>
      </c>
      <c r="I1545" s="1" t="str">
        <f ca="1">IFERROR(__xludf.DUMMYFUNCTION("""COMPUTED_VALUE"""),"Will NOT work for them")</f>
        <v>Will NOT work for them</v>
      </c>
      <c r="J1545" s="1">
        <f ca="1">IFERROR(__xludf.DUMMYFUNCTION("""COMPUTED_VALUE"""),8)</f>
        <v>8</v>
      </c>
      <c r="K1545" s="1" t="str">
        <f ca="1">IFERROR(__xludf.DUMMYFUNCTION("""COMPUTED_VALUE"""),"Hybrid Working Environment with more than 15 days a month at office")</f>
        <v>Hybrid Working Environment with more than 15 days a month at office</v>
      </c>
      <c r="L1545" s="1" t="str">
        <f ca="1">IFERROR(__xludf.DUMMYFUNCTION("""COMPUTED_VALUE"""),"Employer who pushes your limits by enabling an learning environment, and rewards you at the end")</f>
        <v>Employer who pushes your limits by enabling an learning environment, and rewards you at the end</v>
      </c>
      <c r="M1545"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N1545" s="1"/>
      <c r="O1545" s="1" t="str">
        <f ca="1">IFERROR(__xludf.DUMMYFUNCTION("""COMPUTED_VALUE"""),"Manager who explains what is expected, sets a goal and helps achieve it")</f>
        <v>Manager who explains what is expected, sets a goal and helps achieve it</v>
      </c>
      <c r="P1545" s="1" t="str">
        <f ca="1">IFERROR(__xludf.DUMMYFUNCTION("""COMPUTED_VALUE"""),"Work &gt;10 people in Team")</f>
        <v>Work &gt;10 people in Team</v>
      </c>
      <c r="Q1545" s="1" t="s">
        <v>43</v>
      </c>
      <c r="R1545" s="1"/>
    </row>
    <row r="1546" spans="1:18" x14ac:dyDescent="0.25">
      <c r="A1546" s="2">
        <f ca="1">IFERROR(__xludf.DUMMYFUNCTION("""COMPUTED_VALUE"""),45045.7939083912)</f>
        <v>45045.793908391199</v>
      </c>
      <c r="B1546" s="1" t="str">
        <f ca="1">IFERROR(__xludf.DUMMYFUNCTION("""COMPUTED_VALUE"""),"India")</f>
        <v>India</v>
      </c>
      <c r="C1546" s="1">
        <f ca="1">IFERROR(__xludf.DUMMYFUNCTION("""COMPUTED_VALUE"""),160062)</f>
        <v>160062</v>
      </c>
      <c r="D1546" s="1" t="str">
        <f ca="1">IFERROR(__xludf.DUMMYFUNCTION("""COMPUTED_VALUE"""),"Female")</f>
        <v>Female</v>
      </c>
      <c r="E1546" s="1" t="str">
        <f ca="1">IFERROR(__xludf.DUMMYFUNCTION("""COMPUTED_VALUE"""),"Influencers who had successful careers")</f>
        <v>Influencers who had successful careers</v>
      </c>
      <c r="F1546" s="1" t="str">
        <f ca="1">IFERROR(__xludf.DUMMYFUNCTION("""COMPUTED_VALUE"""),"Yes, I will earn and do that")</f>
        <v>Yes, I will earn and do that</v>
      </c>
      <c r="G1546" s="1" t="str">
        <f ca="1">IFERROR(__xludf.DUMMYFUNCTION("""COMPUTED_VALUE"""),"This will be hard to do, but if it is the right company I would try")</f>
        <v>This will be hard to do, but if it is the right company I would try</v>
      </c>
      <c r="H1546" s="1" t="str">
        <f ca="1">IFERROR(__xludf.DUMMYFUNCTION("""COMPUTED_VALUE"""),"No")</f>
        <v>No</v>
      </c>
      <c r="I1546" s="1" t="str">
        <f ca="1">IFERROR(__xludf.DUMMYFUNCTION("""COMPUTED_VALUE"""),"Will NOT work for them")</f>
        <v>Will NOT work for them</v>
      </c>
      <c r="J1546" s="1">
        <f ca="1">IFERROR(__xludf.DUMMYFUNCTION("""COMPUTED_VALUE"""),3)</f>
        <v>3</v>
      </c>
      <c r="K1546" s="1" t="str">
        <f ca="1">IFERROR(__xludf.DUMMYFUNCTION("""COMPUTED_VALUE"""),"Hybrid Working Environment with more than 15 days a month at office")</f>
        <v>Hybrid Working Environment with more than 15 days a month at office</v>
      </c>
      <c r="L1546" s="1" t="str">
        <f ca="1">IFERROR(__xludf.DUMMYFUNCTION("""COMPUTED_VALUE"""),"Employer who pushes your limits by enabling an learning environment, and rewards you at the end")</f>
        <v>Employer who pushes your limits by enabling an learning environment, and rewards you at the end</v>
      </c>
      <c r="M1546"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N1546" s="1"/>
      <c r="O1546" s="1" t="str">
        <f ca="1">IFERROR(__xludf.DUMMYFUNCTION("""COMPUTED_VALUE"""),"Manager who explains what is expected, sets a goal and helps achieve it")</f>
        <v>Manager who explains what is expected, sets a goal and helps achieve it</v>
      </c>
      <c r="P1546" s="1" t="str">
        <f ca="1">IFERROR(__xludf.DUMMYFUNCTION("""COMPUTED_VALUE"""),"Work &lt;=6 People in the Team")</f>
        <v>Work &lt;=6 People in the Team</v>
      </c>
      <c r="Q1546" s="1" t="s">
        <v>43</v>
      </c>
      <c r="R1546" s="1"/>
    </row>
    <row r="1547" spans="1:18" x14ac:dyDescent="0.25">
      <c r="A1547" s="2">
        <f ca="1">IFERROR(__xludf.DUMMYFUNCTION("""COMPUTED_VALUE"""),45045.7970205324)</f>
        <v>45045.797020532402</v>
      </c>
      <c r="B1547" s="1" t="str">
        <f ca="1">IFERROR(__xludf.DUMMYFUNCTION("""COMPUTED_VALUE"""),"India")</f>
        <v>India</v>
      </c>
      <c r="C1547" s="1">
        <f ca="1">IFERROR(__xludf.DUMMYFUNCTION("""COMPUTED_VALUE"""),400703)</f>
        <v>400703</v>
      </c>
      <c r="D1547" s="1" t="str">
        <f ca="1">IFERROR(__xludf.DUMMYFUNCTION("""COMPUTED_VALUE"""),"Male")</f>
        <v>Male</v>
      </c>
      <c r="E1547" s="1" t="str">
        <f ca="1">IFERROR(__xludf.DUMMYFUNCTION("""COMPUTED_VALUE"""),"My Parents")</f>
        <v>My Parents</v>
      </c>
      <c r="F1547" s="1" t="str">
        <f ca="1">IFERROR(__xludf.DUMMYFUNCTION("""COMPUTED_VALUE"""),"No, But if someone could bare the cost I will")</f>
        <v>No, But if someone could bare the cost I will</v>
      </c>
      <c r="G1547" s="1" t="str">
        <f ca="1">IFERROR(__xludf.DUMMYFUNCTION("""COMPUTED_VALUE"""),"Will work for 3 years or more")</f>
        <v>Will work for 3 years or more</v>
      </c>
      <c r="H1547" s="1" t="str">
        <f ca="1">IFERROR(__xludf.DUMMYFUNCTION("""COMPUTED_VALUE"""),"Yes")</f>
        <v>Yes</v>
      </c>
      <c r="I1547" s="1" t="str">
        <f ca="1">IFERROR(__xludf.DUMMYFUNCTION("""COMPUTED_VALUE"""),"Will work for them")</f>
        <v>Will work for them</v>
      </c>
      <c r="J1547" s="1">
        <f ca="1">IFERROR(__xludf.DUMMYFUNCTION("""COMPUTED_VALUE"""),8)</f>
        <v>8</v>
      </c>
      <c r="K1547" s="1" t="str">
        <f ca="1">IFERROR(__xludf.DUMMYFUNCTION("""COMPUTED_VALUE"""),"Hybrid Working Environment with more than 15 days a month at office")</f>
        <v>Hybrid Working Environment with more than 15 days a month at office</v>
      </c>
      <c r="L1547" s="1" t="str">
        <f ca="1">IFERROR(__xludf.DUMMYFUNCTION("""COMPUTED_VALUE"""),"Employer who pushes your limits by enabling an learning environment, and rewards you at the end")</f>
        <v>Employer who pushes your limits by enabling an learning environment, and rewards you at the end</v>
      </c>
      <c r="M1547"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N1547" s="1"/>
      <c r="O1547" s="1" t="str">
        <f ca="1">IFERROR(__xludf.DUMMYFUNCTION("""COMPUTED_VALUE"""),"Manager who explains what is expected, sets a goal and helps achieve it")</f>
        <v>Manager who explains what is expected, sets a goal and helps achieve it</v>
      </c>
      <c r="P1547" s="1" t="str">
        <f ca="1">IFERROR(__xludf.DUMMYFUNCTION("""COMPUTED_VALUE"""),"Work &gt;=7 People in the Team")</f>
        <v>Work &gt;=7 People in the Team</v>
      </c>
      <c r="Q1547" s="1" t="s">
        <v>40</v>
      </c>
      <c r="R1547" s="1"/>
    </row>
    <row r="1548" spans="1:18" x14ac:dyDescent="0.25">
      <c r="A1548" s="2">
        <f ca="1">IFERROR(__xludf.DUMMYFUNCTION("""COMPUTED_VALUE"""),45045.7978296875)</f>
        <v>45045.797829687501</v>
      </c>
      <c r="B1548" s="1" t="str">
        <f ca="1">IFERROR(__xludf.DUMMYFUNCTION("""COMPUTED_VALUE"""),"India")</f>
        <v>India</v>
      </c>
      <c r="C1548" s="1">
        <f ca="1">IFERROR(__xludf.DUMMYFUNCTION("""COMPUTED_VALUE"""),110019)</f>
        <v>110019</v>
      </c>
      <c r="D1548" s="1" t="str">
        <f ca="1">IFERROR(__xludf.DUMMYFUNCTION("""COMPUTED_VALUE"""),"Female")</f>
        <v>Female</v>
      </c>
      <c r="E1548" s="1" t="str">
        <f ca="1">IFERROR(__xludf.DUMMYFUNCTION("""COMPUTED_VALUE"""),"My Parents")</f>
        <v>My Parents</v>
      </c>
      <c r="F1548" s="1" t="str">
        <f ca="1">IFERROR(__xludf.DUMMYFUNCTION("""COMPUTED_VALUE"""),"Yes, I will earn and do that")</f>
        <v>Yes, I will earn and do that</v>
      </c>
      <c r="G1548" s="1" t="str">
        <f ca="1">IFERROR(__xludf.DUMMYFUNCTION("""COMPUTED_VALUE"""),"This will be hard to do, but if it is the right company I would try")</f>
        <v>This will be hard to do, but if it is the right company I would try</v>
      </c>
      <c r="H1548" s="1" t="str">
        <f ca="1">IFERROR(__xludf.DUMMYFUNCTION("""COMPUTED_VALUE"""),"Yes")</f>
        <v>Yes</v>
      </c>
      <c r="I1548" s="1" t="str">
        <f ca="1">IFERROR(__xludf.DUMMYFUNCTION("""COMPUTED_VALUE"""),"Will NOT work for them")</f>
        <v>Will NOT work for them</v>
      </c>
      <c r="J1548" s="1">
        <f ca="1">IFERROR(__xludf.DUMMYFUNCTION("""COMPUTED_VALUE"""),5)</f>
        <v>5</v>
      </c>
      <c r="K1548" s="1" t="str">
        <f ca="1">IFERROR(__xludf.DUMMYFUNCTION("""COMPUTED_VALUE"""),"Fully Remote with Options to travel as and when needed")</f>
        <v>Fully Remote with Options to travel as and when needed</v>
      </c>
      <c r="L1548" s="1" t="str">
        <f ca="1">IFERROR(__xludf.DUMMYFUNCTION("""COMPUTED_VALUE"""),"Employer who pushes your limits by enabling an learning environment, and rewards you at the end")</f>
        <v>Employer who pushes your limits by enabling an learning environment, and rewards you at the end</v>
      </c>
      <c r="M154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548" s="1"/>
      <c r="O1548" s="1" t="str">
        <f ca="1">IFERROR(__xludf.DUMMYFUNCTION("""COMPUTED_VALUE"""),"Manager who explains what is expected, sets a goal and helps achieve it")</f>
        <v>Manager who explains what is expected, sets a goal and helps achieve it</v>
      </c>
      <c r="P1548" s="1" t="str">
        <f ca="1">IFERROR(__xludf.DUMMYFUNCTION("""COMPUTED_VALUE"""),"Work &lt;=6 People in the Team")</f>
        <v>Work &lt;=6 People in the Team</v>
      </c>
      <c r="Q1548" s="1" t="s">
        <v>43</v>
      </c>
      <c r="R1548" s="1"/>
    </row>
    <row r="1549" spans="1:18" x14ac:dyDescent="0.25">
      <c r="A1549" s="2">
        <f ca="1">IFERROR(__xludf.DUMMYFUNCTION("""COMPUTED_VALUE"""),45045.801921331)</f>
        <v>45045.801921331004</v>
      </c>
      <c r="B1549" s="1" t="str">
        <f ca="1">IFERROR(__xludf.DUMMYFUNCTION("""COMPUTED_VALUE"""),"India")</f>
        <v>India</v>
      </c>
      <c r="C1549" s="1">
        <f ca="1">IFERROR(__xludf.DUMMYFUNCTION("""COMPUTED_VALUE"""),410206)</f>
        <v>410206</v>
      </c>
      <c r="D1549" s="1" t="str">
        <f ca="1">IFERROR(__xludf.DUMMYFUNCTION("""COMPUTED_VALUE"""),"Male")</f>
        <v>Male</v>
      </c>
      <c r="E1549" s="1" t="str">
        <f ca="1">IFERROR(__xludf.DUMMYFUNCTION("""COMPUTED_VALUE"""),"My Parents")</f>
        <v>My Parents</v>
      </c>
      <c r="F1549" s="1" t="str">
        <f ca="1">IFERROR(__xludf.DUMMYFUNCTION("""COMPUTED_VALUE"""),"Yes, I will earn and do that")</f>
        <v>Yes, I will earn and do that</v>
      </c>
      <c r="G1549" s="1" t="str">
        <f ca="1">IFERROR(__xludf.DUMMYFUNCTION("""COMPUTED_VALUE"""),"Will work for 3 years or more")</f>
        <v>Will work for 3 years or more</v>
      </c>
      <c r="H1549" s="1" t="str">
        <f ca="1">IFERROR(__xludf.DUMMYFUNCTION("""COMPUTED_VALUE"""),"No")</f>
        <v>No</v>
      </c>
      <c r="I1549" s="1" t="str">
        <f ca="1">IFERROR(__xludf.DUMMYFUNCTION("""COMPUTED_VALUE"""),"Will NOT work for them")</f>
        <v>Will NOT work for them</v>
      </c>
      <c r="J1549" s="1">
        <f ca="1">IFERROR(__xludf.DUMMYFUNCTION("""COMPUTED_VALUE"""),3)</f>
        <v>3</v>
      </c>
      <c r="K1549" s="1" t="str">
        <f ca="1">IFERROR(__xludf.DUMMYFUNCTION("""COMPUTED_VALUE"""),"Hybrid Working Environment with more than 15 days a month at office")</f>
        <v>Hybrid Working Environment with more than 15 days a month at office</v>
      </c>
      <c r="L1549" s="1" t="str">
        <f ca="1">IFERROR(__xludf.DUMMYFUNCTION("""COMPUTED_VALUE"""),"Employer who appreciates learning and enables that environment")</f>
        <v>Employer who appreciates learning and enables that environment</v>
      </c>
      <c r="M1549" s="1" t="str">
        <f ca="1">IFERROR(__xludf.DUMMYFUNCTION("""COMPUTED_VALUE"""),"Design and Develop amazing software, Become a content Creator in some platform, An Artificial Intelligence Specialist / Talking to Robots, Manufacturing / Oil and Gas/ Construction / Hard Physical Work related")</f>
        <v>Design and Develop amazing software, Become a content Creator in some platform, An Artificial Intelligence Specialist / Talking to Robots, Manufacturing / Oil and Gas/ Construction / Hard Physical Work related</v>
      </c>
      <c r="N1549" s="1"/>
      <c r="O1549" s="1" t="str">
        <f ca="1">IFERROR(__xludf.DUMMYFUNCTION("""COMPUTED_VALUE"""),"Manager who explains what is expected, sets a goal and helps achieve it")</f>
        <v>Manager who explains what is expected, sets a goal and helps achieve it</v>
      </c>
      <c r="P1549" s="1" t="str">
        <f ca="1">IFERROR(__xludf.DUMMYFUNCTION("""COMPUTED_VALUE"""),"Work &lt;=6 People in the Team")</f>
        <v>Work &lt;=6 People in the Team</v>
      </c>
      <c r="Q1549" s="1" t="s">
        <v>43</v>
      </c>
      <c r="R1549" s="1"/>
    </row>
    <row r="1550" spans="1:18" x14ac:dyDescent="0.25">
      <c r="A1550" s="2">
        <f ca="1">IFERROR(__xludf.DUMMYFUNCTION("""COMPUTED_VALUE"""),45045.8045855092)</f>
        <v>45045.804585509199</v>
      </c>
      <c r="B1550" s="1" t="str">
        <f ca="1">IFERROR(__xludf.DUMMYFUNCTION("""COMPUTED_VALUE"""),"India")</f>
        <v>India</v>
      </c>
      <c r="C1550" s="1">
        <f ca="1">IFERROR(__xludf.DUMMYFUNCTION("""COMPUTED_VALUE"""),533262)</f>
        <v>533262</v>
      </c>
      <c r="D1550" s="1" t="str">
        <f ca="1">IFERROR(__xludf.DUMMYFUNCTION("""COMPUTED_VALUE"""),"Male")</f>
        <v>Male</v>
      </c>
      <c r="E1550" s="1" t="str">
        <f ca="1">IFERROR(__xludf.DUMMYFUNCTION("""COMPUTED_VALUE"""),"My Parents")</f>
        <v>My Parents</v>
      </c>
      <c r="F1550" s="1" t="str">
        <f ca="1">IFERROR(__xludf.DUMMYFUNCTION("""COMPUTED_VALUE"""),"No, But if someone could bare the cost I will")</f>
        <v>No, But if someone could bare the cost I will</v>
      </c>
      <c r="G1550" s="1" t="str">
        <f ca="1">IFERROR(__xludf.DUMMYFUNCTION("""COMPUTED_VALUE"""),"Will work for 3 years or more")</f>
        <v>Will work for 3 years or more</v>
      </c>
      <c r="H1550" s="1" t="str">
        <f ca="1">IFERROR(__xludf.DUMMYFUNCTION("""COMPUTED_VALUE"""),"No")</f>
        <v>No</v>
      </c>
      <c r="I1550" s="1" t="str">
        <f ca="1">IFERROR(__xludf.DUMMYFUNCTION("""COMPUTED_VALUE"""),"Will NOT work for them")</f>
        <v>Will NOT work for them</v>
      </c>
      <c r="J1550" s="1">
        <f ca="1">IFERROR(__xludf.DUMMYFUNCTION("""COMPUTED_VALUE"""),5)</f>
        <v>5</v>
      </c>
      <c r="K1550" s="1" t="str">
        <f ca="1">IFERROR(__xludf.DUMMYFUNCTION("""COMPUTED_VALUE"""),"Every Day Office Environment")</f>
        <v>Every Day Office Environment</v>
      </c>
      <c r="L1550" s="1" t="str">
        <f ca="1">IFERROR(__xludf.DUMMYFUNCTION("""COMPUTED_VALUE"""),"Employer who appreciates learning and enables that environment")</f>
        <v>Employer who appreciates learning and enables that environment</v>
      </c>
      <c r="M1550" s="1" t="str">
        <f ca="1">IFERROR(__xludf.DUMMYFUNCTION("""COMPUTED_VALUE"""),"Design and Develop amazing software, Look deeply into Data and generate insights, Become a content Creator in some platform, An Artificial Intelligence Specialist / Talking to Robots")</f>
        <v>Design and Develop amazing software, Look deeply into Data and generate insights, Become a content Creator in some platform, An Artificial Intelligence Specialist / Talking to Robots</v>
      </c>
      <c r="N1550" s="1"/>
      <c r="O1550" s="1" t="str">
        <f ca="1">IFERROR(__xludf.DUMMYFUNCTION("""COMPUTED_VALUE"""),"Manager who explains what is expected, sets a goal and helps achieve it")</f>
        <v>Manager who explains what is expected, sets a goal and helps achieve it</v>
      </c>
      <c r="P1550" s="1" t="str">
        <f ca="1">IFERROR(__xludf.DUMMYFUNCTION("""COMPUTED_VALUE"""),"Work &lt;=6 People in the Team")</f>
        <v>Work &lt;=6 People in the Team</v>
      </c>
      <c r="Q1550" s="1" t="s">
        <v>43</v>
      </c>
      <c r="R1550" s="1"/>
    </row>
    <row r="1551" spans="1:18" x14ac:dyDescent="0.25">
      <c r="A1551" s="2">
        <f ca="1">IFERROR(__xludf.DUMMYFUNCTION("""COMPUTED_VALUE"""),45045.8133652083)</f>
        <v>45045.813365208298</v>
      </c>
      <c r="B1551" s="1" t="str">
        <f ca="1">IFERROR(__xludf.DUMMYFUNCTION("""COMPUTED_VALUE"""),"India")</f>
        <v>India</v>
      </c>
      <c r="C1551" s="1">
        <f ca="1">IFERROR(__xludf.DUMMYFUNCTION("""COMPUTED_VALUE"""),400050)</f>
        <v>400050</v>
      </c>
      <c r="D1551" s="1" t="str">
        <f ca="1">IFERROR(__xludf.DUMMYFUNCTION("""COMPUTED_VALUE"""),"Female")</f>
        <v>Female</v>
      </c>
      <c r="E1551" s="1" t="str">
        <f ca="1">IFERROR(__xludf.DUMMYFUNCTION("""COMPUTED_VALUE"""),"People from my circle, but not family members")</f>
        <v>People from my circle, but not family members</v>
      </c>
      <c r="F1551" s="1" t="str">
        <f ca="1">IFERROR(__xludf.DUMMYFUNCTION("""COMPUTED_VALUE"""),"No I would not be pursuing Higher Education outside of India")</f>
        <v>No I would not be pursuing Higher Education outside of India</v>
      </c>
      <c r="G1551" s="1" t="str">
        <f ca="1">IFERROR(__xludf.DUMMYFUNCTION("""COMPUTED_VALUE"""),"This will be hard to do, but if it is the right company I would try")</f>
        <v>This will be hard to do, but if it is the right company I would try</v>
      </c>
      <c r="H1551" s="1" t="str">
        <f ca="1">IFERROR(__xludf.DUMMYFUNCTION("""COMPUTED_VALUE"""),"No")</f>
        <v>No</v>
      </c>
      <c r="I1551" s="1" t="str">
        <f ca="1">IFERROR(__xludf.DUMMYFUNCTION("""COMPUTED_VALUE"""),"Will NOT work for them")</f>
        <v>Will NOT work for them</v>
      </c>
      <c r="J1551" s="1">
        <f ca="1">IFERROR(__xludf.DUMMYFUNCTION("""COMPUTED_VALUE"""),7)</f>
        <v>7</v>
      </c>
      <c r="K1551" s="1" t="str">
        <f ca="1">IFERROR(__xludf.DUMMYFUNCTION("""COMPUTED_VALUE"""),"Fully Remote with Options to travel as and when needed")</f>
        <v>Fully Remote with Options to travel as and when needed</v>
      </c>
      <c r="L1551" s="1" t="str">
        <f ca="1">IFERROR(__xludf.DUMMYFUNCTION("""COMPUTED_VALUE"""),"Employer who rewards learning and enables that environment")</f>
        <v>Employer who rewards learning and enables that environment</v>
      </c>
      <c r="M1551"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N1551" s="1"/>
      <c r="O1551" s="1" t="str">
        <f ca="1">IFERROR(__xludf.DUMMYFUNCTION("""COMPUTED_VALUE"""),"Manager who explains what is expected, sets a goal and helps achieve it")</f>
        <v>Manager who explains what is expected, sets a goal and helps achieve it</v>
      </c>
      <c r="P1551" s="1" t="str">
        <f ca="1">IFERROR(__xludf.DUMMYFUNCTION("""COMPUTED_VALUE"""),"Work &lt;=6 People in the Team")</f>
        <v>Work &lt;=6 People in the Team</v>
      </c>
      <c r="Q1551" s="1" t="s">
        <v>40</v>
      </c>
      <c r="R1551" s="1"/>
    </row>
    <row r="1552" spans="1:18" x14ac:dyDescent="0.25">
      <c r="A1552" s="2">
        <f ca="1">IFERROR(__xludf.DUMMYFUNCTION("""COMPUTED_VALUE"""),45045.8198918518)</f>
        <v>45045.819891851803</v>
      </c>
      <c r="B1552" s="1" t="str">
        <f ca="1">IFERROR(__xludf.DUMMYFUNCTION("""COMPUTED_VALUE"""),"India")</f>
        <v>India</v>
      </c>
      <c r="C1552" s="1">
        <f ca="1">IFERROR(__xludf.DUMMYFUNCTION("""COMPUTED_VALUE"""),700118)</f>
        <v>700118</v>
      </c>
      <c r="D1552" s="1" t="str">
        <f ca="1">IFERROR(__xludf.DUMMYFUNCTION("""COMPUTED_VALUE"""),"Male")</f>
        <v>Male</v>
      </c>
      <c r="E1552" s="1" t="str">
        <f ca="1">IFERROR(__xludf.DUMMYFUNCTION("""COMPUTED_VALUE"""),"People who have changed the world for better")</f>
        <v>People who have changed the world for better</v>
      </c>
      <c r="F1552" s="1" t="str">
        <f ca="1">IFERROR(__xludf.DUMMYFUNCTION("""COMPUTED_VALUE"""),"No I would not be pursuing Higher Education outside of India")</f>
        <v>No I would not be pursuing Higher Education outside of India</v>
      </c>
      <c r="G1552" s="1" t="str">
        <f ca="1">IFERROR(__xludf.DUMMYFUNCTION("""COMPUTED_VALUE"""),"This will be hard to do, but if it is the right company I would try")</f>
        <v>This will be hard to do, but if it is the right company I would try</v>
      </c>
      <c r="H1552" s="1" t="str">
        <f ca="1">IFERROR(__xludf.DUMMYFUNCTION("""COMPUTED_VALUE"""),"No")</f>
        <v>No</v>
      </c>
      <c r="I1552" s="1" t="str">
        <f ca="1">IFERROR(__xludf.DUMMYFUNCTION("""COMPUTED_VALUE"""),"Will NOT work for them")</f>
        <v>Will NOT work for them</v>
      </c>
      <c r="J1552" s="1">
        <f ca="1">IFERROR(__xludf.DUMMYFUNCTION("""COMPUTED_VALUE"""),1)</f>
        <v>1</v>
      </c>
      <c r="K1552" s="1" t="str">
        <f ca="1">IFERROR(__xludf.DUMMYFUNCTION("""COMPUTED_VALUE"""),"Hybrid Working Environment with more than 15 days a month at office")</f>
        <v>Hybrid Working Environment with more than 15 days a month at office</v>
      </c>
      <c r="L1552" s="1" t="str">
        <f ca="1">IFERROR(__xludf.DUMMYFUNCTION("""COMPUTED_VALUE"""),"Employer who appreciates learning and enables that environment")</f>
        <v>Employer who appreciates learning and enables that environment</v>
      </c>
      <c r="M155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552" s="1"/>
      <c r="O1552" s="1" t="str">
        <f ca="1">IFERROR(__xludf.DUMMYFUNCTION("""COMPUTED_VALUE"""),"Manager who sets goal and helps me achieve it")</f>
        <v>Manager who sets goal and helps me achieve it</v>
      </c>
      <c r="P1552" s="1" t="str">
        <f ca="1">IFERROR(__xludf.DUMMYFUNCTION("""COMPUTED_VALUE"""),"Work &lt;=6 People in the Team")</f>
        <v>Work &lt;=6 People in the Team</v>
      </c>
      <c r="Q1552" s="1" t="s">
        <v>43</v>
      </c>
      <c r="R1552" s="1"/>
    </row>
    <row r="1553" spans="1:18" x14ac:dyDescent="0.25">
      <c r="A1553" s="2">
        <f ca="1">IFERROR(__xludf.DUMMYFUNCTION("""COMPUTED_VALUE"""),45045.8252145486)</f>
        <v>45045.825214548597</v>
      </c>
      <c r="B1553" s="1" t="str">
        <f ca="1">IFERROR(__xludf.DUMMYFUNCTION("""COMPUTED_VALUE"""),"India")</f>
        <v>India</v>
      </c>
      <c r="C1553" s="1">
        <f ca="1">IFERROR(__xludf.DUMMYFUNCTION("""COMPUTED_VALUE"""),605010)</f>
        <v>605010</v>
      </c>
      <c r="D1553" s="1" t="str">
        <f ca="1">IFERROR(__xludf.DUMMYFUNCTION("""COMPUTED_VALUE"""),"Female")</f>
        <v>Female</v>
      </c>
      <c r="E1553" s="1" t="str">
        <f ca="1">IFERROR(__xludf.DUMMYFUNCTION("""COMPUTED_VALUE"""),"Influencers who had successful careers")</f>
        <v>Influencers who had successful careers</v>
      </c>
      <c r="F1553" s="1" t="str">
        <f ca="1">IFERROR(__xludf.DUMMYFUNCTION("""COMPUTED_VALUE"""),"No, But if someone could bare the cost I will")</f>
        <v>No, But if someone could bare the cost I will</v>
      </c>
      <c r="G1553" s="1" t="str">
        <f ca="1">IFERROR(__xludf.DUMMYFUNCTION("""COMPUTED_VALUE"""),"Will work for 3 years or more")</f>
        <v>Will work for 3 years or more</v>
      </c>
      <c r="H1553" s="1" t="str">
        <f ca="1">IFERROR(__xludf.DUMMYFUNCTION("""COMPUTED_VALUE"""),"No")</f>
        <v>No</v>
      </c>
      <c r="I1553" s="1" t="str">
        <f ca="1">IFERROR(__xludf.DUMMYFUNCTION("""COMPUTED_VALUE"""),"Will NOT work for them")</f>
        <v>Will NOT work for them</v>
      </c>
      <c r="J1553" s="1">
        <f ca="1">IFERROR(__xludf.DUMMYFUNCTION("""COMPUTED_VALUE"""),3)</f>
        <v>3</v>
      </c>
      <c r="K1553" s="1" t="str">
        <f ca="1">IFERROR(__xludf.DUMMYFUNCTION("""COMPUTED_VALUE"""),"Hybrid Working Environment with more than 15 days a month at office")</f>
        <v>Hybrid Working Environment with more than 15 days a month at office</v>
      </c>
      <c r="L1553" s="1" t="str">
        <f ca="1">IFERROR(__xludf.DUMMYFUNCTION("""COMPUTED_VALUE"""),"Employer who rewards learning and enables that environment")</f>
        <v>Employer who rewards learning and enables that environment</v>
      </c>
      <c r="M155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N1553" s="1"/>
      <c r="O1553" s="1" t="str">
        <f ca="1">IFERROR(__xludf.DUMMYFUNCTION("""COMPUTED_VALUE"""),"Manager who explains what is expected, sets a goal and helps achieve it")</f>
        <v>Manager who explains what is expected, sets a goal and helps achieve it</v>
      </c>
      <c r="P1553" s="1" t="str">
        <f ca="1">IFERROR(__xludf.DUMMYFUNCTION("""COMPUTED_VALUE"""),"Work &lt;=6 People in the Team")</f>
        <v>Work &lt;=6 People in the Team</v>
      </c>
      <c r="Q1553" s="1" t="s">
        <v>40</v>
      </c>
      <c r="R1553" s="1"/>
    </row>
    <row r="1554" spans="1:18" x14ac:dyDescent="0.25">
      <c r="A1554" s="2">
        <f ca="1">IFERROR(__xludf.DUMMYFUNCTION("""COMPUTED_VALUE"""),45045.8261623958)</f>
        <v>45045.826162395802</v>
      </c>
      <c r="B1554" s="1" t="str">
        <f ca="1">IFERROR(__xludf.DUMMYFUNCTION("""COMPUTED_VALUE"""),"Others")</f>
        <v>Others</v>
      </c>
      <c r="C1554" s="1">
        <f ca="1">IFERROR(__xludf.DUMMYFUNCTION("""COMPUTED_VALUE"""),2145)</f>
        <v>2145</v>
      </c>
      <c r="D1554" s="1" t="str">
        <f ca="1">IFERROR(__xludf.DUMMYFUNCTION("""COMPUTED_VALUE"""),"Female")</f>
        <v>Female</v>
      </c>
      <c r="E1554" s="1" t="str">
        <f ca="1">IFERROR(__xludf.DUMMYFUNCTION("""COMPUTED_VALUE"""),"People who have changed the world for better")</f>
        <v>People who have changed the world for better</v>
      </c>
      <c r="F1554" s="1" t="str">
        <f ca="1">IFERROR(__xludf.DUMMYFUNCTION("""COMPUTED_VALUE"""),"No, But if someone could bare the cost I will")</f>
        <v>No, But if someone could bare the cost I will</v>
      </c>
      <c r="G1554" s="1" t="str">
        <f ca="1">IFERROR(__xludf.DUMMYFUNCTION("""COMPUTED_VALUE"""),"This will be hard to do, but if it is the right company I would try")</f>
        <v>This will be hard to do, but if it is the right company I would try</v>
      </c>
      <c r="H1554" s="1" t="str">
        <f ca="1">IFERROR(__xludf.DUMMYFUNCTION("""COMPUTED_VALUE"""),"No")</f>
        <v>No</v>
      </c>
      <c r="I1554" s="1" t="str">
        <f ca="1">IFERROR(__xludf.DUMMYFUNCTION("""COMPUTED_VALUE"""),"Will NOT work for them")</f>
        <v>Will NOT work for them</v>
      </c>
      <c r="J1554" s="1">
        <f ca="1">IFERROR(__xludf.DUMMYFUNCTION("""COMPUTED_VALUE"""),1)</f>
        <v>1</v>
      </c>
      <c r="K1554" s="1" t="str">
        <f ca="1">IFERROR(__xludf.DUMMYFUNCTION("""COMPUTED_VALUE"""),"Fully Remote with Options to travel as and when needed")</f>
        <v>Fully Remote with Options to travel as and when needed</v>
      </c>
      <c r="L1554" s="1" t="str">
        <f ca="1">IFERROR(__xludf.DUMMYFUNCTION("""COMPUTED_VALUE"""),"Employer who rewards learning and enables that environment")</f>
        <v>Employer who rewards learning and enables that environment</v>
      </c>
      <c r="M1554" s="1" t="str">
        <f ca="1">IFERROR(__xludf.DUMMYFUNCTION("""COMPUTED_VALUE"""),"Business Operations in any organization, Build and develop a Team, Design and Develop amazing software, Work as a freelancer and do my thing my way")</f>
        <v>Business Operations in any organization, Build and develop a Team, Design and Develop amazing software, Work as a freelancer and do my thing my way</v>
      </c>
      <c r="N1554" s="1"/>
      <c r="O1554" s="1" t="str">
        <f ca="1">IFERROR(__xludf.DUMMYFUNCTION("""COMPUTED_VALUE"""),"Manager who explains what is expected, sets a goal and helps achieve it")</f>
        <v>Manager who explains what is expected, sets a goal and helps achieve it</v>
      </c>
      <c r="P1554" s="1" t="str">
        <f ca="1">IFERROR(__xludf.DUMMYFUNCTION("""COMPUTED_VALUE"""),"Work &lt;=6 People in the Team")</f>
        <v>Work &lt;=6 People in the Team</v>
      </c>
      <c r="Q1554" s="1" t="s">
        <v>43</v>
      </c>
      <c r="R1554" s="1"/>
    </row>
    <row r="1555" spans="1:18" x14ac:dyDescent="0.25">
      <c r="A1555" s="2">
        <f ca="1">IFERROR(__xludf.DUMMYFUNCTION("""COMPUTED_VALUE"""),45045.8393320254)</f>
        <v>45045.839332025404</v>
      </c>
      <c r="B1555" s="1" t="str">
        <f ca="1">IFERROR(__xludf.DUMMYFUNCTION("""COMPUTED_VALUE"""),"India")</f>
        <v>India</v>
      </c>
      <c r="C1555" s="1">
        <f ca="1">IFERROR(__xludf.DUMMYFUNCTION("""COMPUTED_VALUE"""),600004)</f>
        <v>600004</v>
      </c>
      <c r="D1555" s="1" t="str">
        <f ca="1">IFERROR(__xludf.DUMMYFUNCTION("""COMPUTED_VALUE"""),"Female")</f>
        <v>Female</v>
      </c>
      <c r="E1555" s="1" t="str">
        <f ca="1">IFERROR(__xludf.DUMMYFUNCTION("""COMPUTED_VALUE"""),"My Parents")</f>
        <v>My Parents</v>
      </c>
      <c r="F1555" s="1" t="str">
        <f ca="1">IFERROR(__xludf.DUMMYFUNCTION("""COMPUTED_VALUE"""),"No I would not be pursuing Higher Education outside of India")</f>
        <v>No I would not be pursuing Higher Education outside of India</v>
      </c>
      <c r="G1555" s="1" t="str">
        <f ca="1">IFERROR(__xludf.DUMMYFUNCTION("""COMPUTED_VALUE"""),"This will be hard to do, but if it is the right company I would try")</f>
        <v>This will be hard to do, but if it is the right company I would try</v>
      </c>
      <c r="H1555" s="1" t="str">
        <f ca="1">IFERROR(__xludf.DUMMYFUNCTION("""COMPUTED_VALUE"""),"No")</f>
        <v>No</v>
      </c>
      <c r="I1555" s="1" t="str">
        <f ca="1">IFERROR(__xludf.DUMMYFUNCTION("""COMPUTED_VALUE"""),"Will NOT work for them")</f>
        <v>Will NOT work for them</v>
      </c>
      <c r="J1555" s="1">
        <f ca="1">IFERROR(__xludf.DUMMYFUNCTION("""COMPUTED_VALUE"""),1)</f>
        <v>1</v>
      </c>
      <c r="K1555" s="1" t="str">
        <f ca="1">IFERROR(__xludf.DUMMYFUNCTION("""COMPUTED_VALUE"""),"Every Day Office Environment")</f>
        <v>Every Day Office Environment</v>
      </c>
      <c r="L1555" s="1" t="str">
        <f ca="1">IFERROR(__xludf.DUMMYFUNCTION("""COMPUTED_VALUE"""),"Employer who rewards learning and enables that environment")</f>
        <v>Employer who rewards learning and enables that environment</v>
      </c>
      <c r="M1555"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N1555" s="1"/>
      <c r="O1555" s="1" t="str">
        <f ca="1">IFERROR(__xludf.DUMMYFUNCTION("""COMPUTED_VALUE"""),"Manager who sets targets and expects me to achieve it")</f>
        <v>Manager who sets targets and expects me to achieve it</v>
      </c>
      <c r="P1555" s="1" t="str">
        <f ca="1">IFERROR(__xludf.DUMMYFUNCTION("""COMPUTED_VALUE"""),"Work &gt;10 people in Team")</f>
        <v>Work &gt;10 people in Team</v>
      </c>
      <c r="Q1555" s="1" t="s">
        <v>43</v>
      </c>
      <c r="R1555" s="1"/>
    </row>
    <row r="1556" spans="1:18" x14ac:dyDescent="0.25">
      <c r="A1556" s="2">
        <f ca="1">IFERROR(__xludf.DUMMYFUNCTION("""COMPUTED_VALUE"""),45045.8402047106)</f>
        <v>45045.840204710599</v>
      </c>
      <c r="B1556" s="1" t="str">
        <f ca="1">IFERROR(__xludf.DUMMYFUNCTION("""COMPUTED_VALUE"""),"Canada")</f>
        <v>Canada</v>
      </c>
      <c r="C1556" s="1" t="str">
        <f ca="1">IFERROR(__xludf.DUMMYFUNCTION("""COMPUTED_VALUE"""),"V5Z3G7")</f>
        <v>V5Z3G7</v>
      </c>
      <c r="D1556" s="1" t="str">
        <f ca="1">IFERROR(__xludf.DUMMYFUNCTION("""COMPUTED_VALUE"""),"Male")</f>
        <v>Male</v>
      </c>
      <c r="E1556" s="1" t="str">
        <f ca="1">IFERROR(__xludf.DUMMYFUNCTION("""COMPUTED_VALUE"""),"People from my circle, but not family members")</f>
        <v>People from my circle, but not family members</v>
      </c>
      <c r="F1556" s="1" t="str">
        <f ca="1">IFERROR(__xludf.DUMMYFUNCTION("""COMPUTED_VALUE"""),"Yes, I will earn and do that")</f>
        <v>Yes, I will earn and do that</v>
      </c>
      <c r="G1556" s="1" t="str">
        <f ca="1">IFERROR(__xludf.DUMMYFUNCTION("""COMPUTED_VALUE"""),"Will work for 3 years or more")</f>
        <v>Will work for 3 years or more</v>
      </c>
      <c r="H1556" s="1" t="str">
        <f ca="1">IFERROR(__xludf.DUMMYFUNCTION("""COMPUTED_VALUE"""),"No")</f>
        <v>No</v>
      </c>
      <c r="I1556" s="1" t="str">
        <f ca="1">IFERROR(__xludf.DUMMYFUNCTION("""COMPUTED_VALUE"""),"Will NOT work for them")</f>
        <v>Will NOT work for them</v>
      </c>
      <c r="J1556" s="1">
        <f ca="1">IFERROR(__xludf.DUMMYFUNCTION("""COMPUTED_VALUE"""),6)</f>
        <v>6</v>
      </c>
      <c r="K1556" s="1" t="str">
        <f ca="1">IFERROR(__xludf.DUMMYFUNCTION("""COMPUTED_VALUE"""),"Every Day Office Environment")</f>
        <v>Every Day Office Environment</v>
      </c>
      <c r="L1556" s="1" t="str">
        <f ca="1">IFERROR(__xludf.DUMMYFUNCTION("""COMPUTED_VALUE"""),"Employer who appreciates learning and enables that environment")</f>
        <v>Employer who appreciates learning and enables that environment</v>
      </c>
      <c r="M1556" s="1" t="str">
        <f ca="1">IFERROR(__xludf.DUMMYFUNCTION("""COMPUTED_VALUE"""),"Design and Creative strategy in any company, Build and develop a Team, Work as a freelancer and do my thing my way, I Want to sell things/Sales")</f>
        <v>Design and Creative strategy in any company, Build and develop a Team, Work as a freelancer and do my thing my way, I Want to sell things/Sales</v>
      </c>
      <c r="N1556" s="1"/>
      <c r="O1556" s="1" t="str">
        <f ca="1">IFERROR(__xludf.DUMMYFUNCTION("""COMPUTED_VALUE"""),"Manager who clearly describes what she/he needs")</f>
        <v>Manager who clearly describes what she/he needs</v>
      </c>
      <c r="P1556" s="1" t="str">
        <f ca="1">IFERROR(__xludf.DUMMYFUNCTION("""COMPUTED_VALUE"""),"Work &gt;10 people in Team")</f>
        <v>Work &gt;10 people in Team</v>
      </c>
      <c r="Q1556" s="1" t="s">
        <v>43</v>
      </c>
      <c r="R1556" s="1"/>
    </row>
    <row r="1557" spans="1:18" x14ac:dyDescent="0.25">
      <c r="A1557" s="2">
        <f ca="1">IFERROR(__xludf.DUMMYFUNCTION("""COMPUTED_VALUE"""),45045.8419922337)</f>
        <v>45045.841992233698</v>
      </c>
      <c r="B1557" s="1" t="str">
        <f ca="1">IFERROR(__xludf.DUMMYFUNCTION("""COMPUTED_VALUE"""),"India")</f>
        <v>India</v>
      </c>
      <c r="C1557" s="1">
        <f ca="1">IFERROR(__xludf.DUMMYFUNCTION("""COMPUTED_VALUE"""),110076)</f>
        <v>110076</v>
      </c>
      <c r="D1557" s="1" t="str">
        <f ca="1">IFERROR(__xludf.DUMMYFUNCTION("""COMPUTED_VALUE"""),"Female")</f>
        <v>Female</v>
      </c>
      <c r="E1557" s="1" t="str">
        <f ca="1">IFERROR(__xludf.DUMMYFUNCTION("""COMPUTED_VALUE"""),"People from my circle, but not family members")</f>
        <v>People from my circle, but not family members</v>
      </c>
      <c r="F1557" s="1" t="str">
        <f ca="1">IFERROR(__xludf.DUMMYFUNCTION("""COMPUTED_VALUE"""),"Yes, I will earn and do that")</f>
        <v>Yes, I will earn and do that</v>
      </c>
      <c r="G1557" s="1" t="str">
        <f ca="1">IFERROR(__xludf.DUMMYFUNCTION("""COMPUTED_VALUE"""),"Will work for 3 years or more")</f>
        <v>Will work for 3 years or more</v>
      </c>
      <c r="H1557" s="1" t="str">
        <f ca="1">IFERROR(__xludf.DUMMYFUNCTION("""COMPUTED_VALUE"""),"No")</f>
        <v>No</v>
      </c>
      <c r="I1557" s="1" t="str">
        <f ca="1">IFERROR(__xludf.DUMMYFUNCTION("""COMPUTED_VALUE"""),"Will NOT work for them")</f>
        <v>Will NOT work for them</v>
      </c>
      <c r="J1557" s="1">
        <f ca="1">IFERROR(__xludf.DUMMYFUNCTION("""COMPUTED_VALUE"""),3)</f>
        <v>3</v>
      </c>
      <c r="K1557" s="1" t="str">
        <f ca="1">IFERROR(__xludf.DUMMYFUNCTION("""COMPUTED_VALUE"""),"Hybrid Working Environment with more than 15 days a month at office")</f>
        <v>Hybrid Working Environment with more than 15 days a month at office</v>
      </c>
      <c r="L1557" s="1" t="str">
        <f ca="1">IFERROR(__xludf.DUMMYFUNCTION("""COMPUTED_VALUE"""),"Employer who rewards learning and enables that environment")</f>
        <v>Employer who rewards learning and enables that environment</v>
      </c>
      <c r="M1557" s="1" t="str">
        <f ca="1">IFERROR(__xludf.DUMMYFUNCTION("""COMPUTED_VALUE"""),"Business Operations in any organization, Manage and drive End-to-End Projects or Products, Look deeply into Data and generate insights, Become a content Creator in some platform")</f>
        <v>Business Operations in any organization, Manage and drive End-to-End Projects or Products, Look deeply into Data and generate insights, Become a content Creator in some platform</v>
      </c>
      <c r="N1557" s="1"/>
      <c r="O1557" s="1" t="str">
        <f ca="1">IFERROR(__xludf.DUMMYFUNCTION("""COMPUTED_VALUE"""),"Manager who explains what is expected, sets a goal and helps achieve it")</f>
        <v>Manager who explains what is expected, sets a goal and helps achieve it</v>
      </c>
      <c r="P1557" s="1" t="str">
        <f ca="1">IFERROR(__xludf.DUMMYFUNCTION("""COMPUTED_VALUE"""),"Work &lt;=6 People in the Team")</f>
        <v>Work &lt;=6 People in the Team</v>
      </c>
      <c r="Q1557" s="1" t="s">
        <v>40</v>
      </c>
      <c r="R1557" s="1"/>
    </row>
    <row r="1558" spans="1:18" x14ac:dyDescent="0.25">
      <c r="A1558" s="2">
        <f ca="1">IFERROR(__xludf.DUMMYFUNCTION("""COMPUTED_VALUE"""),45045.8420590856)</f>
        <v>45045.842059085597</v>
      </c>
      <c r="B1558" s="1" t="str">
        <f ca="1">IFERROR(__xludf.DUMMYFUNCTION("""COMPUTED_VALUE"""),"India")</f>
        <v>India</v>
      </c>
      <c r="C1558" s="1">
        <f ca="1">IFERROR(__xludf.DUMMYFUNCTION("""COMPUTED_VALUE"""),500003)</f>
        <v>500003</v>
      </c>
      <c r="D1558" s="1" t="str">
        <f ca="1">IFERROR(__xludf.DUMMYFUNCTION("""COMPUTED_VALUE"""),"Female")</f>
        <v>Female</v>
      </c>
      <c r="E1558" s="1" t="str">
        <f ca="1">IFERROR(__xludf.DUMMYFUNCTION("""COMPUTED_VALUE"""),"People from my circle, but not family members")</f>
        <v>People from my circle, but not family members</v>
      </c>
      <c r="F1558" s="1" t="str">
        <f ca="1">IFERROR(__xludf.DUMMYFUNCTION("""COMPUTED_VALUE"""),"No I would not be pursuing Higher Education outside of India")</f>
        <v>No I would not be pursuing Higher Education outside of India</v>
      </c>
      <c r="G1558" s="1" t="str">
        <f ca="1">IFERROR(__xludf.DUMMYFUNCTION("""COMPUTED_VALUE"""),"No way")</f>
        <v>No way</v>
      </c>
      <c r="H1558" s="1" t="str">
        <f ca="1">IFERROR(__xludf.DUMMYFUNCTION("""COMPUTED_VALUE"""),"No")</f>
        <v>No</v>
      </c>
      <c r="I1558" s="1" t="str">
        <f ca="1">IFERROR(__xludf.DUMMYFUNCTION("""COMPUTED_VALUE"""),"Will work for them")</f>
        <v>Will work for them</v>
      </c>
      <c r="J1558" s="1">
        <f ca="1">IFERROR(__xludf.DUMMYFUNCTION("""COMPUTED_VALUE"""),7)</f>
        <v>7</v>
      </c>
      <c r="K1558" s="1" t="str">
        <f ca="1">IFERROR(__xludf.DUMMYFUNCTION("""COMPUTED_VALUE"""),"Fully Remote with Options to travel as and when needed")</f>
        <v>Fully Remote with Options to travel as and when needed</v>
      </c>
      <c r="L1558" s="1" t="str">
        <f ca="1">IFERROR(__xludf.DUMMYFUNCTION("""COMPUTED_VALUE"""),"Employer who pushes your limits by enabling an learning environment, and rewards you at the end")</f>
        <v>Employer who pushes your limits by enabling an learning environment, and rewards you at the end</v>
      </c>
      <c r="M155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N1558" s="1"/>
      <c r="O1558" s="1" t="str">
        <f ca="1">IFERROR(__xludf.DUMMYFUNCTION("""COMPUTED_VALUE"""),"Manager who clearly describes what she/he needs")</f>
        <v>Manager who clearly describes what she/he needs</v>
      </c>
      <c r="P1558" s="1" t="str">
        <f ca="1">IFERROR(__xludf.DUMMYFUNCTION("""COMPUTED_VALUE"""),"Work &lt;=6 People in the Team")</f>
        <v>Work &lt;=6 People in the Team</v>
      </c>
      <c r="Q1558" s="1" t="s">
        <v>40</v>
      </c>
      <c r="R1558" s="1"/>
    </row>
    <row r="1559" spans="1:18" x14ac:dyDescent="0.25">
      <c r="A1559" s="2">
        <f ca="1">IFERROR(__xludf.DUMMYFUNCTION("""COMPUTED_VALUE"""),45045.8425336458)</f>
        <v>45045.842533645802</v>
      </c>
      <c r="B1559" s="1" t="str">
        <f ca="1">IFERROR(__xludf.DUMMYFUNCTION("""COMPUTED_VALUE"""),"India")</f>
        <v>India</v>
      </c>
      <c r="C1559" s="1">
        <f ca="1">IFERROR(__xludf.DUMMYFUNCTION("""COMPUTED_VALUE"""),160062)</f>
        <v>160062</v>
      </c>
      <c r="D1559" s="1" t="str">
        <f ca="1">IFERROR(__xludf.DUMMYFUNCTION("""COMPUTED_VALUE"""),"Male")</f>
        <v>Male</v>
      </c>
      <c r="E1559" s="1" t="str">
        <f ca="1">IFERROR(__xludf.DUMMYFUNCTION("""COMPUTED_VALUE"""),"My Parents")</f>
        <v>My Parents</v>
      </c>
      <c r="F1559" s="1" t="str">
        <f ca="1">IFERROR(__xludf.DUMMYFUNCTION("""COMPUTED_VALUE"""),"No, But if someone could bare the cost I will")</f>
        <v>No, But if someone could bare the cost I will</v>
      </c>
      <c r="G1559" s="1" t="str">
        <f ca="1">IFERROR(__xludf.DUMMYFUNCTION("""COMPUTED_VALUE"""),"This will be hard to do, but if it is the right company I would try")</f>
        <v>This will be hard to do, but if it is the right company I would try</v>
      </c>
      <c r="H1559" s="1" t="str">
        <f ca="1">IFERROR(__xludf.DUMMYFUNCTION("""COMPUTED_VALUE"""),"No")</f>
        <v>No</v>
      </c>
      <c r="I1559" s="1" t="str">
        <f ca="1">IFERROR(__xludf.DUMMYFUNCTION("""COMPUTED_VALUE"""),"Will NOT work for them")</f>
        <v>Will NOT work for them</v>
      </c>
      <c r="J1559" s="1">
        <f ca="1">IFERROR(__xludf.DUMMYFUNCTION("""COMPUTED_VALUE"""),4)</f>
        <v>4</v>
      </c>
      <c r="K1559" s="1" t="str">
        <f ca="1">IFERROR(__xludf.DUMMYFUNCTION("""COMPUTED_VALUE"""),"Hybrid Working Environment with more than 15 days a month at office")</f>
        <v>Hybrid Working Environment with more than 15 days a month at office</v>
      </c>
      <c r="L1559" s="1" t="str">
        <f ca="1">IFERROR(__xludf.DUMMYFUNCTION("""COMPUTED_VALUE"""),"Employer who pushes your limits by enabling an learning environment, and rewards you at the end")</f>
        <v>Employer who pushes your limits by enabling an learning environment, and rewards you at the end</v>
      </c>
      <c r="M1559"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N1559" s="1"/>
      <c r="O1559" s="1" t="str">
        <f ca="1">IFERROR(__xludf.DUMMYFUNCTION("""COMPUTED_VALUE"""),"Manager who explains what is expected, sets a goal and helps achieve it")</f>
        <v>Manager who explains what is expected, sets a goal and helps achieve it</v>
      </c>
      <c r="P1559" s="1" t="str">
        <f ca="1">IFERROR(__xludf.DUMMYFUNCTION("""COMPUTED_VALUE"""),"Work &lt;=6 People in the Team")</f>
        <v>Work &lt;=6 People in the Team</v>
      </c>
      <c r="Q1559" s="1" t="s">
        <v>40</v>
      </c>
      <c r="R1559" s="1"/>
    </row>
    <row r="1560" spans="1:18" x14ac:dyDescent="0.25">
      <c r="A1560" s="2">
        <f ca="1">IFERROR(__xludf.DUMMYFUNCTION("""COMPUTED_VALUE"""),45045.8425577083)</f>
        <v>45045.842557708304</v>
      </c>
      <c r="B1560" s="1" t="str">
        <f ca="1">IFERROR(__xludf.DUMMYFUNCTION("""COMPUTED_VALUE"""),"India")</f>
        <v>India</v>
      </c>
      <c r="C1560" s="1">
        <f ca="1">IFERROR(__xludf.DUMMYFUNCTION("""COMPUTED_VALUE"""),505001)</f>
        <v>505001</v>
      </c>
      <c r="D1560" s="1" t="str">
        <f ca="1">IFERROR(__xludf.DUMMYFUNCTION("""COMPUTED_VALUE"""),"Female")</f>
        <v>Female</v>
      </c>
      <c r="E1560" s="1" t="str">
        <f ca="1">IFERROR(__xludf.DUMMYFUNCTION("""COMPUTED_VALUE"""),"People who have changed the world for better")</f>
        <v>People who have changed the world for better</v>
      </c>
      <c r="F1560" s="1" t="str">
        <f ca="1">IFERROR(__xludf.DUMMYFUNCTION("""COMPUTED_VALUE"""),"Yes, I will earn and do that")</f>
        <v>Yes, I will earn and do that</v>
      </c>
      <c r="G1560" s="1" t="str">
        <f ca="1">IFERROR(__xludf.DUMMYFUNCTION("""COMPUTED_VALUE"""),"This will be hard to do, but if it is the right company I would try")</f>
        <v>This will be hard to do, but if it is the right company I would try</v>
      </c>
      <c r="H1560" s="1" t="str">
        <f ca="1">IFERROR(__xludf.DUMMYFUNCTION("""COMPUTED_VALUE"""),"No")</f>
        <v>No</v>
      </c>
      <c r="I1560" s="1" t="str">
        <f ca="1">IFERROR(__xludf.DUMMYFUNCTION("""COMPUTED_VALUE"""),"Will NOT work for them")</f>
        <v>Will NOT work for them</v>
      </c>
      <c r="J1560" s="1">
        <f ca="1">IFERROR(__xludf.DUMMYFUNCTION("""COMPUTED_VALUE"""),7)</f>
        <v>7</v>
      </c>
      <c r="K1560" s="1" t="str">
        <f ca="1">IFERROR(__xludf.DUMMYFUNCTION("""COMPUTED_VALUE"""),"Hybrid Working Environment with less than 3 days a month at office")</f>
        <v>Hybrid Working Environment with less than 3 days a month at office</v>
      </c>
      <c r="L1560" s="1" t="str">
        <f ca="1">IFERROR(__xludf.DUMMYFUNCTION("""COMPUTED_VALUE"""),"Employer who pushes your limits by enabling an learning environment, and rewards you at the end")</f>
        <v>Employer who pushes your limits by enabling an learning environment, and rewards you at the end</v>
      </c>
      <c r="M156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1560" s="1"/>
      <c r="O1560" s="1" t="str">
        <f ca="1">IFERROR(__xludf.DUMMYFUNCTION("""COMPUTED_VALUE"""),"Manager who sets goal and helps me achieve it")</f>
        <v>Manager who sets goal and helps me achieve it</v>
      </c>
      <c r="P1560" s="1" t="str">
        <f ca="1">IFERROR(__xludf.DUMMYFUNCTION("""COMPUTED_VALUE"""),"Work &gt;=7 People in the Team")</f>
        <v>Work &gt;=7 People in the Team</v>
      </c>
      <c r="Q1560" s="1" t="s">
        <v>43</v>
      </c>
      <c r="R1560" s="1"/>
    </row>
    <row r="1561" spans="1:18" x14ac:dyDescent="0.25">
      <c r="A1561" s="2">
        <f ca="1">IFERROR(__xludf.DUMMYFUNCTION("""COMPUTED_VALUE"""),45045.843451412)</f>
        <v>45045.843451412002</v>
      </c>
      <c r="B1561" s="1" t="str">
        <f ca="1">IFERROR(__xludf.DUMMYFUNCTION("""COMPUTED_VALUE"""),"India")</f>
        <v>India</v>
      </c>
      <c r="C1561" s="1">
        <f ca="1">IFERROR(__xludf.DUMMYFUNCTION("""COMPUTED_VALUE"""),160062)</f>
        <v>160062</v>
      </c>
      <c r="D1561" s="1" t="str">
        <f ca="1">IFERROR(__xludf.DUMMYFUNCTION("""COMPUTED_VALUE"""),"Male")</f>
        <v>Male</v>
      </c>
      <c r="E1561" s="1" t="str">
        <f ca="1">IFERROR(__xludf.DUMMYFUNCTION("""COMPUTED_VALUE"""),"Social Media like LinkedIn")</f>
        <v>Social Media like LinkedIn</v>
      </c>
      <c r="F1561" s="1" t="str">
        <f ca="1">IFERROR(__xludf.DUMMYFUNCTION("""COMPUTED_VALUE"""),"No, But if someone could bare the cost I will")</f>
        <v>No, But if someone could bare the cost I will</v>
      </c>
      <c r="G1561" s="1" t="str">
        <f ca="1">IFERROR(__xludf.DUMMYFUNCTION("""COMPUTED_VALUE"""),"This will be hard to do, but if it is the right company I would try")</f>
        <v>This will be hard to do, but if it is the right company I would try</v>
      </c>
      <c r="H1561" s="1" t="str">
        <f ca="1">IFERROR(__xludf.DUMMYFUNCTION("""COMPUTED_VALUE"""),"No")</f>
        <v>No</v>
      </c>
      <c r="I1561" s="1" t="str">
        <f ca="1">IFERROR(__xludf.DUMMYFUNCTION("""COMPUTED_VALUE"""),"Will NOT work for them")</f>
        <v>Will NOT work for them</v>
      </c>
      <c r="J1561" s="1">
        <f ca="1">IFERROR(__xludf.DUMMYFUNCTION("""COMPUTED_VALUE"""),1)</f>
        <v>1</v>
      </c>
      <c r="K1561" s="1" t="str">
        <f ca="1">IFERROR(__xludf.DUMMYFUNCTION("""COMPUTED_VALUE"""),"Fully Remote with Options to travel as and when needed")</f>
        <v>Fully Remote with Options to travel as and when needed</v>
      </c>
      <c r="L1561" s="1" t="str">
        <f ca="1">IFERROR(__xludf.DUMMYFUNCTION("""COMPUTED_VALUE"""),"Employer who pushes your limits by enabling an learning environment, and rewards you at the end")</f>
        <v>Employer who pushes your limits by enabling an learning environment, and rewards you at the end</v>
      </c>
      <c r="M1561" s="1" t="str">
        <f ca="1">IFERROR(__xludf.DUMMYFUNCTION("""COMPUTED_VALUE"""),"Work as a freelancer and do my thing my way, Entrepreneur or Start Up, I Want to sell things/Sales, An Artificial Intelligence Specialist / Talking to Robots")</f>
        <v>Work as a freelancer and do my thing my way, Entrepreneur or Start Up, I Want to sell things/Sales, An Artificial Intelligence Specialist / Talking to Robots</v>
      </c>
      <c r="N1561" s="1"/>
      <c r="O1561" s="1" t="str">
        <f ca="1">IFERROR(__xludf.DUMMYFUNCTION("""COMPUTED_VALUE"""),"Manager who explains what is expected, sets a goal and helps achieve it")</f>
        <v>Manager who explains what is expected, sets a goal and helps achieve it</v>
      </c>
      <c r="P1561" s="1" t="str">
        <f ca="1">IFERROR(__xludf.DUMMYFUNCTION("""COMPUTED_VALUE"""),"Work &lt;=6 People in the Team")</f>
        <v>Work &lt;=6 People in the Team</v>
      </c>
      <c r="Q1561" s="1" t="s">
        <v>43</v>
      </c>
      <c r="R1561" s="1"/>
    </row>
    <row r="1562" spans="1:18" x14ac:dyDescent="0.25">
      <c r="A1562" s="2">
        <f ca="1">IFERROR(__xludf.DUMMYFUNCTION("""COMPUTED_VALUE"""),45045.8468377314)</f>
        <v>45045.846837731398</v>
      </c>
      <c r="B1562" s="1" t="str">
        <f ca="1">IFERROR(__xludf.DUMMYFUNCTION("""COMPUTED_VALUE"""),"India")</f>
        <v>India</v>
      </c>
      <c r="C1562" s="1">
        <f ca="1">IFERROR(__xludf.DUMMYFUNCTION("""COMPUTED_VALUE"""),533262)</f>
        <v>533262</v>
      </c>
      <c r="D1562" s="1" t="str">
        <f ca="1">IFERROR(__xludf.DUMMYFUNCTION("""COMPUTED_VALUE"""),"Male")</f>
        <v>Male</v>
      </c>
      <c r="E1562" s="1" t="str">
        <f ca="1">IFERROR(__xludf.DUMMYFUNCTION("""COMPUTED_VALUE"""),"People from my circle, but not family members")</f>
        <v>People from my circle, but not family members</v>
      </c>
      <c r="F1562" s="1" t="str">
        <f ca="1">IFERROR(__xludf.DUMMYFUNCTION("""COMPUTED_VALUE"""),"No I would not be pursuing Higher Education outside of India")</f>
        <v>No I would not be pursuing Higher Education outside of India</v>
      </c>
      <c r="G1562" s="1" t="str">
        <f ca="1">IFERROR(__xludf.DUMMYFUNCTION("""COMPUTED_VALUE"""),"This will be hard to do, but if it is the right company I would try")</f>
        <v>This will be hard to do, but if it is the right company I would try</v>
      </c>
      <c r="H1562" s="1" t="str">
        <f ca="1">IFERROR(__xludf.DUMMYFUNCTION("""COMPUTED_VALUE"""),"Yes")</f>
        <v>Yes</v>
      </c>
      <c r="I1562" s="1" t="str">
        <f ca="1">IFERROR(__xludf.DUMMYFUNCTION("""COMPUTED_VALUE"""),"Will work for them")</f>
        <v>Will work for them</v>
      </c>
      <c r="J1562" s="1">
        <f ca="1">IFERROR(__xludf.DUMMYFUNCTION("""COMPUTED_VALUE"""),4)</f>
        <v>4</v>
      </c>
      <c r="K1562" s="1" t="str">
        <f ca="1">IFERROR(__xludf.DUMMYFUNCTION("""COMPUTED_VALUE"""),"Hybrid Working Environment with less than 3 days a month at office")</f>
        <v>Hybrid Working Environment with less than 3 days a month at office</v>
      </c>
      <c r="L1562" s="1" t="str">
        <f ca="1">IFERROR(__xludf.DUMMYFUNCTION("""COMPUTED_VALUE"""),"Employer who appreciates learning and enables that environment")</f>
        <v>Employer who appreciates learning and enables that environment</v>
      </c>
      <c r="M156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N1562" s="1"/>
      <c r="O1562" s="1" t="str">
        <f ca="1">IFERROR(__xludf.DUMMYFUNCTION("""COMPUTED_VALUE"""),"Manager who explains what is expected, sets a goal and helps achieve it")</f>
        <v>Manager who explains what is expected, sets a goal and helps achieve it</v>
      </c>
      <c r="P1562" s="1" t="str">
        <f ca="1">IFERROR(__xludf.DUMMYFUNCTION("""COMPUTED_VALUE"""),"Work &gt;=7 People in the Team")</f>
        <v>Work &gt;=7 People in the Team</v>
      </c>
      <c r="Q1562" s="1" t="s">
        <v>40</v>
      </c>
      <c r="R1562" s="1"/>
    </row>
    <row r="1563" spans="1:18" x14ac:dyDescent="0.25">
      <c r="A1563" s="2">
        <f ca="1">IFERROR(__xludf.DUMMYFUNCTION("""COMPUTED_VALUE"""),45045.8486119907)</f>
        <v>45045.848611990703</v>
      </c>
      <c r="B1563" s="1" t="str">
        <f ca="1">IFERROR(__xludf.DUMMYFUNCTION("""COMPUTED_VALUE"""),"India")</f>
        <v>India</v>
      </c>
      <c r="C1563" s="1">
        <f ca="1">IFERROR(__xludf.DUMMYFUNCTION("""COMPUTED_VALUE"""),505001)</f>
        <v>505001</v>
      </c>
      <c r="D1563" s="1" t="str">
        <f ca="1">IFERROR(__xludf.DUMMYFUNCTION("""COMPUTED_VALUE"""),"Male")</f>
        <v>Male</v>
      </c>
      <c r="E1563" s="1" t="str">
        <f ca="1">IFERROR(__xludf.DUMMYFUNCTION("""COMPUTED_VALUE"""),"My Parents")</f>
        <v>My Parents</v>
      </c>
      <c r="F1563" s="1" t="str">
        <f ca="1">IFERROR(__xludf.DUMMYFUNCTION("""COMPUTED_VALUE"""),"No, But if someone could bare the cost I will")</f>
        <v>No, But if someone could bare the cost I will</v>
      </c>
      <c r="G1563" s="1" t="str">
        <f ca="1">IFERROR(__xludf.DUMMYFUNCTION("""COMPUTED_VALUE"""),"This will be hard to do, but if it is the right company I would try")</f>
        <v>This will be hard to do, but if it is the right company I would try</v>
      </c>
      <c r="H1563" s="1" t="str">
        <f ca="1">IFERROR(__xludf.DUMMYFUNCTION("""COMPUTED_VALUE"""),"No")</f>
        <v>No</v>
      </c>
      <c r="I1563" s="1" t="str">
        <f ca="1">IFERROR(__xludf.DUMMYFUNCTION("""COMPUTED_VALUE"""),"Will NOT work for them")</f>
        <v>Will NOT work for them</v>
      </c>
      <c r="J1563" s="1">
        <f ca="1">IFERROR(__xludf.DUMMYFUNCTION("""COMPUTED_VALUE"""),5)</f>
        <v>5</v>
      </c>
      <c r="K1563" s="1" t="str">
        <f ca="1">IFERROR(__xludf.DUMMYFUNCTION("""COMPUTED_VALUE"""),"Every Day Office Environment")</f>
        <v>Every Day Office Environment</v>
      </c>
      <c r="L1563" s="1" t="str">
        <f ca="1">IFERROR(__xludf.DUMMYFUNCTION("""COMPUTED_VALUE"""),"Employer who pushes your limits by enabling an learning environment, and rewards you at the end")</f>
        <v>Employer who pushes your limits by enabling an learning environment, and rewards you at the end</v>
      </c>
      <c r="M1563"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N1563" s="1"/>
      <c r="O1563" s="1" t="str">
        <f ca="1">IFERROR(__xludf.DUMMYFUNCTION("""COMPUTED_VALUE"""),"Manager who explains what is expected, sets a goal and helps achieve it")</f>
        <v>Manager who explains what is expected, sets a goal and helps achieve it</v>
      </c>
      <c r="P1563" s="1" t="str">
        <f ca="1">IFERROR(__xludf.DUMMYFUNCTION("""COMPUTED_VALUE"""),"Work &lt;=6 People in the Team")</f>
        <v>Work &lt;=6 People in the Team</v>
      </c>
      <c r="Q1563" s="1" t="s">
        <v>42</v>
      </c>
      <c r="R1563" s="1"/>
    </row>
    <row r="1564" spans="1:18" x14ac:dyDescent="0.25">
      <c r="A1564" s="2">
        <f ca="1">IFERROR(__xludf.DUMMYFUNCTION("""COMPUTED_VALUE"""),45045.8488790509)</f>
        <v>45045.8488790509</v>
      </c>
      <c r="B1564" s="1" t="str">
        <f ca="1">IFERROR(__xludf.DUMMYFUNCTION("""COMPUTED_VALUE"""),"India")</f>
        <v>India</v>
      </c>
      <c r="C1564" s="1">
        <f ca="1">IFERROR(__xludf.DUMMYFUNCTION("""COMPUTED_VALUE"""),533005)</f>
        <v>533005</v>
      </c>
      <c r="D1564" s="1" t="str">
        <f ca="1">IFERROR(__xludf.DUMMYFUNCTION("""COMPUTED_VALUE"""),"Male")</f>
        <v>Male</v>
      </c>
      <c r="E1564" s="1" t="str">
        <f ca="1">IFERROR(__xludf.DUMMYFUNCTION("""COMPUTED_VALUE"""),"My Parents")</f>
        <v>My Parents</v>
      </c>
      <c r="F1564" s="1" t="str">
        <f ca="1">IFERROR(__xludf.DUMMYFUNCTION("""COMPUTED_VALUE"""),"Yes, I will earn and do that")</f>
        <v>Yes, I will earn and do that</v>
      </c>
      <c r="G1564" s="1" t="str">
        <f ca="1">IFERROR(__xludf.DUMMYFUNCTION("""COMPUTED_VALUE"""),"This will be hard to do, but if it is the right company I would try")</f>
        <v>This will be hard to do, but if it is the right company I would try</v>
      </c>
      <c r="H1564" s="1" t="str">
        <f ca="1">IFERROR(__xludf.DUMMYFUNCTION("""COMPUTED_VALUE"""),"Yes")</f>
        <v>Yes</v>
      </c>
      <c r="I1564" s="1" t="str">
        <f ca="1">IFERROR(__xludf.DUMMYFUNCTION("""COMPUTED_VALUE"""),"Will work for them")</f>
        <v>Will work for them</v>
      </c>
      <c r="J1564" s="1">
        <f ca="1">IFERROR(__xludf.DUMMYFUNCTION("""COMPUTED_VALUE"""),2)</f>
        <v>2</v>
      </c>
      <c r="K1564" s="1" t="str">
        <f ca="1">IFERROR(__xludf.DUMMYFUNCTION("""COMPUTED_VALUE"""),"Fully Remote with Options to travel as and when needed")</f>
        <v>Fully Remote with Options to travel as and when needed</v>
      </c>
      <c r="L1564" s="1" t="str">
        <f ca="1">IFERROR(__xludf.DUMMYFUNCTION("""COMPUTED_VALUE"""),"Employer who pushes your limits by enabling an learning environment, and rewards you at the end")</f>
        <v>Employer who pushes your limits by enabling an learning environment, and rewards you at the end</v>
      </c>
      <c r="M1564" s="1" t="str">
        <f ca="1">IFERROR(__xludf.DUMMYFUNCTION("""COMPUTED_VALUE"""),"Business Operations in any organization, Design and Develop amazing software, Work in a BPO setup for some well known client, Manufacturing / Oil and Gas/ Construction / Hard Physical Work related")</f>
        <v>Business Operations in any organization, Design and Develop amazing software, Work in a BPO setup for some well known client, Manufacturing / Oil and Gas/ Construction / Hard Physical Work related</v>
      </c>
      <c r="N1564" s="1"/>
      <c r="O1564" s="1" t="str">
        <f ca="1">IFERROR(__xludf.DUMMYFUNCTION("""COMPUTED_VALUE"""),"Manager who explains what is expected, sets a goal and helps achieve it")</f>
        <v>Manager who explains what is expected, sets a goal and helps achieve it</v>
      </c>
      <c r="P1564" s="1" t="str">
        <f ca="1">IFERROR(__xludf.DUMMYFUNCTION("""COMPUTED_VALUE"""),"Work &lt;=6 People in the Team")</f>
        <v>Work &lt;=6 People in the Team</v>
      </c>
      <c r="Q1564" s="1" t="s">
        <v>40</v>
      </c>
      <c r="R1564" s="1"/>
    </row>
    <row r="1565" spans="1:18" x14ac:dyDescent="0.25">
      <c r="A1565" s="2">
        <f ca="1">IFERROR(__xludf.DUMMYFUNCTION("""COMPUTED_VALUE"""),45045.8491904282)</f>
        <v>45045.849190428198</v>
      </c>
      <c r="B1565" s="1" t="str">
        <f ca="1">IFERROR(__xludf.DUMMYFUNCTION("""COMPUTED_VALUE"""),"India")</f>
        <v>India</v>
      </c>
      <c r="C1565" s="1">
        <f ca="1">IFERROR(__xludf.DUMMYFUNCTION("""COMPUTED_VALUE"""),500026)</f>
        <v>500026</v>
      </c>
      <c r="D1565" s="1" t="str">
        <f ca="1">IFERROR(__xludf.DUMMYFUNCTION("""COMPUTED_VALUE"""),"Female")</f>
        <v>Female</v>
      </c>
      <c r="E1565" s="1" t="str">
        <f ca="1">IFERROR(__xludf.DUMMYFUNCTION("""COMPUTED_VALUE"""),"My Parents")</f>
        <v>My Parents</v>
      </c>
      <c r="F1565" s="1" t="str">
        <f ca="1">IFERROR(__xludf.DUMMYFUNCTION("""COMPUTED_VALUE"""),"Yes, I will earn and do that")</f>
        <v>Yes, I will earn and do that</v>
      </c>
      <c r="G1565" s="1" t="str">
        <f ca="1">IFERROR(__xludf.DUMMYFUNCTION("""COMPUTED_VALUE"""),"This will be hard to do, but if it is the right company I would try")</f>
        <v>This will be hard to do, but if it is the right company I would try</v>
      </c>
      <c r="H1565" s="1" t="str">
        <f ca="1">IFERROR(__xludf.DUMMYFUNCTION("""COMPUTED_VALUE"""),"No")</f>
        <v>No</v>
      </c>
      <c r="I1565" s="1" t="str">
        <f ca="1">IFERROR(__xludf.DUMMYFUNCTION("""COMPUTED_VALUE"""),"Will work for them")</f>
        <v>Will work for them</v>
      </c>
      <c r="J1565" s="1">
        <f ca="1">IFERROR(__xludf.DUMMYFUNCTION("""COMPUTED_VALUE"""),6)</f>
        <v>6</v>
      </c>
      <c r="K1565" s="1" t="str">
        <f ca="1">IFERROR(__xludf.DUMMYFUNCTION("""COMPUTED_VALUE"""),"Fully Remote with Options to travel as and when needed")</f>
        <v>Fully Remote with Options to travel as and when needed</v>
      </c>
      <c r="L1565" s="1" t="str">
        <f ca="1">IFERROR(__xludf.DUMMYFUNCTION("""COMPUTED_VALUE"""),"Employer who appreciates learning and enables that environment")</f>
        <v>Employer who appreciates learning and enables that environment</v>
      </c>
      <c r="M1565"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N1565" s="1"/>
      <c r="O1565" s="1" t="str">
        <f ca="1">IFERROR(__xludf.DUMMYFUNCTION("""COMPUTED_VALUE"""),"Manager who sets targets and expects me to achieve it")</f>
        <v>Manager who sets targets and expects me to achieve it</v>
      </c>
      <c r="P1565" s="1" t="str">
        <f ca="1">IFERROR(__xludf.DUMMYFUNCTION("""COMPUTED_VALUE"""),"Work alone, Work &gt;=7 People in the Team")</f>
        <v>Work alone, Work &gt;=7 People in the Team</v>
      </c>
      <c r="Q1565" s="1" t="s">
        <v>43</v>
      </c>
      <c r="R1565" s="1"/>
    </row>
    <row r="1566" spans="1:18" x14ac:dyDescent="0.25">
      <c r="A1566" s="2">
        <f ca="1">IFERROR(__xludf.DUMMYFUNCTION("""COMPUTED_VALUE"""),45045.8498843981)</f>
        <v>45045.8498843981</v>
      </c>
      <c r="B1566" s="1" t="str">
        <f ca="1">IFERROR(__xludf.DUMMYFUNCTION("""COMPUTED_VALUE"""),"India")</f>
        <v>India</v>
      </c>
      <c r="C1566" s="1">
        <f ca="1">IFERROR(__xludf.DUMMYFUNCTION("""COMPUTED_VALUE"""),533262)</f>
        <v>533262</v>
      </c>
      <c r="D1566" s="1" t="str">
        <f ca="1">IFERROR(__xludf.DUMMYFUNCTION("""COMPUTED_VALUE"""),"Female")</f>
        <v>Female</v>
      </c>
      <c r="E1566" s="1" t="str">
        <f ca="1">IFERROR(__xludf.DUMMYFUNCTION("""COMPUTED_VALUE"""),"My Parents")</f>
        <v>My Parents</v>
      </c>
      <c r="F1566" s="1" t="str">
        <f ca="1">IFERROR(__xludf.DUMMYFUNCTION("""COMPUTED_VALUE"""),"Yes, I will earn and do that")</f>
        <v>Yes, I will earn and do that</v>
      </c>
      <c r="G1566" s="1" t="str">
        <f ca="1">IFERROR(__xludf.DUMMYFUNCTION("""COMPUTED_VALUE"""),"Will work for 3 years or more")</f>
        <v>Will work for 3 years or more</v>
      </c>
      <c r="H1566" s="1" t="str">
        <f ca="1">IFERROR(__xludf.DUMMYFUNCTION("""COMPUTED_VALUE"""),"Yes")</f>
        <v>Yes</v>
      </c>
      <c r="I1566" s="1" t="str">
        <f ca="1">IFERROR(__xludf.DUMMYFUNCTION("""COMPUTED_VALUE"""),"Will work for them")</f>
        <v>Will work for them</v>
      </c>
      <c r="J1566" s="1">
        <f ca="1">IFERROR(__xludf.DUMMYFUNCTION("""COMPUTED_VALUE"""),3)</f>
        <v>3</v>
      </c>
      <c r="K1566" s="1" t="str">
        <f ca="1">IFERROR(__xludf.DUMMYFUNCTION("""COMPUTED_VALUE"""),"Every Day Office Environment")</f>
        <v>Every Day Office Environment</v>
      </c>
      <c r="L1566" s="1" t="str">
        <f ca="1">IFERROR(__xludf.DUMMYFUNCTION("""COMPUTED_VALUE"""),"Employer who appreciates learning and enables that environment")</f>
        <v>Employer who appreciates learning and enables that environment</v>
      </c>
      <c r="M156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1566" s="1"/>
      <c r="O1566" s="1" t="str">
        <f ca="1">IFERROR(__xludf.DUMMYFUNCTION("""COMPUTED_VALUE"""),"Manager who clearly describes what she/he needs")</f>
        <v>Manager who clearly describes what she/he needs</v>
      </c>
      <c r="P1566" s="1" t="str">
        <f ca="1">IFERROR(__xludf.DUMMYFUNCTION("""COMPUTED_VALUE"""),"Work &lt;=6 People in the Team")</f>
        <v>Work &lt;=6 People in the Team</v>
      </c>
      <c r="Q1566" s="1" t="s">
        <v>43</v>
      </c>
      <c r="R1566" s="1"/>
    </row>
    <row r="1567" spans="1:18" x14ac:dyDescent="0.25">
      <c r="A1567" s="2">
        <f ca="1">IFERROR(__xludf.DUMMYFUNCTION("""COMPUTED_VALUE"""),45045.8500181597)</f>
        <v>45045.850018159697</v>
      </c>
      <c r="B1567" s="1" t="str">
        <f ca="1">IFERROR(__xludf.DUMMYFUNCTION("""COMPUTED_VALUE"""),"India")</f>
        <v>India</v>
      </c>
      <c r="C1567" s="1">
        <f ca="1">IFERROR(__xludf.DUMMYFUNCTION("""COMPUTED_VALUE"""),110060)</f>
        <v>110060</v>
      </c>
      <c r="D1567" s="1" t="str">
        <f ca="1">IFERROR(__xludf.DUMMYFUNCTION("""COMPUTED_VALUE"""),"Male")</f>
        <v>Male</v>
      </c>
      <c r="E1567" s="1" t="str">
        <f ca="1">IFERROR(__xludf.DUMMYFUNCTION("""COMPUTED_VALUE"""),"People who have changed the world for better")</f>
        <v>People who have changed the world for better</v>
      </c>
      <c r="F1567" s="1" t="str">
        <f ca="1">IFERROR(__xludf.DUMMYFUNCTION("""COMPUTED_VALUE"""),"No I would not be pursuing Higher Education outside of India")</f>
        <v>No I would not be pursuing Higher Education outside of India</v>
      </c>
      <c r="G1567" s="1" t="str">
        <f ca="1">IFERROR(__xludf.DUMMYFUNCTION("""COMPUTED_VALUE"""),"No way")</f>
        <v>No way</v>
      </c>
      <c r="H1567" s="1" t="str">
        <f ca="1">IFERROR(__xludf.DUMMYFUNCTION("""COMPUTED_VALUE"""),"No")</f>
        <v>No</v>
      </c>
      <c r="I1567" s="1" t="str">
        <f ca="1">IFERROR(__xludf.DUMMYFUNCTION("""COMPUTED_VALUE"""),"Will NOT work for them")</f>
        <v>Will NOT work for them</v>
      </c>
      <c r="J1567" s="1">
        <f ca="1">IFERROR(__xludf.DUMMYFUNCTION("""COMPUTED_VALUE"""),1)</f>
        <v>1</v>
      </c>
      <c r="K1567" s="1" t="str">
        <f ca="1">IFERROR(__xludf.DUMMYFUNCTION("""COMPUTED_VALUE"""),"Hybrid Working Environment with less than 3 days a month at office")</f>
        <v>Hybrid Working Environment with less than 3 days a month at office</v>
      </c>
      <c r="L1567" s="1" t="str">
        <f ca="1">IFERROR(__xludf.DUMMYFUNCTION("""COMPUTED_VALUE"""),"Employer who appreciates learning and enables that environment")</f>
        <v>Employer who appreciates learning and enables that environment</v>
      </c>
      <c r="M1567"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N1567" s="1"/>
      <c r="O1567" s="1" t="str">
        <f ca="1">IFERROR(__xludf.DUMMYFUNCTION("""COMPUTED_VALUE"""),"Manager who clearly describes what she/he needs")</f>
        <v>Manager who clearly describes what she/he needs</v>
      </c>
      <c r="P1567" s="1" t="str">
        <f ca="1">IFERROR(__xludf.DUMMYFUNCTION("""COMPUTED_VALUE"""),"Work alone")</f>
        <v>Work alone</v>
      </c>
      <c r="Q1567" s="1" t="s">
        <v>43</v>
      </c>
      <c r="R1567" s="1"/>
    </row>
    <row r="1568" spans="1:18" x14ac:dyDescent="0.25">
      <c r="A1568" s="2">
        <f ca="1">IFERROR(__xludf.DUMMYFUNCTION("""COMPUTED_VALUE"""),45045.8535692013)</f>
        <v>45045.853569201303</v>
      </c>
      <c r="B1568" s="1" t="str">
        <f ca="1">IFERROR(__xludf.DUMMYFUNCTION("""COMPUTED_VALUE"""),"India")</f>
        <v>India</v>
      </c>
      <c r="C1568" s="1">
        <f ca="1">IFERROR(__xludf.DUMMYFUNCTION("""COMPUTED_VALUE"""),500009)</f>
        <v>500009</v>
      </c>
      <c r="D1568" s="1" t="str">
        <f ca="1">IFERROR(__xludf.DUMMYFUNCTION("""COMPUTED_VALUE"""),"Male")</f>
        <v>Male</v>
      </c>
      <c r="E1568" s="1" t="str">
        <f ca="1">IFERROR(__xludf.DUMMYFUNCTION("""COMPUTED_VALUE"""),"My Parents")</f>
        <v>My Parents</v>
      </c>
      <c r="F1568" s="1" t="str">
        <f ca="1">IFERROR(__xludf.DUMMYFUNCTION("""COMPUTED_VALUE"""),"Yes, I will earn and do that")</f>
        <v>Yes, I will earn and do that</v>
      </c>
      <c r="G1568" s="1" t="str">
        <f ca="1">IFERROR(__xludf.DUMMYFUNCTION("""COMPUTED_VALUE"""),"This will be hard to do, but if it is the right company I would try")</f>
        <v>This will be hard to do, but if it is the right company I would try</v>
      </c>
      <c r="H1568" s="1" t="str">
        <f ca="1">IFERROR(__xludf.DUMMYFUNCTION("""COMPUTED_VALUE"""),"No")</f>
        <v>No</v>
      </c>
      <c r="I1568" s="1" t="str">
        <f ca="1">IFERROR(__xludf.DUMMYFUNCTION("""COMPUTED_VALUE"""),"Will NOT work for them")</f>
        <v>Will NOT work for them</v>
      </c>
      <c r="J1568" s="1">
        <f ca="1">IFERROR(__xludf.DUMMYFUNCTION("""COMPUTED_VALUE"""),6)</f>
        <v>6</v>
      </c>
      <c r="K1568" s="1" t="str">
        <f ca="1">IFERROR(__xludf.DUMMYFUNCTION("""COMPUTED_VALUE"""),"Every Day Office Environment")</f>
        <v>Every Day Office Environment</v>
      </c>
      <c r="L1568" s="1" t="str">
        <f ca="1">IFERROR(__xludf.DUMMYFUNCTION("""COMPUTED_VALUE"""),"Employer who pushes your limits by enabling an learning environment, and rewards you at the end")</f>
        <v>Employer who pushes your limits by enabling an learning environment, and rewards you at the end</v>
      </c>
      <c r="M156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N1568" s="1"/>
      <c r="O1568" s="1" t="str">
        <f ca="1">IFERROR(__xludf.DUMMYFUNCTION("""COMPUTED_VALUE"""),"Manager who clearly describes what she/he needs")</f>
        <v>Manager who clearly describes what she/he needs</v>
      </c>
      <c r="P1568" s="1" t="str">
        <f ca="1">IFERROR(__xludf.DUMMYFUNCTION("""COMPUTED_VALUE"""),"Work &gt;=7 People in the Team")</f>
        <v>Work &gt;=7 People in the Team</v>
      </c>
      <c r="Q1568" s="1" t="s">
        <v>40</v>
      </c>
      <c r="R1568" s="1"/>
    </row>
    <row r="1569" spans="1:18" x14ac:dyDescent="0.25">
      <c r="A1569" s="2">
        <f ca="1">IFERROR(__xludf.DUMMYFUNCTION("""COMPUTED_VALUE"""),45045.8545929745)</f>
        <v>45045.854592974501</v>
      </c>
      <c r="B1569" s="1" t="str">
        <f ca="1">IFERROR(__xludf.DUMMYFUNCTION("""COMPUTED_VALUE"""),"India")</f>
        <v>India</v>
      </c>
      <c r="C1569" s="1">
        <f ca="1">IFERROR(__xludf.DUMMYFUNCTION("""COMPUTED_VALUE"""),500057)</f>
        <v>500057</v>
      </c>
      <c r="D1569" s="1" t="str">
        <f ca="1">IFERROR(__xludf.DUMMYFUNCTION("""COMPUTED_VALUE"""),"Female")</f>
        <v>Female</v>
      </c>
      <c r="E1569" s="1" t="str">
        <f ca="1">IFERROR(__xludf.DUMMYFUNCTION("""COMPUTED_VALUE"""),"My Parents")</f>
        <v>My Parents</v>
      </c>
      <c r="F1569" s="1" t="str">
        <f ca="1">IFERROR(__xludf.DUMMYFUNCTION("""COMPUTED_VALUE"""),"No, But if someone could bare the cost I will")</f>
        <v>No, But if someone could bare the cost I will</v>
      </c>
      <c r="G1569" s="1" t="str">
        <f ca="1">IFERROR(__xludf.DUMMYFUNCTION("""COMPUTED_VALUE"""),"This will be hard to do, but if it is the right company I would try")</f>
        <v>This will be hard to do, but if it is the right company I would try</v>
      </c>
      <c r="H1569" s="1" t="str">
        <f ca="1">IFERROR(__xludf.DUMMYFUNCTION("""COMPUTED_VALUE"""),"No")</f>
        <v>No</v>
      </c>
      <c r="I1569" s="1" t="str">
        <f ca="1">IFERROR(__xludf.DUMMYFUNCTION("""COMPUTED_VALUE"""),"Will NOT work for them")</f>
        <v>Will NOT work for them</v>
      </c>
      <c r="J1569" s="1">
        <f ca="1">IFERROR(__xludf.DUMMYFUNCTION("""COMPUTED_VALUE"""),10)</f>
        <v>10</v>
      </c>
      <c r="K1569" s="1" t="str">
        <f ca="1">IFERROR(__xludf.DUMMYFUNCTION("""COMPUTED_VALUE"""),"Every Day Office Environment")</f>
        <v>Every Day Office Environment</v>
      </c>
      <c r="L1569" s="1" t="str">
        <f ca="1">IFERROR(__xludf.DUMMYFUNCTION("""COMPUTED_VALUE"""),"Employer who rewards learning and enables that environment")</f>
        <v>Employer who rewards learning and enables that environment</v>
      </c>
      <c r="M156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569" s="1"/>
      <c r="O1569" s="1" t="str">
        <f ca="1">IFERROR(__xludf.DUMMYFUNCTION("""COMPUTED_VALUE"""),"Manager who explains what is expected, sets a goal and helps achieve it")</f>
        <v>Manager who explains what is expected, sets a goal and helps achieve it</v>
      </c>
      <c r="P1569" s="1" t="str">
        <f ca="1">IFERROR(__xludf.DUMMYFUNCTION("""COMPUTED_VALUE"""),"Work alone")</f>
        <v>Work alone</v>
      </c>
      <c r="Q1569" s="1" t="s">
        <v>43</v>
      </c>
      <c r="R1569" s="1"/>
    </row>
    <row r="1570" spans="1:18" x14ac:dyDescent="0.25">
      <c r="A1570" s="2">
        <f ca="1">IFERROR(__xludf.DUMMYFUNCTION("""COMPUTED_VALUE"""),45045.8546041898)</f>
        <v>45045.854604189801</v>
      </c>
      <c r="B1570" s="1" t="str">
        <f ca="1">IFERROR(__xludf.DUMMYFUNCTION("""COMPUTED_VALUE"""),"India")</f>
        <v>India</v>
      </c>
      <c r="C1570" s="1">
        <f ca="1">IFERROR(__xludf.DUMMYFUNCTION("""COMPUTED_VALUE"""),500083)</f>
        <v>500083</v>
      </c>
      <c r="D1570" s="1" t="str">
        <f ca="1">IFERROR(__xludf.DUMMYFUNCTION("""COMPUTED_VALUE"""),"Male")</f>
        <v>Male</v>
      </c>
      <c r="E1570" s="1" t="str">
        <f ca="1">IFERROR(__xludf.DUMMYFUNCTION("""COMPUTED_VALUE"""),"Influencers who had successful careers")</f>
        <v>Influencers who had successful careers</v>
      </c>
      <c r="F1570" s="1" t="str">
        <f ca="1">IFERROR(__xludf.DUMMYFUNCTION("""COMPUTED_VALUE"""),"No, But if someone could bare the cost I will")</f>
        <v>No, But if someone could bare the cost I will</v>
      </c>
      <c r="G1570" s="1" t="str">
        <f ca="1">IFERROR(__xludf.DUMMYFUNCTION("""COMPUTED_VALUE"""),"This will be hard to do, but if it is the right company I would try")</f>
        <v>This will be hard to do, but if it is the right company I would try</v>
      </c>
      <c r="H1570" s="1" t="str">
        <f ca="1">IFERROR(__xludf.DUMMYFUNCTION("""COMPUTED_VALUE"""),"No")</f>
        <v>No</v>
      </c>
      <c r="I1570" s="1" t="str">
        <f ca="1">IFERROR(__xludf.DUMMYFUNCTION("""COMPUTED_VALUE"""),"Will work for them")</f>
        <v>Will work for them</v>
      </c>
      <c r="J1570" s="1">
        <f ca="1">IFERROR(__xludf.DUMMYFUNCTION("""COMPUTED_VALUE"""),10)</f>
        <v>10</v>
      </c>
      <c r="K1570" s="1" t="str">
        <f ca="1">IFERROR(__xludf.DUMMYFUNCTION("""COMPUTED_VALUE"""),"Hybrid Working Environment with more than 15 days a month at office")</f>
        <v>Hybrid Working Environment with more than 15 days a month at office</v>
      </c>
      <c r="L1570" s="1" t="str">
        <f ca="1">IFERROR(__xludf.DUMMYFUNCTION("""COMPUTED_VALUE"""),"Employer who rewards learning and enables that environment")</f>
        <v>Employer who rewards learning and enables that environment</v>
      </c>
      <c r="M1570"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N1570" s="1"/>
      <c r="O1570" s="1" t="str">
        <f ca="1">IFERROR(__xludf.DUMMYFUNCTION("""COMPUTED_VALUE"""),"Manager who explains what is expected, sets a goal and helps achieve it")</f>
        <v>Manager who explains what is expected, sets a goal and helps achieve it</v>
      </c>
      <c r="P1570" s="1" t="str">
        <f ca="1">IFERROR(__xludf.DUMMYFUNCTION("""COMPUTED_VALUE"""),"Work &lt;=6 People in the Team")</f>
        <v>Work &lt;=6 People in the Team</v>
      </c>
      <c r="Q1570" s="1" t="s">
        <v>43</v>
      </c>
      <c r="R1570" s="1"/>
    </row>
    <row r="1571" spans="1:18" x14ac:dyDescent="0.25">
      <c r="A1571" s="2">
        <f ca="1">IFERROR(__xludf.DUMMYFUNCTION("""COMPUTED_VALUE"""),45045.8565572453)</f>
        <v>45045.856557245301</v>
      </c>
      <c r="B1571" s="1" t="str">
        <f ca="1">IFERROR(__xludf.DUMMYFUNCTION("""COMPUTED_VALUE"""),"India")</f>
        <v>India</v>
      </c>
      <c r="C1571" s="1">
        <f ca="1">IFERROR(__xludf.DUMMYFUNCTION("""COMPUTED_VALUE"""),411028)</f>
        <v>411028</v>
      </c>
      <c r="D1571" s="1" t="str">
        <f ca="1">IFERROR(__xludf.DUMMYFUNCTION("""COMPUTED_VALUE"""),"Male")</f>
        <v>Male</v>
      </c>
      <c r="E1571" s="1" t="str">
        <f ca="1">IFERROR(__xludf.DUMMYFUNCTION("""COMPUTED_VALUE"""),"People who have changed the world for better")</f>
        <v>People who have changed the world for better</v>
      </c>
      <c r="F1571" s="1" t="str">
        <f ca="1">IFERROR(__xludf.DUMMYFUNCTION("""COMPUTED_VALUE"""),"No I would not be pursuing Higher Education outside of India")</f>
        <v>No I would not be pursuing Higher Education outside of India</v>
      </c>
      <c r="G1571" s="1" t="str">
        <f ca="1">IFERROR(__xludf.DUMMYFUNCTION("""COMPUTED_VALUE"""),"This will be hard to do, but if it is the right company I would try")</f>
        <v>This will be hard to do, but if it is the right company I would try</v>
      </c>
      <c r="H1571" s="1" t="str">
        <f ca="1">IFERROR(__xludf.DUMMYFUNCTION("""COMPUTED_VALUE"""),"No")</f>
        <v>No</v>
      </c>
      <c r="I1571" s="1" t="str">
        <f ca="1">IFERROR(__xludf.DUMMYFUNCTION("""COMPUTED_VALUE"""),"Will NOT work for them")</f>
        <v>Will NOT work for them</v>
      </c>
      <c r="J1571" s="1">
        <f ca="1">IFERROR(__xludf.DUMMYFUNCTION("""COMPUTED_VALUE"""),5)</f>
        <v>5</v>
      </c>
      <c r="K1571" s="1" t="str">
        <f ca="1">IFERROR(__xludf.DUMMYFUNCTION("""COMPUTED_VALUE"""),"Hybrid Working Environment with more than 15 days a month at office")</f>
        <v>Hybrid Working Environment with more than 15 days a month at office</v>
      </c>
      <c r="L1571" s="1" t="str">
        <f ca="1">IFERROR(__xludf.DUMMYFUNCTION("""COMPUTED_VALUE"""),"Employer who pushes your limits by enabling an learning environment, and rewards you at the end")</f>
        <v>Employer who pushes your limits by enabling an learning environment, and rewards you at the end</v>
      </c>
      <c r="M1571"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N1571" s="1"/>
      <c r="O1571" s="1" t="str">
        <f ca="1">IFERROR(__xludf.DUMMYFUNCTION("""COMPUTED_VALUE"""),"Manager who explains what is expected, sets a goal and helps achieve it")</f>
        <v>Manager who explains what is expected, sets a goal and helps achieve it</v>
      </c>
      <c r="P1571" s="1" t="str">
        <f ca="1">IFERROR(__xludf.DUMMYFUNCTION("""COMPUTED_VALUE"""),"Work &lt;67 People in the Team")</f>
        <v>Work &lt;67 People in the Team</v>
      </c>
      <c r="Q1571" s="1" t="s">
        <v>40</v>
      </c>
      <c r="R1571" s="1"/>
    </row>
    <row r="1572" spans="1:18" x14ac:dyDescent="0.25">
      <c r="A1572" s="2">
        <f ca="1">IFERROR(__xludf.DUMMYFUNCTION("""COMPUTED_VALUE"""),45045.8589259838)</f>
        <v>45045.858925983797</v>
      </c>
      <c r="B1572" s="1" t="str">
        <f ca="1">IFERROR(__xludf.DUMMYFUNCTION("""COMPUTED_VALUE"""),"India")</f>
        <v>India</v>
      </c>
      <c r="C1572" s="1">
        <f ca="1">IFERROR(__xludf.DUMMYFUNCTION("""COMPUTED_VALUE"""),533005)</f>
        <v>533005</v>
      </c>
      <c r="D1572" s="1" t="str">
        <f ca="1">IFERROR(__xludf.DUMMYFUNCTION("""COMPUTED_VALUE"""),"Male")</f>
        <v>Male</v>
      </c>
      <c r="E1572" s="1" t="str">
        <f ca="1">IFERROR(__xludf.DUMMYFUNCTION("""COMPUTED_VALUE"""),"People from my circle, but not family members")</f>
        <v>People from my circle, but not family members</v>
      </c>
      <c r="F1572" s="1" t="str">
        <f ca="1">IFERROR(__xludf.DUMMYFUNCTION("""COMPUTED_VALUE"""),"No, But if someone could bare the cost I will")</f>
        <v>No, But if someone could bare the cost I will</v>
      </c>
      <c r="G1572" s="1" t="str">
        <f ca="1">IFERROR(__xludf.DUMMYFUNCTION("""COMPUTED_VALUE"""),"This will be hard to do, but if it is the right company I would try")</f>
        <v>This will be hard to do, but if it is the right company I would try</v>
      </c>
      <c r="H1572" s="1" t="str">
        <f ca="1">IFERROR(__xludf.DUMMYFUNCTION("""COMPUTED_VALUE"""),"Yes")</f>
        <v>Yes</v>
      </c>
      <c r="I1572" s="1" t="str">
        <f ca="1">IFERROR(__xludf.DUMMYFUNCTION("""COMPUTED_VALUE"""),"Will NOT work for them")</f>
        <v>Will NOT work for them</v>
      </c>
      <c r="J1572" s="1">
        <f ca="1">IFERROR(__xludf.DUMMYFUNCTION("""COMPUTED_VALUE"""),4)</f>
        <v>4</v>
      </c>
      <c r="K1572" s="1" t="str">
        <f ca="1">IFERROR(__xludf.DUMMYFUNCTION("""COMPUTED_VALUE"""),"Hybrid Working Environment with more than 15 days a month at office")</f>
        <v>Hybrid Working Environment with more than 15 days a month at office</v>
      </c>
      <c r="L1572" s="1" t="str">
        <f ca="1">IFERROR(__xludf.DUMMYFUNCTION("""COMPUTED_VALUE"""),"Employer who pushes your limits by enabling an learning environment, and rewards you at the end")</f>
        <v>Employer who pushes your limits by enabling an learning environment, and rewards you at the end</v>
      </c>
      <c r="M157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1572" s="1"/>
      <c r="O1572" s="1" t="str">
        <f ca="1">IFERROR(__xludf.DUMMYFUNCTION("""COMPUTED_VALUE"""),"Manager who explains what is expected, sets a goal and helps achieve it")</f>
        <v>Manager who explains what is expected, sets a goal and helps achieve it</v>
      </c>
      <c r="P1572" s="1" t="str">
        <f ca="1">IFERROR(__xludf.DUMMYFUNCTION("""COMPUTED_VALUE"""),"Work Alone, &lt;=6 in team")</f>
        <v>Work Alone, &lt;=6 in team</v>
      </c>
      <c r="Q1572" s="1" t="s">
        <v>43</v>
      </c>
      <c r="R1572" s="1"/>
    </row>
    <row r="1573" spans="1:18" x14ac:dyDescent="0.25">
      <c r="A1573" s="2">
        <f ca="1">IFERROR(__xludf.DUMMYFUNCTION("""COMPUTED_VALUE"""),45045.8607478587)</f>
        <v>45045.8607478587</v>
      </c>
      <c r="B1573" s="1" t="str">
        <f ca="1">IFERROR(__xludf.DUMMYFUNCTION("""COMPUTED_VALUE"""),"India")</f>
        <v>India</v>
      </c>
      <c r="C1573" s="1">
        <f ca="1">IFERROR(__xludf.DUMMYFUNCTION("""COMPUTED_VALUE"""),505001)</f>
        <v>505001</v>
      </c>
      <c r="D1573" s="1" t="str">
        <f ca="1">IFERROR(__xludf.DUMMYFUNCTION("""COMPUTED_VALUE"""),"Female")</f>
        <v>Female</v>
      </c>
      <c r="E1573" s="1" t="str">
        <f ca="1">IFERROR(__xludf.DUMMYFUNCTION("""COMPUTED_VALUE"""),"My Parents")</f>
        <v>My Parents</v>
      </c>
      <c r="F1573" s="1" t="str">
        <f ca="1">IFERROR(__xludf.DUMMYFUNCTION("""COMPUTED_VALUE"""),"No I would not be pursuing Higher Education outside of India")</f>
        <v>No I would not be pursuing Higher Education outside of India</v>
      </c>
      <c r="G1573" s="1" t="str">
        <f ca="1">IFERROR(__xludf.DUMMYFUNCTION("""COMPUTED_VALUE"""),"This will be hard to do, but if it is the right company I would try")</f>
        <v>This will be hard to do, but if it is the right company I would try</v>
      </c>
      <c r="H1573" s="1" t="str">
        <f ca="1">IFERROR(__xludf.DUMMYFUNCTION("""COMPUTED_VALUE"""),"No")</f>
        <v>No</v>
      </c>
      <c r="I1573" s="1" t="str">
        <f ca="1">IFERROR(__xludf.DUMMYFUNCTION("""COMPUTED_VALUE"""),"Will NOT work for them")</f>
        <v>Will NOT work for them</v>
      </c>
      <c r="J1573" s="1">
        <f ca="1">IFERROR(__xludf.DUMMYFUNCTION("""COMPUTED_VALUE"""),1)</f>
        <v>1</v>
      </c>
      <c r="K1573" s="1" t="str">
        <f ca="1">IFERROR(__xludf.DUMMYFUNCTION("""COMPUTED_VALUE"""),"Fully Remote with No option to visit offices")</f>
        <v>Fully Remote with No option to visit offices</v>
      </c>
      <c r="L1573" s="1" t="str">
        <f ca="1">IFERROR(__xludf.DUMMYFUNCTION("""COMPUTED_VALUE"""),"Employer who appreciates learning and enables that environment")</f>
        <v>Employer who appreciates learning and enables that environment</v>
      </c>
      <c r="M157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N1573" s="1"/>
      <c r="O1573" s="1" t="str">
        <f ca="1">IFERROR(__xludf.DUMMYFUNCTION("""COMPUTED_VALUE"""),"Manager who explains what is expected, sets a goal and helps achieve it")</f>
        <v>Manager who explains what is expected, sets a goal and helps achieve it</v>
      </c>
      <c r="P1573" s="1" t="str">
        <f ca="1">IFERROR(__xludf.DUMMYFUNCTION("""COMPUTED_VALUE"""),"Work &lt;=6 People in the Team")</f>
        <v>Work &lt;=6 People in the Team</v>
      </c>
      <c r="Q1573" s="1" t="s">
        <v>43</v>
      </c>
      <c r="R1573" s="1"/>
    </row>
    <row r="1574" spans="1:18" x14ac:dyDescent="0.25">
      <c r="A1574" s="2">
        <f ca="1">IFERROR(__xludf.DUMMYFUNCTION("""COMPUTED_VALUE"""),45045.8635213541)</f>
        <v>45045.863521354098</v>
      </c>
      <c r="B1574" s="1" t="str">
        <f ca="1">IFERROR(__xludf.DUMMYFUNCTION("""COMPUTED_VALUE"""),"India")</f>
        <v>India</v>
      </c>
      <c r="C1574" s="1">
        <f ca="1">IFERROR(__xludf.DUMMYFUNCTION("""COMPUTED_VALUE"""),500029)</f>
        <v>500029</v>
      </c>
      <c r="D1574" s="1" t="str">
        <f ca="1">IFERROR(__xludf.DUMMYFUNCTION("""COMPUTED_VALUE"""),"Male")</f>
        <v>Male</v>
      </c>
      <c r="E1574" s="1" t="str">
        <f ca="1">IFERROR(__xludf.DUMMYFUNCTION("""COMPUTED_VALUE"""),"My Parents")</f>
        <v>My Parents</v>
      </c>
      <c r="F1574" s="1" t="str">
        <f ca="1">IFERROR(__xludf.DUMMYFUNCTION("""COMPUTED_VALUE"""),"Yes, I will earn and do that")</f>
        <v>Yes, I will earn and do that</v>
      </c>
      <c r="G1574" s="1" t="str">
        <f ca="1">IFERROR(__xludf.DUMMYFUNCTION("""COMPUTED_VALUE"""),"Will work for 3 years or more")</f>
        <v>Will work for 3 years or more</v>
      </c>
      <c r="H1574" s="1" t="str">
        <f ca="1">IFERROR(__xludf.DUMMYFUNCTION("""COMPUTED_VALUE"""),"Yes")</f>
        <v>Yes</v>
      </c>
      <c r="I1574" s="1" t="str">
        <f ca="1">IFERROR(__xludf.DUMMYFUNCTION("""COMPUTED_VALUE"""),"Will NOT work for them")</f>
        <v>Will NOT work for them</v>
      </c>
      <c r="J1574" s="1">
        <f ca="1">IFERROR(__xludf.DUMMYFUNCTION("""COMPUTED_VALUE"""),7)</f>
        <v>7</v>
      </c>
      <c r="K1574" s="1" t="str">
        <f ca="1">IFERROR(__xludf.DUMMYFUNCTION("""COMPUTED_VALUE"""),"Hybrid Working Environment with more than 15 days a month at office")</f>
        <v>Hybrid Working Environment with more than 15 days a month at office</v>
      </c>
      <c r="L1574" s="1" t="str">
        <f ca="1">IFERROR(__xludf.DUMMYFUNCTION("""COMPUTED_VALUE"""),"Employer who pushes your limits by enabling an learning environment, and rewards you at the end")</f>
        <v>Employer who pushes your limits by enabling an learning environment, and rewards you at the end</v>
      </c>
      <c r="M157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574" s="1"/>
      <c r="O1574" s="1" t="str">
        <f ca="1">IFERROR(__xludf.DUMMYFUNCTION("""COMPUTED_VALUE"""),"Manager who sets goal and helps me achieve it")</f>
        <v>Manager who sets goal and helps me achieve it</v>
      </c>
      <c r="P1574" s="1" t="str">
        <f ca="1">IFERROR(__xludf.DUMMYFUNCTION("""COMPUTED_VALUE"""),"Work &lt;=6 People in the Team")</f>
        <v>Work &lt;=6 People in the Team</v>
      </c>
      <c r="Q1574" s="1" t="s">
        <v>40</v>
      </c>
      <c r="R1574" s="1"/>
    </row>
    <row r="1575" spans="1:18" x14ac:dyDescent="0.25">
      <c r="A1575" s="2">
        <f ca="1">IFERROR(__xludf.DUMMYFUNCTION("""COMPUTED_VALUE"""),45045.8649970833)</f>
        <v>45045.864997083299</v>
      </c>
      <c r="B1575" s="1" t="str">
        <f ca="1">IFERROR(__xludf.DUMMYFUNCTION("""COMPUTED_VALUE"""),"India")</f>
        <v>India</v>
      </c>
      <c r="C1575" s="1">
        <f ca="1">IFERROR(__xludf.DUMMYFUNCTION("""COMPUTED_VALUE"""),500094)</f>
        <v>500094</v>
      </c>
      <c r="D1575" s="1" t="str">
        <f ca="1">IFERROR(__xludf.DUMMYFUNCTION("""COMPUTED_VALUE"""),"Female")</f>
        <v>Female</v>
      </c>
      <c r="E1575" s="1" t="str">
        <f ca="1">IFERROR(__xludf.DUMMYFUNCTION("""COMPUTED_VALUE"""),"My Parents")</f>
        <v>My Parents</v>
      </c>
      <c r="F1575" s="1" t="str">
        <f ca="1">IFERROR(__xludf.DUMMYFUNCTION("""COMPUTED_VALUE"""),"Yes, I will earn and do that")</f>
        <v>Yes, I will earn and do that</v>
      </c>
      <c r="G1575" s="1" t="str">
        <f ca="1">IFERROR(__xludf.DUMMYFUNCTION("""COMPUTED_VALUE"""),"This will be hard to do, but if it is the right company I would try")</f>
        <v>This will be hard to do, but if it is the right company I would try</v>
      </c>
      <c r="H1575" s="1" t="str">
        <f ca="1">IFERROR(__xludf.DUMMYFUNCTION("""COMPUTED_VALUE"""),"No")</f>
        <v>No</v>
      </c>
      <c r="I1575" s="1" t="str">
        <f ca="1">IFERROR(__xludf.DUMMYFUNCTION("""COMPUTED_VALUE"""),"Will work for them")</f>
        <v>Will work for them</v>
      </c>
      <c r="J1575" s="1">
        <f ca="1">IFERROR(__xludf.DUMMYFUNCTION("""COMPUTED_VALUE"""),3)</f>
        <v>3</v>
      </c>
      <c r="K1575" s="1" t="str">
        <f ca="1">IFERROR(__xludf.DUMMYFUNCTION("""COMPUTED_VALUE"""),"Fully Remote with Options to travel as and when needed")</f>
        <v>Fully Remote with Options to travel as and when needed</v>
      </c>
      <c r="L1575" s="1" t="str">
        <f ca="1">IFERROR(__xludf.DUMMYFUNCTION("""COMPUTED_VALUE"""),"Employer who pushes your limits by enabling an learning environment, and rewards you at the end")</f>
        <v>Employer who pushes your limits by enabling an learning environment, and rewards you at the end</v>
      </c>
      <c r="M157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1575" s="1"/>
      <c r="O1575" s="1" t="str">
        <f ca="1">IFERROR(__xludf.DUMMYFUNCTION("""COMPUTED_VALUE"""),"Manager who sets goal and helps me achieve it")</f>
        <v>Manager who sets goal and helps me achieve it</v>
      </c>
      <c r="P1575" s="1" t="str">
        <f ca="1">IFERROR(__xludf.DUMMYFUNCTION("""COMPUTED_VALUE"""),"Work &lt;=6 People in the Team")</f>
        <v>Work &lt;=6 People in the Team</v>
      </c>
      <c r="Q1575" s="1" t="s">
        <v>40</v>
      </c>
      <c r="R1575" s="1"/>
    </row>
    <row r="1576" spans="1:18" x14ac:dyDescent="0.25">
      <c r="A1576" s="2">
        <f ca="1">IFERROR(__xludf.DUMMYFUNCTION("""COMPUTED_VALUE"""),45045.8698424537)</f>
        <v>45045.8698424537</v>
      </c>
      <c r="B1576" s="1" t="str">
        <f ca="1">IFERROR(__xludf.DUMMYFUNCTION("""COMPUTED_VALUE"""),"India")</f>
        <v>India</v>
      </c>
      <c r="C1576" s="1">
        <f ca="1">IFERROR(__xludf.DUMMYFUNCTION("""COMPUTED_VALUE"""),522501)</f>
        <v>522501</v>
      </c>
      <c r="D1576" s="1" t="str">
        <f ca="1">IFERROR(__xludf.DUMMYFUNCTION("""COMPUTED_VALUE"""),"Female")</f>
        <v>Female</v>
      </c>
      <c r="E1576" s="1" t="str">
        <f ca="1">IFERROR(__xludf.DUMMYFUNCTION("""COMPUTED_VALUE"""),"People who have changed the world for better")</f>
        <v>People who have changed the world for better</v>
      </c>
      <c r="F1576" s="1" t="str">
        <f ca="1">IFERROR(__xludf.DUMMYFUNCTION("""COMPUTED_VALUE"""),"No I would not be pursuing Higher Education outside of India")</f>
        <v>No I would not be pursuing Higher Education outside of India</v>
      </c>
      <c r="G1576" s="1" t="str">
        <f ca="1">IFERROR(__xludf.DUMMYFUNCTION("""COMPUTED_VALUE"""),"This will be hard to do, but if it is the right company I would try")</f>
        <v>This will be hard to do, but if it is the right company I would try</v>
      </c>
      <c r="H1576" s="1" t="str">
        <f ca="1">IFERROR(__xludf.DUMMYFUNCTION("""COMPUTED_VALUE"""),"No")</f>
        <v>No</v>
      </c>
      <c r="I1576" s="1" t="str">
        <f ca="1">IFERROR(__xludf.DUMMYFUNCTION("""COMPUTED_VALUE"""),"Will NOT work for them")</f>
        <v>Will NOT work for them</v>
      </c>
      <c r="J1576" s="1">
        <f ca="1">IFERROR(__xludf.DUMMYFUNCTION("""COMPUTED_VALUE"""),5)</f>
        <v>5</v>
      </c>
      <c r="K1576" s="1" t="str">
        <f ca="1">IFERROR(__xludf.DUMMYFUNCTION("""COMPUTED_VALUE"""),"Fully Remote with No option to visit offices")</f>
        <v>Fully Remote with No option to visit offices</v>
      </c>
      <c r="L1576" s="1" t="str">
        <f ca="1">IFERROR(__xludf.DUMMYFUNCTION("""COMPUTED_VALUE"""),"Employer who pushes your limits by enabling an learning environment, and rewards you at the end")</f>
        <v>Employer who pushes your limits by enabling an learning environment, and rewards you at the end</v>
      </c>
      <c r="M1576" s="1" t="str">
        <f ca="1">IFERROR(__xludf.DUMMYFUNCTION("""COMPUTED_VALUE"""),"Teaching in any of the institutes/colleges/online or offline, Design and Develop amazing software, Entrepreneur or Start Up, An Artificial Intelligence Specialist / Talking to Robots")</f>
        <v>Teaching in any of the institutes/colleges/online or offline, Design and Develop amazing software, Entrepreneur or Start Up, An Artificial Intelligence Specialist / Talking to Robots</v>
      </c>
      <c r="N1576" s="1"/>
      <c r="O1576" s="1" t="str">
        <f ca="1">IFERROR(__xludf.DUMMYFUNCTION("""COMPUTED_VALUE"""),"Manager who clearly describes what she/he needs")</f>
        <v>Manager who clearly describes what she/he needs</v>
      </c>
      <c r="P1576" s="1" t="str">
        <f ca="1">IFERROR(__xludf.DUMMYFUNCTION("""COMPUTED_VALUE"""),"Work &lt;=6 People in the Team")</f>
        <v>Work &lt;=6 People in the Team</v>
      </c>
      <c r="Q1576" s="1" t="s">
        <v>43</v>
      </c>
      <c r="R1576" s="1"/>
    </row>
    <row r="1577" spans="1:18" x14ac:dyDescent="0.25">
      <c r="A1577" s="2">
        <f ca="1">IFERROR(__xludf.DUMMYFUNCTION("""COMPUTED_VALUE"""),45045.8734557291)</f>
        <v>45045.873455729103</v>
      </c>
      <c r="B1577" s="1" t="str">
        <f ca="1">IFERROR(__xludf.DUMMYFUNCTION("""COMPUTED_VALUE"""),"India")</f>
        <v>India</v>
      </c>
      <c r="C1577" s="1">
        <f ca="1">IFERROR(__xludf.DUMMYFUNCTION("""COMPUTED_VALUE"""),125111)</f>
        <v>125111</v>
      </c>
      <c r="D1577" s="1" t="str">
        <f ca="1">IFERROR(__xludf.DUMMYFUNCTION("""COMPUTED_VALUE"""),"Female")</f>
        <v>Female</v>
      </c>
      <c r="E1577" s="1" t="str">
        <f ca="1">IFERROR(__xludf.DUMMYFUNCTION("""COMPUTED_VALUE"""),"My Parents")</f>
        <v>My Parents</v>
      </c>
      <c r="F1577" s="1" t="str">
        <f ca="1">IFERROR(__xludf.DUMMYFUNCTION("""COMPUTED_VALUE"""),"Yes, I will earn and do that")</f>
        <v>Yes, I will earn and do that</v>
      </c>
      <c r="G1577" s="1" t="str">
        <f ca="1">IFERROR(__xludf.DUMMYFUNCTION("""COMPUTED_VALUE"""),"Will work for 3 years or more")</f>
        <v>Will work for 3 years or more</v>
      </c>
      <c r="H1577" s="1" t="str">
        <f ca="1">IFERROR(__xludf.DUMMYFUNCTION("""COMPUTED_VALUE"""),"Yes")</f>
        <v>Yes</v>
      </c>
      <c r="I1577" s="1" t="str">
        <f ca="1">IFERROR(__xludf.DUMMYFUNCTION("""COMPUTED_VALUE"""),"Will work for them")</f>
        <v>Will work for them</v>
      </c>
      <c r="J1577" s="1">
        <f ca="1">IFERROR(__xludf.DUMMYFUNCTION("""COMPUTED_VALUE"""),6)</f>
        <v>6</v>
      </c>
      <c r="K1577" s="1" t="str">
        <f ca="1">IFERROR(__xludf.DUMMYFUNCTION("""COMPUTED_VALUE"""),"Fully Remote with No option to visit offices")</f>
        <v>Fully Remote with No option to visit offices</v>
      </c>
      <c r="L1577" s="1" t="str">
        <f ca="1">IFERROR(__xludf.DUMMYFUNCTION("""COMPUTED_VALUE"""),"Employer who pushes your limits by enabling an learning environment, and rewards you at the end")</f>
        <v>Employer who pushes your limits by enabling an learning environment, and rewards you at the end</v>
      </c>
      <c r="M1577"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N1577" s="1"/>
      <c r="O1577" s="1" t="str">
        <f ca="1">IFERROR(__xludf.DUMMYFUNCTION("""COMPUTED_VALUE"""),"Manager who explains what is expected, sets a goal and helps achieve it")</f>
        <v>Manager who explains what is expected, sets a goal and helps achieve it</v>
      </c>
      <c r="P1577" s="1" t="str">
        <f ca="1">IFERROR(__xludf.DUMMYFUNCTION("""COMPUTED_VALUE"""),"Work alone")</f>
        <v>Work alone</v>
      </c>
      <c r="Q1577" s="1" t="s">
        <v>43</v>
      </c>
      <c r="R1577" s="1"/>
    </row>
    <row r="1578" spans="1:18" x14ac:dyDescent="0.25">
      <c r="A1578" s="2">
        <f ca="1">IFERROR(__xludf.DUMMYFUNCTION("""COMPUTED_VALUE"""),45045.8738184027)</f>
        <v>45045.873818402702</v>
      </c>
      <c r="B1578" s="1" t="str">
        <f ca="1">IFERROR(__xludf.DUMMYFUNCTION("""COMPUTED_VALUE"""),"India")</f>
        <v>India</v>
      </c>
      <c r="C1578" s="1">
        <f ca="1">IFERROR(__xludf.DUMMYFUNCTION("""COMPUTED_VALUE"""),505524)</f>
        <v>505524</v>
      </c>
      <c r="D1578" s="1" t="str">
        <f ca="1">IFERROR(__xludf.DUMMYFUNCTION("""COMPUTED_VALUE"""),"Male")</f>
        <v>Male</v>
      </c>
      <c r="E1578" s="1" t="str">
        <f ca="1">IFERROR(__xludf.DUMMYFUNCTION("""COMPUTED_VALUE"""),"People who have changed the world for better")</f>
        <v>People who have changed the world for better</v>
      </c>
      <c r="F1578" s="1" t="str">
        <f ca="1">IFERROR(__xludf.DUMMYFUNCTION("""COMPUTED_VALUE"""),"No I would not be pursuing Higher Education outside of India")</f>
        <v>No I would not be pursuing Higher Education outside of India</v>
      </c>
      <c r="G1578" s="1" t="str">
        <f ca="1">IFERROR(__xludf.DUMMYFUNCTION("""COMPUTED_VALUE"""),"Will work for 3 years or more")</f>
        <v>Will work for 3 years or more</v>
      </c>
      <c r="H1578" s="1" t="str">
        <f ca="1">IFERROR(__xludf.DUMMYFUNCTION("""COMPUTED_VALUE"""),"No")</f>
        <v>No</v>
      </c>
      <c r="I1578" s="1" t="str">
        <f ca="1">IFERROR(__xludf.DUMMYFUNCTION("""COMPUTED_VALUE"""),"Will work for them")</f>
        <v>Will work for them</v>
      </c>
      <c r="J1578" s="1">
        <f ca="1">IFERROR(__xludf.DUMMYFUNCTION("""COMPUTED_VALUE"""),5)</f>
        <v>5</v>
      </c>
      <c r="K1578" s="1" t="str">
        <f ca="1">IFERROR(__xludf.DUMMYFUNCTION("""COMPUTED_VALUE"""),"Hybrid Working Environment with more than 15 days a month at office")</f>
        <v>Hybrid Working Environment with more than 15 days a month at office</v>
      </c>
      <c r="L1578" s="1" t="str">
        <f ca="1">IFERROR(__xludf.DUMMYFUNCTION("""COMPUTED_VALUE"""),"Employer who appreciates learning and enables that environment")</f>
        <v>Employer who appreciates learning and enables that environment</v>
      </c>
      <c r="M157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578" s="1"/>
      <c r="O1578" s="1" t="str">
        <f ca="1">IFERROR(__xludf.DUMMYFUNCTION("""COMPUTED_VALUE"""),"Manager who explains what is expected, sets a goal and helps achieve it")</f>
        <v>Manager who explains what is expected, sets a goal and helps achieve it</v>
      </c>
      <c r="P1578" s="1" t="str">
        <f ca="1">IFERROR(__xludf.DUMMYFUNCTION("""COMPUTED_VALUE"""),"Work &lt;=6 People in the Team")</f>
        <v>Work &lt;=6 People in the Team</v>
      </c>
      <c r="Q1578" s="1" t="s">
        <v>43</v>
      </c>
      <c r="R1578" s="1"/>
    </row>
    <row r="1579" spans="1:18" x14ac:dyDescent="0.25">
      <c r="A1579" s="2">
        <f ca="1">IFERROR(__xludf.DUMMYFUNCTION("""COMPUTED_VALUE"""),45045.8738984606)</f>
        <v>45045.873898460603</v>
      </c>
      <c r="B1579" s="1" t="str">
        <f ca="1">IFERROR(__xludf.DUMMYFUNCTION("""COMPUTED_VALUE"""),"India")</f>
        <v>India</v>
      </c>
      <c r="C1579" s="1">
        <f ca="1">IFERROR(__xludf.DUMMYFUNCTION("""COMPUTED_VALUE"""),500019)</f>
        <v>500019</v>
      </c>
      <c r="D1579" s="1" t="str">
        <f ca="1">IFERROR(__xludf.DUMMYFUNCTION("""COMPUTED_VALUE"""),"Male")</f>
        <v>Male</v>
      </c>
      <c r="E1579" s="1" t="str">
        <f ca="1">IFERROR(__xludf.DUMMYFUNCTION("""COMPUTED_VALUE"""),"People from my circle, but not family members")</f>
        <v>People from my circle, but not family members</v>
      </c>
      <c r="F1579" s="1" t="str">
        <f ca="1">IFERROR(__xludf.DUMMYFUNCTION("""COMPUTED_VALUE"""),"No, But if someone could bare the cost I will")</f>
        <v>No, But if someone could bare the cost I will</v>
      </c>
      <c r="G1579" s="1" t="str">
        <f ca="1">IFERROR(__xludf.DUMMYFUNCTION("""COMPUTED_VALUE"""),"No way")</f>
        <v>No way</v>
      </c>
      <c r="H1579" s="1" t="str">
        <f ca="1">IFERROR(__xludf.DUMMYFUNCTION("""COMPUTED_VALUE"""),"No")</f>
        <v>No</v>
      </c>
      <c r="I1579" s="1" t="str">
        <f ca="1">IFERROR(__xludf.DUMMYFUNCTION("""COMPUTED_VALUE"""),"Will NOT work for them")</f>
        <v>Will NOT work for them</v>
      </c>
      <c r="J1579" s="1">
        <f ca="1">IFERROR(__xludf.DUMMYFUNCTION("""COMPUTED_VALUE"""),8)</f>
        <v>8</v>
      </c>
      <c r="K1579" s="1" t="str">
        <f ca="1">IFERROR(__xludf.DUMMYFUNCTION("""COMPUTED_VALUE"""),"Hybrid Working Environment with less than 3 days a month at office")</f>
        <v>Hybrid Working Environment with less than 3 days a month at office</v>
      </c>
      <c r="L1579" s="1" t="str">
        <f ca="1">IFERROR(__xludf.DUMMYFUNCTION("""COMPUTED_VALUE"""),"Employer who pushes your limits by enabling an learning environment, and rewards you at the end")</f>
        <v>Employer who pushes your limits by enabling an learning environment, and rewards you at the end</v>
      </c>
      <c r="M15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1579" s="1"/>
      <c r="O1579" s="1" t="str">
        <f ca="1">IFERROR(__xludf.DUMMYFUNCTION("""COMPUTED_VALUE"""),"Manager who sets goal and helps me achieve it")</f>
        <v>Manager who sets goal and helps me achieve it</v>
      </c>
      <c r="P1579" s="1" t="str">
        <f ca="1">IFERROR(__xludf.DUMMYFUNCTION("""COMPUTED_VALUE"""),"Work &gt;=7 People in the Team")</f>
        <v>Work &gt;=7 People in the Team</v>
      </c>
      <c r="Q1579" s="1" t="s">
        <v>43</v>
      </c>
      <c r="R1579" s="1"/>
    </row>
    <row r="1580" spans="1:18" x14ac:dyDescent="0.25">
      <c r="A1580" s="2">
        <f ca="1">IFERROR(__xludf.DUMMYFUNCTION("""COMPUTED_VALUE"""),45045.8750028009)</f>
        <v>45045.875002800902</v>
      </c>
      <c r="B1580" s="1" t="str">
        <f ca="1">IFERROR(__xludf.DUMMYFUNCTION("""COMPUTED_VALUE"""),"India")</f>
        <v>India</v>
      </c>
      <c r="C1580" s="1">
        <f ca="1">IFERROR(__xludf.DUMMYFUNCTION("""COMPUTED_VALUE"""),508101)</f>
        <v>508101</v>
      </c>
      <c r="D1580" s="1" t="str">
        <f ca="1">IFERROR(__xludf.DUMMYFUNCTION("""COMPUTED_VALUE"""),"Female")</f>
        <v>Female</v>
      </c>
      <c r="E1580" s="1" t="str">
        <f ca="1">IFERROR(__xludf.DUMMYFUNCTION("""COMPUTED_VALUE"""),"Influencers who had successful careers")</f>
        <v>Influencers who had successful careers</v>
      </c>
      <c r="F1580" s="1" t="str">
        <f ca="1">IFERROR(__xludf.DUMMYFUNCTION("""COMPUTED_VALUE"""),"Yes, I will earn and do that")</f>
        <v>Yes, I will earn and do that</v>
      </c>
      <c r="G1580" s="1" t="str">
        <f ca="1">IFERROR(__xludf.DUMMYFUNCTION("""COMPUTED_VALUE"""),"This will be hard to do, but if it is the right company I would try")</f>
        <v>This will be hard to do, but if it is the right company I would try</v>
      </c>
      <c r="H1580" s="1" t="str">
        <f ca="1">IFERROR(__xludf.DUMMYFUNCTION("""COMPUTED_VALUE"""),"No")</f>
        <v>No</v>
      </c>
      <c r="I1580" s="1" t="str">
        <f ca="1">IFERROR(__xludf.DUMMYFUNCTION("""COMPUTED_VALUE"""),"Will NOT work for them")</f>
        <v>Will NOT work for them</v>
      </c>
      <c r="J1580" s="1">
        <f ca="1">IFERROR(__xludf.DUMMYFUNCTION("""COMPUTED_VALUE"""),4)</f>
        <v>4</v>
      </c>
      <c r="K1580" s="1" t="str">
        <f ca="1">IFERROR(__xludf.DUMMYFUNCTION("""COMPUTED_VALUE"""),"Hybrid Working Environment with more than 15 days a month at office")</f>
        <v>Hybrid Working Environment with more than 15 days a month at office</v>
      </c>
      <c r="L1580" s="1" t="str">
        <f ca="1">IFERROR(__xludf.DUMMYFUNCTION("""COMPUTED_VALUE"""),"Employer who pushes your limits by enabling an learning environment, and rewards you at the end")</f>
        <v>Employer who pushes your limits by enabling an learning environment, and rewards you at the end</v>
      </c>
      <c r="M1580"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N1580" s="1"/>
      <c r="O1580" s="1" t="str">
        <f ca="1">IFERROR(__xludf.DUMMYFUNCTION("""COMPUTED_VALUE"""),"Manager who explains what is expected, sets a goal and helps achieve it")</f>
        <v>Manager who explains what is expected, sets a goal and helps achieve it</v>
      </c>
      <c r="P1580" s="1" t="str">
        <f ca="1">IFERROR(__xludf.DUMMYFUNCTION("""COMPUTED_VALUE"""),"Work &gt;10 people in Team")</f>
        <v>Work &gt;10 people in Team</v>
      </c>
      <c r="Q1580" s="1" t="s">
        <v>43</v>
      </c>
      <c r="R1580" s="1"/>
    </row>
    <row r="1581" spans="1:18" x14ac:dyDescent="0.25">
      <c r="A1581" s="2">
        <f ca="1">IFERROR(__xludf.DUMMYFUNCTION("""COMPUTED_VALUE"""),45045.8761457986)</f>
        <v>45045.876145798597</v>
      </c>
      <c r="B1581" s="1" t="str">
        <f ca="1">IFERROR(__xludf.DUMMYFUNCTION("""COMPUTED_VALUE"""),"India")</f>
        <v>India</v>
      </c>
      <c r="C1581" s="1">
        <f ca="1">IFERROR(__xludf.DUMMYFUNCTION("""COMPUTED_VALUE"""),452001)</f>
        <v>452001</v>
      </c>
      <c r="D1581" s="1" t="str">
        <f ca="1">IFERROR(__xludf.DUMMYFUNCTION("""COMPUTED_VALUE"""),"Male")</f>
        <v>Male</v>
      </c>
      <c r="E1581" s="1" t="str">
        <f ca="1">IFERROR(__xludf.DUMMYFUNCTION("""COMPUTED_VALUE"""),"My Parents")</f>
        <v>My Parents</v>
      </c>
      <c r="F1581" s="1" t="str">
        <f ca="1">IFERROR(__xludf.DUMMYFUNCTION("""COMPUTED_VALUE"""),"No I would not be pursuing Higher Education outside of India")</f>
        <v>No I would not be pursuing Higher Education outside of India</v>
      </c>
      <c r="G1581" s="1" t="str">
        <f ca="1">IFERROR(__xludf.DUMMYFUNCTION("""COMPUTED_VALUE"""),"Will work for 3 years or more")</f>
        <v>Will work for 3 years or more</v>
      </c>
      <c r="H1581" s="1" t="str">
        <f ca="1">IFERROR(__xludf.DUMMYFUNCTION("""COMPUTED_VALUE"""),"No")</f>
        <v>No</v>
      </c>
      <c r="I1581" s="1" t="str">
        <f ca="1">IFERROR(__xludf.DUMMYFUNCTION("""COMPUTED_VALUE"""),"Will NOT work for them")</f>
        <v>Will NOT work for them</v>
      </c>
      <c r="J1581" s="1">
        <f ca="1">IFERROR(__xludf.DUMMYFUNCTION("""COMPUTED_VALUE"""),1)</f>
        <v>1</v>
      </c>
      <c r="K1581" s="1" t="str">
        <f ca="1">IFERROR(__xludf.DUMMYFUNCTION("""COMPUTED_VALUE"""),"Hybrid Working Environment with more than 15 days a month at office")</f>
        <v>Hybrid Working Environment with more than 15 days a month at office</v>
      </c>
      <c r="L1581" s="1" t="str">
        <f ca="1">IFERROR(__xludf.DUMMYFUNCTION("""COMPUTED_VALUE"""),"Employer who appreciates learning and enables that environment")</f>
        <v>Employer who appreciates learning and enables that environment</v>
      </c>
      <c r="M1581"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581" s="1"/>
      <c r="O1581" s="1" t="str">
        <f ca="1">IFERROR(__xludf.DUMMYFUNCTION("""COMPUTED_VALUE"""),"Manager who sets targets and expects me to achieve it")</f>
        <v>Manager who sets targets and expects me to achieve it</v>
      </c>
      <c r="P1581" s="1" t="str">
        <f ca="1">IFERROR(__xludf.DUMMYFUNCTION("""COMPUTED_VALUE"""),"Work &lt;=6 People in the Team")</f>
        <v>Work &lt;=6 People in the Team</v>
      </c>
      <c r="Q1581" s="1" t="s">
        <v>43</v>
      </c>
      <c r="R1581" s="1"/>
    </row>
    <row r="1582" spans="1:18" x14ac:dyDescent="0.25">
      <c r="A1582" s="2">
        <f ca="1">IFERROR(__xludf.DUMMYFUNCTION("""COMPUTED_VALUE"""),45045.8766770486)</f>
        <v>45045.876677048604</v>
      </c>
      <c r="B1582" s="1" t="str">
        <f ca="1">IFERROR(__xludf.DUMMYFUNCTION("""COMPUTED_VALUE"""),"India")</f>
        <v>India</v>
      </c>
      <c r="C1582" s="1">
        <f ca="1">IFERROR(__xludf.DUMMYFUNCTION("""COMPUTED_VALUE"""),500013)</f>
        <v>500013</v>
      </c>
      <c r="D1582" s="1" t="str">
        <f ca="1">IFERROR(__xludf.DUMMYFUNCTION("""COMPUTED_VALUE"""),"Male")</f>
        <v>Male</v>
      </c>
      <c r="E1582" s="1" t="str">
        <f ca="1">IFERROR(__xludf.DUMMYFUNCTION("""COMPUTED_VALUE"""),"People from my circle, but not family members")</f>
        <v>People from my circle, but not family members</v>
      </c>
      <c r="F1582" s="1" t="str">
        <f ca="1">IFERROR(__xludf.DUMMYFUNCTION("""COMPUTED_VALUE"""),"Yes, I will earn and do that")</f>
        <v>Yes, I will earn and do that</v>
      </c>
      <c r="G1582" s="1" t="str">
        <f ca="1">IFERROR(__xludf.DUMMYFUNCTION("""COMPUTED_VALUE"""),"This will be hard to do, but if it is the right company I would try")</f>
        <v>This will be hard to do, but if it is the right company I would try</v>
      </c>
      <c r="H1582" s="1" t="str">
        <f ca="1">IFERROR(__xludf.DUMMYFUNCTION("""COMPUTED_VALUE"""),"No")</f>
        <v>No</v>
      </c>
      <c r="I1582" s="1" t="str">
        <f ca="1">IFERROR(__xludf.DUMMYFUNCTION("""COMPUTED_VALUE"""),"Will NOT work for them")</f>
        <v>Will NOT work for them</v>
      </c>
      <c r="J1582" s="1">
        <f ca="1">IFERROR(__xludf.DUMMYFUNCTION("""COMPUTED_VALUE"""),7)</f>
        <v>7</v>
      </c>
      <c r="K1582" s="1" t="str">
        <f ca="1">IFERROR(__xludf.DUMMYFUNCTION("""COMPUTED_VALUE"""),"Hybrid Working Environment with more than 15 days a month at office")</f>
        <v>Hybrid Working Environment with more than 15 days a month at office</v>
      </c>
      <c r="L1582" s="1" t="str">
        <f ca="1">IFERROR(__xludf.DUMMYFUNCTION("""COMPUTED_VALUE"""),"Employer who pushes your limits by enabling an learning environment, and rewards you at the end")</f>
        <v>Employer who pushes your limits by enabling an learning environment, and rewards you at the end</v>
      </c>
      <c r="M1582" s="1" t="str">
        <f ca="1">IFERROR(__xludf.DUMMYFUNCTION("""COMPUTED_VALUE"""),"Design and Develop amazing software, Entrepreneur or Start Up, I Want to sell things/Sales, An Artificial Intelligence Specialist / Talking to Robots")</f>
        <v>Design and Develop amazing software, Entrepreneur or Start Up, I Want to sell things/Sales, An Artificial Intelligence Specialist / Talking to Robots</v>
      </c>
      <c r="N1582" s="1"/>
      <c r="O1582" s="1" t="str">
        <f ca="1">IFERROR(__xludf.DUMMYFUNCTION("""COMPUTED_VALUE"""),"Manager who explains what is expected, sets a goal and helps achieve it")</f>
        <v>Manager who explains what is expected, sets a goal and helps achieve it</v>
      </c>
      <c r="P1582" s="1" t="str">
        <f ca="1">IFERROR(__xludf.DUMMYFUNCTION("""COMPUTED_VALUE"""),"Work &lt;=6 People in the Team")</f>
        <v>Work &lt;=6 People in the Team</v>
      </c>
      <c r="Q1582" s="1" t="s">
        <v>40</v>
      </c>
      <c r="R1582" s="1"/>
    </row>
    <row r="1583" spans="1:18" x14ac:dyDescent="0.25">
      <c r="A1583" s="2">
        <f ca="1">IFERROR(__xludf.DUMMYFUNCTION("""COMPUTED_VALUE"""),45045.8809333449)</f>
        <v>45045.880933344903</v>
      </c>
      <c r="B1583" s="1" t="str">
        <f ca="1">IFERROR(__xludf.DUMMYFUNCTION("""COMPUTED_VALUE"""),"India")</f>
        <v>India</v>
      </c>
      <c r="C1583" s="1">
        <f ca="1">IFERROR(__xludf.DUMMYFUNCTION("""COMPUTED_VALUE"""),828116)</f>
        <v>828116</v>
      </c>
      <c r="D1583" s="1" t="str">
        <f ca="1">IFERROR(__xludf.DUMMYFUNCTION("""COMPUTED_VALUE"""),"Male")</f>
        <v>Male</v>
      </c>
      <c r="E1583" s="1" t="str">
        <f ca="1">IFERROR(__xludf.DUMMYFUNCTION("""COMPUTED_VALUE"""),"People from my circle, but not family members")</f>
        <v>People from my circle, but not family members</v>
      </c>
      <c r="F1583" s="1" t="str">
        <f ca="1">IFERROR(__xludf.DUMMYFUNCTION("""COMPUTED_VALUE"""),"No, But if someone could bare the cost I will")</f>
        <v>No, But if someone could bare the cost I will</v>
      </c>
      <c r="G1583" s="1" t="str">
        <f ca="1">IFERROR(__xludf.DUMMYFUNCTION("""COMPUTED_VALUE"""),"Will work for 3 years or more")</f>
        <v>Will work for 3 years or more</v>
      </c>
      <c r="H1583" s="1" t="str">
        <f ca="1">IFERROR(__xludf.DUMMYFUNCTION("""COMPUTED_VALUE"""),"Yes")</f>
        <v>Yes</v>
      </c>
      <c r="I1583" s="1" t="str">
        <f ca="1">IFERROR(__xludf.DUMMYFUNCTION("""COMPUTED_VALUE"""),"Will work for them")</f>
        <v>Will work for them</v>
      </c>
      <c r="J1583" s="1">
        <f ca="1">IFERROR(__xludf.DUMMYFUNCTION("""COMPUTED_VALUE"""),10)</f>
        <v>10</v>
      </c>
      <c r="K1583" s="1" t="str">
        <f ca="1">IFERROR(__xludf.DUMMYFUNCTION("""COMPUTED_VALUE"""),"Hybrid Working Environment with more than 15 days a month at office")</f>
        <v>Hybrid Working Environment with more than 15 days a month at office</v>
      </c>
      <c r="L1583" s="1" t="str">
        <f ca="1">IFERROR(__xludf.DUMMYFUNCTION("""COMPUTED_VALUE"""),"Employer who pushes your limits by enabling an learning environment, and rewards you at the end")</f>
        <v>Employer who pushes your limits by enabling an learning environment, and rewards you at the end</v>
      </c>
      <c r="M1583"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N1583" s="1"/>
      <c r="O1583" s="1" t="str">
        <f ca="1">IFERROR(__xludf.DUMMYFUNCTION("""COMPUTED_VALUE"""),"Manager who explains what is expected, sets a goal and helps achieve it")</f>
        <v>Manager who explains what is expected, sets a goal and helps achieve it</v>
      </c>
      <c r="P1583" s="1" t="str">
        <f ca="1">IFERROR(__xludf.DUMMYFUNCTION("""COMPUTED_VALUE"""),"Work &lt;=6 People in the Team")</f>
        <v>Work &lt;=6 People in the Team</v>
      </c>
      <c r="Q1583" s="1" t="s">
        <v>43</v>
      </c>
      <c r="R1583" s="1"/>
    </row>
    <row r="1584" spans="1:18" x14ac:dyDescent="0.25">
      <c r="A1584" s="2">
        <f ca="1">IFERROR(__xludf.DUMMYFUNCTION("""COMPUTED_VALUE"""),45045.8826855555)</f>
        <v>45045.882685555502</v>
      </c>
      <c r="B1584" s="1" t="str">
        <f ca="1">IFERROR(__xludf.DUMMYFUNCTION("""COMPUTED_VALUE"""),"India")</f>
        <v>India</v>
      </c>
      <c r="C1584" s="1">
        <f ca="1">IFERROR(__xludf.DUMMYFUNCTION("""COMPUTED_VALUE"""),500011)</f>
        <v>500011</v>
      </c>
      <c r="D1584" s="1" t="str">
        <f ca="1">IFERROR(__xludf.DUMMYFUNCTION("""COMPUTED_VALUE"""),"Female")</f>
        <v>Female</v>
      </c>
      <c r="E1584" s="1" t="str">
        <f ca="1">IFERROR(__xludf.DUMMYFUNCTION("""COMPUTED_VALUE"""),"My Parents")</f>
        <v>My Parents</v>
      </c>
      <c r="F1584" s="1" t="str">
        <f ca="1">IFERROR(__xludf.DUMMYFUNCTION("""COMPUTED_VALUE"""),"No I would not be pursuing Higher Education outside of India")</f>
        <v>No I would not be pursuing Higher Education outside of India</v>
      </c>
      <c r="G1584" s="1" t="str">
        <f ca="1">IFERROR(__xludf.DUMMYFUNCTION("""COMPUTED_VALUE"""),"This will be hard to do, but if it is the right company I would try")</f>
        <v>This will be hard to do, but if it is the right company I would try</v>
      </c>
      <c r="H1584" s="1" t="str">
        <f ca="1">IFERROR(__xludf.DUMMYFUNCTION("""COMPUTED_VALUE"""),"Yes")</f>
        <v>Yes</v>
      </c>
      <c r="I1584" s="1" t="str">
        <f ca="1">IFERROR(__xludf.DUMMYFUNCTION("""COMPUTED_VALUE"""),"Will work for them")</f>
        <v>Will work for them</v>
      </c>
      <c r="J1584" s="1">
        <f ca="1">IFERROR(__xludf.DUMMYFUNCTION("""COMPUTED_VALUE"""),3)</f>
        <v>3</v>
      </c>
      <c r="K1584" s="1" t="str">
        <f ca="1">IFERROR(__xludf.DUMMYFUNCTION("""COMPUTED_VALUE"""),"Hybrid Working Environment with less than 3 days a month at office")</f>
        <v>Hybrid Working Environment with less than 3 days a month at office</v>
      </c>
      <c r="L1584" s="1" t="str">
        <f ca="1">IFERROR(__xludf.DUMMYFUNCTION("""COMPUTED_VALUE"""),"Employer who appreciates learning and enables that environment")</f>
        <v>Employer who appreciates learning and enables that environment</v>
      </c>
      <c r="M1584"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N1584" s="1"/>
      <c r="O1584" s="1" t="str">
        <f ca="1">IFERROR(__xludf.DUMMYFUNCTION("""COMPUTED_VALUE"""),"Manager who clearly describes what she/he needs")</f>
        <v>Manager who clearly describes what she/he needs</v>
      </c>
      <c r="P1584" s="1" t="str">
        <f ca="1">IFERROR(__xludf.DUMMYFUNCTION("""COMPUTED_VALUE"""),"Work alone")</f>
        <v>Work alone</v>
      </c>
      <c r="Q1584" s="1" t="s">
        <v>43</v>
      </c>
      <c r="R1584" s="1"/>
    </row>
    <row r="1585" spans="1:18" x14ac:dyDescent="0.25">
      <c r="A1585" s="2">
        <f ca="1">IFERROR(__xludf.DUMMYFUNCTION("""COMPUTED_VALUE"""),45045.8827236921)</f>
        <v>45045.882723692099</v>
      </c>
      <c r="B1585" s="1" t="str">
        <f ca="1">IFERROR(__xludf.DUMMYFUNCTION("""COMPUTED_VALUE"""),"Canada")</f>
        <v>Canada</v>
      </c>
      <c r="C1585" s="1" t="str">
        <f ca="1">IFERROR(__xludf.DUMMYFUNCTION("""COMPUTED_VALUE"""),"Xxxxx")</f>
        <v>Xxxxx</v>
      </c>
      <c r="D1585" s="1" t="str">
        <f ca="1">IFERROR(__xludf.DUMMYFUNCTION("""COMPUTED_VALUE"""),"Male")</f>
        <v>Male</v>
      </c>
      <c r="E1585" s="1" t="str">
        <f ca="1">IFERROR(__xludf.DUMMYFUNCTION("""COMPUTED_VALUE"""),"People from my circle, but not family members")</f>
        <v>People from my circle, but not family members</v>
      </c>
      <c r="F1585" s="1" t="str">
        <f ca="1">IFERROR(__xludf.DUMMYFUNCTION("""COMPUTED_VALUE"""),"No, But if someone could bare the cost I will")</f>
        <v>No, But if someone could bare the cost I will</v>
      </c>
      <c r="G1585" s="1" t="str">
        <f ca="1">IFERROR(__xludf.DUMMYFUNCTION("""COMPUTED_VALUE"""),"This will be hard to do, but if it is the right company I would try")</f>
        <v>This will be hard to do, but if it is the right company I would try</v>
      </c>
      <c r="H1585" s="1" t="str">
        <f ca="1">IFERROR(__xludf.DUMMYFUNCTION("""COMPUTED_VALUE"""),"No")</f>
        <v>No</v>
      </c>
      <c r="I1585" s="1" t="str">
        <f ca="1">IFERROR(__xludf.DUMMYFUNCTION("""COMPUTED_VALUE"""),"Will NOT work for them")</f>
        <v>Will NOT work for them</v>
      </c>
      <c r="J1585" s="1">
        <f ca="1">IFERROR(__xludf.DUMMYFUNCTION("""COMPUTED_VALUE"""),5)</f>
        <v>5</v>
      </c>
      <c r="K1585" s="1" t="str">
        <f ca="1">IFERROR(__xludf.DUMMYFUNCTION("""COMPUTED_VALUE"""),"Hybrid Working Environment with more than 15 days a month at office")</f>
        <v>Hybrid Working Environment with more than 15 days a month at office</v>
      </c>
      <c r="L1585" s="1" t="str">
        <f ca="1">IFERROR(__xludf.DUMMYFUNCTION("""COMPUTED_VALUE"""),"Employer who appreciates learning and enables that environment")</f>
        <v>Employer who appreciates learning and enables that environment</v>
      </c>
      <c r="M1585"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N1585" s="1"/>
      <c r="O1585" s="1" t="str">
        <f ca="1">IFERROR(__xludf.DUMMYFUNCTION("""COMPUTED_VALUE"""),"Manager who explains what is expected, sets a goal and helps achieve it")</f>
        <v>Manager who explains what is expected, sets a goal and helps achieve it</v>
      </c>
      <c r="P1585" s="1" t="str">
        <f ca="1">IFERROR(__xludf.DUMMYFUNCTION("""COMPUTED_VALUE"""),"Work &lt;=6 People in the Team")</f>
        <v>Work &lt;=6 People in the Team</v>
      </c>
      <c r="Q1585" s="1" t="s">
        <v>42</v>
      </c>
      <c r="R1585" s="1"/>
    </row>
    <row r="1586" spans="1:18" x14ac:dyDescent="0.25">
      <c r="A1586" s="2">
        <f ca="1">IFERROR(__xludf.DUMMYFUNCTION("""COMPUTED_VALUE"""),45045.8844610648)</f>
        <v>45045.884461064801</v>
      </c>
      <c r="B1586" s="1" t="str">
        <f ca="1">IFERROR(__xludf.DUMMYFUNCTION("""COMPUTED_VALUE"""),"India")</f>
        <v>India</v>
      </c>
      <c r="C1586" s="1">
        <f ca="1">IFERROR(__xludf.DUMMYFUNCTION("""COMPUTED_VALUE"""),500062)</f>
        <v>500062</v>
      </c>
      <c r="D1586" s="1" t="str">
        <f ca="1">IFERROR(__xludf.DUMMYFUNCTION("""COMPUTED_VALUE"""),"Male")</f>
        <v>Male</v>
      </c>
      <c r="E1586" s="1" t="str">
        <f ca="1">IFERROR(__xludf.DUMMYFUNCTION("""COMPUTED_VALUE"""),"People from my circle, but not family members")</f>
        <v>People from my circle, but not family members</v>
      </c>
      <c r="F1586" s="1" t="str">
        <f ca="1">IFERROR(__xludf.DUMMYFUNCTION("""COMPUTED_VALUE"""),"No I would not be pursuing Higher Education outside of India")</f>
        <v>No I would not be pursuing Higher Education outside of India</v>
      </c>
      <c r="G1586" s="1" t="str">
        <f ca="1">IFERROR(__xludf.DUMMYFUNCTION("""COMPUTED_VALUE"""),"This will be hard to do, but if it is the right company I would try")</f>
        <v>This will be hard to do, but if it is the right company I would try</v>
      </c>
      <c r="H1586" s="1" t="str">
        <f ca="1">IFERROR(__xludf.DUMMYFUNCTION("""COMPUTED_VALUE"""),"No")</f>
        <v>No</v>
      </c>
      <c r="I1586" s="1" t="str">
        <f ca="1">IFERROR(__xludf.DUMMYFUNCTION("""COMPUTED_VALUE"""),"Will NOT work for them")</f>
        <v>Will NOT work for them</v>
      </c>
      <c r="J1586" s="1">
        <f ca="1">IFERROR(__xludf.DUMMYFUNCTION("""COMPUTED_VALUE"""),2)</f>
        <v>2</v>
      </c>
      <c r="K1586" s="1" t="str">
        <f ca="1">IFERROR(__xludf.DUMMYFUNCTION("""COMPUTED_VALUE"""),"Hybrid Working Environment with more than 15 days a month at office")</f>
        <v>Hybrid Working Environment with more than 15 days a month at office</v>
      </c>
      <c r="L1586" s="1" t="str">
        <f ca="1">IFERROR(__xludf.DUMMYFUNCTION("""COMPUTED_VALUE"""),"Employer who appreciates learning and enables that environment")</f>
        <v>Employer who appreciates learning and enables that environment</v>
      </c>
      <c r="M1586"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N1586" s="1"/>
      <c r="O1586" s="1" t="str">
        <f ca="1">IFERROR(__xludf.DUMMYFUNCTION("""COMPUTED_VALUE"""),"Manager who sets goal and helps me achieve it")</f>
        <v>Manager who sets goal and helps me achieve it</v>
      </c>
      <c r="P1586" s="1" t="str">
        <f ca="1">IFERROR(__xludf.DUMMYFUNCTION("""COMPUTED_VALUE"""),"Work Alone, &lt;=6 in team")</f>
        <v>Work Alone, &lt;=6 in team</v>
      </c>
      <c r="Q1586" s="1" t="s">
        <v>40</v>
      </c>
      <c r="R1586" s="1"/>
    </row>
    <row r="1587" spans="1:18" x14ac:dyDescent="0.25">
      <c r="A1587" s="2">
        <f ca="1">IFERROR(__xludf.DUMMYFUNCTION("""COMPUTED_VALUE"""),45045.8848477662)</f>
        <v>45045.884847766203</v>
      </c>
      <c r="B1587" s="1" t="str">
        <f ca="1">IFERROR(__xludf.DUMMYFUNCTION("""COMPUTED_VALUE"""),"Canada")</f>
        <v>Canada</v>
      </c>
      <c r="C1587" s="1" t="str">
        <f ca="1">IFERROR(__xludf.DUMMYFUNCTION("""COMPUTED_VALUE"""),"H3X2V2")</f>
        <v>H3X2V2</v>
      </c>
      <c r="D1587" s="1" t="str">
        <f ca="1">IFERROR(__xludf.DUMMYFUNCTION("""COMPUTED_VALUE"""),"Male")</f>
        <v>Male</v>
      </c>
      <c r="E1587" s="1" t="str">
        <f ca="1">IFERROR(__xludf.DUMMYFUNCTION("""COMPUTED_VALUE"""),"My Parents")</f>
        <v>My Parents</v>
      </c>
      <c r="F1587" s="1" t="str">
        <f ca="1">IFERROR(__xludf.DUMMYFUNCTION("""COMPUTED_VALUE"""),"Yes, I will earn and do that")</f>
        <v>Yes, I will earn and do that</v>
      </c>
      <c r="G1587" s="1" t="str">
        <f ca="1">IFERROR(__xludf.DUMMYFUNCTION("""COMPUTED_VALUE"""),"Will work for 3 years or more")</f>
        <v>Will work for 3 years or more</v>
      </c>
      <c r="H1587" s="1" t="str">
        <f ca="1">IFERROR(__xludf.DUMMYFUNCTION("""COMPUTED_VALUE"""),"No")</f>
        <v>No</v>
      </c>
      <c r="I1587" s="1" t="str">
        <f ca="1">IFERROR(__xludf.DUMMYFUNCTION("""COMPUTED_VALUE"""),"Will NOT work for them")</f>
        <v>Will NOT work for them</v>
      </c>
      <c r="J1587" s="1">
        <f ca="1">IFERROR(__xludf.DUMMYFUNCTION("""COMPUTED_VALUE"""),1)</f>
        <v>1</v>
      </c>
      <c r="K1587" s="1" t="str">
        <f ca="1">IFERROR(__xludf.DUMMYFUNCTION("""COMPUTED_VALUE"""),"Hybrid Working Environment with less than 3 days a month at office")</f>
        <v>Hybrid Working Environment with less than 3 days a month at office</v>
      </c>
      <c r="L1587" s="1" t="str">
        <f ca="1">IFERROR(__xludf.DUMMYFUNCTION("""COMPUTED_VALUE"""),"Employer who pushes your limits by enabling an learning environment, and rewards you at the end")</f>
        <v>Employer who pushes your limits by enabling an learning environment, and rewards you at the end</v>
      </c>
      <c r="M1587"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N1587" s="1"/>
      <c r="O1587" s="1" t="str">
        <f ca="1">IFERROR(__xludf.DUMMYFUNCTION("""COMPUTED_VALUE"""),"Manager who explains what is expected, sets a goal and helps achieve it")</f>
        <v>Manager who explains what is expected, sets a goal and helps achieve it</v>
      </c>
      <c r="P1587" s="1" t="str">
        <f ca="1">IFERROR(__xludf.DUMMYFUNCTION("""COMPUTED_VALUE"""),"Work &lt;67 People in the Team")</f>
        <v>Work &lt;67 People in the Team</v>
      </c>
      <c r="Q1587" s="1" t="s">
        <v>43</v>
      </c>
      <c r="R1587" s="1"/>
    </row>
    <row r="1588" spans="1:18" x14ac:dyDescent="0.25">
      <c r="A1588" s="2">
        <f ca="1">IFERROR(__xludf.DUMMYFUNCTION("""COMPUTED_VALUE"""),45045.8851780555)</f>
        <v>45045.885178055498</v>
      </c>
      <c r="B1588" s="1" t="str">
        <f ca="1">IFERROR(__xludf.DUMMYFUNCTION("""COMPUTED_VALUE"""),"India")</f>
        <v>India</v>
      </c>
      <c r="C1588" s="1">
        <f ca="1">IFERROR(__xludf.DUMMYFUNCTION("""COMPUTED_VALUE"""),421201)</f>
        <v>421201</v>
      </c>
      <c r="D1588" s="1" t="str">
        <f ca="1">IFERROR(__xludf.DUMMYFUNCTION("""COMPUTED_VALUE"""),"Male")</f>
        <v>Male</v>
      </c>
      <c r="E1588" s="1" t="str">
        <f ca="1">IFERROR(__xludf.DUMMYFUNCTION("""COMPUTED_VALUE"""),"People who have changed the world for better")</f>
        <v>People who have changed the world for better</v>
      </c>
      <c r="F1588" s="1" t="str">
        <f ca="1">IFERROR(__xludf.DUMMYFUNCTION("""COMPUTED_VALUE"""),"Yes, I will earn and do that")</f>
        <v>Yes, I will earn and do that</v>
      </c>
      <c r="G1588" s="1" t="str">
        <f ca="1">IFERROR(__xludf.DUMMYFUNCTION("""COMPUTED_VALUE"""),"This will be hard to do, but if it is the right company I would try")</f>
        <v>This will be hard to do, but if it is the right company I would try</v>
      </c>
      <c r="H1588" s="1" t="str">
        <f ca="1">IFERROR(__xludf.DUMMYFUNCTION("""COMPUTED_VALUE"""),"No")</f>
        <v>No</v>
      </c>
      <c r="I1588" s="1" t="str">
        <f ca="1">IFERROR(__xludf.DUMMYFUNCTION("""COMPUTED_VALUE"""),"Will NOT work for them")</f>
        <v>Will NOT work for them</v>
      </c>
      <c r="J1588" s="1">
        <f ca="1">IFERROR(__xludf.DUMMYFUNCTION("""COMPUTED_VALUE"""),5)</f>
        <v>5</v>
      </c>
      <c r="K1588" s="1" t="str">
        <f ca="1">IFERROR(__xludf.DUMMYFUNCTION("""COMPUTED_VALUE"""),"Hybrid Working Environment with more than 15 days a month at office")</f>
        <v>Hybrid Working Environment with more than 15 days a month at office</v>
      </c>
      <c r="L1588" s="1" t="str">
        <f ca="1">IFERROR(__xludf.DUMMYFUNCTION("""COMPUTED_VALUE"""),"Employer who appreciates learning and enables that environment")</f>
        <v>Employer who appreciates learning and enables that environment</v>
      </c>
      <c r="M15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N1588" s="1"/>
      <c r="O1588" s="1" t="str">
        <f ca="1">IFERROR(__xludf.DUMMYFUNCTION("""COMPUTED_VALUE"""),"Manager who clearly describes what she/he needs")</f>
        <v>Manager who clearly describes what she/he needs</v>
      </c>
      <c r="P1588" s="1" t="str">
        <f ca="1">IFERROR(__xludf.DUMMYFUNCTION("""COMPUTED_VALUE"""),"Work &lt;=6 People in the Team")</f>
        <v>Work &lt;=6 People in the Team</v>
      </c>
      <c r="Q1588" s="1" t="s">
        <v>43</v>
      </c>
      <c r="R1588" s="1"/>
    </row>
    <row r="1589" spans="1:18" x14ac:dyDescent="0.25">
      <c r="A1589" s="2">
        <f ca="1">IFERROR(__xludf.DUMMYFUNCTION("""COMPUTED_VALUE"""),45045.8864719907)</f>
        <v>45045.8864719907</v>
      </c>
      <c r="B1589" s="1" t="str">
        <f ca="1">IFERROR(__xludf.DUMMYFUNCTION("""COMPUTED_VALUE"""),"Canada")</f>
        <v>Canada</v>
      </c>
      <c r="C1589" s="1" t="str">
        <f ca="1">IFERROR(__xludf.DUMMYFUNCTION("""COMPUTED_VALUE"""),"Xxxx")</f>
        <v>Xxxx</v>
      </c>
      <c r="D1589" s="1" t="str">
        <f ca="1">IFERROR(__xludf.DUMMYFUNCTION("""COMPUTED_VALUE"""),"Male")</f>
        <v>Male</v>
      </c>
      <c r="E1589" s="1" t="str">
        <f ca="1">IFERROR(__xludf.DUMMYFUNCTION("""COMPUTED_VALUE"""),"My Parents")</f>
        <v>My Parents</v>
      </c>
      <c r="F1589" s="1" t="str">
        <f ca="1">IFERROR(__xludf.DUMMYFUNCTION("""COMPUTED_VALUE"""),"No, But if someone could bare the cost I will")</f>
        <v>No, But if someone could bare the cost I will</v>
      </c>
      <c r="G1589" s="1" t="str">
        <f ca="1">IFERROR(__xludf.DUMMYFUNCTION("""COMPUTED_VALUE"""),"Will work for 3 years or more")</f>
        <v>Will work for 3 years or more</v>
      </c>
      <c r="H1589" s="1" t="str">
        <f ca="1">IFERROR(__xludf.DUMMYFUNCTION("""COMPUTED_VALUE"""),"No")</f>
        <v>No</v>
      </c>
      <c r="I1589" s="1" t="str">
        <f ca="1">IFERROR(__xludf.DUMMYFUNCTION("""COMPUTED_VALUE"""),"Will work for them")</f>
        <v>Will work for them</v>
      </c>
      <c r="J1589" s="1">
        <f ca="1">IFERROR(__xludf.DUMMYFUNCTION("""COMPUTED_VALUE"""),5)</f>
        <v>5</v>
      </c>
      <c r="K1589" s="1" t="str">
        <f ca="1">IFERROR(__xludf.DUMMYFUNCTION("""COMPUTED_VALUE"""),"Hybrid Working Environment with more than 15 days a month at office")</f>
        <v>Hybrid Working Environment with more than 15 days a month at office</v>
      </c>
      <c r="L1589" s="1" t="str">
        <f ca="1">IFERROR(__xludf.DUMMYFUNCTION("""COMPUTED_VALUE"""),"Employer who pushes your limits and doesn't enables learning environment and never rewards you")</f>
        <v>Employer who pushes your limits and doesn't enables learning environment and never rewards you</v>
      </c>
      <c r="M1589"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N1589" s="1"/>
      <c r="O1589" s="1" t="str">
        <f ca="1">IFERROR(__xludf.DUMMYFUNCTION("""COMPUTED_VALUE"""),"Manager who explains what is expected, sets a goal and helps achieve it")</f>
        <v>Manager who explains what is expected, sets a goal and helps achieve it</v>
      </c>
      <c r="P1589" s="1" t="str">
        <f ca="1">IFERROR(__xludf.DUMMYFUNCTION("""COMPUTED_VALUE"""),"Work &lt;=6 People in the Team")</f>
        <v>Work &lt;=6 People in the Team</v>
      </c>
      <c r="Q1589" s="1" t="s">
        <v>40</v>
      </c>
      <c r="R1589" s="1"/>
    </row>
    <row r="1590" spans="1:18" x14ac:dyDescent="0.25">
      <c r="A1590" s="2">
        <f ca="1">IFERROR(__xludf.DUMMYFUNCTION("""COMPUTED_VALUE"""),45045.8899465856)</f>
        <v>45045.889946585601</v>
      </c>
      <c r="B1590" s="1" t="str">
        <f ca="1">IFERROR(__xludf.DUMMYFUNCTION("""COMPUTED_VALUE"""),"India")</f>
        <v>India</v>
      </c>
      <c r="C1590" s="1">
        <f ca="1">IFERROR(__xludf.DUMMYFUNCTION("""COMPUTED_VALUE"""),110076)</f>
        <v>110076</v>
      </c>
      <c r="D1590" s="1" t="str">
        <f ca="1">IFERROR(__xludf.DUMMYFUNCTION("""COMPUTED_VALUE"""),"Male")</f>
        <v>Male</v>
      </c>
      <c r="E1590" s="1" t="str">
        <f ca="1">IFERROR(__xludf.DUMMYFUNCTION("""COMPUTED_VALUE"""),"People from my circle, but not family members")</f>
        <v>People from my circle, but not family members</v>
      </c>
      <c r="F1590" s="1" t="str">
        <f ca="1">IFERROR(__xludf.DUMMYFUNCTION("""COMPUTED_VALUE"""),"Yes, I will earn and do that")</f>
        <v>Yes, I will earn and do that</v>
      </c>
      <c r="G1590" s="1" t="str">
        <f ca="1">IFERROR(__xludf.DUMMYFUNCTION("""COMPUTED_VALUE"""),"Will work for 3 years or more")</f>
        <v>Will work for 3 years or more</v>
      </c>
      <c r="H1590" s="1" t="str">
        <f ca="1">IFERROR(__xludf.DUMMYFUNCTION("""COMPUTED_VALUE"""),"No")</f>
        <v>No</v>
      </c>
      <c r="I1590" s="1" t="str">
        <f ca="1">IFERROR(__xludf.DUMMYFUNCTION("""COMPUTED_VALUE"""),"Will NOT work for them")</f>
        <v>Will NOT work for them</v>
      </c>
      <c r="J1590" s="1">
        <f ca="1">IFERROR(__xludf.DUMMYFUNCTION("""COMPUTED_VALUE"""),5)</f>
        <v>5</v>
      </c>
      <c r="K1590" s="1" t="str">
        <f ca="1">IFERROR(__xludf.DUMMYFUNCTION("""COMPUTED_VALUE"""),"Every Day Office Environment")</f>
        <v>Every Day Office Environment</v>
      </c>
      <c r="L1590" s="1" t="str">
        <f ca="1">IFERROR(__xludf.DUMMYFUNCTION("""COMPUTED_VALUE"""),"Employer who pushes your limits by enabling an learning environment, and rewards you at the end")</f>
        <v>Employer who pushes your limits by enabling an learning environment, and rewards you at the end</v>
      </c>
      <c r="M159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N1590" s="1"/>
      <c r="O1590" s="1" t="str">
        <f ca="1">IFERROR(__xludf.DUMMYFUNCTION("""COMPUTED_VALUE"""),"Manager who explains what is expected, sets a goal and helps achieve it")</f>
        <v>Manager who explains what is expected, sets a goal and helps achieve it</v>
      </c>
      <c r="P1590" s="1" t="str">
        <f ca="1">IFERROR(__xludf.DUMMYFUNCTION("""COMPUTED_VALUE"""),"Work &gt;10 people in Team")</f>
        <v>Work &gt;10 people in Team</v>
      </c>
      <c r="Q1590" s="1" t="s">
        <v>43</v>
      </c>
      <c r="R1590" s="1"/>
    </row>
    <row r="1591" spans="1:18" x14ac:dyDescent="0.25">
      <c r="A1591" s="2">
        <f ca="1">IFERROR(__xludf.DUMMYFUNCTION("""COMPUTED_VALUE"""),45045.8900229398)</f>
        <v>45045.890022939799</v>
      </c>
      <c r="B1591" s="1" t="str">
        <f ca="1">IFERROR(__xludf.DUMMYFUNCTION("""COMPUTED_VALUE"""),"India")</f>
        <v>India</v>
      </c>
      <c r="C1591" s="1">
        <f ca="1">IFERROR(__xludf.DUMMYFUNCTION("""COMPUTED_VALUE"""),462042)</f>
        <v>462042</v>
      </c>
      <c r="D1591" s="1" t="str">
        <f ca="1">IFERROR(__xludf.DUMMYFUNCTION("""COMPUTED_VALUE"""),"Male")</f>
        <v>Male</v>
      </c>
      <c r="E1591" s="1" t="str">
        <f ca="1">IFERROR(__xludf.DUMMYFUNCTION("""COMPUTED_VALUE"""),"Influencers who had successful careers")</f>
        <v>Influencers who had successful careers</v>
      </c>
      <c r="F1591" s="1" t="str">
        <f ca="1">IFERROR(__xludf.DUMMYFUNCTION("""COMPUTED_VALUE"""),"Yes, I will earn and do that")</f>
        <v>Yes, I will earn and do that</v>
      </c>
      <c r="G1591" s="1" t="str">
        <f ca="1">IFERROR(__xludf.DUMMYFUNCTION("""COMPUTED_VALUE"""),"Will work for 3 years or more")</f>
        <v>Will work for 3 years or more</v>
      </c>
      <c r="H1591" s="1" t="str">
        <f ca="1">IFERROR(__xludf.DUMMYFUNCTION("""COMPUTED_VALUE"""),"No")</f>
        <v>No</v>
      </c>
      <c r="I1591" s="1" t="str">
        <f ca="1">IFERROR(__xludf.DUMMYFUNCTION("""COMPUTED_VALUE"""),"Will NOT work for them")</f>
        <v>Will NOT work for them</v>
      </c>
      <c r="J1591" s="1">
        <f ca="1">IFERROR(__xludf.DUMMYFUNCTION("""COMPUTED_VALUE"""),8)</f>
        <v>8</v>
      </c>
      <c r="K1591" s="1" t="str">
        <f ca="1">IFERROR(__xludf.DUMMYFUNCTION("""COMPUTED_VALUE"""),"Fully Remote with Options to travel as and when needed")</f>
        <v>Fully Remote with Options to travel as and when needed</v>
      </c>
      <c r="L1591" s="1" t="str">
        <f ca="1">IFERROR(__xludf.DUMMYFUNCTION("""COMPUTED_VALUE"""),"Employer who pushes your limits by enabling an learning environment, and rewards you at the end")</f>
        <v>Employer who pushes your limits by enabling an learning environment, and rewards you at the end</v>
      </c>
      <c r="M1591"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N1591" s="1"/>
      <c r="O1591" s="1" t="str">
        <f ca="1">IFERROR(__xludf.DUMMYFUNCTION("""COMPUTED_VALUE"""),"Manager who explains what is expected, sets a goal and helps achieve it")</f>
        <v>Manager who explains what is expected, sets a goal and helps achieve it</v>
      </c>
      <c r="P1591" s="1" t="str">
        <f ca="1">IFERROR(__xludf.DUMMYFUNCTION("""COMPUTED_VALUE"""),"Work &lt;=6 People in the Team")</f>
        <v>Work &lt;=6 People in the Team</v>
      </c>
      <c r="Q1591" s="1" t="s">
        <v>40</v>
      </c>
      <c r="R1591" s="1"/>
    </row>
    <row r="1592" spans="1:18" x14ac:dyDescent="0.25">
      <c r="A1592" s="2">
        <f ca="1">IFERROR(__xludf.DUMMYFUNCTION("""COMPUTED_VALUE"""),45045.8900604861)</f>
        <v>45045.890060486097</v>
      </c>
      <c r="B1592" s="1" t="str">
        <f ca="1">IFERROR(__xludf.DUMMYFUNCTION("""COMPUTED_VALUE"""),"India")</f>
        <v>India</v>
      </c>
      <c r="C1592" s="1">
        <f ca="1">IFERROR(__xludf.DUMMYFUNCTION("""COMPUTED_VALUE"""),110096)</f>
        <v>110096</v>
      </c>
      <c r="D1592" s="1" t="str">
        <f ca="1">IFERROR(__xludf.DUMMYFUNCTION("""COMPUTED_VALUE"""),"Female")</f>
        <v>Female</v>
      </c>
      <c r="E1592" s="1" t="str">
        <f ca="1">IFERROR(__xludf.DUMMYFUNCTION("""COMPUTED_VALUE"""),"People from my circle, but not family members")</f>
        <v>People from my circle, but not family members</v>
      </c>
      <c r="F1592" s="1" t="str">
        <f ca="1">IFERROR(__xludf.DUMMYFUNCTION("""COMPUTED_VALUE"""),"Yes, I will earn and do that")</f>
        <v>Yes, I will earn and do that</v>
      </c>
      <c r="G1592" s="1" t="str">
        <f ca="1">IFERROR(__xludf.DUMMYFUNCTION("""COMPUTED_VALUE"""),"Will work for 3 years or more")</f>
        <v>Will work for 3 years or more</v>
      </c>
      <c r="H1592" s="1" t="str">
        <f ca="1">IFERROR(__xludf.DUMMYFUNCTION("""COMPUTED_VALUE"""),"No")</f>
        <v>No</v>
      </c>
      <c r="I1592" s="1" t="str">
        <f ca="1">IFERROR(__xludf.DUMMYFUNCTION("""COMPUTED_VALUE"""),"Will NOT work for them")</f>
        <v>Will NOT work for them</v>
      </c>
      <c r="J1592" s="1">
        <f ca="1">IFERROR(__xludf.DUMMYFUNCTION("""COMPUTED_VALUE"""),2)</f>
        <v>2</v>
      </c>
      <c r="K1592" s="1" t="str">
        <f ca="1">IFERROR(__xludf.DUMMYFUNCTION("""COMPUTED_VALUE"""),"Hybrid Working Environment with more than 15 days a month at office")</f>
        <v>Hybrid Working Environment with more than 15 days a month at office</v>
      </c>
      <c r="L1592" s="1" t="str">
        <f ca="1">IFERROR(__xludf.DUMMYFUNCTION("""COMPUTED_VALUE"""),"Employer who appreciates learning and enables that environment")</f>
        <v>Employer who appreciates learning and enables that environment</v>
      </c>
      <c r="M159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592" s="1"/>
      <c r="O1592" s="1" t="str">
        <f ca="1">IFERROR(__xludf.DUMMYFUNCTION("""COMPUTED_VALUE"""),"Manager who explains what is expected, sets a goal and helps achieve it")</f>
        <v>Manager who explains what is expected, sets a goal and helps achieve it</v>
      </c>
      <c r="P1592" s="1" t="str">
        <f ca="1">IFERROR(__xludf.DUMMYFUNCTION("""COMPUTED_VALUE"""),"Work &lt;=6 People in the Team")</f>
        <v>Work &lt;=6 People in the Team</v>
      </c>
      <c r="Q1592" s="1" t="s">
        <v>43</v>
      </c>
      <c r="R1592" s="1"/>
    </row>
    <row r="1593" spans="1:18" x14ac:dyDescent="0.25">
      <c r="A1593" s="2">
        <f ca="1">IFERROR(__xludf.DUMMYFUNCTION("""COMPUTED_VALUE"""),45045.8925893634)</f>
        <v>45045.8925893634</v>
      </c>
      <c r="B1593" s="1" t="str">
        <f ca="1">IFERROR(__xludf.DUMMYFUNCTION("""COMPUTED_VALUE"""),"India")</f>
        <v>India</v>
      </c>
      <c r="C1593" s="1">
        <f ca="1">IFERROR(__xludf.DUMMYFUNCTION("""COMPUTED_VALUE"""),110008)</f>
        <v>110008</v>
      </c>
      <c r="D1593" s="1" t="str">
        <f ca="1">IFERROR(__xludf.DUMMYFUNCTION("""COMPUTED_VALUE"""),"Female")</f>
        <v>Female</v>
      </c>
      <c r="E1593" s="1" t="str">
        <f ca="1">IFERROR(__xludf.DUMMYFUNCTION("""COMPUTED_VALUE"""),"My Parents")</f>
        <v>My Parents</v>
      </c>
      <c r="F1593" s="1" t="str">
        <f ca="1">IFERROR(__xludf.DUMMYFUNCTION("""COMPUTED_VALUE"""),"No I would not be pursuing Higher Education outside of India")</f>
        <v>No I would not be pursuing Higher Education outside of India</v>
      </c>
      <c r="G1593" s="1" t="str">
        <f ca="1">IFERROR(__xludf.DUMMYFUNCTION("""COMPUTED_VALUE"""),"This will be hard to do, but if it is the right company I would try")</f>
        <v>This will be hard to do, but if it is the right company I would try</v>
      </c>
      <c r="H1593" s="1" t="str">
        <f ca="1">IFERROR(__xludf.DUMMYFUNCTION("""COMPUTED_VALUE"""),"No")</f>
        <v>No</v>
      </c>
      <c r="I1593" s="1" t="str">
        <f ca="1">IFERROR(__xludf.DUMMYFUNCTION("""COMPUTED_VALUE"""),"Will NOT work for them")</f>
        <v>Will NOT work for them</v>
      </c>
      <c r="J1593" s="1">
        <f ca="1">IFERROR(__xludf.DUMMYFUNCTION("""COMPUTED_VALUE"""),5)</f>
        <v>5</v>
      </c>
      <c r="K1593" s="1" t="str">
        <f ca="1">IFERROR(__xludf.DUMMYFUNCTION("""COMPUTED_VALUE"""),"Hybrid Working Environment with more than 15 days a month at office")</f>
        <v>Hybrid Working Environment with more than 15 days a month at office</v>
      </c>
      <c r="L1593" s="1" t="str">
        <f ca="1">IFERROR(__xludf.DUMMYFUNCTION("""COMPUTED_VALUE"""),"Employer who pushes your limits by enabling an learning environment, and rewards you at the end")</f>
        <v>Employer who pushes your limits by enabling an learning environment, and rewards you at the end</v>
      </c>
      <c r="M1593" s="1" t="str">
        <f ca="1">IFERROR(__xludf.DUMMYFUNCTION("""COMPUTED_VALUE"""),"Teaching in any of the institutes/colleges/online or offline, Business Operations in any organization, Manage and drive End-to-End Projects or Products, Manufacturing / Oil and Gas/ Construction / Hard Physical Work related")</f>
        <v>Teaching in any of the institutes/colleges/online or offline, Business Operations in any organization, Manage and drive End-to-End Projects or Products, Manufacturing / Oil and Gas/ Construction / Hard Physical Work related</v>
      </c>
      <c r="N1593" s="1"/>
      <c r="O1593" s="1" t="str">
        <f ca="1">IFERROR(__xludf.DUMMYFUNCTION("""COMPUTED_VALUE"""),"Manager who clearly describes what she/he needs")</f>
        <v>Manager who clearly describes what she/he needs</v>
      </c>
      <c r="P1593" s="1" t="str">
        <f ca="1">IFERROR(__xludf.DUMMYFUNCTION("""COMPUTED_VALUE"""),"Work &lt;=6 People in the Team")</f>
        <v>Work &lt;=6 People in the Team</v>
      </c>
      <c r="Q1593" s="1" t="s">
        <v>43</v>
      </c>
      <c r="R1593" s="1"/>
    </row>
    <row r="1594" spans="1:18" x14ac:dyDescent="0.25">
      <c r="A1594" s="2">
        <f ca="1">IFERROR(__xludf.DUMMYFUNCTION("""COMPUTED_VALUE"""),45045.8929906597)</f>
        <v>45045.892990659697</v>
      </c>
      <c r="B1594" s="1" t="str">
        <f ca="1">IFERROR(__xludf.DUMMYFUNCTION("""COMPUTED_VALUE"""),"India")</f>
        <v>India</v>
      </c>
      <c r="C1594" s="1">
        <f ca="1">IFERROR(__xludf.DUMMYFUNCTION("""COMPUTED_VALUE"""),533005)</f>
        <v>533005</v>
      </c>
      <c r="D1594" s="1" t="str">
        <f ca="1">IFERROR(__xludf.DUMMYFUNCTION("""COMPUTED_VALUE"""),"Male")</f>
        <v>Male</v>
      </c>
      <c r="E1594" s="1" t="str">
        <f ca="1">IFERROR(__xludf.DUMMYFUNCTION("""COMPUTED_VALUE"""),"My Parents")</f>
        <v>My Parents</v>
      </c>
      <c r="F1594" s="1" t="str">
        <f ca="1">IFERROR(__xludf.DUMMYFUNCTION("""COMPUTED_VALUE"""),"No I would not be pursuing Higher Education outside of India")</f>
        <v>No I would not be pursuing Higher Education outside of India</v>
      </c>
      <c r="G1594" s="1" t="str">
        <f ca="1">IFERROR(__xludf.DUMMYFUNCTION("""COMPUTED_VALUE"""),"Will work for 3 years or more")</f>
        <v>Will work for 3 years or more</v>
      </c>
      <c r="H1594" s="1" t="str">
        <f ca="1">IFERROR(__xludf.DUMMYFUNCTION("""COMPUTED_VALUE"""),"Yes")</f>
        <v>Yes</v>
      </c>
      <c r="I1594" s="1" t="str">
        <f ca="1">IFERROR(__xludf.DUMMYFUNCTION("""COMPUTED_VALUE"""),"Will NOT work for them")</f>
        <v>Will NOT work for them</v>
      </c>
      <c r="J1594" s="1">
        <f ca="1">IFERROR(__xludf.DUMMYFUNCTION("""COMPUTED_VALUE"""),5)</f>
        <v>5</v>
      </c>
      <c r="K1594" s="1" t="str">
        <f ca="1">IFERROR(__xludf.DUMMYFUNCTION("""COMPUTED_VALUE"""),"Fully Remote with Options to travel as and when needed")</f>
        <v>Fully Remote with Options to travel as and when needed</v>
      </c>
      <c r="L1594" s="1" t="str">
        <f ca="1">IFERROR(__xludf.DUMMYFUNCTION("""COMPUTED_VALUE"""),"Employer who pushes your limits by enabling an learning environment, and rewards you at the end")</f>
        <v>Employer who pushes your limits by enabling an learning environment, and rewards you at the end</v>
      </c>
      <c r="M1594"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N1594" s="1"/>
      <c r="O1594" s="1" t="str">
        <f ca="1">IFERROR(__xludf.DUMMYFUNCTION("""COMPUTED_VALUE"""),"Manager who explains what is expected, sets a goal and helps achieve it")</f>
        <v>Manager who explains what is expected, sets a goal and helps achieve it</v>
      </c>
      <c r="P1594" s="1" t="str">
        <f ca="1">IFERROR(__xludf.DUMMYFUNCTION("""COMPUTED_VALUE"""),"Work &gt;=7 People in the Team")</f>
        <v>Work &gt;=7 People in the Team</v>
      </c>
      <c r="Q1594" s="1" t="s">
        <v>43</v>
      </c>
      <c r="R1594" s="1"/>
    </row>
    <row r="1595" spans="1:18" x14ac:dyDescent="0.25">
      <c r="A1595" s="2">
        <f ca="1">IFERROR(__xludf.DUMMYFUNCTION("""COMPUTED_VALUE"""),45045.8931932986)</f>
        <v>45045.893193298602</v>
      </c>
      <c r="B1595" s="1" t="str">
        <f ca="1">IFERROR(__xludf.DUMMYFUNCTION("""COMPUTED_VALUE"""),"Canada")</f>
        <v>Canada</v>
      </c>
      <c r="C1595" s="1" t="str">
        <f ca="1">IFERROR(__xludf.DUMMYFUNCTION("""COMPUTED_VALUE"""),"H3N1W9")</f>
        <v>H3N1W9</v>
      </c>
      <c r="D1595" s="1" t="str">
        <f ca="1">IFERROR(__xludf.DUMMYFUNCTION("""COMPUTED_VALUE"""),"Male")</f>
        <v>Male</v>
      </c>
      <c r="E1595" s="1" t="str">
        <f ca="1">IFERROR(__xludf.DUMMYFUNCTION("""COMPUTED_VALUE"""),"Influencers who had successful careers")</f>
        <v>Influencers who had successful careers</v>
      </c>
      <c r="F1595" s="1" t="str">
        <f ca="1">IFERROR(__xludf.DUMMYFUNCTION("""COMPUTED_VALUE"""),"Yes, I will earn and do that")</f>
        <v>Yes, I will earn and do that</v>
      </c>
      <c r="G1595" s="1" t="str">
        <f ca="1">IFERROR(__xludf.DUMMYFUNCTION("""COMPUTED_VALUE"""),"Will work for 3 years or more")</f>
        <v>Will work for 3 years or more</v>
      </c>
      <c r="H1595" s="1" t="str">
        <f ca="1">IFERROR(__xludf.DUMMYFUNCTION("""COMPUTED_VALUE"""),"No")</f>
        <v>No</v>
      </c>
      <c r="I1595" s="1" t="str">
        <f ca="1">IFERROR(__xludf.DUMMYFUNCTION("""COMPUTED_VALUE"""),"Will NOT work for them")</f>
        <v>Will NOT work for them</v>
      </c>
      <c r="J1595" s="1">
        <f ca="1">IFERROR(__xludf.DUMMYFUNCTION("""COMPUTED_VALUE"""),5)</f>
        <v>5</v>
      </c>
      <c r="K1595" s="1" t="str">
        <f ca="1">IFERROR(__xludf.DUMMYFUNCTION("""COMPUTED_VALUE"""),"Every Day Office Environment")</f>
        <v>Every Day Office Environment</v>
      </c>
      <c r="L1595" s="1" t="str">
        <f ca="1">IFERROR(__xludf.DUMMYFUNCTION("""COMPUTED_VALUE"""),"Employer who appreciates learning and enables that environment")</f>
        <v>Employer who appreciates learning and enables that environment</v>
      </c>
      <c r="M1595"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N1595" s="1"/>
      <c r="O1595" s="1" t="str">
        <f ca="1">IFERROR(__xludf.DUMMYFUNCTION("""COMPUTED_VALUE"""),"Manager who sets targets and expects me to achieve it")</f>
        <v>Manager who sets targets and expects me to achieve it</v>
      </c>
      <c r="P1595" s="1" t="str">
        <f ca="1">IFERROR(__xludf.DUMMYFUNCTION("""COMPUTED_VALUE"""),"Work &lt;=6 People in the Team")</f>
        <v>Work &lt;=6 People in the Team</v>
      </c>
      <c r="Q1595" s="1" t="s">
        <v>42</v>
      </c>
      <c r="R1595" s="1"/>
    </row>
    <row r="1596" spans="1:18" x14ac:dyDescent="0.25">
      <c r="A1596" s="2">
        <f ca="1">IFERROR(__xludf.DUMMYFUNCTION("""COMPUTED_VALUE"""),45045.8947499652)</f>
        <v>45045.894749965199</v>
      </c>
      <c r="B1596" s="1" t="str">
        <f ca="1">IFERROR(__xludf.DUMMYFUNCTION("""COMPUTED_VALUE"""),"United States of America")</f>
        <v>United States of America</v>
      </c>
      <c r="C1596" s="1">
        <f ca="1">IFERROR(__xludf.DUMMYFUNCTION("""COMPUTED_VALUE"""),78363)</f>
        <v>78363</v>
      </c>
      <c r="D1596" s="1" t="str">
        <f ca="1">IFERROR(__xludf.DUMMYFUNCTION("""COMPUTED_VALUE"""),"Male")</f>
        <v>Male</v>
      </c>
      <c r="E1596" s="1" t="str">
        <f ca="1">IFERROR(__xludf.DUMMYFUNCTION("""COMPUTED_VALUE"""),"My Parents")</f>
        <v>My Parents</v>
      </c>
      <c r="F1596" s="1" t="str">
        <f ca="1">IFERROR(__xludf.DUMMYFUNCTION("""COMPUTED_VALUE"""),"Yes, I will earn and do that")</f>
        <v>Yes, I will earn and do that</v>
      </c>
      <c r="G1596" s="1" t="str">
        <f ca="1">IFERROR(__xludf.DUMMYFUNCTION("""COMPUTED_VALUE"""),"This will be hard to do, but if it is the right company I would try")</f>
        <v>This will be hard to do, but if it is the right company I would try</v>
      </c>
      <c r="H1596" s="1" t="str">
        <f ca="1">IFERROR(__xludf.DUMMYFUNCTION("""COMPUTED_VALUE"""),"Yes")</f>
        <v>Yes</v>
      </c>
      <c r="I1596" s="1" t="str">
        <f ca="1">IFERROR(__xludf.DUMMYFUNCTION("""COMPUTED_VALUE"""),"Will work for them")</f>
        <v>Will work for them</v>
      </c>
      <c r="J1596" s="1">
        <f ca="1">IFERROR(__xludf.DUMMYFUNCTION("""COMPUTED_VALUE"""),10)</f>
        <v>10</v>
      </c>
      <c r="K1596" s="1" t="str">
        <f ca="1">IFERROR(__xludf.DUMMYFUNCTION("""COMPUTED_VALUE"""),"Every Day Office Environment")</f>
        <v>Every Day Office Environment</v>
      </c>
      <c r="L1596" s="1" t="str">
        <f ca="1">IFERROR(__xludf.DUMMYFUNCTION("""COMPUTED_VALUE"""),"Employer who pushes your limits by enabling an learning environment, and rewards you at the end")</f>
        <v>Employer who pushes your limits by enabling an learning environment, and rewards you at the end</v>
      </c>
      <c r="M1596" s="1" t="str">
        <f ca="1">IFERROR(__xludf.DUMMYFUNCTION("""COMPUTED_VALUE"""),"Design and Creative strategy in any company, Business Operations in any organization, I Want to sell things/Sales, Manufacturing / Oil and Gas/ Construction / Hard Physical Work related")</f>
        <v>Design and Creative strategy in any company, Business Operations in any organization, I Want to sell things/Sales, Manufacturing / Oil and Gas/ Construction / Hard Physical Work related</v>
      </c>
      <c r="N1596" s="1"/>
      <c r="O1596" s="1" t="str">
        <f ca="1">IFERROR(__xludf.DUMMYFUNCTION("""COMPUTED_VALUE"""),"Manager who explains what is expected, sets a goal and helps achieve it")</f>
        <v>Manager who explains what is expected, sets a goal and helps achieve it</v>
      </c>
      <c r="P1596" s="1" t="str">
        <f ca="1">IFERROR(__xludf.DUMMYFUNCTION("""COMPUTED_VALUE"""),"Work &lt;=6 People in the Team")</f>
        <v>Work &lt;=6 People in the Team</v>
      </c>
      <c r="Q1596" s="1" t="s">
        <v>42</v>
      </c>
      <c r="R1596" s="1"/>
    </row>
    <row r="1597" spans="1:18" x14ac:dyDescent="0.25">
      <c r="A1597" s="2">
        <f ca="1">IFERROR(__xludf.DUMMYFUNCTION("""COMPUTED_VALUE"""),45045.8955835879)</f>
        <v>45045.895583587902</v>
      </c>
      <c r="B1597" s="1" t="str">
        <f ca="1">IFERROR(__xludf.DUMMYFUNCTION("""COMPUTED_VALUE"""),"Canada")</f>
        <v>Canada</v>
      </c>
      <c r="C1597" s="1" t="str">
        <f ca="1">IFERROR(__xludf.DUMMYFUNCTION("""COMPUTED_VALUE"""),"H3S")</f>
        <v>H3S</v>
      </c>
      <c r="D1597" s="1" t="str">
        <f ca="1">IFERROR(__xludf.DUMMYFUNCTION("""COMPUTED_VALUE"""),"Male")</f>
        <v>Male</v>
      </c>
      <c r="E1597" s="1" t="str">
        <f ca="1">IFERROR(__xludf.DUMMYFUNCTION("""COMPUTED_VALUE"""),"People who have changed the world for better")</f>
        <v>People who have changed the world for better</v>
      </c>
      <c r="F1597" s="1" t="str">
        <f ca="1">IFERROR(__xludf.DUMMYFUNCTION("""COMPUTED_VALUE"""),"Yes, I will earn and do that")</f>
        <v>Yes, I will earn and do that</v>
      </c>
      <c r="G1597" s="1" t="str">
        <f ca="1">IFERROR(__xludf.DUMMYFUNCTION("""COMPUTED_VALUE"""),"This will be hard to do, but if it is the right company I would try")</f>
        <v>This will be hard to do, but if it is the right company I would try</v>
      </c>
      <c r="H1597" s="1" t="str">
        <f ca="1">IFERROR(__xludf.DUMMYFUNCTION("""COMPUTED_VALUE"""),"No")</f>
        <v>No</v>
      </c>
      <c r="I1597" s="1" t="str">
        <f ca="1">IFERROR(__xludf.DUMMYFUNCTION("""COMPUTED_VALUE"""),"Will NOT work for them")</f>
        <v>Will NOT work for them</v>
      </c>
      <c r="J1597" s="1">
        <f ca="1">IFERROR(__xludf.DUMMYFUNCTION("""COMPUTED_VALUE"""),1)</f>
        <v>1</v>
      </c>
      <c r="K1597" s="1" t="str">
        <f ca="1">IFERROR(__xludf.DUMMYFUNCTION("""COMPUTED_VALUE"""),"Every Day Office Environment")</f>
        <v>Every Day Office Environment</v>
      </c>
      <c r="L1597" s="1" t="str">
        <f ca="1">IFERROR(__xludf.DUMMYFUNCTION("""COMPUTED_VALUE"""),"Employer who appreciates learning and enables that environment")</f>
        <v>Employer who appreciates learning and enables that environment</v>
      </c>
      <c r="M1597"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N1597" s="1"/>
      <c r="O1597" s="1" t="str">
        <f ca="1">IFERROR(__xludf.DUMMYFUNCTION("""COMPUTED_VALUE"""),"Manager who sets goal and helps me achieve it")</f>
        <v>Manager who sets goal and helps me achieve it</v>
      </c>
      <c r="P1597" s="1" t="str">
        <f ca="1">IFERROR(__xludf.DUMMYFUNCTION("""COMPUTED_VALUE"""),"Work &gt;10 people in Team")</f>
        <v>Work &gt;10 people in Team</v>
      </c>
      <c r="Q1597" s="1" t="s">
        <v>43</v>
      </c>
      <c r="R1597" s="1"/>
    </row>
    <row r="1598" spans="1:18" x14ac:dyDescent="0.25">
      <c r="A1598" s="2">
        <f ca="1">IFERROR(__xludf.DUMMYFUNCTION("""COMPUTED_VALUE"""),45045.8974549074)</f>
        <v>45045.897454907397</v>
      </c>
      <c r="B1598" s="1" t="str">
        <f ca="1">IFERROR(__xludf.DUMMYFUNCTION("""COMPUTED_VALUE"""),"India")</f>
        <v>India</v>
      </c>
      <c r="C1598" s="1">
        <f ca="1">IFERROR(__xludf.DUMMYFUNCTION("""COMPUTED_VALUE"""),509301)</f>
        <v>509301</v>
      </c>
      <c r="D1598" s="1" t="str">
        <f ca="1">IFERROR(__xludf.DUMMYFUNCTION("""COMPUTED_VALUE"""),"Female")</f>
        <v>Female</v>
      </c>
      <c r="E1598" s="1" t="str">
        <f ca="1">IFERROR(__xludf.DUMMYFUNCTION("""COMPUTED_VALUE"""),"My Parents")</f>
        <v>My Parents</v>
      </c>
      <c r="F1598" s="1" t="str">
        <f ca="1">IFERROR(__xludf.DUMMYFUNCTION("""COMPUTED_VALUE"""),"Yes, I will earn and do that")</f>
        <v>Yes, I will earn and do that</v>
      </c>
      <c r="G1598" s="1" t="str">
        <f ca="1">IFERROR(__xludf.DUMMYFUNCTION("""COMPUTED_VALUE"""),"This will be hard to do, but if it is the right company I would try")</f>
        <v>This will be hard to do, but if it is the right company I would try</v>
      </c>
      <c r="H1598" s="1" t="str">
        <f ca="1">IFERROR(__xludf.DUMMYFUNCTION("""COMPUTED_VALUE"""),"Yes")</f>
        <v>Yes</v>
      </c>
      <c r="I1598" s="1" t="str">
        <f ca="1">IFERROR(__xludf.DUMMYFUNCTION("""COMPUTED_VALUE"""),"Will work for them")</f>
        <v>Will work for them</v>
      </c>
      <c r="J1598" s="1">
        <f ca="1">IFERROR(__xludf.DUMMYFUNCTION("""COMPUTED_VALUE"""),9)</f>
        <v>9</v>
      </c>
      <c r="K1598" s="1" t="str">
        <f ca="1">IFERROR(__xludf.DUMMYFUNCTION("""COMPUTED_VALUE"""),"Hybrid Working Environment with more than 15 days a month at office")</f>
        <v>Hybrid Working Environment with more than 15 days a month at office</v>
      </c>
      <c r="L1598" s="1" t="str">
        <f ca="1">IFERROR(__xludf.DUMMYFUNCTION("""COMPUTED_VALUE"""),"Employer who pushes your limits by enabling an learning environment, and rewards you at the end")</f>
        <v>Employer who pushes your limits by enabling an learning environment, and rewards you at the end</v>
      </c>
      <c r="M159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598" s="1"/>
      <c r="O1598" s="1" t="str">
        <f ca="1">IFERROR(__xludf.DUMMYFUNCTION("""COMPUTED_VALUE"""),"Manager who explains what is expected, sets a goal and helps achieve it")</f>
        <v>Manager who explains what is expected, sets a goal and helps achieve it</v>
      </c>
      <c r="P1598" s="1" t="str">
        <f ca="1">IFERROR(__xludf.DUMMYFUNCTION("""COMPUTED_VALUE"""),"Work &lt;=6 People in the Team")</f>
        <v>Work &lt;=6 People in the Team</v>
      </c>
      <c r="Q1598" s="1" t="s">
        <v>43</v>
      </c>
      <c r="R1598" s="1"/>
    </row>
    <row r="1599" spans="1:18" x14ac:dyDescent="0.25">
      <c r="A1599" s="2">
        <f ca="1">IFERROR(__xludf.DUMMYFUNCTION("""COMPUTED_VALUE"""),45045.8994663657)</f>
        <v>45045.899466365699</v>
      </c>
      <c r="B1599" s="1" t="str">
        <f ca="1">IFERROR(__xludf.DUMMYFUNCTION("""COMPUTED_VALUE"""),"India")</f>
        <v>India</v>
      </c>
      <c r="C1599" s="1">
        <f ca="1">IFERROR(__xludf.DUMMYFUNCTION("""COMPUTED_VALUE"""),110027)</f>
        <v>110027</v>
      </c>
      <c r="D1599" s="1" t="str">
        <f ca="1">IFERROR(__xludf.DUMMYFUNCTION("""COMPUTED_VALUE"""),"Female")</f>
        <v>Female</v>
      </c>
      <c r="E1599" s="1" t="str">
        <f ca="1">IFERROR(__xludf.DUMMYFUNCTION("""COMPUTED_VALUE"""),"People who have changed the world for better")</f>
        <v>People who have changed the world for better</v>
      </c>
      <c r="F1599" s="1" t="str">
        <f ca="1">IFERROR(__xludf.DUMMYFUNCTION("""COMPUTED_VALUE"""),"No, But if someone could bare the cost I will")</f>
        <v>No, But if someone could bare the cost I will</v>
      </c>
      <c r="G1599" s="1" t="str">
        <f ca="1">IFERROR(__xludf.DUMMYFUNCTION("""COMPUTED_VALUE"""),"This will be hard to do, but if it is the right company I would try")</f>
        <v>This will be hard to do, but if it is the right company I would try</v>
      </c>
      <c r="H1599" s="1" t="str">
        <f ca="1">IFERROR(__xludf.DUMMYFUNCTION("""COMPUTED_VALUE"""),"No")</f>
        <v>No</v>
      </c>
      <c r="I1599" s="1" t="str">
        <f ca="1">IFERROR(__xludf.DUMMYFUNCTION("""COMPUTED_VALUE"""),"Will NOT work for them")</f>
        <v>Will NOT work for them</v>
      </c>
      <c r="J1599" s="1">
        <f ca="1">IFERROR(__xludf.DUMMYFUNCTION("""COMPUTED_VALUE"""),7)</f>
        <v>7</v>
      </c>
      <c r="K1599" s="1" t="str">
        <f ca="1">IFERROR(__xludf.DUMMYFUNCTION("""COMPUTED_VALUE"""),"Hybrid Working Environment with less than 3 days a month at office")</f>
        <v>Hybrid Working Environment with less than 3 days a month at office</v>
      </c>
      <c r="L1599" s="1" t="str">
        <f ca="1">IFERROR(__xludf.DUMMYFUNCTION("""COMPUTED_VALUE"""),"Employer who appreciates learning and enables that environment")</f>
        <v>Employer who appreciates learning and enables that environment</v>
      </c>
      <c r="M1599"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1599" s="1"/>
      <c r="O1599" s="1" t="str">
        <f ca="1">IFERROR(__xludf.DUMMYFUNCTION("""COMPUTED_VALUE"""),"Manager who explains what is expected, sets a goal and helps achieve it")</f>
        <v>Manager who explains what is expected, sets a goal and helps achieve it</v>
      </c>
      <c r="P1599" s="1" t="str">
        <f ca="1">IFERROR(__xludf.DUMMYFUNCTION("""COMPUTED_VALUE"""),"Work &lt;=6 People in the Team")</f>
        <v>Work &lt;=6 People in the Team</v>
      </c>
      <c r="Q1599" s="1" t="s">
        <v>43</v>
      </c>
      <c r="R1599" s="1"/>
    </row>
    <row r="1600" spans="1:18" x14ac:dyDescent="0.25">
      <c r="A1600" s="2">
        <f ca="1">IFERROR(__xludf.DUMMYFUNCTION("""COMPUTED_VALUE"""),45045.901446493)</f>
        <v>45045.901446493001</v>
      </c>
      <c r="B1600" s="1" t="str">
        <f ca="1">IFERROR(__xludf.DUMMYFUNCTION("""COMPUTED_VALUE"""),"India")</f>
        <v>India</v>
      </c>
      <c r="C1600" s="1">
        <f ca="1">IFERROR(__xludf.DUMMYFUNCTION("""COMPUTED_VALUE"""),581301)</f>
        <v>581301</v>
      </c>
      <c r="D1600" s="1" t="str">
        <f ca="1">IFERROR(__xludf.DUMMYFUNCTION("""COMPUTED_VALUE"""),"Male")</f>
        <v>Male</v>
      </c>
      <c r="E1600" s="1" t="str">
        <f ca="1">IFERROR(__xludf.DUMMYFUNCTION("""COMPUTED_VALUE"""),"Influencers who had successful careers")</f>
        <v>Influencers who had successful careers</v>
      </c>
      <c r="F1600" s="1" t="str">
        <f ca="1">IFERROR(__xludf.DUMMYFUNCTION("""COMPUTED_VALUE"""),"No I would not be pursuing Higher Education outside of India")</f>
        <v>No I would not be pursuing Higher Education outside of India</v>
      </c>
      <c r="G1600" s="1" t="str">
        <f ca="1">IFERROR(__xludf.DUMMYFUNCTION("""COMPUTED_VALUE"""),"This will be hard to do, but if it is the right company I would try")</f>
        <v>This will be hard to do, but if it is the right company I would try</v>
      </c>
      <c r="H1600" s="1" t="str">
        <f ca="1">IFERROR(__xludf.DUMMYFUNCTION("""COMPUTED_VALUE"""),"Yes")</f>
        <v>Yes</v>
      </c>
      <c r="I1600" s="1" t="str">
        <f ca="1">IFERROR(__xludf.DUMMYFUNCTION("""COMPUTED_VALUE"""),"Will NOT work for them")</f>
        <v>Will NOT work for them</v>
      </c>
      <c r="J1600" s="1">
        <f ca="1">IFERROR(__xludf.DUMMYFUNCTION("""COMPUTED_VALUE"""),5)</f>
        <v>5</v>
      </c>
      <c r="K1600" s="1" t="str">
        <f ca="1">IFERROR(__xludf.DUMMYFUNCTION("""COMPUTED_VALUE"""),"Fully Remote with Options to travel as and when needed")</f>
        <v>Fully Remote with Options to travel as and when needed</v>
      </c>
      <c r="L1600" s="1" t="str">
        <f ca="1">IFERROR(__xludf.DUMMYFUNCTION("""COMPUTED_VALUE"""),"Employer who rewards learning and enables that environment")</f>
        <v>Employer who rewards learning and enables that environment</v>
      </c>
      <c r="M160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N1600" s="1"/>
      <c r="O1600" s="1" t="str">
        <f ca="1">IFERROR(__xludf.DUMMYFUNCTION("""COMPUTED_VALUE"""),"Manager who explains what is expected, sets a goal and helps achieve it")</f>
        <v>Manager who explains what is expected, sets a goal and helps achieve it</v>
      </c>
      <c r="P1600" s="1" t="str">
        <f ca="1">IFERROR(__xludf.DUMMYFUNCTION("""COMPUTED_VALUE"""),"Work Alone, &lt;=6 in team")</f>
        <v>Work Alone, &lt;=6 in team</v>
      </c>
      <c r="Q1600" s="1" t="s">
        <v>40</v>
      </c>
      <c r="R1600" s="1"/>
    </row>
    <row r="1601" spans="1:18" x14ac:dyDescent="0.25">
      <c r="A1601" s="2">
        <f ca="1">IFERROR(__xludf.DUMMYFUNCTION("""COMPUTED_VALUE"""),45045.9067729166)</f>
        <v>45045.906772916598</v>
      </c>
      <c r="B1601" s="1" t="str">
        <f ca="1">IFERROR(__xludf.DUMMYFUNCTION("""COMPUTED_VALUE"""),"India")</f>
        <v>India</v>
      </c>
      <c r="C1601" s="1">
        <f ca="1">IFERROR(__xludf.DUMMYFUNCTION("""COMPUTED_VALUE"""),110027)</f>
        <v>110027</v>
      </c>
      <c r="D1601" s="1" t="str">
        <f ca="1">IFERROR(__xludf.DUMMYFUNCTION("""COMPUTED_VALUE"""),"Female")</f>
        <v>Female</v>
      </c>
      <c r="E1601" s="1" t="str">
        <f ca="1">IFERROR(__xludf.DUMMYFUNCTION("""COMPUTED_VALUE"""),"People who have changed the world for better")</f>
        <v>People who have changed the world for better</v>
      </c>
      <c r="F1601" s="1" t="str">
        <f ca="1">IFERROR(__xludf.DUMMYFUNCTION("""COMPUTED_VALUE"""),"Yes, I will earn and do that")</f>
        <v>Yes, I will earn and do that</v>
      </c>
      <c r="G1601" s="1" t="str">
        <f ca="1">IFERROR(__xludf.DUMMYFUNCTION("""COMPUTED_VALUE"""),"This will be hard to do, but if it is the right company I would try")</f>
        <v>This will be hard to do, but if it is the right company I would try</v>
      </c>
      <c r="H1601" s="1" t="str">
        <f ca="1">IFERROR(__xludf.DUMMYFUNCTION("""COMPUTED_VALUE"""),"Yes")</f>
        <v>Yes</v>
      </c>
      <c r="I1601" s="1" t="str">
        <f ca="1">IFERROR(__xludf.DUMMYFUNCTION("""COMPUTED_VALUE"""),"Will NOT work for them")</f>
        <v>Will NOT work for them</v>
      </c>
      <c r="J1601" s="1">
        <f ca="1">IFERROR(__xludf.DUMMYFUNCTION("""COMPUTED_VALUE"""),5)</f>
        <v>5</v>
      </c>
      <c r="K1601" s="1" t="str">
        <f ca="1">IFERROR(__xludf.DUMMYFUNCTION("""COMPUTED_VALUE"""),"Hybrid Working Environment with more than 15 days a month at office")</f>
        <v>Hybrid Working Environment with more than 15 days a month at office</v>
      </c>
      <c r="L1601" s="1" t="str">
        <f ca="1">IFERROR(__xludf.DUMMYFUNCTION("""COMPUTED_VALUE"""),"Employer who pushes your limits by enabling an learning environment, and rewards you at the end")</f>
        <v>Employer who pushes your limits by enabling an learning environment, and rewards you at the end</v>
      </c>
      <c r="M1601"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601" s="1"/>
      <c r="O1601" s="1" t="str">
        <f ca="1">IFERROR(__xludf.DUMMYFUNCTION("""COMPUTED_VALUE"""),"Manager who explains what is expected, sets a goal and helps achieve it")</f>
        <v>Manager who explains what is expected, sets a goal and helps achieve it</v>
      </c>
      <c r="P1601" s="1" t="str">
        <f ca="1">IFERROR(__xludf.DUMMYFUNCTION("""COMPUTED_VALUE"""),"Work &gt;10 people in Team")</f>
        <v>Work &gt;10 people in Team</v>
      </c>
      <c r="Q1601" s="1" t="s">
        <v>40</v>
      </c>
      <c r="R1601" s="1"/>
    </row>
    <row r="1602" spans="1:18" x14ac:dyDescent="0.25">
      <c r="A1602" s="2">
        <f ca="1">IFERROR(__xludf.DUMMYFUNCTION("""COMPUTED_VALUE"""),45045.9123969907)</f>
        <v>45045.912396990701</v>
      </c>
      <c r="B1602" s="1" t="str">
        <f ca="1">IFERROR(__xludf.DUMMYFUNCTION("""COMPUTED_VALUE"""),"India")</f>
        <v>India</v>
      </c>
      <c r="C1602" s="1">
        <f ca="1">IFERROR(__xludf.DUMMYFUNCTION("""COMPUTED_VALUE"""),201002)</f>
        <v>201002</v>
      </c>
      <c r="D1602" s="1" t="str">
        <f ca="1">IFERROR(__xludf.DUMMYFUNCTION("""COMPUTED_VALUE"""),"Male")</f>
        <v>Male</v>
      </c>
      <c r="E1602" s="1" t="str">
        <f ca="1">IFERROR(__xludf.DUMMYFUNCTION("""COMPUTED_VALUE"""),"Influencers who had successful careers")</f>
        <v>Influencers who had successful careers</v>
      </c>
      <c r="F1602" s="1" t="str">
        <f ca="1">IFERROR(__xludf.DUMMYFUNCTION("""COMPUTED_VALUE"""),"Yes, I will earn and do that")</f>
        <v>Yes, I will earn and do that</v>
      </c>
      <c r="G1602" s="1" t="str">
        <f ca="1">IFERROR(__xludf.DUMMYFUNCTION("""COMPUTED_VALUE"""),"This will be hard to do, but if it is the right company I would try")</f>
        <v>This will be hard to do, but if it is the right company I would try</v>
      </c>
      <c r="H1602" s="1" t="str">
        <f ca="1">IFERROR(__xludf.DUMMYFUNCTION("""COMPUTED_VALUE"""),"No")</f>
        <v>No</v>
      </c>
      <c r="I1602" s="1" t="str">
        <f ca="1">IFERROR(__xludf.DUMMYFUNCTION("""COMPUTED_VALUE"""),"Will NOT work for them")</f>
        <v>Will NOT work for them</v>
      </c>
      <c r="J1602" s="1">
        <f ca="1">IFERROR(__xludf.DUMMYFUNCTION("""COMPUTED_VALUE"""),1)</f>
        <v>1</v>
      </c>
      <c r="K1602" s="1" t="str">
        <f ca="1">IFERROR(__xludf.DUMMYFUNCTION("""COMPUTED_VALUE"""),"Hybrid Working Environment with less than 3 days a month at office")</f>
        <v>Hybrid Working Environment with less than 3 days a month at office</v>
      </c>
      <c r="L1602" s="1" t="str">
        <f ca="1">IFERROR(__xludf.DUMMYFUNCTION("""COMPUTED_VALUE"""),"Employer who pushes your limits by enabling an learning environment, and rewards you at the end")</f>
        <v>Employer who pushes your limits by enabling an learning environment, and rewards you at the end</v>
      </c>
      <c r="M16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N1602" s="1"/>
      <c r="O1602" s="1" t="str">
        <f ca="1">IFERROR(__xludf.DUMMYFUNCTION("""COMPUTED_VALUE"""),"Manager who explains what is expected, sets a goal and helps achieve it")</f>
        <v>Manager who explains what is expected, sets a goal and helps achieve it</v>
      </c>
      <c r="P1602" s="1" t="str">
        <f ca="1">IFERROR(__xludf.DUMMYFUNCTION("""COMPUTED_VALUE"""),"Work &lt;=6 People in the Team")</f>
        <v>Work &lt;=6 People in the Team</v>
      </c>
      <c r="Q1602" s="1" t="s">
        <v>43</v>
      </c>
      <c r="R1602" s="1"/>
    </row>
    <row r="1603" spans="1:18" x14ac:dyDescent="0.25">
      <c r="A1603" s="2">
        <f ca="1">IFERROR(__xludf.DUMMYFUNCTION("""COMPUTED_VALUE"""),45045.9128753935)</f>
        <v>45045.9128753935</v>
      </c>
      <c r="B1603" s="1" t="str">
        <f ca="1">IFERROR(__xludf.DUMMYFUNCTION("""COMPUTED_VALUE"""),"India")</f>
        <v>India</v>
      </c>
      <c r="C1603" s="1">
        <f ca="1">IFERROR(__xludf.DUMMYFUNCTION("""COMPUTED_VALUE"""),43002)</f>
        <v>43002</v>
      </c>
      <c r="D1603" s="1" t="str">
        <f ca="1">IFERROR(__xludf.DUMMYFUNCTION("""COMPUTED_VALUE"""),"Female")</f>
        <v>Female</v>
      </c>
      <c r="E1603" s="1" t="str">
        <f ca="1">IFERROR(__xludf.DUMMYFUNCTION("""COMPUTED_VALUE"""),"My Parents")</f>
        <v>My Parents</v>
      </c>
      <c r="F1603" s="1" t="str">
        <f ca="1">IFERROR(__xludf.DUMMYFUNCTION("""COMPUTED_VALUE"""),"No I would not be pursuing Higher Education outside of India")</f>
        <v>No I would not be pursuing Higher Education outside of India</v>
      </c>
      <c r="G1603" s="1" t="str">
        <f ca="1">IFERROR(__xludf.DUMMYFUNCTION("""COMPUTED_VALUE"""),"This will be hard to do, but if it is the right company I would try")</f>
        <v>This will be hard to do, but if it is the right company I would try</v>
      </c>
      <c r="H1603" s="1" t="str">
        <f ca="1">IFERROR(__xludf.DUMMYFUNCTION("""COMPUTED_VALUE"""),"No")</f>
        <v>No</v>
      </c>
      <c r="I1603" s="1" t="str">
        <f ca="1">IFERROR(__xludf.DUMMYFUNCTION("""COMPUTED_VALUE"""),"Will NOT work for them")</f>
        <v>Will NOT work for them</v>
      </c>
      <c r="J1603" s="1">
        <f ca="1">IFERROR(__xludf.DUMMYFUNCTION("""COMPUTED_VALUE"""),8)</f>
        <v>8</v>
      </c>
      <c r="K1603" s="1" t="str">
        <f ca="1">IFERROR(__xludf.DUMMYFUNCTION("""COMPUTED_VALUE"""),"Every Day Office Environment")</f>
        <v>Every Day Office Environment</v>
      </c>
      <c r="L1603" s="1" t="str">
        <f ca="1">IFERROR(__xludf.DUMMYFUNCTION("""COMPUTED_VALUE"""),"Employer who pushes your limits by enabling an learning environment, and rewards you at the end")</f>
        <v>Employer who pushes your limits by enabling an learning environment, and rewards you at the end</v>
      </c>
      <c r="M1603"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N1603" s="1"/>
      <c r="O1603" s="1" t="str">
        <f ca="1">IFERROR(__xludf.DUMMYFUNCTION("""COMPUTED_VALUE"""),"Manager who explains what is expected, sets a goal and helps achieve it")</f>
        <v>Manager who explains what is expected, sets a goal and helps achieve it</v>
      </c>
      <c r="P1603" s="1" t="str">
        <f ca="1">IFERROR(__xludf.DUMMYFUNCTION("""COMPUTED_VALUE"""),"Work &lt;=6 People in the Team")</f>
        <v>Work &lt;=6 People in the Team</v>
      </c>
      <c r="Q1603" s="1" t="s">
        <v>40</v>
      </c>
      <c r="R1603" s="1"/>
    </row>
    <row r="1604" spans="1:18" x14ac:dyDescent="0.25">
      <c r="A1604" s="2">
        <f ca="1">IFERROR(__xludf.DUMMYFUNCTION("""COMPUTED_VALUE"""),45045.9152175347)</f>
        <v>45045.915217534697</v>
      </c>
      <c r="B1604" s="1" t="str">
        <f ca="1">IFERROR(__xludf.DUMMYFUNCTION("""COMPUTED_VALUE"""),"India")</f>
        <v>India</v>
      </c>
      <c r="C1604" s="1">
        <f ca="1">IFERROR(__xludf.DUMMYFUNCTION("""COMPUTED_VALUE"""),110003)</f>
        <v>110003</v>
      </c>
      <c r="D1604" s="1" t="str">
        <f ca="1">IFERROR(__xludf.DUMMYFUNCTION("""COMPUTED_VALUE"""),"Male")</f>
        <v>Male</v>
      </c>
      <c r="E1604" s="1" t="str">
        <f ca="1">IFERROR(__xludf.DUMMYFUNCTION("""COMPUTED_VALUE"""),"People who have changed the world for better")</f>
        <v>People who have changed the world for better</v>
      </c>
      <c r="F1604" s="1" t="str">
        <f ca="1">IFERROR(__xludf.DUMMYFUNCTION("""COMPUTED_VALUE"""),"Yes, I will earn and do that")</f>
        <v>Yes, I will earn and do that</v>
      </c>
      <c r="G1604" s="1" t="str">
        <f ca="1">IFERROR(__xludf.DUMMYFUNCTION("""COMPUTED_VALUE"""),"This will be hard to do, but if it is the right company I would try")</f>
        <v>This will be hard to do, but if it is the right company I would try</v>
      </c>
      <c r="H1604" s="1" t="str">
        <f ca="1">IFERROR(__xludf.DUMMYFUNCTION("""COMPUTED_VALUE"""),"No")</f>
        <v>No</v>
      </c>
      <c r="I1604" s="1" t="str">
        <f ca="1">IFERROR(__xludf.DUMMYFUNCTION("""COMPUTED_VALUE"""),"Will NOT work for them")</f>
        <v>Will NOT work for them</v>
      </c>
      <c r="J1604" s="1">
        <f ca="1">IFERROR(__xludf.DUMMYFUNCTION("""COMPUTED_VALUE"""),8)</f>
        <v>8</v>
      </c>
      <c r="K1604" s="1" t="str">
        <f ca="1">IFERROR(__xludf.DUMMYFUNCTION("""COMPUTED_VALUE"""),"Fully Remote with Options to travel as and when needed")</f>
        <v>Fully Remote with Options to travel as and when needed</v>
      </c>
      <c r="L1604" s="1" t="str">
        <f ca="1">IFERROR(__xludf.DUMMYFUNCTION("""COMPUTED_VALUE"""),"Employer who appreciates learning and enables that environment")</f>
        <v>Employer who appreciates learning and enables that environment</v>
      </c>
      <c r="M16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604" s="1"/>
      <c r="O1604" s="1" t="str">
        <f ca="1">IFERROR(__xludf.DUMMYFUNCTION("""COMPUTED_VALUE"""),"Manager who sets goal and helps me achieve it")</f>
        <v>Manager who sets goal and helps me achieve it</v>
      </c>
      <c r="P1604" s="1" t="str">
        <f ca="1">IFERROR(__xludf.DUMMYFUNCTION("""COMPUTED_VALUE"""),"Work &lt;=6 People in the Team")</f>
        <v>Work &lt;=6 People in the Team</v>
      </c>
      <c r="Q1604" s="1" t="s">
        <v>43</v>
      </c>
      <c r="R1604" s="1"/>
    </row>
    <row r="1605" spans="1:18" x14ac:dyDescent="0.25">
      <c r="A1605" s="2">
        <f ca="1">IFERROR(__xludf.DUMMYFUNCTION("""COMPUTED_VALUE"""),45045.9216758333)</f>
        <v>45045.921675833299</v>
      </c>
      <c r="B1605" s="1" t="str">
        <f ca="1">IFERROR(__xludf.DUMMYFUNCTION("""COMPUTED_VALUE"""),"Canada")</f>
        <v>Canada</v>
      </c>
      <c r="C1605" s="1" t="str">
        <f ca="1">IFERROR(__xludf.DUMMYFUNCTION("""COMPUTED_VALUE"""),"H3X2V2")</f>
        <v>H3X2V2</v>
      </c>
      <c r="D1605" s="1" t="str">
        <f ca="1">IFERROR(__xludf.DUMMYFUNCTION("""COMPUTED_VALUE"""),"Male")</f>
        <v>Male</v>
      </c>
      <c r="E1605" s="1" t="str">
        <f ca="1">IFERROR(__xludf.DUMMYFUNCTION("""COMPUTED_VALUE"""),"People who have changed the world for better")</f>
        <v>People who have changed the world for better</v>
      </c>
      <c r="F1605" s="1" t="str">
        <f ca="1">IFERROR(__xludf.DUMMYFUNCTION("""COMPUTED_VALUE"""),"Yes, I will earn and do that")</f>
        <v>Yes, I will earn and do that</v>
      </c>
      <c r="G1605" s="1" t="str">
        <f ca="1">IFERROR(__xludf.DUMMYFUNCTION("""COMPUTED_VALUE"""),"This will be hard to do, but if it is the right company I would try")</f>
        <v>This will be hard to do, but if it is the right company I would try</v>
      </c>
      <c r="H1605" s="1" t="str">
        <f ca="1">IFERROR(__xludf.DUMMYFUNCTION("""COMPUTED_VALUE"""),"No")</f>
        <v>No</v>
      </c>
      <c r="I1605" s="1" t="str">
        <f ca="1">IFERROR(__xludf.DUMMYFUNCTION("""COMPUTED_VALUE"""),"Will NOT work for them")</f>
        <v>Will NOT work for them</v>
      </c>
      <c r="J1605" s="1">
        <f ca="1">IFERROR(__xludf.DUMMYFUNCTION("""COMPUTED_VALUE"""),1)</f>
        <v>1</v>
      </c>
      <c r="K1605" s="1" t="str">
        <f ca="1">IFERROR(__xludf.DUMMYFUNCTION("""COMPUTED_VALUE"""),"Hybrid Working Environment with more than 15 days a month at office")</f>
        <v>Hybrid Working Environment with more than 15 days a month at office</v>
      </c>
      <c r="L1605" s="1" t="str">
        <f ca="1">IFERROR(__xludf.DUMMYFUNCTION("""COMPUTED_VALUE"""),"Employer who pushes your limits by enabling an learning environment, and rewards you at the end")</f>
        <v>Employer who pushes your limits by enabling an learning environment, and rewards you at the end</v>
      </c>
      <c r="M1605"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N1605" s="1"/>
      <c r="O1605" s="1" t="str">
        <f ca="1">IFERROR(__xludf.DUMMYFUNCTION("""COMPUTED_VALUE"""),"Manager who explains what is expected, sets a goal and helps achieve it")</f>
        <v>Manager who explains what is expected, sets a goal and helps achieve it</v>
      </c>
      <c r="P1605" s="1" t="str">
        <f ca="1">IFERROR(__xludf.DUMMYFUNCTION("""COMPUTED_VALUE"""),"Work &lt;67 People in the Team")</f>
        <v>Work &lt;67 People in the Team</v>
      </c>
      <c r="Q1605" s="1" t="s">
        <v>43</v>
      </c>
      <c r="R1605" s="1"/>
    </row>
    <row r="1606" spans="1:18" x14ac:dyDescent="0.25">
      <c r="A1606" s="2">
        <f ca="1">IFERROR(__xludf.DUMMYFUNCTION("""COMPUTED_VALUE"""),45045.9227116898)</f>
        <v>45045.922711689796</v>
      </c>
      <c r="B1606" s="1" t="str">
        <f ca="1">IFERROR(__xludf.DUMMYFUNCTION("""COMPUTED_VALUE"""),"India")</f>
        <v>India</v>
      </c>
      <c r="C1606" s="1">
        <f ca="1">IFERROR(__xludf.DUMMYFUNCTION("""COMPUTED_VALUE"""),500072)</f>
        <v>500072</v>
      </c>
      <c r="D1606" s="1" t="str">
        <f ca="1">IFERROR(__xludf.DUMMYFUNCTION("""COMPUTED_VALUE"""),"Female")</f>
        <v>Female</v>
      </c>
      <c r="E1606" s="1" t="str">
        <f ca="1">IFERROR(__xludf.DUMMYFUNCTION("""COMPUTED_VALUE"""),"Influencers who had successful careers")</f>
        <v>Influencers who had successful careers</v>
      </c>
      <c r="F1606" s="1" t="str">
        <f ca="1">IFERROR(__xludf.DUMMYFUNCTION("""COMPUTED_VALUE"""),"Yes, I will earn and do that")</f>
        <v>Yes, I will earn and do that</v>
      </c>
      <c r="G1606" s="1" t="str">
        <f ca="1">IFERROR(__xludf.DUMMYFUNCTION("""COMPUTED_VALUE"""),"Will work for 3 years or more")</f>
        <v>Will work for 3 years or more</v>
      </c>
      <c r="H1606" s="1" t="str">
        <f ca="1">IFERROR(__xludf.DUMMYFUNCTION("""COMPUTED_VALUE"""),"No")</f>
        <v>No</v>
      </c>
      <c r="I1606" s="1" t="str">
        <f ca="1">IFERROR(__xludf.DUMMYFUNCTION("""COMPUTED_VALUE"""),"Will NOT work for them")</f>
        <v>Will NOT work for them</v>
      </c>
      <c r="J1606" s="1">
        <f ca="1">IFERROR(__xludf.DUMMYFUNCTION("""COMPUTED_VALUE"""),6)</f>
        <v>6</v>
      </c>
      <c r="K1606" s="1" t="str">
        <f ca="1">IFERROR(__xludf.DUMMYFUNCTION("""COMPUTED_VALUE"""),"Every Day Office Environment")</f>
        <v>Every Day Office Environment</v>
      </c>
      <c r="L1606" s="1" t="str">
        <f ca="1">IFERROR(__xludf.DUMMYFUNCTION("""COMPUTED_VALUE"""),"Employer who pushes your limits by enabling an learning environment, and rewards you at the end")</f>
        <v>Employer who pushes your limits by enabling an learning environment, and rewards you at the end</v>
      </c>
      <c r="M160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N1606" s="1"/>
      <c r="O1606" s="1" t="str">
        <f ca="1">IFERROR(__xludf.DUMMYFUNCTION("""COMPUTED_VALUE"""),"Manager who sets targets and expects me to achieve it")</f>
        <v>Manager who sets targets and expects me to achieve it</v>
      </c>
      <c r="P1606" s="1" t="str">
        <f ca="1">IFERROR(__xludf.DUMMYFUNCTION("""COMPUTED_VALUE"""),"Work Alone, &lt;=6 in team")</f>
        <v>Work Alone, &lt;=6 in team</v>
      </c>
      <c r="Q1606" s="1" t="s">
        <v>40</v>
      </c>
      <c r="R1606" s="1"/>
    </row>
    <row r="1607" spans="1:18" x14ac:dyDescent="0.25">
      <c r="A1607" s="2">
        <f ca="1">IFERROR(__xludf.DUMMYFUNCTION("""COMPUTED_VALUE"""),45045.9233549537)</f>
        <v>45045.923354953702</v>
      </c>
      <c r="B1607" s="1" t="str">
        <f ca="1">IFERROR(__xludf.DUMMYFUNCTION("""COMPUTED_VALUE"""),"India")</f>
        <v>India</v>
      </c>
      <c r="C1607" s="1">
        <f ca="1">IFERROR(__xludf.DUMMYFUNCTION("""COMPUTED_VALUE"""),495001)</f>
        <v>495001</v>
      </c>
      <c r="D1607" s="1" t="str">
        <f ca="1">IFERROR(__xludf.DUMMYFUNCTION("""COMPUTED_VALUE"""),"Female")</f>
        <v>Female</v>
      </c>
      <c r="E1607" s="1" t="str">
        <f ca="1">IFERROR(__xludf.DUMMYFUNCTION("""COMPUTED_VALUE"""),"My Parents")</f>
        <v>My Parents</v>
      </c>
      <c r="F1607" s="1" t="str">
        <f ca="1">IFERROR(__xludf.DUMMYFUNCTION("""COMPUTED_VALUE"""),"Yes, I will earn and do that")</f>
        <v>Yes, I will earn and do that</v>
      </c>
      <c r="G1607" s="1" t="str">
        <f ca="1">IFERROR(__xludf.DUMMYFUNCTION("""COMPUTED_VALUE"""),"Will work for 3 years or more")</f>
        <v>Will work for 3 years or more</v>
      </c>
      <c r="H1607" s="1" t="str">
        <f ca="1">IFERROR(__xludf.DUMMYFUNCTION("""COMPUTED_VALUE"""),"No")</f>
        <v>No</v>
      </c>
      <c r="I1607" s="1" t="str">
        <f ca="1">IFERROR(__xludf.DUMMYFUNCTION("""COMPUTED_VALUE"""),"Will NOT work for them")</f>
        <v>Will NOT work for them</v>
      </c>
      <c r="J1607" s="1">
        <f ca="1">IFERROR(__xludf.DUMMYFUNCTION("""COMPUTED_VALUE"""),4)</f>
        <v>4</v>
      </c>
      <c r="K1607" s="1" t="str">
        <f ca="1">IFERROR(__xludf.DUMMYFUNCTION("""COMPUTED_VALUE"""),"Hybrid Working Environment with more than 15 days a month at office")</f>
        <v>Hybrid Working Environment with more than 15 days a month at office</v>
      </c>
      <c r="L1607" s="1" t="str">
        <f ca="1">IFERROR(__xludf.DUMMYFUNCTION("""COMPUTED_VALUE"""),"Employer who pushes your limits by enabling an learning environment, and rewards you at the end")</f>
        <v>Employer who pushes your limits by enabling an learning environment, and rewards you at the end</v>
      </c>
      <c r="M160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N1607" s="1"/>
      <c r="O1607" s="1" t="str">
        <f ca="1">IFERROR(__xludf.DUMMYFUNCTION("""COMPUTED_VALUE"""),"Manager who explains what is expected, sets a goal and helps achieve it")</f>
        <v>Manager who explains what is expected, sets a goal and helps achieve it</v>
      </c>
      <c r="P1607" s="1" t="str">
        <f ca="1">IFERROR(__xludf.DUMMYFUNCTION("""COMPUTED_VALUE"""),"Work &lt;=6 People in the Team")</f>
        <v>Work &lt;=6 People in the Team</v>
      </c>
      <c r="Q1607" s="1" t="s">
        <v>40</v>
      </c>
      <c r="R1607" s="1"/>
    </row>
    <row r="1608" spans="1:18" x14ac:dyDescent="0.25">
      <c r="A1608" s="2">
        <f ca="1">IFERROR(__xludf.DUMMYFUNCTION("""COMPUTED_VALUE"""),45045.9249749884)</f>
        <v>45045.924974988397</v>
      </c>
      <c r="B1608" s="1" t="str">
        <f ca="1">IFERROR(__xludf.DUMMYFUNCTION("""COMPUTED_VALUE"""),"India")</f>
        <v>India</v>
      </c>
      <c r="C1608" s="1">
        <f ca="1">IFERROR(__xludf.DUMMYFUNCTION("""COMPUTED_VALUE"""),456006)</f>
        <v>456006</v>
      </c>
      <c r="D1608" s="1" t="str">
        <f ca="1">IFERROR(__xludf.DUMMYFUNCTION("""COMPUTED_VALUE"""),"Female")</f>
        <v>Female</v>
      </c>
      <c r="E1608" s="1" t="str">
        <f ca="1">IFERROR(__xludf.DUMMYFUNCTION("""COMPUTED_VALUE"""),"People from my circle, but not family members")</f>
        <v>People from my circle, but not family members</v>
      </c>
      <c r="F1608" s="1" t="str">
        <f ca="1">IFERROR(__xludf.DUMMYFUNCTION("""COMPUTED_VALUE"""),"No, But if someone could bare the cost I will")</f>
        <v>No, But if someone could bare the cost I will</v>
      </c>
      <c r="G1608" s="1" t="str">
        <f ca="1">IFERROR(__xludf.DUMMYFUNCTION("""COMPUTED_VALUE"""),"This will be hard to do, but if it is the right company I would try")</f>
        <v>This will be hard to do, but if it is the right company I would try</v>
      </c>
      <c r="H1608" s="1" t="str">
        <f ca="1">IFERROR(__xludf.DUMMYFUNCTION("""COMPUTED_VALUE"""),"No")</f>
        <v>No</v>
      </c>
      <c r="I1608" s="1" t="str">
        <f ca="1">IFERROR(__xludf.DUMMYFUNCTION("""COMPUTED_VALUE"""),"Will NOT work for them")</f>
        <v>Will NOT work for them</v>
      </c>
      <c r="J1608" s="1">
        <f ca="1">IFERROR(__xludf.DUMMYFUNCTION("""COMPUTED_VALUE"""),10)</f>
        <v>10</v>
      </c>
      <c r="K1608" s="1" t="str">
        <f ca="1">IFERROR(__xludf.DUMMYFUNCTION("""COMPUTED_VALUE"""),"Fully Remote with Options to travel as and when needed")</f>
        <v>Fully Remote with Options to travel as and when needed</v>
      </c>
      <c r="L1608" s="1" t="str">
        <f ca="1">IFERROR(__xludf.DUMMYFUNCTION("""COMPUTED_VALUE"""),"Employer who pushes your limits by enabling an learning environment, and rewards you at the end")</f>
        <v>Employer who pushes your limits by enabling an learning environment, and rewards you at the end</v>
      </c>
      <c r="M160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N1608" s="1"/>
      <c r="O1608" s="1" t="str">
        <f ca="1">IFERROR(__xludf.DUMMYFUNCTION("""COMPUTED_VALUE"""),"Manager who explains what is expected, sets a goal and helps achieve it")</f>
        <v>Manager who explains what is expected, sets a goal and helps achieve it</v>
      </c>
      <c r="P1608" s="1" t="str">
        <f ca="1">IFERROR(__xludf.DUMMYFUNCTION("""COMPUTED_VALUE"""),"Work &gt;=7 People in the Team")</f>
        <v>Work &gt;=7 People in the Team</v>
      </c>
      <c r="Q1608" s="1" t="s">
        <v>40</v>
      </c>
      <c r="R1608" s="1"/>
    </row>
    <row r="1609" spans="1:18" x14ac:dyDescent="0.25">
      <c r="A1609" s="2">
        <f ca="1">IFERROR(__xludf.DUMMYFUNCTION("""COMPUTED_VALUE"""),45045.9260512384)</f>
        <v>45045.926051238399</v>
      </c>
      <c r="B1609" s="1" t="str">
        <f ca="1">IFERROR(__xludf.DUMMYFUNCTION("""COMPUTED_VALUE"""),"India")</f>
        <v>India</v>
      </c>
      <c r="C1609" s="1">
        <f ca="1">IFERROR(__xludf.DUMMYFUNCTION("""COMPUTED_VALUE"""),473001)</f>
        <v>473001</v>
      </c>
      <c r="D1609" s="1" t="str">
        <f ca="1">IFERROR(__xludf.DUMMYFUNCTION("""COMPUTED_VALUE"""),"Male")</f>
        <v>Male</v>
      </c>
      <c r="E1609" s="1" t="str">
        <f ca="1">IFERROR(__xludf.DUMMYFUNCTION("""COMPUTED_VALUE"""),"People from my circle, but not family members")</f>
        <v>People from my circle, but not family members</v>
      </c>
      <c r="F1609" s="1" t="str">
        <f ca="1">IFERROR(__xludf.DUMMYFUNCTION("""COMPUTED_VALUE"""),"No I would not be pursuing Higher Education outside of India")</f>
        <v>No I would not be pursuing Higher Education outside of India</v>
      </c>
      <c r="G1609" s="1" t="str">
        <f ca="1">IFERROR(__xludf.DUMMYFUNCTION("""COMPUTED_VALUE"""),"This will be hard to do, but if it is the right company I would try")</f>
        <v>This will be hard to do, but if it is the right company I would try</v>
      </c>
      <c r="H1609" s="1" t="str">
        <f ca="1">IFERROR(__xludf.DUMMYFUNCTION("""COMPUTED_VALUE"""),"No")</f>
        <v>No</v>
      </c>
      <c r="I1609" s="1" t="str">
        <f ca="1">IFERROR(__xludf.DUMMYFUNCTION("""COMPUTED_VALUE"""),"Will NOT work for them")</f>
        <v>Will NOT work for them</v>
      </c>
      <c r="J1609" s="1">
        <f ca="1">IFERROR(__xludf.DUMMYFUNCTION("""COMPUTED_VALUE"""),3)</f>
        <v>3</v>
      </c>
      <c r="K1609" s="1" t="str">
        <f ca="1">IFERROR(__xludf.DUMMYFUNCTION("""COMPUTED_VALUE"""),"Hybrid Working Environment with more than 15 days a month at office")</f>
        <v>Hybrid Working Environment with more than 15 days a month at office</v>
      </c>
      <c r="L1609" s="1" t="str">
        <f ca="1">IFERROR(__xludf.DUMMYFUNCTION("""COMPUTED_VALUE"""),"Employer who pushes your limits by enabling an learning environment, and rewards you at the end")</f>
        <v>Employer who pushes your limits by enabling an learning environment, and rewards you at the end</v>
      </c>
      <c r="M160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N1609" s="1"/>
      <c r="O1609" s="1" t="str">
        <f ca="1">IFERROR(__xludf.DUMMYFUNCTION("""COMPUTED_VALUE"""),"Manager who sets goal and helps me achieve it")</f>
        <v>Manager who sets goal and helps me achieve it</v>
      </c>
      <c r="P1609" s="1" t="str">
        <f ca="1">IFERROR(__xludf.DUMMYFUNCTION("""COMPUTED_VALUE"""),"Work &lt;=6 People in the Team")</f>
        <v>Work &lt;=6 People in the Team</v>
      </c>
      <c r="Q1609" s="1" t="s">
        <v>42</v>
      </c>
      <c r="R1609" s="1"/>
    </row>
    <row r="1610" spans="1:18" x14ac:dyDescent="0.25">
      <c r="A1610" s="2">
        <f ca="1">IFERROR(__xludf.DUMMYFUNCTION("""COMPUTED_VALUE"""),45045.927445625)</f>
        <v>45045.927445624999</v>
      </c>
      <c r="B1610" s="1" t="str">
        <f ca="1">IFERROR(__xludf.DUMMYFUNCTION("""COMPUTED_VALUE"""),"India")</f>
        <v>India</v>
      </c>
      <c r="C1610" s="1">
        <f ca="1">IFERROR(__xludf.DUMMYFUNCTION("""COMPUTED_VALUE"""),110006)</f>
        <v>110006</v>
      </c>
      <c r="D1610" s="1" t="str">
        <f ca="1">IFERROR(__xludf.DUMMYFUNCTION("""COMPUTED_VALUE"""),"Female")</f>
        <v>Female</v>
      </c>
      <c r="E1610" s="1" t="str">
        <f ca="1">IFERROR(__xludf.DUMMYFUNCTION("""COMPUTED_VALUE"""),"People from my circle, but not family members")</f>
        <v>People from my circle, but not family members</v>
      </c>
      <c r="F1610" s="1" t="str">
        <f ca="1">IFERROR(__xludf.DUMMYFUNCTION("""COMPUTED_VALUE"""),"No, But if someone could bare the cost I will")</f>
        <v>No, But if someone could bare the cost I will</v>
      </c>
      <c r="G1610" s="1" t="str">
        <f ca="1">IFERROR(__xludf.DUMMYFUNCTION("""COMPUTED_VALUE"""),"This will be hard to do, but if it is the right company I would try")</f>
        <v>This will be hard to do, but if it is the right company I would try</v>
      </c>
      <c r="H1610" s="1" t="str">
        <f ca="1">IFERROR(__xludf.DUMMYFUNCTION("""COMPUTED_VALUE"""),"No")</f>
        <v>No</v>
      </c>
      <c r="I1610" s="1" t="str">
        <f ca="1">IFERROR(__xludf.DUMMYFUNCTION("""COMPUTED_VALUE"""),"Will NOT work for them")</f>
        <v>Will NOT work for them</v>
      </c>
      <c r="J1610" s="1">
        <f ca="1">IFERROR(__xludf.DUMMYFUNCTION("""COMPUTED_VALUE"""),4)</f>
        <v>4</v>
      </c>
      <c r="K1610" s="1" t="str">
        <f ca="1">IFERROR(__xludf.DUMMYFUNCTION("""COMPUTED_VALUE"""),"Hybrid Working Environment with less than 3 days a month at office")</f>
        <v>Hybrid Working Environment with less than 3 days a month at office</v>
      </c>
      <c r="L1610" s="1" t="str">
        <f ca="1">IFERROR(__xludf.DUMMYFUNCTION("""COMPUTED_VALUE"""),"Employer who pushes your limits by enabling an learning environment, and rewards you at the end")</f>
        <v>Employer who pushes your limits by enabling an learning environment, and rewards you at the end</v>
      </c>
      <c r="M1610"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N1610" s="1"/>
      <c r="O1610" s="1" t="str">
        <f ca="1">IFERROR(__xludf.DUMMYFUNCTION("""COMPUTED_VALUE"""),"Manager who explains what is expected, sets a goal and helps achieve it")</f>
        <v>Manager who explains what is expected, sets a goal and helps achieve it</v>
      </c>
      <c r="P1610" s="1" t="str">
        <f ca="1">IFERROR(__xludf.DUMMYFUNCTION("""COMPUTED_VALUE"""),"Work &lt;=6 People in the Team")</f>
        <v>Work &lt;=6 People in the Team</v>
      </c>
      <c r="Q1610" s="1" t="s">
        <v>43</v>
      </c>
      <c r="R1610" s="1"/>
    </row>
    <row r="1611" spans="1:18" x14ac:dyDescent="0.25">
      <c r="A1611" s="2">
        <f ca="1">IFERROR(__xludf.DUMMYFUNCTION("""COMPUTED_VALUE"""),45045.9293493287)</f>
        <v>45045.929349328697</v>
      </c>
      <c r="B1611" s="1" t="str">
        <f ca="1">IFERROR(__xludf.DUMMYFUNCTION("""COMPUTED_VALUE"""),"United States of America")</f>
        <v>United States of America</v>
      </c>
      <c r="C1611" s="1">
        <f ca="1">IFERROR(__xludf.DUMMYFUNCTION("""COMPUTED_VALUE"""),27606)</f>
        <v>27606</v>
      </c>
      <c r="D1611" s="1" t="str">
        <f ca="1">IFERROR(__xludf.DUMMYFUNCTION("""COMPUTED_VALUE"""),"Female")</f>
        <v>Female</v>
      </c>
      <c r="E1611" s="1" t="str">
        <f ca="1">IFERROR(__xludf.DUMMYFUNCTION("""COMPUTED_VALUE"""),"People who have changed the world for better")</f>
        <v>People who have changed the world for better</v>
      </c>
      <c r="F1611" s="1" t="str">
        <f ca="1">IFERROR(__xludf.DUMMYFUNCTION("""COMPUTED_VALUE"""),"No, But if someone could bare the cost I will")</f>
        <v>No, But if someone could bare the cost I will</v>
      </c>
      <c r="G1611" s="1" t="str">
        <f ca="1">IFERROR(__xludf.DUMMYFUNCTION("""COMPUTED_VALUE"""),"Will work for 3 years or more")</f>
        <v>Will work for 3 years or more</v>
      </c>
      <c r="H1611" s="1" t="str">
        <f ca="1">IFERROR(__xludf.DUMMYFUNCTION("""COMPUTED_VALUE"""),"No")</f>
        <v>No</v>
      </c>
      <c r="I1611" s="1" t="str">
        <f ca="1">IFERROR(__xludf.DUMMYFUNCTION("""COMPUTED_VALUE"""),"Will NOT work for them")</f>
        <v>Will NOT work for them</v>
      </c>
      <c r="J1611" s="1">
        <f ca="1">IFERROR(__xludf.DUMMYFUNCTION("""COMPUTED_VALUE"""),5)</f>
        <v>5</v>
      </c>
      <c r="K1611" s="1" t="str">
        <f ca="1">IFERROR(__xludf.DUMMYFUNCTION("""COMPUTED_VALUE"""),"Hybrid Working Environment with more than 15 days a month at office")</f>
        <v>Hybrid Working Environment with more than 15 days a month at office</v>
      </c>
      <c r="L1611" s="1" t="str">
        <f ca="1">IFERROR(__xludf.DUMMYFUNCTION("""COMPUTED_VALUE"""),"Employer who pushes your limits by enabling an learning environment, and rewards you at the end")</f>
        <v>Employer who pushes your limits by enabling an learning environment, and rewards you at the end</v>
      </c>
      <c r="M161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611" s="1"/>
      <c r="O1611" s="1" t="str">
        <f ca="1">IFERROR(__xludf.DUMMYFUNCTION("""COMPUTED_VALUE"""),"Manager who explains what is expected, sets a goal and helps achieve it")</f>
        <v>Manager who explains what is expected, sets a goal and helps achieve it</v>
      </c>
      <c r="P1611" s="1" t="str">
        <f ca="1">IFERROR(__xludf.DUMMYFUNCTION("""COMPUTED_VALUE"""),"Work &lt;=6 People in the Team")</f>
        <v>Work &lt;=6 People in the Team</v>
      </c>
      <c r="Q1611" s="1" t="s">
        <v>43</v>
      </c>
      <c r="R1611" s="1"/>
    </row>
    <row r="1612" spans="1:18" x14ac:dyDescent="0.25">
      <c r="A1612" s="2">
        <f ca="1">IFERROR(__xludf.DUMMYFUNCTION("""COMPUTED_VALUE"""),45045.9305853125)</f>
        <v>45045.930585312497</v>
      </c>
      <c r="B1612" s="1" t="str">
        <f ca="1">IFERROR(__xludf.DUMMYFUNCTION("""COMPUTED_VALUE"""),"India")</f>
        <v>India</v>
      </c>
      <c r="C1612" s="1">
        <f ca="1">IFERROR(__xludf.DUMMYFUNCTION("""COMPUTED_VALUE"""),721302)</f>
        <v>721302</v>
      </c>
      <c r="D1612" s="1" t="str">
        <f ca="1">IFERROR(__xludf.DUMMYFUNCTION("""COMPUTED_VALUE"""),"Male")</f>
        <v>Male</v>
      </c>
      <c r="E1612" s="1" t="str">
        <f ca="1">IFERROR(__xludf.DUMMYFUNCTION("""COMPUTED_VALUE"""),"Social Media like LinkedIn")</f>
        <v>Social Media like LinkedIn</v>
      </c>
      <c r="F1612" s="1" t="str">
        <f ca="1">IFERROR(__xludf.DUMMYFUNCTION("""COMPUTED_VALUE"""),"No I would not be pursuing Higher Education outside of India")</f>
        <v>No I would not be pursuing Higher Education outside of India</v>
      </c>
      <c r="G1612" s="1" t="str">
        <f ca="1">IFERROR(__xludf.DUMMYFUNCTION("""COMPUTED_VALUE"""),"This will be hard to do, but if it is the right company I would try")</f>
        <v>This will be hard to do, but if it is the right company I would try</v>
      </c>
      <c r="H1612" s="1" t="str">
        <f ca="1">IFERROR(__xludf.DUMMYFUNCTION("""COMPUTED_VALUE"""),"No")</f>
        <v>No</v>
      </c>
      <c r="I1612" s="1" t="str">
        <f ca="1">IFERROR(__xludf.DUMMYFUNCTION("""COMPUTED_VALUE"""),"Will NOT work for them")</f>
        <v>Will NOT work for them</v>
      </c>
      <c r="J1612" s="1">
        <f ca="1">IFERROR(__xludf.DUMMYFUNCTION("""COMPUTED_VALUE"""),6)</f>
        <v>6</v>
      </c>
      <c r="K1612" s="1" t="str">
        <f ca="1">IFERROR(__xludf.DUMMYFUNCTION("""COMPUTED_VALUE"""),"Every Day Office Environment")</f>
        <v>Every Day Office Environment</v>
      </c>
      <c r="L1612" s="1" t="str">
        <f ca="1">IFERROR(__xludf.DUMMYFUNCTION("""COMPUTED_VALUE"""),"Employer who pushes your limits by enabling an learning environment, and rewards you at the end")</f>
        <v>Employer who pushes your limits by enabling an learning environment, and rewards you at the end</v>
      </c>
      <c r="M1612"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N1612" s="1"/>
      <c r="O1612" s="1" t="str">
        <f ca="1">IFERROR(__xludf.DUMMYFUNCTION("""COMPUTED_VALUE"""),"Manager who sets goal and helps me achieve it")</f>
        <v>Manager who sets goal and helps me achieve it</v>
      </c>
      <c r="P1612" s="1" t="str">
        <f ca="1">IFERROR(__xludf.DUMMYFUNCTION("""COMPUTED_VALUE"""),"Work &lt;=6 People in the Team")</f>
        <v>Work &lt;=6 People in the Team</v>
      </c>
      <c r="Q1612" s="1" t="s">
        <v>43</v>
      </c>
      <c r="R1612" s="1"/>
    </row>
    <row r="1613" spans="1:18" x14ac:dyDescent="0.25">
      <c r="A1613" s="2">
        <f ca="1">IFERROR(__xludf.DUMMYFUNCTION("""COMPUTED_VALUE"""),45045.931969537)</f>
        <v>45045.931969537</v>
      </c>
      <c r="B1613" s="1" t="str">
        <f ca="1">IFERROR(__xludf.DUMMYFUNCTION("""COMPUTED_VALUE"""),"India")</f>
        <v>India</v>
      </c>
      <c r="C1613" s="1">
        <f ca="1">IFERROR(__xludf.DUMMYFUNCTION("""COMPUTED_VALUE"""),452001)</f>
        <v>452001</v>
      </c>
      <c r="D1613" s="1" t="str">
        <f ca="1">IFERROR(__xludf.DUMMYFUNCTION("""COMPUTED_VALUE"""),"Female")</f>
        <v>Female</v>
      </c>
      <c r="E1613" s="1" t="str">
        <f ca="1">IFERROR(__xludf.DUMMYFUNCTION("""COMPUTED_VALUE"""),"People who have changed the world for better")</f>
        <v>People who have changed the world for better</v>
      </c>
      <c r="F1613" s="1" t="str">
        <f ca="1">IFERROR(__xludf.DUMMYFUNCTION("""COMPUTED_VALUE"""),"No I would not be pursuing Higher Education outside of India")</f>
        <v>No I would not be pursuing Higher Education outside of India</v>
      </c>
      <c r="G1613" s="1" t="str">
        <f ca="1">IFERROR(__xludf.DUMMYFUNCTION("""COMPUTED_VALUE"""),"This will be hard to do, but if it is the right company I would try")</f>
        <v>This will be hard to do, but if it is the right company I would try</v>
      </c>
      <c r="H1613" s="1" t="str">
        <f ca="1">IFERROR(__xludf.DUMMYFUNCTION("""COMPUTED_VALUE"""),"No")</f>
        <v>No</v>
      </c>
      <c r="I1613" s="1" t="str">
        <f ca="1">IFERROR(__xludf.DUMMYFUNCTION("""COMPUTED_VALUE"""),"Will NOT work for them")</f>
        <v>Will NOT work for them</v>
      </c>
      <c r="J1613" s="1">
        <f ca="1">IFERROR(__xludf.DUMMYFUNCTION("""COMPUTED_VALUE"""),3)</f>
        <v>3</v>
      </c>
      <c r="K1613" s="1" t="str">
        <f ca="1">IFERROR(__xludf.DUMMYFUNCTION("""COMPUTED_VALUE"""),"Hybrid Working Environment with less than 3 days a month at office")</f>
        <v>Hybrid Working Environment with less than 3 days a month at office</v>
      </c>
      <c r="L1613" s="1" t="str">
        <f ca="1">IFERROR(__xludf.DUMMYFUNCTION("""COMPUTED_VALUE"""),"Employer who pushes your limits by enabling an learning environment, and rewards you at the end")</f>
        <v>Employer who pushes your limits by enabling an learning environment, and rewards you at the end</v>
      </c>
      <c r="M1613"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N1613" s="1"/>
      <c r="O1613" s="1" t="str">
        <f ca="1">IFERROR(__xludf.DUMMYFUNCTION("""COMPUTED_VALUE"""),"Manager who explains what is expected, sets a goal and helps achieve it")</f>
        <v>Manager who explains what is expected, sets a goal and helps achieve it</v>
      </c>
      <c r="P1613" s="1" t="str">
        <f ca="1">IFERROR(__xludf.DUMMYFUNCTION("""COMPUTED_VALUE"""),"Work &lt;=6 People in the Team")</f>
        <v>Work &lt;=6 People in the Team</v>
      </c>
      <c r="Q1613" s="1" t="s">
        <v>40</v>
      </c>
      <c r="R1613" s="1"/>
    </row>
    <row r="1614" spans="1:18" x14ac:dyDescent="0.25">
      <c r="A1614" s="2">
        <f ca="1">IFERROR(__xludf.DUMMYFUNCTION("""COMPUTED_VALUE"""),45045.9324794444)</f>
        <v>45045.932479444396</v>
      </c>
      <c r="B1614" s="1" t="str">
        <f ca="1">IFERROR(__xludf.DUMMYFUNCTION("""COMPUTED_VALUE"""),"India")</f>
        <v>India</v>
      </c>
      <c r="C1614" s="1">
        <f ca="1">IFERROR(__xludf.DUMMYFUNCTION("""COMPUTED_VALUE"""),828302)</f>
        <v>828302</v>
      </c>
      <c r="D1614" s="1" t="str">
        <f ca="1">IFERROR(__xludf.DUMMYFUNCTION("""COMPUTED_VALUE"""),"Male")</f>
        <v>Male</v>
      </c>
      <c r="E1614" s="1" t="str">
        <f ca="1">IFERROR(__xludf.DUMMYFUNCTION("""COMPUTED_VALUE"""),"Social Media like LinkedIn")</f>
        <v>Social Media like LinkedIn</v>
      </c>
      <c r="F1614" s="1" t="str">
        <f ca="1">IFERROR(__xludf.DUMMYFUNCTION("""COMPUTED_VALUE"""),"No I would not be pursuing Higher Education outside of India")</f>
        <v>No I would not be pursuing Higher Education outside of India</v>
      </c>
      <c r="G1614" s="1" t="str">
        <f ca="1">IFERROR(__xludf.DUMMYFUNCTION("""COMPUTED_VALUE"""),"This will be hard to do, but if it is the right company I would try")</f>
        <v>This will be hard to do, but if it is the right company I would try</v>
      </c>
      <c r="H1614" s="1" t="str">
        <f ca="1">IFERROR(__xludf.DUMMYFUNCTION("""COMPUTED_VALUE"""),"Yes")</f>
        <v>Yes</v>
      </c>
      <c r="I1614" s="1" t="str">
        <f ca="1">IFERROR(__xludf.DUMMYFUNCTION("""COMPUTED_VALUE"""),"Will NOT work for them")</f>
        <v>Will NOT work for them</v>
      </c>
      <c r="J1614" s="1">
        <f ca="1">IFERROR(__xludf.DUMMYFUNCTION("""COMPUTED_VALUE"""),6)</f>
        <v>6</v>
      </c>
      <c r="K1614" s="1" t="str">
        <f ca="1">IFERROR(__xludf.DUMMYFUNCTION("""COMPUTED_VALUE"""),"Fully Remote with Options to travel as and when needed")</f>
        <v>Fully Remote with Options to travel as and when needed</v>
      </c>
      <c r="L1614" s="1" t="str">
        <f ca="1">IFERROR(__xludf.DUMMYFUNCTION("""COMPUTED_VALUE"""),"Employer who appreciates learning and enables that environment")</f>
        <v>Employer who appreciates learning and enables that environment</v>
      </c>
      <c r="M1614"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614" s="1"/>
      <c r="O1614" s="1" t="str">
        <f ca="1">IFERROR(__xludf.DUMMYFUNCTION("""COMPUTED_VALUE"""),"Manager who clearly describes what she/he needs")</f>
        <v>Manager who clearly describes what she/he needs</v>
      </c>
      <c r="P1614" s="1" t="str">
        <f ca="1">IFERROR(__xludf.DUMMYFUNCTION("""COMPUTED_VALUE"""),"Work &lt;=6 People in the Team")</f>
        <v>Work &lt;=6 People in the Team</v>
      </c>
      <c r="Q1614" s="1" t="s">
        <v>43</v>
      </c>
      <c r="R1614" s="1"/>
    </row>
    <row r="1615" spans="1:18" x14ac:dyDescent="0.25">
      <c r="A1615" s="2">
        <f ca="1">IFERROR(__xludf.DUMMYFUNCTION("""COMPUTED_VALUE"""),45045.935455405)</f>
        <v>45045.935455405001</v>
      </c>
      <c r="B1615" s="1" t="str">
        <f ca="1">IFERROR(__xludf.DUMMYFUNCTION("""COMPUTED_VALUE"""),"India")</f>
        <v>India</v>
      </c>
      <c r="C1615" s="1">
        <f ca="1">IFERROR(__xludf.DUMMYFUNCTION("""COMPUTED_VALUE"""),505001)</f>
        <v>505001</v>
      </c>
      <c r="D1615" s="1" t="str">
        <f ca="1">IFERROR(__xludf.DUMMYFUNCTION("""COMPUTED_VALUE"""),"Male")</f>
        <v>Male</v>
      </c>
      <c r="E1615" s="1" t="str">
        <f ca="1">IFERROR(__xludf.DUMMYFUNCTION("""COMPUTED_VALUE"""),"My Parents")</f>
        <v>My Parents</v>
      </c>
      <c r="F1615" s="1" t="str">
        <f ca="1">IFERROR(__xludf.DUMMYFUNCTION("""COMPUTED_VALUE"""),"Yes, I will earn and do that")</f>
        <v>Yes, I will earn and do that</v>
      </c>
      <c r="G1615" s="1" t="str">
        <f ca="1">IFERROR(__xludf.DUMMYFUNCTION("""COMPUTED_VALUE"""),"Will work for 3 years or more")</f>
        <v>Will work for 3 years or more</v>
      </c>
      <c r="H1615" s="1" t="str">
        <f ca="1">IFERROR(__xludf.DUMMYFUNCTION("""COMPUTED_VALUE"""),"Yes")</f>
        <v>Yes</v>
      </c>
      <c r="I1615" s="1" t="str">
        <f ca="1">IFERROR(__xludf.DUMMYFUNCTION("""COMPUTED_VALUE"""),"Will NOT work for them")</f>
        <v>Will NOT work for them</v>
      </c>
      <c r="J1615" s="1">
        <f ca="1">IFERROR(__xludf.DUMMYFUNCTION("""COMPUTED_VALUE"""),7)</f>
        <v>7</v>
      </c>
      <c r="K1615" s="1" t="str">
        <f ca="1">IFERROR(__xludf.DUMMYFUNCTION("""COMPUTED_VALUE"""),"Every Day Office Environment")</f>
        <v>Every Day Office Environment</v>
      </c>
      <c r="L1615" s="1" t="str">
        <f ca="1">IFERROR(__xludf.DUMMYFUNCTION("""COMPUTED_VALUE"""),"Employer who pushes your limits by enabling an learning environment, and rewards you at the end")</f>
        <v>Employer who pushes your limits by enabling an learning environment, and rewards you at the end</v>
      </c>
      <c r="M1615" s="1" t="str">
        <f ca="1">IFERROR(__xludf.DUMMYFUNCTION("""COMPUTED_VALUE"""),"Design and Develop amazing software, Work as a freelancer and do my thing my way, Become a content Creator in some platform, I Want to sell things/Sales")</f>
        <v>Design and Develop amazing software, Work as a freelancer and do my thing my way, Become a content Creator in some platform, I Want to sell things/Sales</v>
      </c>
      <c r="N1615" s="1"/>
      <c r="O1615" s="1" t="str">
        <f ca="1">IFERROR(__xludf.DUMMYFUNCTION("""COMPUTED_VALUE"""),"Manager who sets unrealistic targets")</f>
        <v>Manager who sets unrealistic targets</v>
      </c>
      <c r="P1615" s="1" t="str">
        <f ca="1">IFERROR(__xludf.DUMMYFUNCTION("""COMPUTED_VALUE"""),"Work &gt;=7 People in the Team")</f>
        <v>Work &gt;=7 People in the Team</v>
      </c>
      <c r="Q1615" s="1" t="s">
        <v>40</v>
      </c>
      <c r="R1615" s="1"/>
    </row>
    <row r="1616" spans="1:18" x14ac:dyDescent="0.25">
      <c r="A1616" s="2">
        <f ca="1">IFERROR(__xludf.DUMMYFUNCTION("""COMPUTED_VALUE"""),45045.942665625)</f>
        <v>45045.942665625</v>
      </c>
      <c r="B1616" s="1" t="str">
        <f ca="1">IFERROR(__xludf.DUMMYFUNCTION("""COMPUTED_VALUE"""),"India")</f>
        <v>India</v>
      </c>
      <c r="C1616" s="1">
        <f ca="1">IFERROR(__xludf.DUMMYFUNCTION("""COMPUTED_VALUE"""),576101)</f>
        <v>576101</v>
      </c>
      <c r="D1616" s="1" t="str">
        <f ca="1">IFERROR(__xludf.DUMMYFUNCTION("""COMPUTED_VALUE"""),"Female")</f>
        <v>Female</v>
      </c>
      <c r="E1616" s="1" t="str">
        <f ca="1">IFERROR(__xludf.DUMMYFUNCTION("""COMPUTED_VALUE"""),"People from my circle, but not family members")</f>
        <v>People from my circle, but not family members</v>
      </c>
      <c r="F1616" s="1" t="str">
        <f ca="1">IFERROR(__xludf.DUMMYFUNCTION("""COMPUTED_VALUE"""),"Yes, I will earn and do that")</f>
        <v>Yes, I will earn and do that</v>
      </c>
      <c r="G1616" s="1" t="str">
        <f ca="1">IFERROR(__xludf.DUMMYFUNCTION("""COMPUTED_VALUE"""),"Will work for 3 years or more")</f>
        <v>Will work for 3 years or more</v>
      </c>
      <c r="H1616" s="1" t="str">
        <f ca="1">IFERROR(__xludf.DUMMYFUNCTION("""COMPUTED_VALUE"""),"No")</f>
        <v>No</v>
      </c>
      <c r="I1616" s="1" t="str">
        <f ca="1">IFERROR(__xludf.DUMMYFUNCTION("""COMPUTED_VALUE"""),"Will NOT work for them")</f>
        <v>Will NOT work for them</v>
      </c>
      <c r="J1616" s="1">
        <f ca="1">IFERROR(__xludf.DUMMYFUNCTION("""COMPUTED_VALUE"""),2)</f>
        <v>2</v>
      </c>
      <c r="K1616" s="1" t="str">
        <f ca="1">IFERROR(__xludf.DUMMYFUNCTION("""COMPUTED_VALUE"""),"Hybrid Working Environment with more than 15 days a month at office")</f>
        <v>Hybrid Working Environment with more than 15 days a month at office</v>
      </c>
      <c r="L1616" s="1" t="str">
        <f ca="1">IFERROR(__xludf.DUMMYFUNCTION("""COMPUTED_VALUE"""),"Employer who rewards learning and enables that environment")</f>
        <v>Employer who rewards learning and enables that environment</v>
      </c>
      <c r="M161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N1616" s="1"/>
      <c r="O1616" s="1" t="str">
        <f ca="1">IFERROR(__xludf.DUMMYFUNCTION("""COMPUTED_VALUE"""),"Manager who explains what is expected, sets a goal and helps achieve it")</f>
        <v>Manager who explains what is expected, sets a goal and helps achieve it</v>
      </c>
      <c r="P1616" s="1" t="str">
        <f ca="1">IFERROR(__xludf.DUMMYFUNCTION("""COMPUTED_VALUE"""),"Work &lt;=6 People in the Team")</f>
        <v>Work &lt;=6 People in the Team</v>
      </c>
      <c r="Q1616" s="1" t="s">
        <v>43</v>
      </c>
      <c r="R1616" s="1"/>
    </row>
    <row r="1617" spans="1:18" x14ac:dyDescent="0.25">
      <c r="A1617" s="2">
        <f ca="1">IFERROR(__xludf.DUMMYFUNCTION("""COMPUTED_VALUE"""),45045.9480668865)</f>
        <v>45045.9480668865</v>
      </c>
      <c r="B1617" s="1" t="str">
        <f ca="1">IFERROR(__xludf.DUMMYFUNCTION("""COMPUTED_VALUE"""),"India")</f>
        <v>India</v>
      </c>
      <c r="C1617" s="1">
        <f ca="1">IFERROR(__xludf.DUMMYFUNCTION("""COMPUTED_VALUE"""),515002)</f>
        <v>515002</v>
      </c>
      <c r="D1617" s="1" t="str">
        <f ca="1">IFERROR(__xludf.DUMMYFUNCTION("""COMPUTED_VALUE"""),"Female")</f>
        <v>Female</v>
      </c>
      <c r="E1617" s="1" t="str">
        <f ca="1">IFERROR(__xludf.DUMMYFUNCTION("""COMPUTED_VALUE"""),"My Parents")</f>
        <v>My Parents</v>
      </c>
      <c r="F1617" s="1" t="str">
        <f ca="1">IFERROR(__xludf.DUMMYFUNCTION("""COMPUTED_VALUE"""),"Yes, I will earn and do that")</f>
        <v>Yes, I will earn and do that</v>
      </c>
      <c r="G1617" s="1" t="str">
        <f ca="1">IFERROR(__xludf.DUMMYFUNCTION("""COMPUTED_VALUE"""),"Will work for 3 years or more")</f>
        <v>Will work for 3 years or more</v>
      </c>
      <c r="H1617" s="1" t="str">
        <f ca="1">IFERROR(__xludf.DUMMYFUNCTION("""COMPUTED_VALUE"""),"No")</f>
        <v>No</v>
      </c>
      <c r="I1617" s="1" t="str">
        <f ca="1">IFERROR(__xludf.DUMMYFUNCTION("""COMPUTED_VALUE"""),"Will work for them")</f>
        <v>Will work for them</v>
      </c>
      <c r="J1617" s="1">
        <f ca="1">IFERROR(__xludf.DUMMYFUNCTION("""COMPUTED_VALUE"""),5)</f>
        <v>5</v>
      </c>
      <c r="K1617" s="1" t="str">
        <f ca="1">IFERROR(__xludf.DUMMYFUNCTION("""COMPUTED_VALUE"""),"Hybrid Working Environment with less than 3 days a month at office")</f>
        <v>Hybrid Working Environment with less than 3 days a month at office</v>
      </c>
      <c r="L1617" s="1" t="str">
        <f ca="1">IFERROR(__xludf.DUMMYFUNCTION("""COMPUTED_VALUE"""),"Employer who appreciates learning and enables that environment")</f>
        <v>Employer who appreciates learning and enables that environment</v>
      </c>
      <c r="M1617"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N1617" s="1"/>
      <c r="O1617" s="1" t="str">
        <f ca="1">IFERROR(__xludf.DUMMYFUNCTION("""COMPUTED_VALUE"""),"Manager who explains what is expected, sets a goal and helps achieve it")</f>
        <v>Manager who explains what is expected, sets a goal and helps achieve it</v>
      </c>
      <c r="P1617" s="1" t="str">
        <f ca="1">IFERROR(__xludf.DUMMYFUNCTION("""COMPUTED_VALUE"""),"Work &gt;=7 People in the Team")</f>
        <v>Work &gt;=7 People in the Team</v>
      </c>
      <c r="Q1617" s="1" t="s">
        <v>43</v>
      </c>
      <c r="R1617" s="1"/>
    </row>
    <row r="1618" spans="1:18" x14ac:dyDescent="0.25">
      <c r="A1618" s="2">
        <f ca="1">IFERROR(__xludf.DUMMYFUNCTION("""COMPUTED_VALUE"""),45045.9493373611)</f>
        <v>45045.949337361097</v>
      </c>
      <c r="B1618" s="1" t="str">
        <f ca="1">IFERROR(__xludf.DUMMYFUNCTION("""COMPUTED_VALUE"""),"India")</f>
        <v>India</v>
      </c>
      <c r="C1618" s="1">
        <f ca="1">IFERROR(__xludf.DUMMYFUNCTION("""COMPUTED_VALUE"""),518003)</f>
        <v>518003</v>
      </c>
      <c r="D1618" s="1" t="str">
        <f ca="1">IFERROR(__xludf.DUMMYFUNCTION("""COMPUTED_VALUE"""),"Female")</f>
        <v>Female</v>
      </c>
      <c r="E1618" s="1" t="str">
        <f ca="1">IFERROR(__xludf.DUMMYFUNCTION("""COMPUTED_VALUE"""),"My Parents")</f>
        <v>My Parents</v>
      </c>
      <c r="F1618" s="1" t="str">
        <f ca="1">IFERROR(__xludf.DUMMYFUNCTION("""COMPUTED_VALUE"""),"No I would not be pursuing Higher Education outside of India")</f>
        <v>No I would not be pursuing Higher Education outside of India</v>
      </c>
      <c r="G1618" s="1" t="str">
        <f ca="1">IFERROR(__xludf.DUMMYFUNCTION("""COMPUTED_VALUE"""),"This will be hard to do, but if it is the right company I would try")</f>
        <v>This will be hard to do, but if it is the right company I would try</v>
      </c>
      <c r="H1618" s="1" t="str">
        <f ca="1">IFERROR(__xludf.DUMMYFUNCTION("""COMPUTED_VALUE"""),"No")</f>
        <v>No</v>
      </c>
      <c r="I1618" s="1" t="str">
        <f ca="1">IFERROR(__xludf.DUMMYFUNCTION("""COMPUTED_VALUE"""),"Will work for them")</f>
        <v>Will work for them</v>
      </c>
      <c r="J1618" s="1">
        <f ca="1">IFERROR(__xludf.DUMMYFUNCTION("""COMPUTED_VALUE"""),7)</f>
        <v>7</v>
      </c>
      <c r="K1618" s="1" t="str">
        <f ca="1">IFERROR(__xludf.DUMMYFUNCTION("""COMPUTED_VALUE"""),"Fully Remote with Options to travel as and when needed")</f>
        <v>Fully Remote with Options to travel as and when needed</v>
      </c>
      <c r="L1618" s="1" t="str">
        <f ca="1">IFERROR(__xludf.DUMMYFUNCTION("""COMPUTED_VALUE"""),"Employer who pushes your limits by enabling an learning environment, and rewards you at the end")</f>
        <v>Employer who pushes your limits by enabling an learning environment, and rewards you at the end</v>
      </c>
      <c r="M161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N1618" s="1"/>
      <c r="O1618" s="1" t="str">
        <f ca="1">IFERROR(__xludf.DUMMYFUNCTION("""COMPUTED_VALUE"""),"Manager who sets goal and helps me achieve it")</f>
        <v>Manager who sets goal and helps me achieve it</v>
      </c>
      <c r="P1618" s="1" t="str">
        <f ca="1">IFERROR(__xludf.DUMMYFUNCTION("""COMPUTED_VALUE"""),"Work &lt;=6 People in the Team")</f>
        <v>Work &lt;=6 People in the Team</v>
      </c>
      <c r="Q1618" s="1" t="s">
        <v>43</v>
      </c>
      <c r="R1618" s="1"/>
    </row>
    <row r="1619" spans="1:18" x14ac:dyDescent="0.25">
      <c r="A1619" s="2">
        <f ca="1">IFERROR(__xludf.DUMMYFUNCTION("""COMPUTED_VALUE"""),45045.9535823032)</f>
        <v>45045.953582303198</v>
      </c>
      <c r="B1619" s="1" t="str">
        <f ca="1">IFERROR(__xludf.DUMMYFUNCTION("""COMPUTED_VALUE"""),"India")</f>
        <v>India</v>
      </c>
      <c r="C1619" s="1">
        <f ca="1">IFERROR(__xludf.DUMMYFUNCTION("""COMPUTED_VALUE"""),524004)</f>
        <v>524004</v>
      </c>
      <c r="D1619" s="1" t="str">
        <f ca="1">IFERROR(__xludf.DUMMYFUNCTION("""COMPUTED_VALUE"""),"Female")</f>
        <v>Female</v>
      </c>
      <c r="E1619" s="1" t="str">
        <f ca="1">IFERROR(__xludf.DUMMYFUNCTION("""COMPUTED_VALUE"""),"My Parents")</f>
        <v>My Parents</v>
      </c>
      <c r="F1619" s="1" t="str">
        <f ca="1">IFERROR(__xludf.DUMMYFUNCTION("""COMPUTED_VALUE"""),"Yes, I will earn and do that")</f>
        <v>Yes, I will earn and do that</v>
      </c>
      <c r="G1619" s="1" t="str">
        <f ca="1">IFERROR(__xludf.DUMMYFUNCTION("""COMPUTED_VALUE"""),"This will be hard to do, but if it is the right company I would try")</f>
        <v>This will be hard to do, but if it is the right company I would try</v>
      </c>
      <c r="H1619" s="1" t="str">
        <f ca="1">IFERROR(__xludf.DUMMYFUNCTION("""COMPUTED_VALUE"""),"No")</f>
        <v>No</v>
      </c>
      <c r="I1619" s="1" t="str">
        <f ca="1">IFERROR(__xludf.DUMMYFUNCTION("""COMPUTED_VALUE"""),"Will work for them")</f>
        <v>Will work for them</v>
      </c>
      <c r="J1619" s="1">
        <f ca="1">IFERROR(__xludf.DUMMYFUNCTION("""COMPUTED_VALUE"""),10)</f>
        <v>10</v>
      </c>
      <c r="K1619" s="1" t="str">
        <f ca="1">IFERROR(__xludf.DUMMYFUNCTION("""COMPUTED_VALUE"""),"Every Day Office Environment")</f>
        <v>Every Day Office Environment</v>
      </c>
      <c r="L1619" s="1" t="str">
        <f ca="1">IFERROR(__xludf.DUMMYFUNCTION("""COMPUTED_VALUE"""),"Employer who appreciates learning and enables that environment")</f>
        <v>Employer who appreciates learning and enables that environment</v>
      </c>
      <c r="M1619"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N1619" s="1"/>
      <c r="O1619" s="1" t="str">
        <f ca="1">IFERROR(__xludf.DUMMYFUNCTION("""COMPUTED_VALUE"""),"Manager who clearly describes what she/he needs")</f>
        <v>Manager who clearly describes what she/he needs</v>
      </c>
      <c r="P1619" s="1" t="str">
        <f ca="1">IFERROR(__xludf.DUMMYFUNCTION("""COMPUTED_VALUE"""),"Work &lt;=6 People in the Team")</f>
        <v>Work &lt;=6 People in the Team</v>
      </c>
      <c r="Q1619" s="1" t="s">
        <v>43</v>
      </c>
      <c r="R1619" s="1"/>
    </row>
    <row r="1620" spans="1:18" x14ac:dyDescent="0.25">
      <c r="A1620" s="2">
        <f ca="1">IFERROR(__xludf.DUMMYFUNCTION("""COMPUTED_VALUE"""),45045.9546655208)</f>
        <v>45045.954665520803</v>
      </c>
      <c r="B1620" s="1" t="str">
        <f ca="1">IFERROR(__xludf.DUMMYFUNCTION("""COMPUTED_VALUE"""),"India")</f>
        <v>India</v>
      </c>
      <c r="C1620" s="1">
        <f ca="1">IFERROR(__xludf.DUMMYFUNCTION("""COMPUTED_VALUE"""),516434)</f>
        <v>516434</v>
      </c>
      <c r="D1620" s="1" t="str">
        <f ca="1">IFERROR(__xludf.DUMMYFUNCTION("""COMPUTED_VALUE"""),"Female")</f>
        <v>Female</v>
      </c>
      <c r="E1620" s="1" t="str">
        <f ca="1">IFERROR(__xludf.DUMMYFUNCTION("""COMPUTED_VALUE"""),"My Parents")</f>
        <v>My Parents</v>
      </c>
      <c r="F1620" s="1" t="str">
        <f ca="1">IFERROR(__xludf.DUMMYFUNCTION("""COMPUTED_VALUE"""),"No I would not be pursuing Higher Education outside of India")</f>
        <v>No I would not be pursuing Higher Education outside of India</v>
      </c>
      <c r="G1620" s="1" t="str">
        <f ca="1">IFERROR(__xludf.DUMMYFUNCTION("""COMPUTED_VALUE"""),"Will work for 3 years or more")</f>
        <v>Will work for 3 years or more</v>
      </c>
      <c r="H1620" s="1" t="str">
        <f ca="1">IFERROR(__xludf.DUMMYFUNCTION("""COMPUTED_VALUE"""),"No")</f>
        <v>No</v>
      </c>
      <c r="I1620" s="1" t="str">
        <f ca="1">IFERROR(__xludf.DUMMYFUNCTION("""COMPUTED_VALUE"""),"Will NOT work for them")</f>
        <v>Will NOT work for them</v>
      </c>
      <c r="J1620" s="1">
        <f ca="1">IFERROR(__xludf.DUMMYFUNCTION("""COMPUTED_VALUE"""),2)</f>
        <v>2</v>
      </c>
      <c r="K1620" s="1" t="str">
        <f ca="1">IFERROR(__xludf.DUMMYFUNCTION("""COMPUTED_VALUE"""),"Every Day Office Environment")</f>
        <v>Every Day Office Environment</v>
      </c>
      <c r="L1620" s="1" t="str">
        <f ca="1">IFERROR(__xludf.DUMMYFUNCTION("""COMPUTED_VALUE"""),"Employer who appreciates learning and enables that environment")</f>
        <v>Employer who appreciates learning and enables that environment</v>
      </c>
      <c r="M162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N1620" s="1"/>
      <c r="O1620" s="1" t="str">
        <f ca="1">IFERROR(__xludf.DUMMYFUNCTION("""COMPUTED_VALUE"""),"Manager who explains what is expected, sets a goal and helps achieve it")</f>
        <v>Manager who explains what is expected, sets a goal and helps achieve it</v>
      </c>
      <c r="P1620" s="1" t="str">
        <f ca="1">IFERROR(__xludf.DUMMYFUNCTION("""COMPUTED_VALUE"""),"Work &lt;=6 People in the Team")</f>
        <v>Work &lt;=6 People in the Team</v>
      </c>
      <c r="Q1620" s="1" t="s">
        <v>43</v>
      </c>
      <c r="R1620" s="1"/>
    </row>
    <row r="1621" spans="1:18" x14ac:dyDescent="0.25">
      <c r="A1621" s="2">
        <f ca="1">IFERROR(__xludf.DUMMYFUNCTION("""COMPUTED_VALUE"""),45045.9579409143)</f>
        <v>45045.957940914297</v>
      </c>
      <c r="B1621" s="1" t="str">
        <f ca="1">IFERROR(__xludf.DUMMYFUNCTION("""COMPUTED_VALUE"""),"Others")</f>
        <v>Others</v>
      </c>
      <c r="C1621" s="1" t="str">
        <f ca="1">IFERROR(__xludf.DUMMYFUNCTION("""COMPUTED_VALUE"""),"0000")</f>
        <v>0000</v>
      </c>
      <c r="D1621" s="1" t="str">
        <f ca="1">IFERROR(__xludf.DUMMYFUNCTION("""COMPUTED_VALUE"""),"Female")</f>
        <v>Female</v>
      </c>
      <c r="E1621" s="1" t="str">
        <f ca="1">IFERROR(__xludf.DUMMYFUNCTION("""COMPUTED_VALUE"""),"People who have changed the world for better")</f>
        <v>People who have changed the world for better</v>
      </c>
      <c r="F1621" s="1" t="str">
        <f ca="1">IFERROR(__xludf.DUMMYFUNCTION("""COMPUTED_VALUE"""),"No I would not be pursuing Higher Education outside of India")</f>
        <v>No I would not be pursuing Higher Education outside of India</v>
      </c>
      <c r="G1621" s="1" t="str">
        <f ca="1">IFERROR(__xludf.DUMMYFUNCTION("""COMPUTED_VALUE"""),"This will be hard to do, but if it is the right company I would try")</f>
        <v>This will be hard to do, but if it is the right company I would try</v>
      </c>
      <c r="H1621" s="1" t="str">
        <f ca="1">IFERROR(__xludf.DUMMYFUNCTION("""COMPUTED_VALUE"""),"No")</f>
        <v>No</v>
      </c>
      <c r="I1621" s="1" t="str">
        <f ca="1">IFERROR(__xludf.DUMMYFUNCTION("""COMPUTED_VALUE"""),"Will NOT work for them")</f>
        <v>Will NOT work for them</v>
      </c>
      <c r="J1621" s="1">
        <f ca="1">IFERROR(__xludf.DUMMYFUNCTION("""COMPUTED_VALUE"""),4)</f>
        <v>4</v>
      </c>
      <c r="K1621" s="1" t="str">
        <f ca="1">IFERROR(__xludf.DUMMYFUNCTION("""COMPUTED_VALUE"""),"Hybrid Working Environment with more than 15 days a month at office")</f>
        <v>Hybrid Working Environment with more than 15 days a month at office</v>
      </c>
      <c r="L1621" s="1" t="str">
        <f ca="1">IFERROR(__xludf.DUMMYFUNCTION("""COMPUTED_VALUE"""),"Employer who appreciates learning and enables that environment")</f>
        <v>Employer who appreciates learning and enables that environment</v>
      </c>
      <c r="M1621"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N1621" s="1"/>
      <c r="O1621" s="1" t="str">
        <f ca="1">IFERROR(__xludf.DUMMYFUNCTION("""COMPUTED_VALUE"""),"Manager who clearly describes what she/he needs")</f>
        <v>Manager who clearly describes what she/he needs</v>
      </c>
      <c r="P1621" s="1" t="str">
        <f ca="1">IFERROR(__xludf.DUMMYFUNCTION("""COMPUTED_VALUE"""),"Work &lt;=6 People in the Team")</f>
        <v>Work &lt;=6 People in the Team</v>
      </c>
      <c r="Q1621" s="1" t="s">
        <v>43</v>
      </c>
      <c r="R1621" s="1"/>
    </row>
    <row r="1622" spans="1:18" x14ac:dyDescent="0.25">
      <c r="A1622" s="2">
        <f ca="1">IFERROR(__xludf.DUMMYFUNCTION("""COMPUTED_VALUE"""),45045.9598627313)</f>
        <v>45045.959862731303</v>
      </c>
      <c r="B1622" s="1" t="str">
        <f ca="1">IFERROR(__xludf.DUMMYFUNCTION("""COMPUTED_VALUE"""),"India")</f>
        <v>India</v>
      </c>
      <c r="C1622" s="1">
        <f ca="1">IFERROR(__xludf.DUMMYFUNCTION("""COMPUTED_VALUE"""),500045)</f>
        <v>500045</v>
      </c>
      <c r="D1622" s="1" t="str">
        <f ca="1">IFERROR(__xludf.DUMMYFUNCTION("""COMPUTED_VALUE"""),"Male")</f>
        <v>Male</v>
      </c>
      <c r="E1622" s="1" t="str">
        <f ca="1">IFERROR(__xludf.DUMMYFUNCTION("""COMPUTED_VALUE"""),"Social Media like LinkedIn")</f>
        <v>Social Media like LinkedIn</v>
      </c>
      <c r="F1622" s="1" t="str">
        <f ca="1">IFERROR(__xludf.DUMMYFUNCTION("""COMPUTED_VALUE"""),"Yes, I will earn and do that")</f>
        <v>Yes, I will earn and do that</v>
      </c>
      <c r="G1622" s="1" t="str">
        <f ca="1">IFERROR(__xludf.DUMMYFUNCTION("""COMPUTED_VALUE"""),"This will be hard to do, but if it is the right company I would try")</f>
        <v>This will be hard to do, but if it is the right company I would try</v>
      </c>
      <c r="H1622" s="1" t="str">
        <f ca="1">IFERROR(__xludf.DUMMYFUNCTION("""COMPUTED_VALUE"""),"No")</f>
        <v>No</v>
      </c>
      <c r="I1622" s="1" t="str">
        <f ca="1">IFERROR(__xludf.DUMMYFUNCTION("""COMPUTED_VALUE"""),"Will work for them")</f>
        <v>Will work for them</v>
      </c>
      <c r="J1622" s="1">
        <f ca="1">IFERROR(__xludf.DUMMYFUNCTION("""COMPUTED_VALUE"""),2)</f>
        <v>2</v>
      </c>
      <c r="K1622" s="1" t="str">
        <f ca="1">IFERROR(__xludf.DUMMYFUNCTION("""COMPUTED_VALUE"""),"Hybrid Working Environment with more than 15 days a month at office")</f>
        <v>Hybrid Working Environment with more than 15 days a month at office</v>
      </c>
      <c r="L1622" s="1" t="str">
        <f ca="1">IFERROR(__xludf.DUMMYFUNCTION("""COMPUTED_VALUE"""),"Employer who appreciates learning and enables that environment")</f>
        <v>Employer who appreciates learning and enables that environment</v>
      </c>
      <c r="M1622"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N1622" s="1"/>
      <c r="O1622" s="1" t="str">
        <f ca="1">IFERROR(__xludf.DUMMYFUNCTION("""COMPUTED_VALUE"""),"Manager who clearly describes what she/he needs")</f>
        <v>Manager who clearly describes what she/he needs</v>
      </c>
      <c r="P1622" s="1" t="str">
        <f ca="1">IFERROR(__xludf.DUMMYFUNCTION("""COMPUTED_VALUE"""),"Work &lt;=6 People in the Team")</f>
        <v>Work &lt;=6 People in the Team</v>
      </c>
      <c r="Q1622" s="1" t="s">
        <v>43</v>
      </c>
      <c r="R1622" s="1"/>
    </row>
    <row r="1623" spans="1:18" x14ac:dyDescent="0.25">
      <c r="A1623" s="2">
        <f ca="1">IFERROR(__xludf.DUMMYFUNCTION("""COMPUTED_VALUE"""),45045.964420081)</f>
        <v>45045.964420081</v>
      </c>
      <c r="B1623" s="1" t="str">
        <f ca="1">IFERROR(__xludf.DUMMYFUNCTION("""COMPUTED_VALUE"""),"India")</f>
        <v>India</v>
      </c>
      <c r="C1623" s="1">
        <f ca="1">IFERROR(__xludf.DUMMYFUNCTION("""COMPUTED_VALUE"""),751002)</f>
        <v>751002</v>
      </c>
      <c r="D1623" s="1" t="str">
        <f ca="1">IFERROR(__xludf.DUMMYFUNCTION("""COMPUTED_VALUE"""),"Female")</f>
        <v>Female</v>
      </c>
      <c r="E1623" s="1" t="str">
        <f ca="1">IFERROR(__xludf.DUMMYFUNCTION("""COMPUTED_VALUE"""),"Influencers who had successful careers")</f>
        <v>Influencers who had successful careers</v>
      </c>
      <c r="F1623" s="1" t="str">
        <f ca="1">IFERROR(__xludf.DUMMYFUNCTION("""COMPUTED_VALUE"""),"No, But if someone could bare the cost I will")</f>
        <v>No, But if someone could bare the cost I will</v>
      </c>
      <c r="G1623" s="1" t="str">
        <f ca="1">IFERROR(__xludf.DUMMYFUNCTION("""COMPUTED_VALUE"""),"This will be hard to do, but if it is the right company I would try")</f>
        <v>This will be hard to do, but if it is the right company I would try</v>
      </c>
      <c r="H1623" s="1" t="str">
        <f ca="1">IFERROR(__xludf.DUMMYFUNCTION("""COMPUTED_VALUE"""),"No")</f>
        <v>No</v>
      </c>
      <c r="I1623" s="1" t="str">
        <f ca="1">IFERROR(__xludf.DUMMYFUNCTION("""COMPUTED_VALUE"""),"Will NOT work for them")</f>
        <v>Will NOT work for them</v>
      </c>
      <c r="J1623" s="1">
        <f ca="1">IFERROR(__xludf.DUMMYFUNCTION("""COMPUTED_VALUE"""),1)</f>
        <v>1</v>
      </c>
      <c r="K1623" s="1" t="str">
        <f ca="1">IFERROR(__xludf.DUMMYFUNCTION("""COMPUTED_VALUE"""),"Hybrid Working Environment with less than 3 days a month at office")</f>
        <v>Hybrid Working Environment with less than 3 days a month at office</v>
      </c>
      <c r="L1623" s="1" t="str">
        <f ca="1">IFERROR(__xludf.DUMMYFUNCTION("""COMPUTED_VALUE"""),"Employer who pushes your limits by enabling an learning environment, and rewards you at the end")</f>
        <v>Employer who pushes your limits by enabling an learning environment, and rewards you at the end</v>
      </c>
      <c r="M162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1623" s="1"/>
      <c r="O1623" s="1" t="str">
        <f ca="1">IFERROR(__xludf.DUMMYFUNCTION("""COMPUTED_VALUE"""),"Manager who explains what is expected, sets a goal and helps achieve it")</f>
        <v>Manager who explains what is expected, sets a goal and helps achieve it</v>
      </c>
      <c r="P1623" s="1" t="str">
        <f ca="1">IFERROR(__xludf.DUMMYFUNCTION("""COMPUTED_VALUE"""),"Work &lt;=6 People in the Team")</f>
        <v>Work &lt;=6 People in the Team</v>
      </c>
      <c r="Q1623" s="1" t="s">
        <v>43</v>
      </c>
      <c r="R1623" s="1"/>
    </row>
    <row r="1624" spans="1:18" x14ac:dyDescent="0.25">
      <c r="A1624" s="2">
        <f ca="1">IFERROR(__xludf.DUMMYFUNCTION("""COMPUTED_VALUE"""),45045.9700188773)</f>
        <v>45045.970018877299</v>
      </c>
      <c r="B1624" s="1" t="str">
        <f ca="1">IFERROR(__xludf.DUMMYFUNCTION("""COMPUTED_VALUE"""),"India")</f>
        <v>India</v>
      </c>
      <c r="C1624" s="1">
        <f ca="1">IFERROR(__xludf.DUMMYFUNCTION("""COMPUTED_VALUE"""),505001)</f>
        <v>505001</v>
      </c>
      <c r="D1624" s="1" t="str">
        <f ca="1">IFERROR(__xludf.DUMMYFUNCTION("""COMPUTED_VALUE"""),"Male")</f>
        <v>Male</v>
      </c>
      <c r="E1624" s="1" t="str">
        <f ca="1">IFERROR(__xludf.DUMMYFUNCTION("""COMPUTED_VALUE"""),"People who have changed the world for better")</f>
        <v>People who have changed the world for better</v>
      </c>
      <c r="F1624" s="1" t="str">
        <f ca="1">IFERROR(__xludf.DUMMYFUNCTION("""COMPUTED_VALUE"""),"Yes, I will earn and do that")</f>
        <v>Yes, I will earn and do that</v>
      </c>
      <c r="G1624" s="1" t="str">
        <f ca="1">IFERROR(__xludf.DUMMYFUNCTION("""COMPUTED_VALUE"""),"Will work for 3 years or more")</f>
        <v>Will work for 3 years or more</v>
      </c>
      <c r="H1624" s="1" t="str">
        <f ca="1">IFERROR(__xludf.DUMMYFUNCTION("""COMPUTED_VALUE"""),"No")</f>
        <v>No</v>
      </c>
      <c r="I1624" s="1" t="str">
        <f ca="1">IFERROR(__xludf.DUMMYFUNCTION("""COMPUTED_VALUE"""),"Will NOT work for them")</f>
        <v>Will NOT work for them</v>
      </c>
      <c r="J1624" s="1">
        <f ca="1">IFERROR(__xludf.DUMMYFUNCTION("""COMPUTED_VALUE"""),4)</f>
        <v>4</v>
      </c>
      <c r="K1624" s="1" t="str">
        <f ca="1">IFERROR(__xludf.DUMMYFUNCTION("""COMPUTED_VALUE"""),"Fully Remote with Options to travel as and when needed")</f>
        <v>Fully Remote with Options to travel as and when needed</v>
      </c>
      <c r="L1624" s="1" t="str">
        <f ca="1">IFERROR(__xludf.DUMMYFUNCTION("""COMPUTED_VALUE"""),"Employer who appreciates learning and enables that environment")</f>
        <v>Employer who appreciates learning and enables that environment</v>
      </c>
      <c r="M162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1624" s="1"/>
      <c r="O1624" s="1" t="str">
        <f ca="1">IFERROR(__xludf.DUMMYFUNCTION("""COMPUTED_VALUE"""),"Manager who sets goal and helps me achieve it")</f>
        <v>Manager who sets goal and helps me achieve it</v>
      </c>
      <c r="P1624" s="1" t="str">
        <f ca="1">IFERROR(__xludf.DUMMYFUNCTION("""COMPUTED_VALUE"""),"Work &gt;10 people in Team")</f>
        <v>Work &gt;10 people in Team</v>
      </c>
      <c r="Q1624" s="1" t="s">
        <v>43</v>
      </c>
      <c r="R1624" s="1"/>
    </row>
    <row r="1625" spans="1:18" x14ac:dyDescent="0.25">
      <c r="A1625" s="2">
        <f ca="1">IFERROR(__xludf.DUMMYFUNCTION("""COMPUTED_VALUE"""),45046.000606875)</f>
        <v>45046.000606875001</v>
      </c>
      <c r="B1625" s="1" t="str">
        <f ca="1">IFERROR(__xludf.DUMMYFUNCTION("""COMPUTED_VALUE"""),"India")</f>
        <v>India</v>
      </c>
      <c r="C1625" s="1">
        <f ca="1">IFERROR(__xludf.DUMMYFUNCTION("""COMPUTED_VALUE"""),600089)</f>
        <v>600089</v>
      </c>
      <c r="D1625" s="1" t="str">
        <f ca="1">IFERROR(__xludf.DUMMYFUNCTION("""COMPUTED_VALUE"""),"Male")</f>
        <v>Male</v>
      </c>
      <c r="E1625" s="1" t="str">
        <f ca="1">IFERROR(__xludf.DUMMYFUNCTION("""COMPUTED_VALUE"""),"My Parents")</f>
        <v>My Parents</v>
      </c>
      <c r="F1625" s="1" t="str">
        <f ca="1">IFERROR(__xludf.DUMMYFUNCTION("""COMPUTED_VALUE"""),"Yes, I will earn and do that")</f>
        <v>Yes, I will earn and do that</v>
      </c>
      <c r="G1625" s="1" t="str">
        <f ca="1">IFERROR(__xludf.DUMMYFUNCTION("""COMPUTED_VALUE"""),"This will be hard to do, but if it is the right company I would try")</f>
        <v>This will be hard to do, but if it is the right company I would try</v>
      </c>
      <c r="H1625" s="1" t="str">
        <f ca="1">IFERROR(__xludf.DUMMYFUNCTION("""COMPUTED_VALUE"""),"No")</f>
        <v>No</v>
      </c>
      <c r="I1625" s="1" t="str">
        <f ca="1">IFERROR(__xludf.DUMMYFUNCTION("""COMPUTED_VALUE"""),"Will NOT work for them")</f>
        <v>Will NOT work for them</v>
      </c>
      <c r="J1625" s="1">
        <f ca="1">IFERROR(__xludf.DUMMYFUNCTION("""COMPUTED_VALUE"""),3)</f>
        <v>3</v>
      </c>
      <c r="K1625" s="1" t="str">
        <f ca="1">IFERROR(__xludf.DUMMYFUNCTION("""COMPUTED_VALUE"""),"Hybrid Working Environment with more than 15 days a month at office")</f>
        <v>Hybrid Working Environment with more than 15 days a month at office</v>
      </c>
      <c r="L1625" s="1" t="str">
        <f ca="1">IFERROR(__xludf.DUMMYFUNCTION("""COMPUTED_VALUE"""),"Employer who pushes your limits by enabling an learning environment, and rewards you at the end")</f>
        <v>Employer who pushes your limits by enabling an learning environment, and rewards you at the end</v>
      </c>
      <c r="M162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N1625" s="1"/>
      <c r="O1625" s="1" t="str">
        <f ca="1">IFERROR(__xludf.DUMMYFUNCTION("""COMPUTED_VALUE"""),"Manager who sets goal and helps me achieve it")</f>
        <v>Manager who sets goal and helps me achieve it</v>
      </c>
      <c r="P1625" s="1" t="str">
        <f ca="1">IFERROR(__xludf.DUMMYFUNCTION("""COMPUTED_VALUE"""),"Work &lt;=6 People in the Team")</f>
        <v>Work &lt;=6 People in the Team</v>
      </c>
      <c r="Q1625" s="1" t="s">
        <v>43</v>
      </c>
      <c r="R1625" s="1"/>
    </row>
    <row r="1626" spans="1:18" x14ac:dyDescent="0.25">
      <c r="A1626" s="2">
        <f ca="1">IFERROR(__xludf.DUMMYFUNCTION("""COMPUTED_VALUE"""),45046.0270081481)</f>
        <v>45046.027008148099</v>
      </c>
      <c r="B1626" s="1" t="str">
        <f ca="1">IFERROR(__xludf.DUMMYFUNCTION("""COMPUTED_VALUE"""),"India")</f>
        <v>India</v>
      </c>
      <c r="C1626" s="1">
        <f ca="1">IFERROR(__xludf.DUMMYFUNCTION("""COMPUTED_VALUE"""),470001)</f>
        <v>470001</v>
      </c>
      <c r="D1626" s="1" t="str">
        <f ca="1">IFERROR(__xludf.DUMMYFUNCTION("""COMPUTED_VALUE"""),"Female")</f>
        <v>Female</v>
      </c>
      <c r="E1626" s="1" t="str">
        <f ca="1">IFERROR(__xludf.DUMMYFUNCTION("""COMPUTED_VALUE"""),"Influencers who had successful careers")</f>
        <v>Influencers who had successful careers</v>
      </c>
      <c r="F1626" s="1" t="str">
        <f ca="1">IFERROR(__xludf.DUMMYFUNCTION("""COMPUTED_VALUE"""),"Yes, I will earn and do that")</f>
        <v>Yes, I will earn and do that</v>
      </c>
      <c r="G1626" s="1" t="str">
        <f ca="1">IFERROR(__xludf.DUMMYFUNCTION("""COMPUTED_VALUE"""),"This will be hard to do, but if it is the right company I would try")</f>
        <v>This will be hard to do, but if it is the right company I would try</v>
      </c>
      <c r="H1626" s="1" t="str">
        <f ca="1">IFERROR(__xludf.DUMMYFUNCTION("""COMPUTED_VALUE"""),"No")</f>
        <v>No</v>
      </c>
      <c r="I1626" s="1" t="str">
        <f ca="1">IFERROR(__xludf.DUMMYFUNCTION("""COMPUTED_VALUE"""),"Will NOT work for them")</f>
        <v>Will NOT work for them</v>
      </c>
      <c r="J1626" s="1">
        <f ca="1">IFERROR(__xludf.DUMMYFUNCTION("""COMPUTED_VALUE"""),6)</f>
        <v>6</v>
      </c>
      <c r="K1626" s="1" t="str">
        <f ca="1">IFERROR(__xludf.DUMMYFUNCTION("""COMPUTED_VALUE"""),"Fully Remote with Options to travel as and when needed")</f>
        <v>Fully Remote with Options to travel as and when needed</v>
      </c>
      <c r="L1626" s="1" t="str">
        <f ca="1">IFERROR(__xludf.DUMMYFUNCTION("""COMPUTED_VALUE"""),"Employer who pushes your limits by enabling an learning environment, and rewards you at the end")</f>
        <v>Employer who pushes your limits by enabling an learning environment, and rewards you at the end</v>
      </c>
      <c r="M162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N1626" s="1"/>
      <c r="O1626" s="1" t="str">
        <f ca="1">IFERROR(__xludf.DUMMYFUNCTION("""COMPUTED_VALUE"""),"Manager who explains what is expected, sets a goal and helps achieve it")</f>
        <v>Manager who explains what is expected, sets a goal and helps achieve it</v>
      </c>
      <c r="P1626" s="1" t="str">
        <f ca="1">IFERROR(__xludf.DUMMYFUNCTION("""COMPUTED_VALUE"""),"Work alone")</f>
        <v>Work alone</v>
      </c>
      <c r="Q1626" s="1" t="s">
        <v>40</v>
      </c>
      <c r="R1626" s="1"/>
    </row>
    <row r="1627" spans="1:18" x14ac:dyDescent="0.25">
      <c r="A1627" s="2">
        <f ca="1">IFERROR(__xludf.DUMMYFUNCTION("""COMPUTED_VALUE"""),45046.0278942939)</f>
        <v>45046.027894293897</v>
      </c>
      <c r="B1627" s="1" t="str">
        <f ca="1">IFERROR(__xludf.DUMMYFUNCTION("""COMPUTED_VALUE"""),"India")</f>
        <v>India</v>
      </c>
      <c r="C1627" s="1">
        <f ca="1">IFERROR(__xludf.DUMMYFUNCTION("""COMPUTED_VALUE"""),18)</f>
        <v>18</v>
      </c>
      <c r="D1627" s="1" t="str">
        <f ca="1">IFERROR(__xludf.DUMMYFUNCTION("""COMPUTED_VALUE"""),"Male")</f>
        <v>Male</v>
      </c>
      <c r="E1627" s="1" t="str">
        <f ca="1">IFERROR(__xludf.DUMMYFUNCTION("""COMPUTED_VALUE"""),"My Parents")</f>
        <v>My Parents</v>
      </c>
      <c r="F1627" s="1" t="str">
        <f ca="1">IFERROR(__xludf.DUMMYFUNCTION("""COMPUTED_VALUE"""),"Yes, I will earn and do that")</f>
        <v>Yes, I will earn and do that</v>
      </c>
      <c r="G1627" s="1" t="str">
        <f ca="1">IFERROR(__xludf.DUMMYFUNCTION("""COMPUTED_VALUE"""),"This will be hard to do, but if it is the right company I would try")</f>
        <v>This will be hard to do, but if it is the right company I would try</v>
      </c>
      <c r="H1627" s="1" t="str">
        <f ca="1">IFERROR(__xludf.DUMMYFUNCTION("""COMPUTED_VALUE"""),"No")</f>
        <v>No</v>
      </c>
      <c r="I1627" s="1" t="str">
        <f ca="1">IFERROR(__xludf.DUMMYFUNCTION("""COMPUTED_VALUE"""),"Will NOT work for them")</f>
        <v>Will NOT work for them</v>
      </c>
      <c r="J1627" s="1">
        <f ca="1">IFERROR(__xludf.DUMMYFUNCTION("""COMPUTED_VALUE"""),5)</f>
        <v>5</v>
      </c>
      <c r="K1627" s="1" t="str">
        <f ca="1">IFERROR(__xludf.DUMMYFUNCTION("""COMPUTED_VALUE"""),"Hybrid Working Environment with more than 15 days a month at office")</f>
        <v>Hybrid Working Environment with more than 15 days a month at office</v>
      </c>
      <c r="L1627" s="1" t="str">
        <f ca="1">IFERROR(__xludf.DUMMYFUNCTION("""COMPUTED_VALUE"""),"Employer who appreciates learning and enables that environment")</f>
        <v>Employer who appreciates learning and enables that environment</v>
      </c>
      <c r="M162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1627" s="1"/>
      <c r="O1627" s="1" t="str">
        <f ca="1">IFERROR(__xludf.DUMMYFUNCTION("""COMPUTED_VALUE"""),"Manager who explains what is expected, sets a goal and helps achieve it")</f>
        <v>Manager who explains what is expected, sets a goal and helps achieve it</v>
      </c>
      <c r="P1627" s="1" t="str">
        <f ca="1">IFERROR(__xludf.DUMMYFUNCTION("""COMPUTED_VALUE"""),"Work &lt;=6 People in the Team")</f>
        <v>Work &lt;=6 People in the Team</v>
      </c>
      <c r="Q1627" s="1" t="s">
        <v>40</v>
      </c>
      <c r="R1627" s="1"/>
    </row>
    <row r="1628" spans="1:18" x14ac:dyDescent="0.25">
      <c r="A1628" s="2">
        <f ca="1">IFERROR(__xludf.DUMMYFUNCTION("""COMPUTED_VALUE"""),45046.035219537)</f>
        <v>45046.035219537</v>
      </c>
      <c r="B1628" s="1" t="str">
        <f ca="1">IFERROR(__xludf.DUMMYFUNCTION("""COMPUTED_VALUE"""),"India")</f>
        <v>India</v>
      </c>
      <c r="C1628" s="1">
        <f ca="1">IFERROR(__xludf.DUMMYFUNCTION("""COMPUTED_VALUE"""),500091)</f>
        <v>500091</v>
      </c>
      <c r="D1628" s="1" t="str">
        <f ca="1">IFERROR(__xludf.DUMMYFUNCTION("""COMPUTED_VALUE"""),"Male")</f>
        <v>Male</v>
      </c>
      <c r="E1628" s="1" t="str">
        <f ca="1">IFERROR(__xludf.DUMMYFUNCTION("""COMPUTED_VALUE"""),"People from my circle, but not family members")</f>
        <v>People from my circle, but not family members</v>
      </c>
      <c r="F1628" s="1" t="str">
        <f ca="1">IFERROR(__xludf.DUMMYFUNCTION("""COMPUTED_VALUE"""),"Yes, I will earn and do that")</f>
        <v>Yes, I will earn and do that</v>
      </c>
      <c r="G1628" s="1" t="str">
        <f ca="1">IFERROR(__xludf.DUMMYFUNCTION("""COMPUTED_VALUE"""),"This will be hard to do, but if it is the right company I would try")</f>
        <v>This will be hard to do, but if it is the right company I would try</v>
      </c>
      <c r="H1628" s="1" t="str">
        <f ca="1">IFERROR(__xludf.DUMMYFUNCTION("""COMPUTED_VALUE"""),"No")</f>
        <v>No</v>
      </c>
      <c r="I1628" s="1" t="str">
        <f ca="1">IFERROR(__xludf.DUMMYFUNCTION("""COMPUTED_VALUE"""),"Will NOT work for them")</f>
        <v>Will NOT work for them</v>
      </c>
      <c r="J1628" s="1">
        <f ca="1">IFERROR(__xludf.DUMMYFUNCTION("""COMPUTED_VALUE"""),5)</f>
        <v>5</v>
      </c>
      <c r="K1628" s="1" t="str">
        <f ca="1">IFERROR(__xludf.DUMMYFUNCTION("""COMPUTED_VALUE"""),"Hybrid Working Environment with less than 3 days a month at office")</f>
        <v>Hybrid Working Environment with less than 3 days a month at office</v>
      </c>
      <c r="L1628" s="1" t="str">
        <f ca="1">IFERROR(__xludf.DUMMYFUNCTION("""COMPUTED_VALUE"""),"Employer who rewards learning and enables that environment")</f>
        <v>Employer who rewards learning and enables that environment</v>
      </c>
      <c r="M1628"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N1628" s="1"/>
      <c r="O1628" s="1" t="str">
        <f ca="1">IFERROR(__xludf.DUMMYFUNCTION("""COMPUTED_VALUE"""),"Manager who explains what is expected, sets a goal and helps achieve it")</f>
        <v>Manager who explains what is expected, sets a goal and helps achieve it</v>
      </c>
      <c r="P1628" s="1" t="str">
        <f ca="1">IFERROR(__xludf.DUMMYFUNCTION("""COMPUTED_VALUE"""),"Work Alone, &lt;=6 in team")</f>
        <v>Work Alone, &lt;=6 in team</v>
      </c>
      <c r="Q1628" s="1" t="s">
        <v>40</v>
      </c>
      <c r="R1628" s="1"/>
    </row>
    <row r="1629" spans="1:18" x14ac:dyDescent="0.25">
      <c r="A1629" s="2">
        <f ca="1">IFERROR(__xludf.DUMMYFUNCTION("""COMPUTED_VALUE"""),45046.0428527777)</f>
        <v>45046.042852777697</v>
      </c>
      <c r="B1629" s="1" t="str">
        <f ca="1">IFERROR(__xludf.DUMMYFUNCTION("""COMPUTED_VALUE"""),"India")</f>
        <v>India</v>
      </c>
      <c r="C1629" s="1">
        <f ca="1">IFERROR(__xludf.DUMMYFUNCTION("""COMPUTED_VALUE"""),605003)</f>
        <v>605003</v>
      </c>
      <c r="D1629" s="1" t="str">
        <f ca="1">IFERROR(__xludf.DUMMYFUNCTION("""COMPUTED_VALUE"""),"Female")</f>
        <v>Female</v>
      </c>
      <c r="E1629" s="1" t="str">
        <f ca="1">IFERROR(__xludf.DUMMYFUNCTION("""COMPUTED_VALUE"""),"People who have changed the world for better")</f>
        <v>People who have changed the world for better</v>
      </c>
      <c r="F1629" s="1" t="str">
        <f ca="1">IFERROR(__xludf.DUMMYFUNCTION("""COMPUTED_VALUE"""),"No I would not be pursuing Higher Education outside of India")</f>
        <v>No I would not be pursuing Higher Education outside of India</v>
      </c>
      <c r="G1629" s="1" t="str">
        <f ca="1">IFERROR(__xludf.DUMMYFUNCTION("""COMPUTED_VALUE"""),"Will work for 3 years or more")</f>
        <v>Will work for 3 years or more</v>
      </c>
      <c r="H1629" s="1" t="str">
        <f ca="1">IFERROR(__xludf.DUMMYFUNCTION("""COMPUTED_VALUE"""),"No")</f>
        <v>No</v>
      </c>
      <c r="I1629" s="1" t="str">
        <f ca="1">IFERROR(__xludf.DUMMYFUNCTION("""COMPUTED_VALUE"""),"Will NOT work for them")</f>
        <v>Will NOT work for them</v>
      </c>
      <c r="J1629" s="1">
        <f ca="1">IFERROR(__xludf.DUMMYFUNCTION("""COMPUTED_VALUE"""),7)</f>
        <v>7</v>
      </c>
      <c r="K1629" s="1" t="str">
        <f ca="1">IFERROR(__xludf.DUMMYFUNCTION("""COMPUTED_VALUE"""),"Hybrid Working Environment with less than 3 days a month at office")</f>
        <v>Hybrid Working Environment with less than 3 days a month at office</v>
      </c>
      <c r="L1629" s="1" t="str">
        <f ca="1">IFERROR(__xludf.DUMMYFUNCTION("""COMPUTED_VALUE"""),"Employer who pushes your limits by enabling an learning environment, and rewards you at the end")</f>
        <v>Employer who pushes your limits by enabling an learning environment, and rewards you at the end</v>
      </c>
      <c r="M162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N1629" s="1"/>
      <c r="O1629" s="1" t="str">
        <f ca="1">IFERROR(__xludf.DUMMYFUNCTION("""COMPUTED_VALUE"""),"Manager who sets targets and expects me to achieve it")</f>
        <v>Manager who sets targets and expects me to achieve it</v>
      </c>
      <c r="P1629" s="1" t="str">
        <f ca="1">IFERROR(__xludf.DUMMYFUNCTION("""COMPUTED_VALUE"""),"Work &gt;10 people in Team")</f>
        <v>Work &gt;10 people in Team</v>
      </c>
      <c r="Q1629" s="1" t="s">
        <v>43</v>
      </c>
      <c r="R1629" s="1"/>
    </row>
    <row r="1630" spans="1:18" x14ac:dyDescent="0.25">
      <c r="A1630" s="2">
        <f ca="1">IFERROR(__xludf.DUMMYFUNCTION("""COMPUTED_VALUE"""),45046.0476713078)</f>
        <v>45046.047671307802</v>
      </c>
      <c r="B1630" s="1" t="str">
        <f ca="1">IFERROR(__xludf.DUMMYFUNCTION("""COMPUTED_VALUE"""),"Canada")</f>
        <v>Canada</v>
      </c>
      <c r="C1630" s="1" t="str">
        <f ca="1">IFERROR(__xludf.DUMMYFUNCTION("""COMPUTED_VALUE"""),"V4C4G1")</f>
        <v>V4C4G1</v>
      </c>
      <c r="D1630" s="1" t="str">
        <f ca="1">IFERROR(__xludf.DUMMYFUNCTION("""COMPUTED_VALUE"""),"Female")</f>
        <v>Female</v>
      </c>
      <c r="E1630" s="1" t="str">
        <f ca="1">IFERROR(__xludf.DUMMYFUNCTION("""COMPUTED_VALUE"""),"Social Media like LinkedIn")</f>
        <v>Social Media like LinkedIn</v>
      </c>
      <c r="F1630" s="1" t="str">
        <f ca="1">IFERROR(__xludf.DUMMYFUNCTION("""COMPUTED_VALUE"""),"Yes, I will earn and do that")</f>
        <v>Yes, I will earn and do that</v>
      </c>
      <c r="G1630" s="1" t="str">
        <f ca="1">IFERROR(__xludf.DUMMYFUNCTION("""COMPUTED_VALUE"""),"This will be hard to do, but if it is the right company I would try")</f>
        <v>This will be hard to do, but if it is the right company I would try</v>
      </c>
      <c r="H1630" s="1" t="str">
        <f ca="1">IFERROR(__xludf.DUMMYFUNCTION("""COMPUTED_VALUE"""),"No")</f>
        <v>No</v>
      </c>
      <c r="I1630" s="1" t="str">
        <f ca="1">IFERROR(__xludf.DUMMYFUNCTION("""COMPUTED_VALUE"""),"Will NOT work for them")</f>
        <v>Will NOT work for them</v>
      </c>
      <c r="J1630" s="1">
        <f ca="1">IFERROR(__xludf.DUMMYFUNCTION("""COMPUTED_VALUE"""),5)</f>
        <v>5</v>
      </c>
      <c r="K1630" s="1" t="str">
        <f ca="1">IFERROR(__xludf.DUMMYFUNCTION("""COMPUTED_VALUE"""),"Hybrid Working Environment with less than 3 days a month at office")</f>
        <v>Hybrid Working Environment with less than 3 days a month at office</v>
      </c>
      <c r="L1630" s="1" t="str">
        <f ca="1">IFERROR(__xludf.DUMMYFUNCTION("""COMPUTED_VALUE"""),"Employer who pushes your limits by enabling an learning environment, and rewards you at the end")</f>
        <v>Employer who pushes your limits by enabling an learning environment, and rewards you at the end</v>
      </c>
      <c r="M163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630" s="1"/>
      <c r="O1630" s="1" t="str">
        <f ca="1">IFERROR(__xludf.DUMMYFUNCTION("""COMPUTED_VALUE"""),"Manager who sets targets and expects me to achieve it")</f>
        <v>Manager who sets targets and expects me to achieve it</v>
      </c>
      <c r="P1630" s="1" t="str">
        <f ca="1">IFERROR(__xludf.DUMMYFUNCTION("""COMPUTED_VALUE"""),"Work &lt;=6 People in the Team")</f>
        <v>Work &lt;=6 People in the Team</v>
      </c>
      <c r="Q1630" s="1" t="s">
        <v>43</v>
      </c>
      <c r="R1630" s="1"/>
    </row>
    <row r="1631" spans="1:18" x14ac:dyDescent="0.25">
      <c r="A1631" s="2">
        <f ca="1">IFERROR(__xludf.DUMMYFUNCTION("""COMPUTED_VALUE"""),45046.154862037)</f>
        <v>45046.154862037001</v>
      </c>
      <c r="B1631" s="1" t="str">
        <f ca="1">IFERROR(__xludf.DUMMYFUNCTION("""COMPUTED_VALUE"""),"India")</f>
        <v>India</v>
      </c>
      <c r="C1631" s="1">
        <f ca="1">IFERROR(__xludf.DUMMYFUNCTION("""COMPUTED_VALUE"""),110007)</f>
        <v>110007</v>
      </c>
      <c r="D1631" s="1" t="str">
        <f ca="1">IFERROR(__xludf.DUMMYFUNCTION("""COMPUTED_VALUE"""),"Male")</f>
        <v>Male</v>
      </c>
      <c r="E1631" s="1" t="str">
        <f ca="1">IFERROR(__xludf.DUMMYFUNCTION("""COMPUTED_VALUE"""),"Influencers who had successful careers")</f>
        <v>Influencers who had successful careers</v>
      </c>
      <c r="F1631" s="1" t="str">
        <f ca="1">IFERROR(__xludf.DUMMYFUNCTION("""COMPUTED_VALUE"""),"Yes, I will earn and do that")</f>
        <v>Yes, I will earn and do that</v>
      </c>
      <c r="G1631" s="1" t="str">
        <f ca="1">IFERROR(__xludf.DUMMYFUNCTION("""COMPUTED_VALUE"""),"Will work for 3 years or more")</f>
        <v>Will work for 3 years or more</v>
      </c>
      <c r="H1631" s="1" t="str">
        <f ca="1">IFERROR(__xludf.DUMMYFUNCTION("""COMPUTED_VALUE"""),"No")</f>
        <v>No</v>
      </c>
      <c r="I1631" s="1" t="str">
        <f ca="1">IFERROR(__xludf.DUMMYFUNCTION("""COMPUTED_VALUE"""),"Will NOT work for them")</f>
        <v>Will NOT work for them</v>
      </c>
      <c r="J1631" s="1">
        <f ca="1">IFERROR(__xludf.DUMMYFUNCTION("""COMPUTED_VALUE"""),4)</f>
        <v>4</v>
      </c>
      <c r="K1631" s="1" t="str">
        <f ca="1">IFERROR(__xludf.DUMMYFUNCTION("""COMPUTED_VALUE"""),"Hybrid Working Environment with more than 15 days a month at office")</f>
        <v>Hybrid Working Environment with more than 15 days a month at office</v>
      </c>
      <c r="L1631" s="1" t="str">
        <f ca="1">IFERROR(__xludf.DUMMYFUNCTION("""COMPUTED_VALUE"""),"Employer who pushes your limits by enabling an learning environment, and rewards you at the end")</f>
        <v>Employer who pushes your limits by enabling an learning environment, and rewards you at the end</v>
      </c>
      <c r="M1631" s="1" t="str">
        <f ca="1">IFERROR(__xludf.DUMMYFUNCTION("""COMPUTED_VALUE"""),"Build and develop a Team, Work in a BPO setup for some well known client, Work as a freelancer and do my thing my way, I Want to sell things/Sales")</f>
        <v>Build and develop a Team, Work in a BPO setup for some well known client, Work as a freelancer and do my thing my way, I Want to sell things/Sales</v>
      </c>
      <c r="N1631" s="1"/>
      <c r="O1631" s="1" t="str">
        <f ca="1">IFERROR(__xludf.DUMMYFUNCTION("""COMPUTED_VALUE"""),"Manager who sets targets and expects me to achieve it")</f>
        <v>Manager who sets targets and expects me to achieve it</v>
      </c>
      <c r="P1631" s="1" t="str">
        <f ca="1">IFERROR(__xludf.DUMMYFUNCTION("""COMPUTED_VALUE"""),"Work &lt;=6 People in the Team")</f>
        <v>Work &lt;=6 People in the Team</v>
      </c>
      <c r="Q1631" s="1" t="s">
        <v>42</v>
      </c>
      <c r="R1631" s="1"/>
    </row>
    <row r="1632" spans="1:18" x14ac:dyDescent="0.25">
      <c r="A1632" s="2">
        <f ca="1">IFERROR(__xludf.DUMMYFUNCTION("""COMPUTED_VALUE"""),45046.183475081)</f>
        <v>45046.183475081001</v>
      </c>
      <c r="B1632" s="1" t="str">
        <f ca="1">IFERROR(__xludf.DUMMYFUNCTION("""COMPUTED_VALUE"""),"India")</f>
        <v>India</v>
      </c>
      <c r="C1632" s="1">
        <f ca="1">IFERROR(__xludf.DUMMYFUNCTION("""COMPUTED_VALUE"""),110062)</f>
        <v>110062</v>
      </c>
      <c r="D1632" s="1" t="str">
        <f ca="1">IFERROR(__xludf.DUMMYFUNCTION("""COMPUTED_VALUE"""),"Male")</f>
        <v>Male</v>
      </c>
      <c r="E1632" s="1" t="str">
        <f ca="1">IFERROR(__xludf.DUMMYFUNCTION("""COMPUTED_VALUE"""),"Influencers who had successful careers")</f>
        <v>Influencers who had successful careers</v>
      </c>
      <c r="F1632" s="1" t="str">
        <f ca="1">IFERROR(__xludf.DUMMYFUNCTION("""COMPUTED_VALUE"""),"No I would not be pursuing Higher Education outside of India")</f>
        <v>No I would not be pursuing Higher Education outside of India</v>
      </c>
      <c r="G1632" s="1" t="str">
        <f ca="1">IFERROR(__xludf.DUMMYFUNCTION("""COMPUTED_VALUE"""),"No way")</f>
        <v>No way</v>
      </c>
      <c r="H1632" s="1" t="str">
        <f ca="1">IFERROR(__xludf.DUMMYFUNCTION("""COMPUTED_VALUE"""),"No")</f>
        <v>No</v>
      </c>
      <c r="I1632" s="1" t="str">
        <f ca="1">IFERROR(__xludf.DUMMYFUNCTION("""COMPUTED_VALUE"""),"Will NOT work for them")</f>
        <v>Will NOT work for them</v>
      </c>
      <c r="J1632" s="1">
        <f ca="1">IFERROR(__xludf.DUMMYFUNCTION("""COMPUTED_VALUE"""),5)</f>
        <v>5</v>
      </c>
      <c r="K1632" s="1" t="str">
        <f ca="1">IFERROR(__xludf.DUMMYFUNCTION("""COMPUTED_VALUE"""),"Fully Remote with Options to travel as and when needed")</f>
        <v>Fully Remote with Options to travel as and when needed</v>
      </c>
      <c r="L1632" s="1" t="str">
        <f ca="1">IFERROR(__xludf.DUMMYFUNCTION("""COMPUTED_VALUE"""),"Employer who rewards learning and enables that environment")</f>
        <v>Employer who rewards learning and enables that environment</v>
      </c>
      <c r="M163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N1632" s="1"/>
      <c r="O1632" s="1" t="str">
        <f ca="1">IFERROR(__xludf.DUMMYFUNCTION("""COMPUTED_VALUE"""),"Manager who explains what is expected, sets a goal and helps achieve it")</f>
        <v>Manager who explains what is expected, sets a goal and helps achieve it</v>
      </c>
      <c r="P1632" s="1" t="str">
        <f ca="1">IFERROR(__xludf.DUMMYFUNCTION("""COMPUTED_VALUE"""),"Work &gt;10 people in Team")</f>
        <v>Work &gt;10 people in Team</v>
      </c>
      <c r="Q1632" s="1" t="s">
        <v>43</v>
      </c>
      <c r="R1632" s="1"/>
    </row>
    <row r="1633" spans="1:18" x14ac:dyDescent="0.25">
      <c r="A1633" s="2">
        <f ca="1">IFERROR(__xludf.DUMMYFUNCTION("""COMPUTED_VALUE"""),45046.3000362384)</f>
        <v>45046.300036238397</v>
      </c>
      <c r="B1633" s="1" t="str">
        <f ca="1">IFERROR(__xludf.DUMMYFUNCTION("""COMPUTED_VALUE"""),"India")</f>
        <v>India</v>
      </c>
      <c r="C1633" s="1">
        <f ca="1">IFERROR(__xludf.DUMMYFUNCTION("""COMPUTED_VALUE"""),473001)</f>
        <v>473001</v>
      </c>
      <c r="D1633" s="1" t="str">
        <f ca="1">IFERROR(__xludf.DUMMYFUNCTION("""COMPUTED_VALUE"""),"Male")</f>
        <v>Male</v>
      </c>
      <c r="E1633" s="1" t="str">
        <f ca="1">IFERROR(__xludf.DUMMYFUNCTION("""COMPUTED_VALUE"""),"My Parents")</f>
        <v>My Parents</v>
      </c>
      <c r="F1633" s="1" t="str">
        <f ca="1">IFERROR(__xludf.DUMMYFUNCTION("""COMPUTED_VALUE"""),"No, But if someone could bare the cost I will")</f>
        <v>No, But if someone could bare the cost I will</v>
      </c>
      <c r="G1633" s="1" t="str">
        <f ca="1">IFERROR(__xludf.DUMMYFUNCTION("""COMPUTED_VALUE"""),"No way")</f>
        <v>No way</v>
      </c>
      <c r="H1633" s="1" t="str">
        <f ca="1">IFERROR(__xludf.DUMMYFUNCTION("""COMPUTED_VALUE"""),"No")</f>
        <v>No</v>
      </c>
      <c r="I1633" s="1" t="str">
        <f ca="1">IFERROR(__xludf.DUMMYFUNCTION("""COMPUTED_VALUE"""),"Will NOT work for them")</f>
        <v>Will NOT work for them</v>
      </c>
      <c r="J1633" s="1">
        <f ca="1">IFERROR(__xludf.DUMMYFUNCTION("""COMPUTED_VALUE"""),4)</f>
        <v>4</v>
      </c>
      <c r="K1633" s="1" t="str">
        <f ca="1">IFERROR(__xludf.DUMMYFUNCTION("""COMPUTED_VALUE"""),"Every Day Office Environment")</f>
        <v>Every Day Office Environment</v>
      </c>
      <c r="L1633" s="1" t="str">
        <f ca="1">IFERROR(__xludf.DUMMYFUNCTION("""COMPUTED_VALUE"""),"Employer who pushes your limits by enabling an learning environment, and rewards you at the end")</f>
        <v>Employer who pushes your limits by enabling an learning environment, and rewards you at the end</v>
      </c>
      <c r="M1633"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N1633" s="1"/>
      <c r="O1633" s="1" t="str">
        <f ca="1">IFERROR(__xludf.DUMMYFUNCTION("""COMPUTED_VALUE"""),"Manager who explains what is expected, sets a goal and helps achieve it")</f>
        <v>Manager who explains what is expected, sets a goal and helps achieve it</v>
      </c>
      <c r="P1633" s="1" t="str">
        <f ca="1">IFERROR(__xludf.DUMMYFUNCTION("""COMPUTED_VALUE"""),"Work &lt;=6 People in the Team")</f>
        <v>Work &lt;=6 People in the Team</v>
      </c>
      <c r="Q1633" s="1" t="s">
        <v>43</v>
      </c>
      <c r="R1633" s="1"/>
    </row>
    <row r="1634" spans="1:18" x14ac:dyDescent="0.25">
      <c r="A1634" s="2">
        <f ca="1">IFERROR(__xludf.DUMMYFUNCTION("""COMPUTED_VALUE"""),45046.3079862384)</f>
        <v>45046.307986238397</v>
      </c>
      <c r="B1634" s="1" t="str">
        <f ca="1">IFERROR(__xludf.DUMMYFUNCTION("""COMPUTED_VALUE"""),"India")</f>
        <v>India</v>
      </c>
      <c r="C1634" s="1">
        <f ca="1">IFERROR(__xludf.DUMMYFUNCTION("""COMPUTED_VALUE"""),505460)</f>
        <v>505460</v>
      </c>
      <c r="D1634" s="1" t="str">
        <f ca="1">IFERROR(__xludf.DUMMYFUNCTION("""COMPUTED_VALUE"""),"Female")</f>
        <v>Female</v>
      </c>
      <c r="E1634" s="1" t="str">
        <f ca="1">IFERROR(__xludf.DUMMYFUNCTION("""COMPUTED_VALUE"""),"My Parents")</f>
        <v>My Parents</v>
      </c>
      <c r="F1634" s="1" t="str">
        <f ca="1">IFERROR(__xludf.DUMMYFUNCTION("""COMPUTED_VALUE"""),"No, But if someone could bare the cost I will")</f>
        <v>No, But if someone could bare the cost I will</v>
      </c>
      <c r="G1634" s="1" t="str">
        <f ca="1">IFERROR(__xludf.DUMMYFUNCTION("""COMPUTED_VALUE"""),"No way")</f>
        <v>No way</v>
      </c>
      <c r="H1634" s="1" t="str">
        <f ca="1">IFERROR(__xludf.DUMMYFUNCTION("""COMPUTED_VALUE"""),"Yes")</f>
        <v>Yes</v>
      </c>
      <c r="I1634" s="1" t="str">
        <f ca="1">IFERROR(__xludf.DUMMYFUNCTION("""COMPUTED_VALUE"""),"Will NOT work for them")</f>
        <v>Will NOT work for them</v>
      </c>
      <c r="J1634" s="1">
        <f ca="1">IFERROR(__xludf.DUMMYFUNCTION("""COMPUTED_VALUE"""),5)</f>
        <v>5</v>
      </c>
      <c r="K1634" s="1" t="str">
        <f ca="1">IFERROR(__xludf.DUMMYFUNCTION("""COMPUTED_VALUE"""),"Hybrid Working Environment with less than 3 days a month at office")</f>
        <v>Hybrid Working Environment with less than 3 days a month at office</v>
      </c>
      <c r="L1634" s="1" t="str">
        <f ca="1">IFERROR(__xludf.DUMMYFUNCTION("""COMPUTED_VALUE"""),"Employer who appreciates learning and enables that environment")</f>
        <v>Employer who appreciates learning and enables that environment</v>
      </c>
      <c r="M1634"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N1634" s="1"/>
      <c r="O1634" s="1" t="str">
        <f ca="1">IFERROR(__xludf.DUMMYFUNCTION("""COMPUTED_VALUE"""),"Manager who sets goal and helps me achieve it")</f>
        <v>Manager who sets goal and helps me achieve it</v>
      </c>
      <c r="P1634" s="1" t="str">
        <f ca="1">IFERROR(__xludf.DUMMYFUNCTION("""COMPUTED_VALUE"""),"Work &lt;=6 People in the Team")</f>
        <v>Work &lt;=6 People in the Team</v>
      </c>
      <c r="Q1634" s="1" t="s">
        <v>40</v>
      </c>
      <c r="R1634" s="1"/>
    </row>
    <row r="1635" spans="1:18" x14ac:dyDescent="0.25">
      <c r="A1635" s="2">
        <f ca="1">IFERROR(__xludf.DUMMYFUNCTION("""COMPUTED_VALUE"""),45046.3230974768)</f>
        <v>45046.323097476801</v>
      </c>
      <c r="B1635" s="1" t="str">
        <f ca="1">IFERROR(__xludf.DUMMYFUNCTION("""COMPUTED_VALUE"""),"India")</f>
        <v>India</v>
      </c>
      <c r="C1635" s="1">
        <f ca="1">IFERROR(__xludf.DUMMYFUNCTION("""COMPUTED_VALUE"""),110006)</f>
        <v>110006</v>
      </c>
      <c r="D1635" s="1" t="str">
        <f ca="1">IFERROR(__xludf.DUMMYFUNCTION("""COMPUTED_VALUE"""),"Female")</f>
        <v>Female</v>
      </c>
      <c r="E1635" s="1" t="str">
        <f ca="1">IFERROR(__xludf.DUMMYFUNCTION("""COMPUTED_VALUE"""),"My Parents")</f>
        <v>My Parents</v>
      </c>
      <c r="F1635" s="1" t="str">
        <f ca="1">IFERROR(__xludf.DUMMYFUNCTION("""COMPUTED_VALUE"""),"Yes, I will earn and do that")</f>
        <v>Yes, I will earn and do that</v>
      </c>
      <c r="G1635" s="1" t="str">
        <f ca="1">IFERROR(__xludf.DUMMYFUNCTION("""COMPUTED_VALUE"""),"This will be hard to do, but if it is the right company I would try")</f>
        <v>This will be hard to do, but if it is the right company I would try</v>
      </c>
      <c r="H1635" s="1" t="str">
        <f ca="1">IFERROR(__xludf.DUMMYFUNCTION("""COMPUTED_VALUE"""),"No")</f>
        <v>No</v>
      </c>
      <c r="I1635" s="1" t="str">
        <f ca="1">IFERROR(__xludf.DUMMYFUNCTION("""COMPUTED_VALUE"""),"Will NOT work for them")</f>
        <v>Will NOT work for them</v>
      </c>
      <c r="J1635" s="1">
        <f ca="1">IFERROR(__xludf.DUMMYFUNCTION("""COMPUTED_VALUE"""),1)</f>
        <v>1</v>
      </c>
      <c r="K1635" s="1" t="str">
        <f ca="1">IFERROR(__xludf.DUMMYFUNCTION("""COMPUTED_VALUE"""),"Hybrid Working Environment with more than 15 days a month at office")</f>
        <v>Hybrid Working Environment with more than 15 days a month at office</v>
      </c>
      <c r="L1635" s="1" t="str">
        <f ca="1">IFERROR(__xludf.DUMMYFUNCTION("""COMPUTED_VALUE"""),"Employer who pushes your limits by enabling an learning environment, and rewards you at the end")</f>
        <v>Employer who pushes your limits by enabling an learning environment, and rewards you at the end</v>
      </c>
      <c r="M1635"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1635" s="1"/>
      <c r="O1635" s="1" t="str">
        <f ca="1">IFERROR(__xludf.DUMMYFUNCTION("""COMPUTED_VALUE"""),"Manager who explains what is expected, sets a goal and helps achieve it")</f>
        <v>Manager who explains what is expected, sets a goal and helps achieve it</v>
      </c>
      <c r="P1635" s="1" t="str">
        <f ca="1">IFERROR(__xludf.DUMMYFUNCTION("""COMPUTED_VALUE"""),"Work &gt;=7 People in the Team")</f>
        <v>Work &gt;=7 People in the Team</v>
      </c>
      <c r="Q1635" s="1" t="s">
        <v>43</v>
      </c>
      <c r="R1635" s="1"/>
    </row>
    <row r="1636" spans="1:18" x14ac:dyDescent="0.25">
      <c r="A1636" s="2">
        <f ca="1">IFERROR(__xludf.DUMMYFUNCTION("""COMPUTED_VALUE"""),45046.3310814467)</f>
        <v>45046.331081446697</v>
      </c>
      <c r="B1636" s="1" t="str">
        <f ca="1">IFERROR(__xludf.DUMMYFUNCTION("""COMPUTED_VALUE"""),"India")</f>
        <v>India</v>
      </c>
      <c r="C1636" s="1">
        <f ca="1">IFERROR(__xludf.DUMMYFUNCTION("""COMPUTED_VALUE"""),560066)</f>
        <v>560066</v>
      </c>
      <c r="D1636" s="1" t="str">
        <f ca="1">IFERROR(__xludf.DUMMYFUNCTION("""COMPUTED_VALUE"""),"Female")</f>
        <v>Female</v>
      </c>
      <c r="E1636" s="1" t="str">
        <f ca="1">IFERROR(__xludf.DUMMYFUNCTION("""COMPUTED_VALUE"""),"People from my circle, but not family members")</f>
        <v>People from my circle, but not family members</v>
      </c>
      <c r="F1636" s="1" t="str">
        <f ca="1">IFERROR(__xludf.DUMMYFUNCTION("""COMPUTED_VALUE"""),"No, But if someone could bare the cost I will")</f>
        <v>No, But if someone could bare the cost I will</v>
      </c>
      <c r="G1636" s="1" t="str">
        <f ca="1">IFERROR(__xludf.DUMMYFUNCTION("""COMPUTED_VALUE"""),"This will be hard to do, but if it is the right company I would try")</f>
        <v>This will be hard to do, but if it is the right company I would try</v>
      </c>
      <c r="H1636" s="1" t="str">
        <f ca="1">IFERROR(__xludf.DUMMYFUNCTION("""COMPUTED_VALUE"""),"No")</f>
        <v>No</v>
      </c>
      <c r="I1636" s="1" t="str">
        <f ca="1">IFERROR(__xludf.DUMMYFUNCTION("""COMPUTED_VALUE"""),"Will NOT work for them")</f>
        <v>Will NOT work for them</v>
      </c>
      <c r="J1636" s="1">
        <f ca="1">IFERROR(__xludf.DUMMYFUNCTION("""COMPUTED_VALUE"""),6)</f>
        <v>6</v>
      </c>
      <c r="K1636" s="1" t="str">
        <f ca="1">IFERROR(__xludf.DUMMYFUNCTION("""COMPUTED_VALUE"""),"Hybrid Working Environment with more than 15 days a month at office")</f>
        <v>Hybrid Working Environment with more than 15 days a month at office</v>
      </c>
      <c r="L1636" s="1" t="str">
        <f ca="1">IFERROR(__xludf.DUMMYFUNCTION("""COMPUTED_VALUE"""),"Employer who pushes your limits by enabling an learning environment, and rewards you at the end")</f>
        <v>Employer who pushes your limits by enabling an learning environment, and rewards you at the end</v>
      </c>
      <c r="M1636" s="1" t="str">
        <f ca="1">IFERROR(__xludf.DUMMYFUNCTION("""COMPUTED_VALUE"""),"Design and Creative strategy in any company, Teaching in any of the institutes/colleges/online or offline, Work in a BPO setup for some well known client, Entrepreneur or Start Up")</f>
        <v>Design and Creative strategy in any company, Teaching in any of the institutes/colleges/online or offline, Work in a BPO setup for some well known client, Entrepreneur or Start Up</v>
      </c>
      <c r="N1636" s="1"/>
      <c r="O1636" s="1" t="str">
        <f ca="1">IFERROR(__xludf.DUMMYFUNCTION("""COMPUTED_VALUE"""),"Manager who explains what is expected, sets a goal and helps achieve it")</f>
        <v>Manager who explains what is expected, sets a goal and helps achieve it</v>
      </c>
      <c r="P1636" s="1" t="str">
        <f ca="1">IFERROR(__xludf.DUMMYFUNCTION("""COMPUTED_VALUE"""),"Work &gt;=7 People in the Team")</f>
        <v>Work &gt;=7 People in the Team</v>
      </c>
      <c r="Q1636" s="1" t="s">
        <v>43</v>
      </c>
      <c r="R1636" s="1"/>
    </row>
    <row r="1637" spans="1:18" x14ac:dyDescent="0.25">
      <c r="A1637" s="2">
        <f ca="1">IFERROR(__xludf.DUMMYFUNCTION("""COMPUTED_VALUE"""),45046.3585796527)</f>
        <v>45046.358579652697</v>
      </c>
      <c r="B1637" s="1" t="str">
        <f ca="1">IFERROR(__xludf.DUMMYFUNCTION("""COMPUTED_VALUE"""),"India")</f>
        <v>India</v>
      </c>
      <c r="C1637" s="1">
        <f ca="1">IFERROR(__xludf.DUMMYFUNCTION("""COMPUTED_VALUE"""),160002)</f>
        <v>160002</v>
      </c>
      <c r="D1637" s="1" t="str">
        <f ca="1">IFERROR(__xludf.DUMMYFUNCTION("""COMPUTED_VALUE"""),"Female")</f>
        <v>Female</v>
      </c>
      <c r="E1637" s="1" t="str">
        <f ca="1">IFERROR(__xludf.DUMMYFUNCTION("""COMPUTED_VALUE"""),"My Parents")</f>
        <v>My Parents</v>
      </c>
      <c r="F1637" s="1" t="str">
        <f ca="1">IFERROR(__xludf.DUMMYFUNCTION("""COMPUTED_VALUE"""),"No I would not be pursuing Higher Education outside of India")</f>
        <v>No I would not be pursuing Higher Education outside of India</v>
      </c>
      <c r="G1637" s="1" t="str">
        <f ca="1">IFERROR(__xludf.DUMMYFUNCTION("""COMPUTED_VALUE"""),"This will be hard to do, but if it is the right company I would try")</f>
        <v>This will be hard to do, but if it is the right company I would try</v>
      </c>
      <c r="H1637" s="1" t="str">
        <f ca="1">IFERROR(__xludf.DUMMYFUNCTION("""COMPUTED_VALUE"""),"No")</f>
        <v>No</v>
      </c>
      <c r="I1637" s="1" t="str">
        <f ca="1">IFERROR(__xludf.DUMMYFUNCTION("""COMPUTED_VALUE"""),"Will NOT work for them")</f>
        <v>Will NOT work for them</v>
      </c>
      <c r="J1637" s="1">
        <f ca="1">IFERROR(__xludf.DUMMYFUNCTION("""COMPUTED_VALUE"""),1)</f>
        <v>1</v>
      </c>
      <c r="K1637" s="1" t="str">
        <f ca="1">IFERROR(__xludf.DUMMYFUNCTION("""COMPUTED_VALUE"""),"Fully Remote with No option to visit offices")</f>
        <v>Fully Remote with No option to visit offices</v>
      </c>
      <c r="L1637" s="1" t="str">
        <f ca="1">IFERROR(__xludf.DUMMYFUNCTION("""COMPUTED_VALUE"""),"Employer who appreciates learning and enables that environment")</f>
        <v>Employer who appreciates learning and enables that environment</v>
      </c>
      <c r="M163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N1637" s="1"/>
      <c r="O1637" s="1" t="str">
        <f ca="1">IFERROR(__xludf.DUMMYFUNCTION("""COMPUTED_VALUE"""),"Manager who clearly describes what she/he needs")</f>
        <v>Manager who clearly describes what she/he needs</v>
      </c>
      <c r="P1637" s="1" t="str">
        <f ca="1">IFERROR(__xludf.DUMMYFUNCTION("""COMPUTED_VALUE"""),"Work &lt;=6 People in the Team")</f>
        <v>Work &lt;=6 People in the Team</v>
      </c>
      <c r="Q1637" s="1" t="s">
        <v>43</v>
      </c>
      <c r="R1637" s="1"/>
    </row>
    <row r="1638" spans="1:18" x14ac:dyDescent="0.25">
      <c r="A1638" s="2">
        <f ca="1">IFERROR(__xludf.DUMMYFUNCTION("""COMPUTED_VALUE"""),45046.4178829976)</f>
        <v>45046.417882997601</v>
      </c>
      <c r="B1638" s="1" t="str">
        <f ca="1">IFERROR(__xludf.DUMMYFUNCTION("""COMPUTED_VALUE"""),"India")</f>
        <v>India</v>
      </c>
      <c r="C1638" s="1">
        <f ca="1">IFERROR(__xludf.DUMMYFUNCTION("""COMPUTED_VALUE"""),605010)</f>
        <v>605010</v>
      </c>
      <c r="D1638" s="1" t="str">
        <f ca="1">IFERROR(__xludf.DUMMYFUNCTION("""COMPUTED_VALUE"""),"Female")</f>
        <v>Female</v>
      </c>
      <c r="E1638" s="1" t="str">
        <f ca="1">IFERROR(__xludf.DUMMYFUNCTION("""COMPUTED_VALUE"""),"People from my circle, but not family members")</f>
        <v>People from my circle, but not family members</v>
      </c>
      <c r="F1638" s="1" t="str">
        <f ca="1">IFERROR(__xludf.DUMMYFUNCTION("""COMPUTED_VALUE"""),"No, But if someone could bare the cost I will")</f>
        <v>No, But if someone could bare the cost I will</v>
      </c>
      <c r="G1638" s="1" t="str">
        <f ca="1">IFERROR(__xludf.DUMMYFUNCTION("""COMPUTED_VALUE"""),"Will work for 3 years or more")</f>
        <v>Will work for 3 years or more</v>
      </c>
      <c r="H1638" s="1" t="str">
        <f ca="1">IFERROR(__xludf.DUMMYFUNCTION("""COMPUTED_VALUE"""),"No")</f>
        <v>No</v>
      </c>
      <c r="I1638" s="1" t="str">
        <f ca="1">IFERROR(__xludf.DUMMYFUNCTION("""COMPUTED_VALUE"""),"Will NOT work for them")</f>
        <v>Will NOT work for them</v>
      </c>
      <c r="J1638" s="1">
        <f ca="1">IFERROR(__xludf.DUMMYFUNCTION("""COMPUTED_VALUE"""),6)</f>
        <v>6</v>
      </c>
      <c r="K1638" s="1" t="str">
        <f ca="1">IFERROR(__xludf.DUMMYFUNCTION("""COMPUTED_VALUE"""),"Fully Remote with Options to travel as and when needed")</f>
        <v>Fully Remote with Options to travel as and when needed</v>
      </c>
      <c r="L1638" s="1" t="str">
        <f ca="1">IFERROR(__xludf.DUMMYFUNCTION("""COMPUTED_VALUE"""),"Employer who rewards learning and enables that environment")</f>
        <v>Employer who rewards learning and enables that environment</v>
      </c>
      <c r="M1638"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N1638" s="1"/>
      <c r="O1638" s="1" t="str">
        <f ca="1">IFERROR(__xludf.DUMMYFUNCTION("""COMPUTED_VALUE"""),"Manager who sets goal and helps me achieve it")</f>
        <v>Manager who sets goal and helps me achieve it</v>
      </c>
      <c r="P1638" s="1" t="str">
        <f ca="1">IFERROR(__xludf.DUMMYFUNCTION("""COMPUTED_VALUE"""),"Work &lt;=6 People in the Team")</f>
        <v>Work &lt;=6 People in the Team</v>
      </c>
      <c r="Q1638" s="1" t="s">
        <v>40</v>
      </c>
      <c r="R1638" s="1"/>
    </row>
    <row r="1639" spans="1:18" x14ac:dyDescent="0.25">
      <c r="A1639" s="2">
        <f ca="1">IFERROR(__xludf.DUMMYFUNCTION("""COMPUTED_VALUE"""),45046.4212645949)</f>
        <v>45046.421264594901</v>
      </c>
      <c r="B1639" s="1" t="str">
        <f ca="1">IFERROR(__xludf.DUMMYFUNCTION("""COMPUTED_VALUE"""),"India")</f>
        <v>India</v>
      </c>
      <c r="C1639" s="1">
        <f ca="1">IFERROR(__xludf.DUMMYFUNCTION("""COMPUTED_VALUE"""),571301)</f>
        <v>571301</v>
      </c>
      <c r="D1639" s="1" t="str">
        <f ca="1">IFERROR(__xludf.DUMMYFUNCTION("""COMPUTED_VALUE"""),"Male")</f>
        <v>Male</v>
      </c>
      <c r="E1639" s="1" t="str">
        <f ca="1">IFERROR(__xludf.DUMMYFUNCTION("""COMPUTED_VALUE"""),"My Parents")</f>
        <v>My Parents</v>
      </c>
      <c r="F1639" s="1" t="str">
        <f ca="1">IFERROR(__xludf.DUMMYFUNCTION("""COMPUTED_VALUE"""),"No I would not be pursuing Higher Education outside of India")</f>
        <v>No I would not be pursuing Higher Education outside of India</v>
      </c>
      <c r="G1639" s="1" t="str">
        <f ca="1">IFERROR(__xludf.DUMMYFUNCTION("""COMPUTED_VALUE"""),"This will be hard to do, but if it is the right company I would try")</f>
        <v>This will be hard to do, but if it is the right company I would try</v>
      </c>
      <c r="H1639" s="1" t="str">
        <f ca="1">IFERROR(__xludf.DUMMYFUNCTION("""COMPUTED_VALUE"""),"No")</f>
        <v>No</v>
      </c>
      <c r="I1639" s="1" t="str">
        <f ca="1">IFERROR(__xludf.DUMMYFUNCTION("""COMPUTED_VALUE"""),"Will NOT work for them")</f>
        <v>Will NOT work for them</v>
      </c>
      <c r="J1639" s="1">
        <f ca="1">IFERROR(__xludf.DUMMYFUNCTION("""COMPUTED_VALUE"""),5)</f>
        <v>5</v>
      </c>
      <c r="K1639" s="1" t="str">
        <f ca="1">IFERROR(__xludf.DUMMYFUNCTION("""COMPUTED_VALUE"""),"Hybrid Working Environment with more than 15 days a month at office")</f>
        <v>Hybrid Working Environment with more than 15 days a month at office</v>
      </c>
      <c r="L1639" s="1" t="str">
        <f ca="1">IFERROR(__xludf.DUMMYFUNCTION("""COMPUTED_VALUE"""),"Employer who appreciates learning and enables that environment")</f>
        <v>Employer who appreciates learning and enables that environment</v>
      </c>
      <c r="M1639"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N1639" s="1"/>
      <c r="O1639" s="1" t="str">
        <f ca="1">IFERROR(__xludf.DUMMYFUNCTION("""COMPUTED_VALUE"""),"Manager who clearly describes what she/he needs")</f>
        <v>Manager who clearly describes what she/he needs</v>
      </c>
      <c r="P1639" s="1" t="str">
        <f ca="1">IFERROR(__xludf.DUMMYFUNCTION("""COMPUTED_VALUE"""),"Work &gt;10 people in Team")</f>
        <v>Work &gt;10 people in Team</v>
      </c>
      <c r="Q1639" s="1" t="s">
        <v>43</v>
      </c>
      <c r="R1639" s="1"/>
    </row>
    <row r="1640" spans="1:18" x14ac:dyDescent="0.25">
      <c r="A1640" s="2">
        <f ca="1">IFERROR(__xludf.DUMMYFUNCTION("""COMPUTED_VALUE"""),45046.4299020486)</f>
        <v>45046.4299020486</v>
      </c>
      <c r="B1640" s="1" t="str">
        <f ca="1">IFERROR(__xludf.DUMMYFUNCTION("""COMPUTED_VALUE"""),"Canada")</f>
        <v>Canada</v>
      </c>
      <c r="C1640" s="1" t="str">
        <f ca="1">IFERROR(__xludf.DUMMYFUNCTION("""COMPUTED_VALUE"""),"M3J0E5")</f>
        <v>M3J0E5</v>
      </c>
      <c r="D1640" s="1" t="str">
        <f ca="1">IFERROR(__xludf.DUMMYFUNCTION("""COMPUTED_VALUE"""),"Female")</f>
        <v>Female</v>
      </c>
      <c r="E1640" s="1" t="str">
        <f ca="1">IFERROR(__xludf.DUMMYFUNCTION("""COMPUTED_VALUE"""),"People from my circle, but not family members")</f>
        <v>People from my circle, but not family members</v>
      </c>
      <c r="F1640" s="1" t="str">
        <f ca="1">IFERROR(__xludf.DUMMYFUNCTION("""COMPUTED_VALUE"""),"Yes, I will earn and do that")</f>
        <v>Yes, I will earn and do that</v>
      </c>
      <c r="G1640" s="1" t="str">
        <f ca="1">IFERROR(__xludf.DUMMYFUNCTION("""COMPUTED_VALUE"""),"No way")</f>
        <v>No way</v>
      </c>
      <c r="H1640" s="1" t="str">
        <f ca="1">IFERROR(__xludf.DUMMYFUNCTION("""COMPUTED_VALUE"""),"No")</f>
        <v>No</v>
      </c>
      <c r="I1640" s="1" t="str">
        <f ca="1">IFERROR(__xludf.DUMMYFUNCTION("""COMPUTED_VALUE"""),"Will work for them")</f>
        <v>Will work for them</v>
      </c>
      <c r="J1640" s="1">
        <f ca="1">IFERROR(__xludf.DUMMYFUNCTION("""COMPUTED_VALUE"""),8)</f>
        <v>8</v>
      </c>
      <c r="K1640" s="1" t="str">
        <f ca="1">IFERROR(__xludf.DUMMYFUNCTION("""COMPUTED_VALUE"""),"Fully Remote with Options to travel as and when needed")</f>
        <v>Fully Remote with Options to travel as and when needed</v>
      </c>
      <c r="L1640" s="1" t="str">
        <f ca="1">IFERROR(__xludf.DUMMYFUNCTION("""COMPUTED_VALUE"""),"Employer who pushes your limits by enabling an learning environment, and rewards you at the end")</f>
        <v>Employer who pushes your limits by enabling an learning environment, and rewards you at the end</v>
      </c>
      <c r="M1640"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N1640" s="1"/>
      <c r="O1640" s="1" t="str">
        <f ca="1">IFERROR(__xludf.DUMMYFUNCTION("""COMPUTED_VALUE"""),"Manager who sets goal and helps me achieve it")</f>
        <v>Manager who sets goal and helps me achieve it</v>
      </c>
      <c r="P1640" s="1" t="str">
        <f ca="1">IFERROR(__xludf.DUMMYFUNCTION("""COMPUTED_VALUE"""),"Work &gt;10 people in Team")</f>
        <v>Work &gt;10 people in Team</v>
      </c>
      <c r="Q1640" s="1" t="s">
        <v>40</v>
      </c>
      <c r="R1640" s="1"/>
    </row>
    <row r="1641" spans="1:18" x14ac:dyDescent="0.25">
      <c r="A1641" s="2">
        <f ca="1">IFERROR(__xludf.DUMMYFUNCTION("""COMPUTED_VALUE"""),45046.4421729861)</f>
        <v>45046.442172986099</v>
      </c>
      <c r="B1641" s="1" t="str">
        <f ca="1">IFERROR(__xludf.DUMMYFUNCTION("""COMPUTED_VALUE"""),"India")</f>
        <v>India</v>
      </c>
      <c r="C1641" s="1">
        <f ca="1">IFERROR(__xludf.DUMMYFUNCTION("""COMPUTED_VALUE"""),243006)</f>
        <v>243006</v>
      </c>
      <c r="D1641" s="1" t="str">
        <f ca="1">IFERROR(__xludf.DUMMYFUNCTION("""COMPUTED_VALUE"""),"Male")</f>
        <v>Male</v>
      </c>
      <c r="E1641" s="1" t="str">
        <f ca="1">IFERROR(__xludf.DUMMYFUNCTION("""COMPUTED_VALUE"""),"Influencers who had successful careers")</f>
        <v>Influencers who had successful careers</v>
      </c>
      <c r="F1641" s="1" t="str">
        <f ca="1">IFERROR(__xludf.DUMMYFUNCTION("""COMPUTED_VALUE"""),"No I would not be pursuing Higher Education outside of India")</f>
        <v>No I would not be pursuing Higher Education outside of India</v>
      </c>
      <c r="G1641" s="1" t="str">
        <f ca="1">IFERROR(__xludf.DUMMYFUNCTION("""COMPUTED_VALUE"""),"This will be hard to do, but if it is the right company I would try")</f>
        <v>This will be hard to do, but if it is the right company I would try</v>
      </c>
      <c r="H1641" s="1" t="str">
        <f ca="1">IFERROR(__xludf.DUMMYFUNCTION("""COMPUTED_VALUE"""),"Yes")</f>
        <v>Yes</v>
      </c>
      <c r="I1641" s="1" t="str">
        <f ca="1">IFERROR(__xludf.DUMMYFUNCTION("""COMPUTED_VALUE"""),"Will NOT work for them")</f>
        <v>Will NOT work for them</v>
      </c>
      <c r="J1641" s="1">
        <f ca="1">IFERROR(__xludf.DUMMYFUNCTION("""COMPUTED_VALUE"""),5)</f>
        <v>5</v>
      </c>
      <c r="K1641" s="1" t="str">
        <f ca="1">IFERROR(__xludf.DUMMYFUNCTION("""COMPUTED_VALUE"""),"Hybrid Working Environment with less than 3 days a month at office")</f>
        <v>Hybrid Working Environment with less than 3 days a month at office</v>
      </c>
      <c r="L1641" s="1" t="str">
        <f ca="1">IFERROR(__xludf.DUMMYFUNCTION("""COMPUTED_VALUE"""),"Employer who pushes your limits by enabling an learning environment, and rewards you at the end")</f>
        <v>Employer who pushes your limits by enabling an learning environment, and rewards you at the end</v>
      </c>
      <c r="M1641"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N1641" s="1"/>
      <c r="O1641" s="1" t="str">
        <f ca="1">IFERROR(__xludf.DUMMYFUNCTION("""COMPUTED_VALUE"""),"Manager who explains what is expected, sets a goal and helps achieve it")</f>
        <v>Manager who explains what is expected, sets a goal and helps achieve it</v>
      </c>
      <c r="P1641" s="1" t="str">
        <f ca="1">IFERROR(__xludf.DUMMYFUNCTION("""COMPUTED_VALUE"""),"Work &lt;=6 People in the Team")</f>
        <v>Work &lt;=6 People in the Team</v>
      </c>
      <c r="Q1641" s="1" t="s">
        <v>43</v>
      </c>
      <c r="R1641" s="1"/>
    </row>
    <row r="1642" spans="1:18" x14ac:dyDescent="0.25">
      <c r="A1642" s="2">
        <f ca="1">IFERROR(__xludf.DUMMYFUNCTION("""COMPUTED_VALUE"""),45046.4502612384)</f>
        <v>45046.450261238402</v>
      </c>
      <c r="B1642" s="1" t="str">
        <f ca="1">IFERROR(__xludf.DUMMYFUNCTION("""COMPUTED_VALUE"""),"India")</f>
        <v>India</v>
      </c>
      <c r="C1642" s="1">
        <f ca="1">IFERROR(__xludf.DUMMYFUNCTION("""COMPUTED_VALUE"""),142026)</f>
        <v>142026</v>
      </c>
      <c r="D1642" s="1" t="str">
        <f ca="1">IFERROR(__xludf.DUMMYFUNCTION("""COMPUTED_VALUE"""),"Female")</f>
        <v>Female</v>
      </c>
      <c r="E1642" s="1" t="str">
        <f ca="1">IFERROR(__xludf.DUMMYFUNCTION("""COMPUTED_VALUE"""),"My Parents")</f>
        <v>My Parents</v>
      </c>
      <c r="F1642" s="1" t="str">
        <f ca="1">IFERROR(__xludf.DUMMYFUNCTION("""COMPUTED_VALUE"""),"Yes, I will earn and do that")</f>
        <v>Yes, I will earn and do that</v>
      </c>
      <c r="G1642" s="1" t="str">
        <f ca="1">IFERROR(__xludf.DUMMYFUNCTION("""COMPUTED_VALUE"""),"Will work for 3 years or more")</f>
        <v>Will work for 3 years or more</v>
      </c>
      <c r="H1642" s="1" t="str">
        <f ca="1">IFERROR(__xludf.DUMMYFUNCTION("""COMPUTED_VALUE"""),"No")</f>
        <v>No</v>
      </c>
      <c r="I1642" s="1" t="str">
        <f ca="1">IFERROR(__xludf.DUMMYFUNCTION("""COMPUTED_VALUE"""),"Will NOT work for them")</f>
        <v>Will NOT work for them</v>
      </c>
      <c r="J1642" s="1">
        <f ca="1">IFERROR(__xludf.DUMMYFUNCTION("""COMPUTED_VALUE"""),8)</f>
        <v>8</v>
      </c>
      <c r="K1642" s="1" t="str">
        <f ca="1">IFERROR(__xludf.DUMMYFUNCTION("""COMPUTED_VALUE"""),"Fully Remote with Options to travel as and when needed")</f>
        <v>Fully Remote with Options to travel as and when needed</v>
      </c>
      <c r="L1642" s="1" t="str">
        <f ca="1">IFERROR(__xludf.DUMMYFUNCTION("""COMPUTED_VALUE"""),"Employer who pushes your limits by enabling an learning environment, and rewards you at the end")</f>
        <v>Employer who pushes your limits by enabling an learning environment, and rewards you at the end</v>
      </c>
      <c r="M164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N1642" s="1"/>
      <c r="O1642" s="1" t="str">
        <f ca="1">IFERROR(__xludf.DUMMYFUNCTION("""COMPUTED_VALUE"""),"Manager who sets goal and helps me achieve it")</f>
        <v>Manager who sets goal and helps me achieve it</v>
      </c>
      <c r="P1642" s="1" t="str">
        <f ca="1">IFERROR(__xludf.DUMMYFUNCTION("""COMPUTED_VALUE"""),"Work alone")</f>
        <v>Work alone</v>
      </c>
      <c r="Q1642" s="1" t="s">
        <v>43</v>
      </c>
      <c r="R1642" s="1"/>
    </row>
    <row r="1643" spans="1:18" x14ac:dyDescent="0.25">
      <c r="A1643" s="2">
        <f ca="1">IFERROR(__xludf.DUMMYFUNCTION("""COMPUTED_VALUE"""),45046.465264699)</f>
        <v>45046.465264699</v>
      </c>
      <c r="B1643" s="1" t="str">
        <f ca="1">IFERROR(__xludf.DUMMYFUNCTION("""COMPUTED_VALUE"""),"India")</f>
        <v>India</v>
      </c>
      <c r="C1643" s="1">
        <f ca="1">IFERROR(__xludf.DUMMYFUNCTION("""COMPUTED_VALUE"""),605013)</f>
        <v>605013</v>
      </c>
      <c r="D1643" s="1" t="str">
        <f ca="1">IFERROR(__xludf.DUMMYFUNCTION("""COMPUTED_VALUE"""),"Female")</f>
        <v>Female</v>
      </c>
      <c r="E1643" s="1" t="str">
        <f ca="1">IFERROR(__xludf.DUMMYFUNCTION("""COMPUTED_VALUE"""),"My Parents")</f>
        <v>My Parents</v>
      </c>
      <c r="F1643" s="1" t="str">
        <f ca="1">IFERROR(__xludf.DUMMYFUNCTION("""COMPUTED_VALUE"""),"Yes, I will earn and do that")</f>
        <v>Yes, I will earn and do that</v>
      </c>
      <c r="G1643" s="1" t="str">
        <f ca="1">IFERROR(__xludf.DUMMYFUNCTION("""COMPUTED_VALUE"""),"Will work for 3 years or more")</f>
        <v>Will work for 3 years or more</v>
      </c>
      <c r="H1643" s="1" t="str">
        <f ca="1">IFERROR(__xludf.DUMMYFUNCTION("""COMPUTED_VALUE"""),"No")</f>
        <v>No</v>
      </c>
      <c r="I1643" s="1" t="str">
        <f ca="1">IFERROR(__xludf.DUMMYFUNCTION("""COMPUTED_VALUE"""),"Will NOT work for them")</f>
        <v>Will NOT work for them</v>
      </c>
      <c r="J1643" s="1">
        <f ca="1">IFERROR(__xludf.DUMMYFUNCTION("""COMPUTED_VALUE"""),9)</f>
        <v>9</v>
      </c>
      <c r="K1643" s="1" t="str">
        <f ca="1">IFERROR(__xludf.DUMMYFUNCTION("""COMPUTED_VALUE"""),"Hybrid Working Environment with more than 15 days a month at office")</f>
        <v>Hybrid Working Environment with more than 15 days a month at office</v>
      </c>
      <c r="L1643" s="1" t="str">
        <f ca="1">IFERROR(__xludf.DUMMYFUNCTION("""COMPUTED_VALUE"""),"Employer who appreciates learning and enables that environment")</f>
        <v>Employer who appreciates learning and enables that environment</v>
      </c>
      <c r="M164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643" s="1"/>
      <c r="O1643" s="1" t="str">
        <f ca="1">IFERROR(__xludf.DUMMYFUNCTION("""COMPUTED_VALUE"""),"Manager who explains what is expected, sets a goal and helps achieve it")</f>
        <v>Manager who explains what is expected, sets a goal and helps achieve it</v>
      </c>
      <c r="P1643" s="1" t="str">
        <f ca="1">IFERROR(__xludf.DUMMYFUNCTION("""COMPUTED_VALUE"""),"Work Alone, &lt;67 people in team")</f>
        <v>Work Alone, &lt;67 people in team</v>
      </c>
      <c r="Q1643" s="1" t="s">
        <v>43</v>
      </c>
      <c r="R1643" s="1"/>
    </row>
    <row r="1644" spans="1:18" x14ac:dyDescent="0.25">
      <c r="A1644" s="2">
        <f ca="1">IFERROR(__xludf.DUMMYFUNCTION("""COMPUTED_VALUE"""),45046.4777301504)</f>
        <v>45046.4777301504</v>
      </c>
      <c r="B1644" s="1" t="str">
        <f ca="1">IFERROR(__xludf.DUMMYFUNCTION("""COMPUTED_VALUE"""),"India")</f>
        <v>India</v>
      </c>
      <c r="C1644" s="1">
        <f ca="1">IFERROR(__xludf.DUMMYFUNCTION("""COMPUTED_VALUE"""),201010)</f>
        <v>201010</v>
      </c>
      <c r="D1644" s="1" t="str">
        <f ca="1">IFERROR(__xludf.DUMMYFUNCTION("""COMPUTED_VALUE"""),"Male")</f>
        <v>Male</v>
      </c>
      <c r="E1644" s="1" t="str">
        <f ca="1">IFERROR(__xludf.DUMMYFUNCTION("""COMPUTED_VALUE"""),"People from my circle, but not family members")</f>
        <v>People from my circle, but not family members</v>
      </c>
      <c r="F1644" s="1" t="str">
        <f ca="1">IFERROR(__xludf.DUMMYFUNCTION("""COMPUTED_VALUE"""),"No I would not be pursuing Higher Education outside of India")</f>
        <v>No I would not be pursuing Higher Education outside of India</v>
      </c>
      <c r="G1644" s="1" t="str">
        <f ca="1">IFERROR(__xludf.DUMMYFUNCTION("""COMPUTED_VALUE"""),"Will work for 3 years or more")</f>
        <v>Will work for 3 years or more</v>
      </c>
      <c r="H1644" s="1" t="str">
        <f ca="1">IFERROR(__xludf.DUMMYFUNCTION("""COMPUTED_VALUE"""),"No")</f>
        <v>No</v>
      </c>
      <c r="I1644" s="1" t="str">
        <f ca="1">IFERROR(__xludf.DUMMYFUNCTION("""COMPUTED_VALUE"""),"Will work for them")</f>
        <v>Will work for them</v>
      </c>
      <c r="J1644" s="1">
        <f ca="1">IFERROR(__xludf.DUMMYFUNCTION("""COMPUTED_VALUE"""),10)</f>
        <v>10</v>
      </c>
      <c r="K1644" s="1" t="str">
        <f ca="1">IFERROR(__xludf.DUMMYFUNCTION("""COMPUTED_VALUE"""),"Every Day Office Environment")</f>
        <v>Every Day Office Environment</v>
      </c>
      <c r="L1644" s="1" t="str">
        <f ca="1">IFERROR(__xludf.DUMMYFUNCTION("""COMPUTED_VALUE"""),"Employer who pushes your limits by enabling an learning environment, and rewards you at the end")</f>
        <v>Employer who pushes your limits by enabling an learning environment, and rewards you at the end</v>
      </c>
      <c r="M1644"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N1644" s="1"/>
      <c r="O1644" s="1" t="str">
        <f ca="1">IFERROR(__xludf.DUMMYFUNCTION("""COMPUTED_VALUE"""),"Manager who explains what is expected, sets a goal and helps achieve it")</f>
        <v>Manager who explains what is expected, sets a goal and helps achieve it</v>
      </c>
      <c r="P1644" s="1" t="str">
        <f ca="1">IFERROR(__xludf.DUMMYFUNCTION("""COMPUTED_VALUE"""),"Work &gt;=7 People in the Team")</f>
        <v>Work &gt;=7 People in the Team</v>
      </c>
      <c r="Q1644" s="1" t="s">
        <v>42</v>
      </c>
      <c r="R1644" s="1"/>
    </row>
    <row r="1645" spans="1:18" x14ac:dyDescent="0.25">
      <c r="A1645" s="2">
        <f ca="1">IFERROR(__xludf.DUMMYFUNCTION("""COMPUTED_VALUE"""),45046.5172536111)</f>
        <v>45046.517253611099</v>
      </c>
      <c r="B1645" s="1" t="str">
        <f ca="1">IFERROR(__xludf.DUMMYFUNCTION("""COMPUTED_VALUE"""),"India")</f>
        <v>India</v>
      </c>
      <c r="C1645" s="1">
        <f ca="1">IFERROR(__xludf.DUMMYFUNCTION("""COMPUTED_VALUE"""),518395)</f>
        <v>518395</v>
      </c>
      <c r="D1645" s="1" t="str">
        <f ca="1">IFERROR(__xludf.DUMMYFUNCTION("""COMPUTED_VALUE"""),"Male")</f>
        <v>Male</v>
      </c>
      <c r="E1645" s="1" t="str">
        <f ca="1">IFERROR(__xludf.DUMMYFUNCTION("""COMPUTED_VALUE"""),"People who have changed the world for better")</f>
        <v>People who have changed the world for better</v>
      </c>
      <c r="F1645" s="1" t="str">
        <f ca="1">IFERROR(__xludf.DUMMYFUNCTION("""COMPUTED_VALUE"""),"No I would not be pursuing Higher Education outside of India")</f>
        <v>No I would not be pursuing Higher Education outside of India</v>
      </c>
      <c r="G1645" s="1" t="str">
        <f ca="1">IFERROR(__xludf.DUMMYFUNCTION("""COMPUTED_VALUE"""),"Will work for 3 years or more")</f>
        <v>Will work for 3 years or more</v>
      </c>
      <c r="H1645" s="1" t="str">
        <f ca="1">IFERROR(__xludf.DUMMYFUNCTION("""COMPUTED_VALUE"""),"No")</f>
        <v>No</v>
      </c>
      <c r="I1645" s="1" t="str">
        <f ca="1">IFERROR(__xludf.DUMMYFUNCTION("""COMPUTED_VALUE"""),"Will NOT work for them")</f>
        <v>Will NOT work for them</v>
      </c>
      <c r="J1645" s="1">
        <f ca="1">IFERROR(__xludf.DUMMYFUNCTION("""COMPUTED_VALUE"""),8)</f>
        <v>8</v>
      </c>
      <c r="K1645" s="1" t="str">
        <f ca="1">IFERROR(__xludf.DUMMYFUNCTION("""COMPUTED_VALUE"""),"Fully Remote with Options to travel as and when needed")</f>
        <v>Fully Remote with Options to travel as and when needed</v>
      </c>
      <c r="L1645" s="1" t="str">
        <f ca="1">IFERROR(__xludf.DUMMYFUNCTION("""COMPUTED_VALUE"""),"Employer who appreciates learning and enables that environment")</f>
        <v>Employer who appreciates learning and enables that environment</v>
      </c>
      <c r="M1645"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N1645" s="1"/>
      <c r="O1645" s="1" t="str">
        <f ca="1">IFERROR(__xludf.DUMMYFUNCTION("""COMPUTED_VALUE"""),"Manager who clearly describes what she/he needs")</f>
        <v>Manager who clearly describes what she/he needs</v>
      </c>
      <c r="P1645" s="1" t="str">
        <f ca="1">IFERROR(__xludf.DUMMYFUNCTION("""COMPUTED_VALUE"""),"Work &gt;10 people in Team")</f>
        <v>Work &gt;10 people in Team</v>
      </c>
      <c r="Q1645" s="1" t="s">
        <v>43</v>
      </c>
      <c r="R1645" s="1"/>
    </row>
    <row r="1646" spans="1:18" x14ac:dyDescent="0.25">
      <c r="A1646" s="2">
        <f ca="1">IFERROR(__xludf.DUMMYFUNCTION("""COMPUTED_VALUE"""),45046.5203216319)</f>
        <v>45046.520321631899</v>
      </c>
      <c r="B1646" s="1" t="str">
        <f ca="1">IFERROR(__xludf.DUMMYFUNCTION("""COMPUTED_VALUE"""),"India")</f>
        <v>India</v>
      </c>
      <c r="C1646" s="1">
        <f ca="1">IFERROR(__xludf.DUMMYFUNCTION("""COMPUTED_VALUE"""),700032)</f>
        <v>700032</v>
      </c>
      <c r="D1646" s="1" t="str">
        <f ca="1">IFERROR(__xludf.DUMMYFUNCTION("""COMPUTED_VALUE"""),"Female")</f>
        <v>Female</v>
      </c>
      <c r="E1646" s="1" t="str">
        <f ca="1">IFERROR(__xludf.DUMMYFUNCTION("""COMPUTED_VALUE"""),"Influencers who had successful careers")</f>
        <v>Influencers who had successful careers</v>
      </c>
      <c r="F1646" s="1" t="str">
        <f ca="1">IFERROR(__xludf.DUMMYFUNCTION("""COMPUTED_VALUE"""),"No, But if someone could bare the cost I will")</f>
        <v>No, But if someone could bare the cost I will</v>
      </c>
      <c r="G1646" s="1" t="str">
        <f ca="1">IFERROR(__xludf.DUMMYFUNCTION("""COMPUTED_VALUE"""),"Will work for 3 years or more")</f>
        <v>Will work for 3 years or more</v>
      </c>
      <c r="H1646" s="1" t="str">
        <f ca="1">IFERROR(__xludf.DUMMYFUNCTION("""COMPUTED_VALUE"""),"Yes")</f>
        <v>Yes</v>
      </c>
      <c r="I1646" s="1" t="str">
        <f ca="1">IFERROR(__xludf.DUMMYFUNCTION("""COMPUTED_VALUE"""),"Will work for them")</f>
        <v>Will work for them</v>
      </c>
      <c r="J1646" s="1">
        <f ca="1">IFERROR(__xludf.DUMMYFUNCTION("""COMPUTED_VALUE"""),7)</f>
        <v>7</v>
      </c>
      <c r="K1646" s="1" t="str">
        <f ca="1">IFERROR(__xludf.DUMMYFUNCTION("""COMPUTED_VALUE"""),"Hybrid Working Environment with less than 3 days a month at office")</f>
        <v>Hybrid Working Environment with less than 3 days a month at office</v>
      </c>
      <c r="L1646" s="1" t="str">
        <f ca="1">IFERROR(__xludf.DUMMYFUNCTION("""COMPUTED_VALUE"""),"Employer who pushes your limits by enabling an learning environment, and rewards you at the end")</f>
        <v>Employer who pushes your limits by enabling an learning environment, and rewards you at the end</v>
      </c>
      <c r="M1646" s="1" t="str">
        <f ca="1">IFERROR(__xludf.DUMMYFUNCTION("""COMPUTED_VALUE"""),"Design and Creative strategy in any company, Look deeply into Data and generate insights, Work in a BPO setup for some well known client, Work as a freelancer and do my thing my way")</f>
        <v>Design and Creative strategy in any company, Look deeply into Data and generate insights, Work in a BPO setup for some well known client, Work as a freelancer and do my thing my way</v>
      </c>
      <c r="N1646" s="1"/>
      <c r="O1646" s="1" t="str">
        <f ca="1">IFERROR(__xludf.DUMMYFUNCTION("""COMPUTED_VALUE"""),"Manager who explains what is expected, sets a goal and helps achieve it")</f>
        <v>Manager who explains what is expected, sets a goal and helps achieve it</v>
      </c>
      <c r="P1646" s="1" t="str">
        <f ca="1">IFERROR(__xludf.DUMMYFUNCTION("""COMPUTED_VALUE"""),"Work &lt;=6 People in the Team")</f>
        <v>Work &lt;=6 People in the Team</v>
      </c>
      <c r="Q1646" s="1" t="s">
        <v>43</v>
      </c>
      <c r="R1646" s="1"/>
    </row>
    <row r="1647" spans="1:18" x14ac:dyDescent="0.25">
      <c r="A1647" s="2">
        <f ca="1">IFERROR(__xludf.DUMMYFUNCTION("""COMPUTED_VALUE"""),45046.5217293171)</f>
        <v>45046.521729317101</v>
      </c>
      <c r="B1647" s="1" t="str">
        <f ca="1">IFERROR(__xludf.DUMMYFUNCTION("""COMPUTED_VALUE"""),"India")</f>
        <v>India</v>
      </c>
      <c r="C1647" s="1">
        <f ca="1">IFERROR(__xludf.DUMMYFUNCTION("""COMPUTED_VALUE"""),395006)</f>
        <v>395006</v>
      </c>
      <c r="D1647" s="1" t="str">
        <f ca="1">IFERROR(__xludf.DUMMYFUNCTION("""COMPUTED_VALUE"""),"Male")</f>
        <v>Male</v>
      </c>
      <c r="E1647" s="1" t="str">
        <f ca="1">IFERROR(__xludf.DUMMYFUNCTION("""COMPUTED_VALUE"""),"People who have changed the world for better")</f>
        <v>People who have changed the world for better</v>
      </c>
      <c r="F1647" s="1" t="str">
        <f ca="1">IFERROR(__xludf.DUMMYFUNCTION("""COMPUTED_VALUE"""),"Yes, I will earn and do that")</f>
        <v>Yes, I will earn and do that</v>
      </c>
      <c r="G1647" s="1" t="str">
        <f ca="1">IFERROR(__xludf.DUMMYFUNCTION("""COMPUTED_VALUE"""),"This will be hard to do, but if it is the right company I would try")</f>
        <v>This will be hard to do, but if it is the right company I would try</v>
      </c>
      <c r="H1647" s="1" t="str">
        <f ca="1">IFERROR(__xludf.DUMMYFUNCTION("""COMPUTED_VALUE"""),"No")</f>
        <v>No</v>
      </c>
      <c r="I1647" s="1" t="str">
        <f ca="1">IFERROR(__xludf.DUMMYFUNCTION("""COMPUTED_VALUE"""),"Will NOT work for them")</f>
        <v>Will NOT work for them</v>
      </c>
      <c r="J1647" s="1">
        <f ca="1">IFERROR(__xludf.DUMMYFUNCTION("""COMPUTED_VALUE"""),8)</f>
        <v>8</v>
      </c>
      <c r="K1647" s="1" t="str">
        <f ca="1">IFERROR(__xludf.DUMMYFUNCTION("""COMPUTED_VALUE"""),"Fully Remote with Options to travel as and when needed")</f>
        <v>Fully Remote with Options to travel as and when needed</v>
      </c>
      <c r="L1647" s="1" t="str">
        <f ca="1">IFERROR(__xludf.DUMMYFUNCTION("""COMPUTED_VALUE"""),"Employer who pushes your limits by enabling an learning environment, and rewards you at the end")</f>
        <v>Employer who pushes your limits by enabling an learning environment, and rewards you at the end</v>
      </c>
      <c r="M1647"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N1647" s="1"/>
      <c r="O1647" s="1" t="str">
        <f ca="1">IFERROR(__xludf.DUMMYFUNCTION("""COMPUTED_VALUE"""),"Manager who sets goal and helps me achieve it")</f>
        <v>Manager who sets goal and helps me achieve it</v>
      </c>
      <c r="P1647" s="1" t="str">
        <f ca="1">IFERROR(__xludf.DUMMYFUNCTION("""COMPUTED_VALUE"""),"Work Alone, &lt;67 people in team")</f>
        <v>Work Alone, &lt;67 people in team</v>
      </c>
      <c r="Q1647" s="1" t="s">
        <v>40</v>
      </c>
      <c r="R1647" s="1"/>
    </row>
    <row r="1648" spans="1:18" x14ac:dyDescent="0.25">
      <c r="A1648" s="2">
        <f ca="1">IFERROR(__xludf.DUMMYFUNCTION("""COMPUTED_VALUE"""),45046.5247316319)</f>
        <v>45046.5247316319</v>
      </c>
      <c r="B1648" s="1" t="str">
        <f ca="1">IFERROR(__xludf.DUMMYFUNCTION("""COMPUTED_VALUE"""),"India")</f>
        <v>India</v>
      </c>
      <c r="C1648" s="1">
        <f ca="1">IFERROR(__xludf.DUMMYFUNCTION("""COMPUTED_VALUE"""),395004)</f>
        <v>395004</v>
      </c>
      <c r="D1648" s="1" t="str">
        <f ca="1">IFERROR(__xludf.DUMMYFUNCTION("""COMPUTED_VALUE"""),"Male")</f>
        <v>Male</v>
      </c>
      <c r="E1648" s="1" t="str">
        <f ca="1">IFERROR(__xludf.DUMMYFUNCTION("""COMPUTED_VALUE"""),"My Parents")</f>
        <v>My Parents</v>
      </c>
      <c r="F1648" s="1" t="str">
        <f ca="1">IFERROR(__xludf.DUMMYFUNCTION("""COMPUTED_VALUE"""),"No, But if someone could bare the cost I will")</f>
        <v>No, But if someone could bare the cost I will</v>
      </c>
      <c r="G1648" s="1" t="str">
        <f ca="1">IFERROR(__xludf.DUMMYFUNCTION("""COMPUTED_VALUE"""),"This will be hard to do, but if it is the right company I would try")</f>
        <v>This will be hard to do, but if it is the right company I would try</v>
      </c>
      <c r="H1648" s="1" t="str">
        <f ca="1">IFERROR(__xludf.DUMMYFUNCTION("""COMPUTED_VALUE"""),"No")</f>
        <v>No</v>
      </c>
      <c r="I1648" s="1" t="str">
        <f ca="1">IFERROR(__xludf.DUMMYFUNCTION("""COMPUTED_VALUE"""),"Will NOT work for them")</f>
        <v>Will NOT work for them</v>
      </c>
      <c r="J1648" s="1">
        <f ca="1">IFERROR(__xludf.DUMMYFUNCTION("""COMPUTED_VALUE"""),1)</f>
        <v>1</v>
      </c>
      <c r="K1648" s="1" t="str">
        <f ca="1">IFERROR(__xludf.DUMMYFUNCTION("""COMPUTED_VALUE"""),"Every Day Office Environment")</f>
        <v>Every Day Office Environment</v>
      </c>
      <c r="L1648" s="1" t="str">
        <f ca="1">IFERROR(__xludf.DUMMYFUNCTION("""COMPUTED_VALUE"""),"Employer who rewards learning and enables that environment")</f>
        <v>Employer who rewards learning and enables that environment</v>
      </c>
      <c r="M1648"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N1648" s="1"/>
      <c r="O1648" s="1" t="str">
        <f ca="1">IFERROR(__xludf.DUMMYFUNCTION("""COMPUTED_VALUE"""),"Manager who explains what is expected, sets a goal and helps achieve it")</f>
        <v>Manager who explains what is expected, sets a goal and helps achieve it</v>
      </c>
      <c r="P1648" s="1" t="str">
        <f ca="1">IFERROR(__xludf.DUMMYFUNCTION("""COMPUTED_VALUE"""),"Work Alone, &lt;=6 in team")</f>
        <v>Work Alone, &lt;=6 in team</v>
      </c>
      <c r="Q1648" s="1" t="s">
        <v>40</v>
      </c>
      <c r="R1648" s="1"/>
    </row>
    <row r="1649" spans="1:18" x14ac:dyDescent="0.25">
      <c r="A1649" s="2">
        <f ca="1">IFERROR(__xludf.DUMMYFUNCTION("""COMPUTED_VALUE"""),45046.528079456)</f>
        <v>45046.528079456002</v>
      </c>
      <c r="B1649" s="1" t="str">
        <f ca="1">IFERROR(__xludf.DUMMYFUNCTION("""COMPUTED_VALUE"""),"India")</f>
        <v>India</v>
      </c>
      <c r="C1649" s="1">
        <f ca="1">IFERROR(__xludf.DUMMYFUNCTION("""COMPUTED_VALUE"""),395006)</f>
        <v>395006</v>
      </c>
      <c r="D1649" s="1" t="str">
        <f ca="1">IFERROR(__xludf.DUMMYFUNCTION("""COMPUTED_VALUE"""),"Female")</f>
        <v>Female</v>
      </c>
      <c r="E1649" s="1" t="str">
        <f ca="1">IFERROR(__xludf.DUMMYFUNCTION("""COMPUTED_VALUE"""),"My Parents")</f>
        <v>My Parents</v>
      </c>
      <c r="F1649" s="1" t="str">
        <f ca="1">IFERROR(__xludf.DUMMYFUNCTION("""COMPUTED_VALUE"""),"No I would not be pursuing Higher Education outside of India")</f>
        <v>No I would not be pursuing Higher Education outside of India</v>
      </c>
      <c r="G1649" s="1" t="str">
        <f ca="1">IFERROR(__xludf.DUMMYFUNCTION("""COMPUTED_VALUE"""),"This will be hard to do, but if it is the right company I would try")</f>
        <v>This will be hard to do, but if it is the right company I would try</v>
      </c>
      <c r="H1649" s="1" t="str">
        <f ca="1">IFERROR(__xludf.DUMMYFUNCTION("""COMPUTED_VALUE"""),"No")</f>
        <v>No</v>
      </c>
      <c r="I1649" s="1" t="str">
        <f ca="1">IFERROR(__xludf.DUMMYFUNCTION("""COMPUTED_VALUE"""),"Will NOT work for them")</f>
        <v>Will NOT work for them</v>
      </c>
      <c r="J1649" s="1">
        <f ca="1">IFERROR(__xludf.DUMMYFUNCTION("""COMPUTED_VALUE"""),3)</f>
        <v>3</v>
      </c>
      <c r="K1649" s="1" t="str">
        <f ca="1">IFERROR(__xludf.DUMMYFUNCTION("""COMPUTED_VALUE"""),"Every Day Office Environment")</f>
        <v>Every Day Office Environment</v>
      </c>
      <c r="L1649" s="1" t="str">
        <f ca="1">IFERROR(__xludf.DUMMYFUNCTION("""COMPUTED_VALUE"""),"Employer who appreciates learning and enables that environment")</f>
        <v>Employer who appreciates learning and enables that environment</v>
      </c>
      <c r="M164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N1649" s="1"/>
      <c r="O1649" s="1" t="str">
        <f ca="1">IFERROR(__xludf.DUMMYFUNCTION("""COMPUTED_VALUE"""),"Manager who sets goal and helps me achieve it")</f>
        <v>Manager who sets goal and helps me achieve it</v>
      </c>
      <c r="P1649" s="1" t="str">
        <f ca="1">IFERROR(__xludf.DUMMYFUNCTION("""COMPUTED_VALUE"""),"Work &gt;=7 People in the Team")</f>
        <v>Work &gt;=7 People in the Team</v>
      </c>
      <c r="Q1649" s="1" t="s">
        <v>43</v>
      </c>
      <c r="R1649" s="1"/>
    </row>
    <row r="1650" spans="1:18" x14ac:dyDescent="0.25">
      <c r="A1650" s="2">
        <f ca="1">IFERROR(__xludf.DUMMYFUNCTION("""COMPUTED_VALUE"""),45046.5285756134)</f>
        <v>45046.528575613404</v>
      </c>
      <c r="B1650" s="1" t="str">
        <f ca="1">IFERROR(__xludf.DUMMYFUNCTION("""COMPUTED_VALUE"""),"India")</f>
        <v>India</v>
      </c>
      <c r="C1650" s="1">
        <f ca="1">IFERROR(__xludf.DUMMYFUNCTION("""COMPUTED_VALUE"""),492001)</f>
        <v>492001</v>
      </c>
      <c r="D1650" s="1" t="str">
        <f ca="1">IFERROR(__xludf.DUMMYFUNCTION("""COMPUTED_VALUE"""),"Male")</f>
        <v>Male</v>
      </c>
      <c r="E1650" s="1" t="str">
        <f ca="1">IFERROR(__xludf.DUMMYFUNCTION("""COMPUTED_VALUE"""),"My Parents")</f>
        <v>My Parents</v>
      </c>
      <c r="F1650" s="1" t="str">
        <f ca="1">IFERROR(__xludf.DUMMYFUNCTION("""COMPUTED_VALUE"""),"No I would not be pursuing Higher Education outside of India")</f>
        <v>No I would not be pursuing Higher Education outside of India</v>
      </c>
      <c r="G1650" s="1" t="str">
        <f ca="1">IFERROR(__xludf.DUMMYFUNCTION("""COMPUTED_VALUE"""),"Will work for 3 years or more")</f>
        <v>Will work for 3 years or more</v>
      </c>
      <c r="H1650" s="1" t="str">
        <f ca="1">IFERROR(__xludf.DUMMYFUNCTION("""COMPUTED_VALUE"""),"No")</f>
        <v>No</v>
      </c>
      <c r="I1650" s="1" t="str">
        <f ca="1">IFERROR(__xludf.DUMMYFUNCTION("""COMPUTED_VALUE"""),"Will NOT work for them")</f>
        <v>Will NOT work for them</v>
      </c>
      <c r="J1650" s="1">
        <f ca="1">IFERROR(__xludf.DUMMYFUNCTION("""COMPUTED_VALUE"""),9)</f>
        <v>9</v>
      </c>
      <c r="K1650" s="1" t="str">
        <f ca="1">IFERROR(__xludf.DUMMYFUNCTION("""COMPUTED_VALUE"""),"Every Day Office Environment")</f>
        <v>Every Day Office Environment</v>
      </c>
      <c r="L1650" s="1" t="str">
        <f ca="1">IFERROR(__xludf.DUMMYFUNCTION("""COMPUTED_VALUE"""),"Employer who appreciates learning and enables that environment")</f>
        <v>Employer who appreciates learning and enables that environment</v>
      </c>
      <c r="M165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N1650" s="1"/>
      <c r="O1650" s="1" t="str">
        <f ca="1">IFERROR(__xludf.DUMMYFUNCTION("""COMPUTED_VALUE"""),"Manager who explains what is expected, sets a goal and helps achieve it")</f>
        <v>Manager who explains what is expected, sets a goal and helps achieve it</v>
      </c>
      <c r="P1650" s="1" t="str">
        <f ca="1">IFERROR(__xludf.DUMMYFUNCTION("""COMPUTED_VALUE"""),"Work &lt;=6 People in the Team")</f>
        <v>Work &lt;=6 People in the Team</v>
      </c>
      <c r="Q1650" s="1" t="s">
        <v>40</v>
      </c>
      <c r="R1650" s="1"/>
    </row>
    <row r="1651" spans="1:18" x14ac:dyDescent="0.25">
      <c r="A1651" s="2">
        <f ca="1">IFERROR(__xludf.DUMMYFUNCTION("""COMPUTED_VALUE"""),45046.5441000347)</f>
        <v>45046.544100034698</v>
      </c>
      <c r="B1651" s="1" t="str">
        <f ca="1">IFERROR(__xludf.DUMMYFUNCTION("""COMPUTED_VALUE"""),"India")</f>
        <v>India</v>
      </c>
      <c r="C1651" s="1">
        <f ca="1">IFERROR(__xludf.DUMMYFUNCTION("""COMPUTED_VALUE"""),394327)</f>
        <v>394327</v>
      </c>
      <c r="D1651" s="1" t="str">
        <f ca="1">IFERROR(__xludf.DUMMYFUNCTION("""COMPUTED_VALUE"""),"Male")</f>
        <v>Male</v>
      </c>
      <c r="E1651" s="1" t="str">
        <f ca="1">IFERROR(__xludf.DUMMYFUNCTION("""COMPUTED_VALUE"""),"My Parents")</f>
        <v>My Parents</v>
      </c>
      <c r="F1651" s="1" t="str">
        <f ca="1">IFERROR(__xludf.DUMMYFUNCTION("""COMPUTED_VALUE"""),"No, But if someone could bare the cost I will")</f>
        <v>No, But if someone could bare the cost I will</v>
      </c>
      <c r="G1651" s="1" t="str">
        <f ca="1">IFERROR(__xludf.DUMMYFUNCTION("""COMPUTED_VALUE"""),"This will be hard to do, but if it is the right company I would try")</f>
        <v>This will be hard to do, but if it is the right company I would try</v>
      </c>
      <c r="H1651" s="1" t="str">
        <f ca="1">IFERROR(__xludf.DUMMYFUNCTION("""COMPUTED_VALUE"""),"No")</f>
        <v>No</v>
      </c>
      <c r="I1651" s="1" t="str">
        <f ca="1">IFERROR(__xludf.DUMMYFUNCTION("""COMPUTED_VALUE"""),"Will NOT work for them")</f>
        <v>Will NOT work for them</v>
      </c>
      <c r="J1651" s="1">
        <f ca="1">IFERROR(__xludf.DUMMYFUNCTION("""COMPUTED_VALUE"""),1)</f>
        <v>1</v>
      </c>
      <c r="K1651" s="1" t="str">
        <f ca="1">IFERROR(__xludf.DUMMYFUNCTION("""COMPUTED_VALUE"""),"Hybrid Working Environment with more than 15 days a month at office")</f>
        <v>Hybrid Working Environment with more than 15 days a month at office</v>
      </c>
      <c r="L1651" s="1" t="str">
        <f ca="1">IFERROR(__xludf.DUMMYFUNCTION("""COMPUTED_VALUE"""),"Employer who pushes your limits by enabling an learning environment, and rewards you at the end")</f>
        <v>Employer who pushes your limits by enabling an learning environment, and rewards you at the end</v>
      </c>
      <c r="M1651" s="1" t="str">
        <f ca="1">IFERROR(__xludf.DUMMYFUNCTION("""COMPUTED_VALUE"""),"Teaching in any of the institutes/colleges/online or offline, Look deeply into Data and generate insights, Work as a freelancer and do my thing my way, An Artificial Intelligence Specialist / Talking to Robots")</f>
        <v>Teaching in any of the institutes/colleges/online or offline, Look deeply into Data and generate insights, Work as a freelancer and do my thing my way, An Artificial Intelligence Specialist / Talking to Robots</v>
      </c>
      <c r="N1651" s="1"/>
      <c r="O1651" s="1" t="str">
        <f ca="1">IFERROR(__xludf.DUMMYFUNCTION("""COMPUTED_VALUE"""),"Manager who clearly describes what she/he needs")</f>
        <v>Manager who clearly describes what she/he needs</v>
      </c>
      <c r="P1651" s="1" t="str">
        <f ca="1">IFERROR(__xludf.DUMMYFUNCTION("""COMPUTED_VALUE"""),"Work &lt;=6 People in the Team")</f>
        <v>Work &lt;=6 People in the Team</v>
      </c>
      <c r="Q1651" s="1" t="s">
        <v>40</v>
      </c>
      <c r="R1651" s="1"/>
    </row>
    <row r="1652" spans="1:18" x14ac:dyDescent="0.25">
      <c r="A1652" s="2">
        <f ca="1">IFERROR(__xludf.DUMMYFUNCTION("""COMPUTED_VALUE"""),45046.5456448032)</f>
        <v>45046.545644803198</v>
      </c>
      <c r="B1652" s="1" t="str">
        <f ca="1">IFERROR(__xludf.DUMMYFUNCTION("""COMPUTED_VALUE"""),"India")</f>
        <v>India</v>
      </c>
      <c r="C1652" s="1">
        <f ca="1">IFERROR(__xludf.DUMMYFUNCTION("""COMPUTED_VALUE"""),231304)</f>
        <v>231304</v>
      </c>
      <c r="D1652" s="1" t="str">
        <f ca="1">IFERROR(__xludf.DUMMYFUNCTION("""COMPUTED_VALUE"""),"Male")</f>
        <v>Male</v>
      </c>
      <c r="E1652" s="1" t="str">
        <f ca="1">IFERROR(__xludf.DUMMYFUNCTION("""COMPUTED_VALUE"""),"Social Media like LinkedIn")</f>
        <v>Social Media like LinkedIn</v>
      </c>
      <c r="F1652" s="1" t="str">
        <f ca="1">IFERROR(__xludf.DUMMYFUNCTION("""COMPUTED_VALUE"""),"Yes, I will earn and do that")</f>
        <v>Yes, I will earn and do that</v>
      </c>
      <c r="G1652" s="1" t="str">
        <f ca="1">IFERROR(__xludf.DUMMYFUNCTION("""COMPUTED_VALUE"""),"Will work for 3 years or more")</f>
        <v>Will work for 3 years or more</v>
      </c>
      <c r="H1652" s="1" t="str">
        <f ca="1">IFERROR(__xludf.DUMMYFUNCTION("""COMPUTED_VALUE"""),"No")</f>
        <v>No</v>
      </c>
      <c r="I1652" s="1" t="str">
        <f ca="1">IFERROR(__xludf.DUMMYFUNCTION("""COMPUTED_VALUE"""),"Will NOT work for them")</f>
        <v>Will NOT work for them</v>
      </c>
      <c r="J1652" s="1">
        <f ca="1">IFERROR(__xludf.DUMMYFUNCTION("""COMPUTED_VALUE"""),1)</f>
        <v>1</v>
      </c>
      <c r="K1652" s="1" t="str">
        <f ca="1">IFERROR(__xludf.DUMMYFUNCTION("""COMPUTED_VALUE"""),"Every Day Office Environment")</f>
        <v>Every Day Office Environment</v>
      </c>
      <c r="L1652" s="1" t="str">
        <f ca="1">IFERROR(__xludf.DUMMYFUNCTION("""COMPUTED_VALUE"""),"Employer who appreciates learning and enables that environment")</f>
        <v>Employer who appreciates learning and enables that environment</v>
      </c>
      <c r="M165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1652" s="1"/>
      <c r="O1652" s="1" t="str">
        <f ca="1">IFERROR(__xludf.DUMMYFUNCTION("""COMPUTED_VALUE"""),"Manager who explains what is expected, sets a goal and helps achieve it")</f>
        <v>Manager who explains what is expected, sets a goal and helps achieve it</v>
      </c>
      <c r="P1652" s="1" t="str">
        <f ca="1">IFERROR(__xludf.DUMMYFUNCTION("""COMPUTED_VALUE"""),"Work &gt;10 people in Team")</f>
        <v>Work &gt;10 people in Team</v>
      </c>
      <c r="Q1652" s="1" t="s">
        <v>43</v>
      </c>
      <c r="R1652" s="1"/>
    </row>
    <row r="1653" spans="1:18" x14ac:dyDescent="0.25">
      <c r="A1653" s="2">
        <f ca="1">IFERROR(__xludf.DUMMYFUNCTION("""COMPUTED_VALUE"""),45046.5458278703)</f>
        <v>45046.545827870301</v>
      </c>
      <c r="B1653" s="1" t="str">
        <f ca="1">IFERROR(__xludf.DUMMYFUNCTION("""COMPUTED_VALUE"""),"India")</f>
        <v>India</v>
      </c>
      <c r="C1653" s="1">
        <f ca="1">IFERROR(__xludf.DUMMYFUNCTION("""COMPUTED_VALUE"""),473001)</f>
        <v>473001</v>
      </c>
      <c r="D1653" s="1" t="str">
        <f ca="1">IFERROR(__xludf.DUMMYFUNCTION("""COMPUTED_VALUE"""),"Male")</f>
        <v>Male</v>
      </c>
      <c r="E1653" s="1" t="str">
        <f ca="1">IFERROR(__xludf.DUMMYFUNCTION("""COMPUTED_VALUE"""),"Social Media like LinkedIn")</f>
        <v>Social Media like LinkedIn</v>
      </c>
      <c r="F1653" s="1" t="str">
        <f ca="1">IFERROR(__xludf.DUMMYFUNCTION("""COMPUTED_VALUE"""),"Yes, I will earn and do that")</f>
        <v>Yes, I will earn and do that</v>
      </c>
      <c r="G1653" s="1" t="str">
        <f ca="1">IFERROR(__xludf.DUMMYFUNCTION("""COMPUTED_VALUE"""),"This will be hard to do, but if it is the right company I would try")</f>
        <v>This will be hard to do, but if it is the right company I would try</v>
      </c>
      <c r="H1653" s="1" t="str">
        <f ca="1">IFERROR(__xludf.DUMMYFUNCTION("""COMPUTED_VALUE"""),"Yes")</f>
        <v>Yes</v>
      </c>
      <c r="I1653" s="1" t="str">
        <f ca="1">IFERROR(__xludf.DUMMYFUNCTION("""COMPUTED_VALUE"""),"Will work for them")</f>
        <v>Will work for them</v>
      </c>
      <c r="J1653" s="1">
        <f ca="1">IFERROR(__xludf.DUMMYFUNCTION("""COMPUTED_VALUE"""),10)</f>
        <v>10</v>
      </c>
      <c r="K1653" s="1" t="str">
        <f ca="1">IFERROR(__xludf.DUMMYFUNCTION("""COMPUTED_VALUE"""),"Hybrid Working Environment with less than 3 days a month at office")</f>
        <v>Hybrid Working Environment with less than 3 days a month at office</v>
      </c>
      <c r="L1653" s="1" t="str">
        <f ca="1">IFERROR(__xludf.DUMMYFUNCTION("""COMPUTED_VALUE"""),"Employer who appreciates learning and enables that environment")</f>
        <v>Employer who appreciates learning and enables that environment</v>
      </c>
      <c r="M1653"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N1653" s="1"/>
      <c r="O1653" s="1" t="str">
        <f ca="1">IFERROR(__xludf.DUMMYFUNCTION("""COMPUTED_VALUE"""),"Manager who clearly describes what she/he needs")</f>
        <v>Manager who clearly describes what she/he needs</v>
      </c>
      <c r="P1653" s="1" t="str">
        <f ca="1">IFERROR(__xludf.DUMMYFUNCTION("""COMPUTED_VALUE"""),"Work  &lt;67 people in team")</f>
        <v>Work  &lt;67 people in team</v>
      </c>
      <c r="Q1653" s="1" t="s">
        <v>43</v>
      </c>
      <c r="R1653" s="1"/>
    </row>
    <row r="1654" spans="1:18" x14ac:dyDescent="0.25">
      <c r="A1654" s="2">
        <f ca="1">IFERROR(__xludf.DUMMYFUNCTION("""COMPUTED_VALUE"""),45046.5556298842)</f>
        <v>45046.555629884198</v>
      </c>
      <c r="B1654" s="1" t="str">
        <f ca="1">IFERROR(__xludf.DUMMYFUNCTION("""COMPUTED_VALUE"""),"India")</f>
        <v>India</v>
      </c>
      <c r="C1654" s="1">
        <f ca="1">IFERROR(__xludf.DUMMYFUNCTION("""COMPUTED_VALUE"""),248001)</f>
        <v>248001</v>
      </c>
      <c r="D1654" s="1" t="str">
        <f ca="1">IFERROR(__xludf.DUMMYFUNCTION("""COMPUTED_VALUE"""),"Male")</f>
        <v>Male</v>
      </c>
      <c r="E1654" s="1" t="str">
        <f ca="1">IFERROR(__xludf.DUMMYFUNCTION("""COMPUTED_VALUE"""),"People from my circle, but not family members")</f>
        <v>People from my circle, but not family members</v>
      </c>
      <c r="F1654" s="1" t="str">
        <f ca="1">IFERROR(__xludf.DUMMYFUNCTION("""COMPUTED_VALUE"""),"No I would not be pursuing Higher Education outside of India")</f>
        <v>No I would not be pursuing Higher Education outside of India</v>
      </c>
      <c r="G1654" s="1" t="str">
        <f ca="1">IFERROR(__xludf.DUMMYFUNCTION("""COMPUTED_VALUE"""),"Will work for 3 years or more")</f>
        <v>Will work for 3 years or more</v>
      </c>
      <c r="H1654" s="1" t="str">
        <f ca="1">IFERROR(__xludf.DUMMYFUNCTION("""COMPUTED_VALUE"""),"Yes")</f>
        <v>Yes</v>
      </c>
      <c r="I1654" s="1" t="str">
        <f ca="1">IFERROR(__xludf.DUMMYFUNCTION("""COMPUTED_VALUE"""),"Will NOT work for them")</f>
        <v>Will NOT work for them</v>
      </c>
      <c r="J1654" s="1">
        <f ca="1">IFERROR(__xludf.DUMMYFUNCTION("""COMPUTED_VALUE"""),8)</f>
        <v>8</v>
      </c>
      <c r="K1654" s="1" t="str">
        <f ca="1">IFERROR(__xludf.DUMMYFUNCTION("""COMPUTED_VALUE"""),"Fully Remote with Options to travel as and when needed")</f>
        <v>Fully Remote with Options to travel as and when needed</v>
      </c>
      <c r="L1654" s="1" t="str">
        <f ca="1">IFERROR(__xludf.DUMMYFUNCTION("""COMPUTED_VALUE"""),"Employer who pushes your limits by enabling an learning environment, and rewards you at the end")</f>
        <v>Employer who pushes your limits by enabling an learning environment, and rewards you at the end</v>
      </c>
      <c r="M1654"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N1654" s="1"/>
      <c r="O1654" s="1" t="str">
        <f ca="1">IFERROR(__xludf.DUMMYFUNCTION("""COMPUTED_VALUE"""),"Manager who explains what is expected, sets a goal and helps achieve it")</f>
        <v>Manager who explains what is expected, sets a goal and helps achieve it</v>
      </c>
      <c r="P1654" s="1" t="str">
        <f ca="1">IFERROR(__xludf.DUMMYFUNCTION("""COMPUTED_VALUE"""),"Work &lt;=6 People in the Team")</f>
        <v>Work &lt;=6 People in the Team</v>
      </c>
      <c r="Q1654" s="1" t="s">
        <v>43</v>
      </c>
      <c r="R1654" s="1"/>
    </row>
    <row r="1655" spans="1:18" x14ac:dyDescent="0.25">
      <c r="A1655" s="2">
        <f ca="1">IFERROR(__xludf.DUMMYFUNCTION("""COMPUTED_VALUE"""),45046.5584866087)</f>
        <v>45046.558486608701</v>
      </c>
      <c r="B1655" s="1" t="str">
        <f ca="1">IFERROR(__xludf.DUMMYFUNCTION("""COMPUTED_VALUE"""),"India")</f>
        <v>India</v>
      </c>
      <c r="C1655" s="1">
        <f ca="1">IFERROR(__xludf.DUMMYFUNCTION("""COMPUTED_VALUE"""),600504)</f>
        <v>600504</v>
      </c>
      <c r="D1655" s="1" t="str">
        <f ca="1">IFERROR(__xludf.DUMMYFUNCTION("""COMPUTED_VALUE"""),"Female")</f>
        <v>Female</v>
      </c>
      <c r="E1655" s="1" t="str">
        <f ca="1">IFERROR(__xludf.DUMMYFUNCTION("""COMPUTED_VALUE"""),"My Parents")</f>
        <v>My Parents</v>
      </c>
      <c r="F1655" s="1" t="str">
        <f ca="1">IFERROR(__xludf.DUMMYFUNCTION("""COMPUTED_VALUE"""),"No I would not be pursuing Higher Education outside of India")</f>
        <v>No I would not be pursuing Higher Education outside of India</v>
      </c>
      <c r="G1655" s="1" t="str">
        <f ca="1">IFERROR(__xludf.DUMMYFUNCTION("""COMPUTED_VALUE"""),"Will work for 3 years or more")</f>
        <v>Will work for 3 years or more</v>
      </c>
      <c r="H1655" s="1" t="str">
        <f ca="1">IFERROR(__xludf.DUMMYFUNCTION("""COMPUTED_VALUE"""),"No")</f>
        <v>No</v>
      </c>
      <c r="I1655" s="1" t="str">
        <f ca="1">IFERROR(__xludf.DUMMYFUNCTION("""COMPUTED_VALUE"""),"Will NOT work for them")</f>
        <v>Will NOT work for them</v>
      </c>
      <c r="J1655" s="1">
        <f ca="1">IFERROR(__xludf.DUMMYFUNCTION("""COMPUTED_VALUE"""),3)</f>
        <v>3</v>
      </c>
      <c r="K1655" s="1" t="str">
        <f ca="1">IFERROR(__xludf.DUMMYFUNCTION("""COMPUTED_VALUE"""),"Every Day Office Environment")</f>
        <v>Every Day Office Environment</v>
      </c>
      <c r="L1655" s="1" t="str">
        <f ca="1">IFERROR(__xludf.DUMMYFUNCTION("""COMPUTED_VALUE"""),"Employer who appreciates learning and enables that environment")</f>
        <v>Employer who appreciates learning and enables that environment</v>
      </c>
      <c r="M1655"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N1655" s="1"/>
      <c r="O1655" s="1" t="str">
        <f ca="1">IFERROR(__xludf.DUMMYFUNCTION("""COMPUTED_VALUE"""),"Manager who sets goal and helps me achieve it")</f>
        <v>Manager who sets goal and helps me achieve it</v>
      </c>
      <c r="P1655" s="1" t="str">
        <f ca="1">IFERROR(__xludf.DUMMYFUNCTION("""COMPUTED_VALUE"""),"Work &lt;=6 People in the Team")</f>
        <v>Work &lt;=6 People in the Team</v>
      </c>
      <c r="Q1655" s="1" t="s">
        <v>43</v>
      </c>
      <c r="R1655" s="1"/>
    </row>
    <row r="1656" spans="1:18" x14ac:dyDescent="0.25">
      <c r="A1656" s="2">
        <f ca="1">IFERROR(__xludf.DUMMYFUNCTION("""COMPUTED_VALUE"""),45046.5695848495)</f>
        <v>45046.569584849502</v>
      </c>
      <c r="B1656" s="1" t="str">
        <f ca="1">IFERROR(__xludf.DUMMYFUNCTION("""COMPUTED_VALUE"""),"India")</f>
        <v>India</v>
      </c>
      <c r="C1656" s="1">
        <f ca="1">IFERROR(__xludf.DUMMYFUNCTION("""COMPUTED_VALUE"""),94587)</f>
        <v>94587</v>
      </c>
      <c r="D1656" s="1" t="str">
        <f ca="1">IFERROR(__xludf.DUMMYFUNCTION("""COMPUTED_VALUE"""),"Male")</f>
        <v>Male</v>
      </c>
      <c r="E1656" s="1" t="str">
        <f ca="1">IFERROR(__xludf.DUMMYFUNCTION("""COMPUTED_VALUE"""),"My Parents")</f>
        <v>My Parents</v>
      </c>
      <c r="F1656" s="1" t="str">
        <f ca="1">IFERROR(__xludf.DUMMYFUNCTION("""COMPUTED_VALUE"""),"No I would not be pursuing Higher Education outside of India")</f>
        <v>No I would not be pursuing Higher Education outside of India</v>
      </c>
      <c r="G1656" s="1" t="str">
        <f ca="1">IFERROR(__xludf.DUMMYFUNCTION("""COMPUTED_VALUE"""),"No way")</f>
        <v>No way</v>
      </c>
      <c r="H1656" s="1" t="str">
        <f ca="1">IFERROR(__xludf.DUMMYFUNCTION("""COMPUTED_VALUE"""),"No")</f>
        <v>No</v>
      </c>
      <c r="I1656" s="1" t="str">
        <f ca="1">IFERROR(__xludf.DUMMYFUNCTION("""COMPUTED_VALUE"""),"Will NOT work for them")</f>
        <v>Will NOT work for them</v>
      </c>
      <c r="J1656" s="1">
        <f ca="1">IFERROR(__xludf.DUMMYFUNCTION("""COMPUTED_VALUE"""),7)</f>
        <v>7</v>
      </c>
      <c r="K1656" s="1" t="str">
        <f ca="1">IFERROR(__xludf.DUMMYFUNCTION("""COMPUTED_VALUE"""),"Every Day Office Environment")</f>
        <v>Every Day Office Environment</v>
      </c>
      <c r="L1656" s="1" t="str">
        <f ca="1">IFERROR(__xludf.DUMMYFUNCTION("""COMPUTED_VALUE"""),"Employer who pushes your limits by enabling an learning environment, and rewards you at the end")</f>
        <v>Employer who pushes your limits by enabling an learning environment, and rewards you at the end</v>
      </c>
      <c r="M16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N1656" s="1"/>
      <c r="O1656" s="1" t="str">
        <f ca="1">IFERROR(__xludf.DUMMYFUNCTION("""COMPUTED_VALUE"""),"Manager who clearly describes what she/he needs")</f>
        <v>Manager who clearly describes what she/he needs</v>
      </c>
      <c r="P1656" s="1" t="str">
        <f ca="1">IFERROR(__xludf.DUMMYFUNCTION("""COMPUTED_VALUE"""),"Work &gt;10 people in Team")</f>
        <v>Work &gt;10 people in Team</v>
      </c>
      <c r="Q1656" s="1" t="s">
        <v>40</v>
      </c>
      <c r="R1656" s="1"/>
    </row>
    <row r="1657" spans="1:18" x14ac:dyDescent="0.25">
      <c r="A1657" s="2">
        <f ca="1">IFERROR(__xludf.DUMMYFUNCTION("""COMPUTED_VALUE"""),45046.5730561111)</f>
        <v>45046.573056111098</v>
      </c>
      <c r="B1657" s="1" t="str">
        <f ca="1">IFERROR(__xludf.DUMMYFUNCTION("""COMPUTED_VALUE"""),"India")</f>
        <v>India</v>
      </c>
      <c r="C1657" s="1">
        <f ca="1">IFERROR(__xludf.DUMMYFUNCTION("""COMPUTED_VALUE"""),395006)</f>
        <v>395006</v>
      </c>
      <c r="D1657" s="1" t="str">
        <f ca="1">IFERROR(__xludf.DUMMYFUNCTION("""COMPUTED_VALUE"""),"Male")</f>
        <v>Male</v>
      </c>
      <c r="E1657" s="1" t="str">
        <f ca="1">IFERROR(__xludf.DUMMYFUNCTION("""COMPUTED_VALUE"""),"People who have changed the world for better")</f>
        <v>People who have changed the world for better</v>
      </c>
      <c r="F1657" s="1" t="str">
        <f ca="1">IFERROR(__xludf.DUMMYFUNCTION("""COMPUTED_VALUE"""),"Yes, I will earn and do that")</f>
        <v>Yes, I will earn and do that</v>
      </c>
      <c r="G1657" s="1" t="str">
        <f ca="1">IFERROR(__xludf.DUMMYFUNCTION("""COMPUTED_VALUE"""),"This will be hard to do, but if it is the right company I would try")</f>
        <v>This will be hard to do, but if it is the right company I would try</v>
      </c>
      <c r="H1657" s="1" t="str">
        <f ca="1">IFERROR(__xludf.DUMMYFUNCTION("""COMPUTED_VALUE"""),"Yes")</f>
        <v>Yes</v>
      </c>
      <c r="I1657" s="1" t="str">
        <f ca="1">IFERROR(__xludf.DUMMYFUNCTION("""COMPUTED_VALUE"""),"Will work for them")</f>
        <v>Will work for them</v>
      </c>
      <c r="J1657" s="1">
        <f ca="1">IFERROR(__xludf.DUMMYFUNCTION("""COMPUTED_VALUE"""),2)</f>
        <v>2</v>
      </c>
      <c r="K1657" s="1" t="str">
        <f ca="1">IFERROR(__xludf.DUMMYFUNCTION("""COMPUTED_VALUE"""),"Hybrid Working Environment with more than 15 days a month at office")</f>
        <v>Hybrid Working Environment with more than 15 days a month at office</v>
      </c>
      <c r="L1657" s="1" t="str">
        <f ca="1">IFERROR(__xludf.DUMMYFUNCTION("""COMPUTED_VALUE"""),"Employer who pushes your limits and doesn't enables learning environment and never rewards you")</f>
        <v>Employer who pushes your limits and doesn't enables learning environment and never rewards you</v>
      </c>
      <c r="M1657"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N1657" s="1"/>
      <c r="O1657" s="1" t="str">
        <f ca="1">IFERROR(__xludf.DUMMYFUNCTION("""COMPUTED_VALUE"""),"Manager who sets unrealistic targets")</f>
        <v>Manager who sets unrealistic targets</v>
      </c>
      <c r="P1657" s="1" t="str">
        <f ca="1">IFERROR(__xludf.DUMMYFUNCTION("""COMPUTED_VALUE"""),"Work &gt;10 people in Team")</f>
        <v>Work &gt;10 people in Team</v>
      </c>
      <c r="Q1657" s="1" t="s">
        <v>43</v>
      </c>
      <c r="R1657" s="1"/>
    </row>
    <row r="1658" spans="1:18" x14ac:dyDescent="0.25">
      <c r="A1658" s="2">
        <f ca="1">IFERROR(__xludf.DUMMYFUNCTION("""COMPUTED_VALUE"""),45046.5771298842)</f>
        <v>45046.577129884201</v>
      </c>
      <c r="B1658" s="1" t="str">
        <f ca="1">IFERROR(__xludf.DUMMYFUNCTION("""COMPUTED_VALUE"""),"India")</f>
        <v>India</v>
      </c>
      <c r="C1658" s="1">
        <f ca="1">IFERROR(__xludf.DUMMYFUNCTION("""COMPUTED_VALUE"""),686503)</f>
        <v>686503</v>
      </c>
      <c r="D1658" s="1" t="str">
        <f ca="1">IFERROR(__xludf.DUMMYFUNCTION("""COMPUTED_VALUE"""),"Male")</f>
        <v>Male</v>
      </c>
      <c r="E1658" s="1" t="str">
        <f ca="1">IFERROR(__xludf.DUMMYFUNCTION("""COMPUTED_VALUE"""),"People from my circle, but not family members")</f>
        <v>People from my circle, but not family members</v>
      </c>
      <c r="F1658" s="1" t="str">
        <f ca="1">IFERROR(__xludf.DUMMYFUNCTION("""COMPUTED_VALUE"""),"No I would not be pursuing Higher Education outside of India")</f>
        <v>No I would not be pursuing Higher Education outside of India</v>
      </c>
      <c r="G1658" s="1" t="str">
        <f ca="1">IFERROR(__xludf.DUMMYFUNCTION("""COMPUTED_VALUE"""),"This will be hard to do, but if it is the right company I would try")</f>
        <v>This will be hard to do, but if it is the right company I would try</v>
      </c>
      <c r="H1658" s="1" t="str">
        <f ca="1">IFERROR(__xludf.DUMMYFUNCTION("""COMPUTED_VALUE"""),"No")</f>
        <v>No</v>
      </c>
      <c r="I1658" s="1" t="str">
        <f ca="1">IFERROR(__xludf.DUMMYFUNCTION("""COMPUTED_VALUE"""),"Will NOT work for them")</f>
        <v>Will NOT work for them</v>
      </c>
      <c r="J1658" s="1">
        <f ca="1">IFERROR(__xludf.DUMMYFUNCTION("""COMPUTED_VALUE"""),3)</f>
        <v>3</v>
      </c>
      <c r="K1658" s="1" t="str">
        <f ca="1">IFERROR(__xludf.DUMMYFUNCTION("""COMPUTED_VALUE"""),"Fully Remote with Options to travel as and when needed")</f>
        <v>Fully Remote with Options to travel as and when needed</v>
      </c>
      <c r="L1658" s="1" t="str">
        <f ca="1">IFERROR(__xludf.DUMMYFUNCTION("""COMPUTED_VALUE"""),"Employer who pushes your limits by enabling an learning environment, and rewards you at the end")</f>
        <v>Employer who pushes your limits by enabling an learning environment, and rewards you at the end</v>
      </c>
      <c r="M165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658" s="1"/>
      <c r="O1658" s="1" t="str">
        <f ca="1">IFERROR(__xludf.DUMMYFUNCTION("""COMPUTED_VALUE"""),"Manager who sets targets and expects me to achieve it")</f>
        <v>Manager who sets targets and expects me to achieve it</v>
      </c>
      <c r="P1658" s="1" t="str">
        <f ca="1">IFERROR(__xludf.DUMMYFUNCTION("""COMPUTED_VALUE"""),"Work &gt;10 people in Team")</f>
        <v>Work &gt;10 people in Team</v>
      </c>
      <c r="Q1658" s="1" t="s">
        <v>43</v>
      </c>
      <c r="R1658" s="1"/>
    </row>
    <row r="1659" spans="1:18" x14ac:dyDescent="0.25">
      <c r="A1659" s="2">
        <f ca="1">IFERROR(__xludf.DUMMYFUNCTION("""COMPUTED_VALUE"""),45046.5894431828)</f>
        <v>45046.589443182798</v>
      </c>
      <c r="B1659" s="1" t="str">
        <f ca="1">IFERROR(__xludf.DUMMYFUNCTION("""COMPUTED_VALUE"""),"India")</f>
        <v>India</v>
      </c>
      <c r="C1659" s="1">
        <f ca="1">IFERROR(__xludf.DUMMYFUNCTION("""COMPUTED_VALUE"""),110025)</f>
        <v>110025</v>
      </c>
      <c r="D1659" s="1" t="str">
        <f ca="1">IFERROR(__xludf.DUMMYFUNCTION("""COMPUTED_VALUE"""),"Male")</f>
        <v>Male</v>
      </c>
      <c r="E1659" s="1" t="str">
        <f ca="1">IFERROR(__xludf.DUMMYFUNCTION("""COMPUTED_VALUE"""),"People who have changed the world for better")</f>
        <v>People who have changed the world for better</v>
      </c>
      <c r="F1659" s="1" t="str">
        <f ca="1">IFERROR(__xludf.DUMMYFUNCTION("""COMPUTED_VALUE"""),"Yes, I will earn and do that")</f>
        <v>Yes, I will earn and do that</v>
      </c>
      <c r="G1659" s="1" t="str">
        <f ca="1">IFERROR(__xludf.DUMMYFUNCTION("""COMPUTED_VALUE"""),"Will work for 3 years or more")</f>
        <v>Will work for 3 years or more</v>
      </c>
      <c r="H1659" s="1" t="str">
        <f ca="1">IFERROR(__xludf.DUMMYFUNCTION("""COMPUTED_VALUE"""),"No")</f>
        <v>No</v>
      </c>
      <c r="I1659" s="1" t="str">
        <f ca="1">IFERROR(__xludf.DUMMYFUNCTION("""COMPUTED_VALUE"""),"Will NOT work for them")</f>
        <v>Will NOT work for them</v>
      </c>
      <c r="J1659" s="1">
        <f ca="1">IFERROR(__xludf.DUMMYFUNCTION("""COMPUTED_VALUE"""),5)</f>
        <v>5</v>
      </c>
      <c r="K1659" s="1" t="str">
        <f ca="1">IFERROR(__xludf.DUMMYFUNCTION("""COMPUTED_VALUE"""),"Hybrid Working Environment with less than 3 days a month at office")</f>
        <v>Hybrid Working Environment with less than 3 days a month at office</v>
      </c>
      <c r="L1659" s="1" t="str">
        <f ca="1">IFERROR(__xludf.DUMMYFUNCTION("""COMPUTED_VALUE"""),"Employer who pushes your limits by enabling an learning environment, and rewards you at the end")</f>
        <v>Employer who pushes your limits by enabling an learning environment, and rewards you at the end</v>
      </c>
      <c r="M1659"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N1659" s="1"/>
      <c r="O1659" s="1" t="str">
        <f ca="1">IFERROR(__xludf.DUMMYFUNCTION("""COMPUTED_VALUE"""),"Manager who sets goal and helps me achieve it")</f>
        <v>Manager who sets goal and helps me achieve it</v>
      </c>
      <c r="P1659" s="1" t="str">
        <f ca="1">IFERROR(__xludf.DUMMYFUNCTION("""COMPUTED_VALUE"""),"Work &lt;=6 People in the Team")</f>
        <v>Work &lt;=6 People in the Team</v>
      </c>
      <c r="Q1659" s="1" t="s">
        <v>43</v>
      </c>
      <c r="R1659" s="1"/>
    </row>
    <row r="1660" spans="1:18" x14ac:dyDescent="0.25">
      <c r="A1660" s="2">
        <f ca="1">IFERROR(__xludf.DUMMYFUNCTION("""COMPUTED_VALUE"""),45046.5975797222)</f>
        <v>45046.597579722198</v>
      </c>
      <c r="B1660" s="1" t="str">
        <f ca="1">IFERROR(__xludf.DUMMYFUNCTION("""COMPUTED_VALUE"""),"India")</f>
        <v>India</v>
      </c>
      <c r="C1660" s="1">
        <f ca="1">IFERROR(__xludf.DUMMYFUNCTION("""COMPUTED_VALUE"""),841230)</f>
        <v>841230</v>
      </c>
      <c r="D1660" s="1" t="str">
        <f ca="1">IFERROR(__xludf.DUMMYFUNCTION("""COMPUTED_VALUE"""),"Male")</f>
        <v>Male</v>
      </c>
      <c r="E1660" s="1" t="str">
        <f ca="1">IFERROR(__xludf.DUMMYFUNCTION("""COMPUTED_VALUE"""),"My Parents")</f>
        <v>My Parents</v>
      </c>
      <c r="F1660" s="1" t="str">
        <f ca="1">IFERROR(__xludf.DUMMYFUNCTION("""COMPUTED_VALUE"""),"No I would not be pursuing Higher Education outside of India")</f>
        <v>No I would not be pursuing Higher Education outside of India</v>
      </c>
      <c r="G1660" s="1" t="str">
        <f ca="1">IFERROR(__xludf.DUMMYFUNCTION("""COMPUTED_VALUE"""),"This will be hard to do, but if it is the right company I would try")</f>
        <v>This will be hard to do, but if it is the right company I would try</v>
      </c>
      <c r="H1660" s="1" t="str">
        <f ca="1">IFERROR(__xludf.DUMMYFUNCTION("""COMPUTED_VALUE"""),"Yes")</f>
        <v>Yes</v>
      </c>
      <c r="I1660" s="1" t="str">
        <f ca="1">IFERROR(__xludf.DUMMYFUNCTION("""COMPUTED_VALUE"""),"Will work for them")</f>
        <v>Will work for them</v>
      </c>
      <c r="J1660" s="1">
        <f ca="1">IFERROR(__xludf.DUMMYFUNCTION("""COMPUTED_VALUE"""),9)</f>
        <v>9</v>
      </c>
      <c r="K1660" s="1" t="str">
        <f ca="1">IFERROR(__xludf.DUMMYFUNCTION("""COMPUTED_VALUE"""),"Fully Remote with Options to travel as and when needed")</f>
        <v>Fully Remote with Options to travel as and when needed</v>
      </c>
      <c r="L1660" s="1" t="str">
        <f ca="1">IFERROR(__xludf.DUMMYFUNCTION("""COMPUTED_VALUE"""),"Employer who rewards learning and enables that environment")</f>
        <v>Employer who rewards learning and enables that environment</v>
      </c>
      <c r="M166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N1660" s="1"/>
      <c r="O1660" s="1" t="str">
        <f ca="1">IFERROR(__xludf.DUMMYFUNCTION("""COMPUTED_VALUE"""),"Manager who explains what is expected, sets a goal and helps achieve it")</f>
        <v>Manager who explains what is expected, sets a goal and helps achieve it</v>
      </c>
      <c r="P1660" s="1" t="str">
        <f ca="1">IFERROR(__xludf.DUMMYFUNCTION("""COMPUTED_VALUE"""),"Work &gt;10 people in Team")</f>
        <v>Work &gt;10 people in Team</v>
      </c>
      <c r="Q1660" s="1" t="s">
        <v>43</v>
      </c>
      <c r="R1660" s="1"/>
    </row>
    <row r="1661" spans="1:18" x14ac:dyDescent="0.25">
      <c r="A1661" s="2">
        <f ca="1">IFERROR(__xludf.DUMMYFUNCTION("""COMPUTED_VALUE"""),45046.6137366666)</f>
        <v>45046.613736666601</v>
      </c>
      <c r="B1661" s="1" t="str">
        <f ca="1">IFERROR(__xludf.DUMMYFUNCTION("""COMPUTED_VALUE"""),"India")</f>
        <v>India</v>
      </c>
      <c r="C1661" s="1">
        <f ca="1">IFERROR(__xludf.DUMMYFUNCTION("""COMPUTED_VALUE"""),440035)</f>
        <v>440035</v>
      </c>
      <c r="D1661" s="1" t="str">
        <f ca="1">IFERROR(__xludf.DUMMYFUNCTION("""COMPUTED_VALUE"""),"Male")</f>
        <v>Male</v>
      </c>
      <c r="E1661" s="1" t="str">
        <f ca="1">IFERROR(__xludf.DUMMYFUNCTION("""COMPUTED_VALUE"""),"People from my circle, but not family members")</f>
        <v>People from my circle, but not family members</v>
      </c>
      <c r="F1661" s="1" t="str">
        <f ca="1">IFERROR(__xludf.DUMMYFUNCTION("""COMPUTED_VALUE"""),"Yes, I will earn and do that")</f>
        <v>Yes, I will earn and do that</v>
      </c>
      <c r="G1661" s="1" t="str">
        <f ca="1">IFERROR(__xludf.DUMMYFUNCTION("""COMPUTED_VALUE"""),"This will be hard to do, but if it is the right company I would try")</f>
        <v>This will be hard to do, but if it is the right company I would try</v>
      </c>
      <c r="H1661" s="1" t="str">
        <f ca="1">IFERROR(__xludf.DUMMYFUNCTION("""COMPUTED_VALUE"""),"No")</f>
        <v>No</v>
      </c>
      <c r="I1661" s="1" t="str">
        <f ca="1">IFERROR(__xludf.DUMMYFUNCTION("""COMPUTED_VALUE"""),"Will NOT work for them")</f>
        <v>Will NOT work for them</v>
      </c>
      <c r="J1661" s="1">
        <f ca="1">IFERROR(__xludf.DUMMYFUNCTION("""COMPUTED_VALUE"""),6)</f>
        <v>6</v>
      </c>
      <c r="K1661" s="1" t="str">
        <f ca="1">IFERROR(__xludf.DUMMYFUNCTION("""COMPUTED_VALUE"""),"Fully Remote with Options to travel as and when needed")</f>
        <v>Fully Remote with Options to travel as and when needed</v>
      </c>
      <c r="L1661" s="1" t="str">
        <f ca="1">IFERROR(__xludf.DUMMYFUNCTION("""COMPUTED_VALUE"""),"Employer who appreciates learning and enables that environment")</f>
        <v>Employer who appreciates learning and enables that environment</v>
      </c>
      <c r="M1661"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N1661" s="1"/>
      <c r="O1661" s="1" t="str">
        <f ca="1">IFERROR(__xludf.DUMMYFUNCTION("""COMPUTED_VALUE"""),"Manager who explains what is expected, sets a goal and helps achieve it")</f>
        <v>Manager who explains what is expected, sets a goal and helps achieve it</v>
      </c>
      <c r="P1661" s="1" t="str">
        <f ca="1">IFERROR(__xludf.DUMMYFUNCTION("""COMPUTED_VALUE"""),"Work Alone, &lt;=6 in team")</f>
        <v>Work Alone, &lt;=6 in team</v>
      </c>
      <c r="Q1661" s="1" t="s">
        <v>42</v>
      </c>
      <c r="R1661" s="1"/>
    </row>
    <row r="1662" spans="1:18" x14ac:dyDescent="0.25">
      <c r="A1662" s="2">
        <f ca="1">IFERROR(__xludf.DUMMYFUNCTION("""COMPUTED_VALUE"""),45046.623180081)</f>
        <v>45046.623180080998</v>
      </c>
      <c r="B1662" s="1" t="str">
        <f ca="1">IFERROR(__xludf.DUMMYFUNCTION("""COMPUTED_VALUE"""),"India")</f>
        <v>India</v>
      </c>
      <c r="C1662" s="1">
        <f ca="1">IFERROR(__xludf.DUMMYFUNCTION("""COMPUTED_VALUE"""),395006)</f>
        <v>395006</v>
      </c>
      <c r="D1662" s="1" t="str">
        <f ca="1">IFERROR(__xludf.DUMMYFUNCTION("""COMPUTED_VALUE"""),"Female")</f>
        <v>Female</v>
      </c>
      <c r="E1662" s="1" t="str">
        <f ca="1">IFERROR(__xludf.DUMMYFUNCTION("""COMPUTED_VALUE"""),"People from my circle, but not family members")</f>
        <v>People from my circle, but not family members</v>
      </c>
      <c r="F1662" s="1" t="str">
        <f ca="1">IFERROR(__xludf.DUMMYFUNCTION("""COMPUTED_VALUE"""),"No I would not be pursuing Higher Education outside of India")</f>
        <v>No I would not be pursuing Higher Education outside of India</v>
      </c>
      <c r="G1662" s="1" t="str">
        <f ca="1">IFERROR(__xludf.DUMMYFUNCTION("""COMPUTED_VALUE"""),"This will be hard to do, but if it is the right company I would try")</f>
        <v>This will be hard to do, but if it is the right company I would try</v>
      </c>
      <c r="H1662" s="1" t="str">
        <f ca="1">IFERROR(__xludf.DUMMYFUNCTION("""COMPUTED_VALUE"""),"No")</f>
        <v>No</v>
      </c>
      <c r="I1662" s="1" t="str">
        <f ca="1">IFERROR(__xludf.DUMMYFUNCTION("""COMPUTED_VALUE"""),"Will NOT work for them")</f>
        <v>Will NOT work for them</v>
      </c>
      <c r="J1662" s="1">
        <f ca="1">IFERROR(__xludf.DUMMYFUNCTION("""COMPUTED_VALUE"""),1)</f>
        <v>1</v>
      </c>
      <c r="K1662" s="1" t="str">
        <f ca="1">IFERROR(__xludf.DUMMYFUNCTION("""COMPUTED_VALUE"""),"Fully Remote with Options to travel as and when needed")</f>
        <v>Fully Remote with Options to travel as and when needed</v>
      </c>
      <c r="L1662" s="1" t="str">
        <f ca="1">IFERROR(__xludf.DUMMYFUNCTION("""COMPUTED_VALUE"""),"Employer who rewards learning and enables that environment")</f>
        <v>Employer who rewards learning and enables that environment</v>
      </c>
      <c r="M16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662" s="1"/>
      <c r="O1662" s="1" t="str">
        <f ca="1">IFERROR(__xludf.DUMMYFUNCTION("""COMPUTED_VALUE"""),"Manager who explains what is expected, sets a goal and helps achieve it")</f>
        <v>Manager who explains what is expected, sets a goal and helps achieve it</v>
      </c>
      <c r="P1662" s="1" t="str">
        <f ca="1">IFERROR(__xludf.DUMMYFUNCTION("""COMPUTED_VALUE"""),"Work &lt;=6 People in the Team")</f>
        <v>Work &lt;=6 People in the Team</v>
      </c>
      <c r="Q1662" s="1" t="s">
        <v>43</v>
      </c>
      <c r="R1662" s="1"/>
    </row>
    <row r="1663" spans="1:18" x14ac:dyDescent="0.25">
      <c r="A1663" s="2">
        <f ca="1">IFERROR(__xludf.DUMMYFUNCTION("""COMPUTED_VALUE"""),45046.6327862037)</f>
        <v>45046.6327862037</v>
      </c>
      <c r="B1663" s="1" t="str">
        <f ca="1">IFERROR(__xludf.DUMMYFUNCTION("""COMPUTED_VALUE"""),"India")</f>
        <v>India</v>
      </c>
      <c r="C1663" s="1">
        <f ca="1">IFERROR(__xludf.DUMMYFUNCTION("""COMPUTED_VALUE"""),395006)</f>
        <v>395006</v>
      </c>
      <c r="D1663" s="1" t="str">
        <f ca="1">IFERROR(__xludf.DUMMYFUNCTION("""COMPUTED_VALUE"""),"Male")</f>
        <v>Male</v>
      </c>
      <c r="E1663" s="1" t="str">
        <f ca="1">IFERROR(__xludf.DUMMYFUNCTION("""COMPUTED_VALUE"""),"People from my circle, but not family members")</f>
        <v>People from my circle, but not family members</v>
      </c>
      <c r="F1663" s="1" t="str">
        <f ca="1">IFERROR(__xludf.DUMMYFUNCTION("""COMPUTED_VALUE"""),"No I would not be pursuing Higher Education outside of India")</f>
        <v>No I would not be pursuing Higher Education outside of India</v>
      </c>
      <c r="G1663" s="1" t="str">
        <f ca="1">IFERROR(__xludf.DUMMYFUNCTION("""COMPUTED_VALUE"""),"This will be hard to do, but if it is the right company I would try")</f>
        <v>This will be hard to do, but if it is the right company I would try</v>
      </c>
      <c r="H1663" s="1" t="str">
        <f ca="1">IFERROR(__xludf.DUMMYFUNCTION("""COMPUTED_VALUE"""),"No")</f>
        <v>No</v>
      </c>
      <c r="I1663" s="1" t="str">
        <f ca="1">IFERROR(__xludf.DUMMYFUNCTION("""COMPUTED_VALUE"""),"Will NOT work for them")</f>
        <v>Will NOT work for them</v>
      </c>
      <c r="J1663" s="1">
        <f ca="1">IFERROR(__xludf.DUMMYFUNCTION("""COMPUTED_VALUE"""),5)</f>
        <v>5</v>
      </c>
      <c r="K1663" s="1" t="str">
        <f ca="1">IFERROR(__xludf.DUMMYFUNCTION("""COMPUTED_VALUE"""),"Hybrid Working Environment with more than 15 days a month at office")</f>
        <v>Hybrid Working Environment with more than 15 days a month at office</v>
      </c>
      <c r="L1663" s="1" t="str">
        <f ca="1">IFERROR(__xludf.DUMMYFUNCTION("""COMPUTED_VALUE"""),"Employer who pushes your limits by enabling an learning environment, and rewards you at the end")</f>
        <v>Employer who pushes your limits by enabling an learning environment, and rewards you at the end</v>
      </c>
      <c r="M166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N1663" s="1"/>
      <c r="O1663" s="1" t="str">
        <f ca="1">IFERROR(__xludf.DUMMYFUNCTION("""COMPUTED_VALUE"""),"Manager who explains what is expected, sets a goal and helps achieve it")</f>
        <v>Manager who explains what is expected, sets a goal and helps achieve it</v>
      </c>
      <c r="P1663" s="1" t="str">
        <f ca="1">IFERROR(__xludf.DUMMYFUNCTION("""COMPUTED_VALUE"""),"Work &lt;=6 People in the Team")</f>
        <v>Work &lt;=6 People in the Team</v>
      </c>
      <c r="Q1663" s="1" t="s">
        <v>43</v>
      </c>
      <c r="R1663" s="1"/>
    </row>
    <row r="1664" spans="1:18" x14ac:dyDescent="0.25">
      <c r="A1664" s="2">
        <f ca="1">IFERROR(__xludf.DUMMYFUNCTION("""COMPUTED_VALUE"""),45046.6425139467)</f>
        <v>45046.642513946703</v>
      </c>
      <c r="B1664" s="1" t="str">
        <f ca="1">IFERROR(__xludf.DUMMYFUNCTION("""COMPUTED_VALUE"""),"India")</f>
        <v>India</v>
      </c>
      <c r="C1664" s="1">
        <f ca="1">IFERROR(__xludf.DUMMYFUNCTION("""COMPUTED_VALUE"""),395004)</f>
        <v>395004</v>
      </c>
      <c r="D1664" s="1" t="str">
        <f ca="1">IFERROR(__xludf.DUMMYFUNCTION("""COMPUTED_VALUE"""),"Male")</f>
        <v>Male</v>
      </c>
      <c r="E1664" s="1" t="str">
        <f ca="1">IFERROR(__xludf.DUMMYFUNCTION("""COMPUTED_VALUE"""),"My Parents")</f>
        <v>My Parents</v>
      </c>
      <c r="F1664" s="1" t="str">
        <f ca="1">IFERROR(__xludf.DUMMYFUNCTION("""COMPUTED_VALUE"""),"No I would not be pursuing Higher Education outside of India")</f>
        <v>No I would not be pursuing Higher Education outside of India</v>
      </c>
      <c r="G1664" s="1" t="str">
        <f ca="1">IFERROR(__xludf.DUMMYFUNCTION("""COMPUTED_VALUE"""),"This will be hard to do, but if it is the right company I would try")</f>
        <v>This will be hard to do, but if it is the right company I would try</v>
      </c>
      <c r="H1664" s="1" t="str">
        <f ca="1">IFERROR(__xludf.DUMMYFUNCTION("""COMPUTED_VALUE"""),"No")</f>
        <v>No</v>
      </c>
      <c r="I1664" s="1" t="str">
        <f ca="1">IFERROR(__xludf.DUMMYFUNCTION("""COMPUTED_VALUE"""),"Will NOT work for them")</f>
        <v>Will NOT work for them</v>
      </c>
      <c r="J1664" s="1">
        <f ca="1">IFERROR(__xludf.DUMMYFUNCTION("""COMPUTED_VALUE"""),4)</f>
        <v>4</v>
      </c>
      <c r="K1664" s="1" t="str">
        <f ca="1">IFERROR(__xludf.DUMMYFUNCTION("""COMPUTED_VALUE"""),"Hybrid Working Environment with more than 15 days a month at office")</f>
        <v>Hybrid Working Environment with more than 15 days a month at office</v>
      </c>
      <c r="L1664" s="1" t="str">
        <f ca="1">IFERROR(__xludf.DUMMYFUNCTION("""COMPUTED_VALUE"""),"Employer who pushes your limits by enabling an learning environment, and rewards you at the end")</f>
        <v>Employer who pushes your limits by enabling an learning environment, and rewards you at the end</v>
      </c>
      <c r="M166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N1664" s="1"/>
      <c r="O1664" s="1" t="str">
        <f ca="1">IFERROR(__xludf.DUMMYFUNCTION("""COMPUTED_VALUE"""),"Manager who explains what is expected, sets a goal and helps achieve it")</f>
        <v>Manager who explains what is expected, sets a goal and helps achieve it</v>
      </c>
      <c r="P1664" s="1" t="str">
        <f ca="1">IFERROR(__xludf.DUMMYFUNCTION("""COMPUTED_VALUE"""),"Work &lt;=6 People in the Team")</f>
        <v>Work &lt;=6 People in the Team</v>
      </c>
      <c r="Q1664" s="1" t="s">
        <v>40</v>
      </c>
      <c r="R1664" s="1"/>
    </row>
    <row r="1665" spans="1:18" x14ac:dyDescent="0.25">
      <c r="A1665" s="2">
        <f ca="1">IFERROR(__xludf.DUMMYFUNCTION("""COMPUTED_VALUE"""),45046.6611865509)</f>
        <v>45046.661186550897</v>
      </c>
      <c r="B1665" s="1" t="str">
        <f ca="1">IFERROR(__xludf.DUMMYFUNCTION("""COMPUTED_VALUE"""),"India")</f>
        <v>India</v>
      </c>
      <c r="C1665" s="1">
        <f ca="1">IFERROR(__xludf.DUMMYFUNCTION("""COMPUTED_VALUE"""),605009)</f>
        <v>605009</v>
      </c>
      <c r="D1665" s="1" t="str">
        <f ca="1">IFERROR(__xludf.DUMMYFUNCTION("""COMPUTED_VALUE"""),"Male")</f>
        <v>Male</v>
      </c>
      <c r="E1665" s="1" t="str">
        <f ca="1">IFERROR(__xludf.DUMMYFUNCTION("""COMPUTED_VALUE"""),"Social Media like LinkedIn")</f>
        <v>Social Media like LinkedIn</v>
      </c>
      <c r="F1665" s="1" t="str">
        <f ca="1">IFERROR(__xludf.DUMMYFUNCTION("""COMPUTED_VALUE"""),"Yes, I will earn and do that")</f>
        <v>Yes, I will earn and do that</v>
      </c>
      <c r="G1665" s="1" t="str">
        <f ca="1">IFERROR(__xludf.DUMMYFUNCTION("""COMPUTED_VALUE"""),"This will be hard to do, but if it is the right company I would try")</f>
        <v>This will be hard to do, but if it is the right company I would try</v>
      </c>
      <c r="H1665" s="1" t="str">
        <f ca="1">IFERROR(__xludf.DUMMYFUNCTION("""COMPUTED_VALUE"""),"No")</f>
        <v>No</v>
      </c>
      <c r="I1665" s="1" t="str">
        <f ca="1">IFERROR(__xludf.DUMMYFUNCTION("""COMPUTED_VALUE"""),"Will NOT work for them")</f>
        <v>Will NOT work for them</v>
      </c>
      <c r="J1665" s="1">
        <f ca="1">IFERROR(__xludf.DUMMYFUNCTION("""COMPUTED_VALUE"""),4)</f>
        <v>4</v>
      </c>
      <c r="K1665" s="1" t="str">
        <f ca="1">IFERROR(__xludf.DUMMYFUNCTION("""COMPUTED_VALUE"""),"Fully Remote with Options to travel as and when needed")</f>
        <v>Fully Remote with Options to travel as and when needed</v>
      </c>
      <c r="L1665" s="1" t="str">
        <f ca="1">IFERROR(__xludf.DUMMYFUNCTION("""COMPUTED_VALUE"""),"Employer who pushes your limits by enabling an learning environment, and rewards you at the end")</f>
        <v>Employer who pushes your limits by enabling an learning environment, and rewards you at the end</v>
      </c>
      <c r="M1665"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N1665" s="1"/>
      <c r="O1665" s="1" t="str">
        <f ca="1">IFERROR(__xludf.DUMMYFUNCTION("""COMPUTED_VALUE"""),"Manager who explains what is expected, sets a goal and helps achieve it")</f>
        <v>Manager who explains what is expected, sets a goal and helps achieve it</v>
      </c>
      <c r="P1665" s="1" t="str">
        <f ca="1">IFERROR(__xludf.DUMMYFUNCTION("""COMPUTED_VALUE"""),"Work &lt;=6 People in the Team")</f>
        <v>Work &lt;=6 People in the Team</v>
      </c>
      <c r="Q1665" s="1" t="s">
        <v>43</v>
      </c>
      <c r="R1665" s="1"/>
    </row>
    <row r="1666" spans="1:18" x14ac:dyDescent="0.25">
      <c r="A1666" s="2">
        <f ca="1">IFERROR(__xludf.DUMMYFUNCTION("""COMPUTED_VALUE"""),45046.6668118749)</f>
        <v>45046.6668118749</v>
      </c>
      <c r="B1666" s="1" t="str">
        <f ca="1">IFERROR(__xludf.DUMMYFUNCTION("""COMPUTED_VALUE"""),"India")</f>
        <v>India</v>
      </c>
      <c r="C1666" s="1">
        <f ca="1">IFERROR(__xludf.DUMMYFUNCTION("""COMPUTED_VALUE"""),302020)</f>
        <v>302020</v>
      </c>
      <c r="D1666" s="1" t="str">
        <f ca="1">IFERROR(__xludf.DUMMYFUNCTION("""COMPUTED_VALUE"""),"Female")</f>
        <v>Female</v>
      </c>
      <c r="E1666" s="1" t="str">
        <f ca="1">IFERROR(__xludf.DUMMYFUNCTION("""COMPUTED_VALUE"""),"Influencers who had successful careers")</f>
        <v>Influencers who had successful careers</v>
      </c>
      <c r="F1666" s="1" t="str">
        <f ca="1">IFERROR(__xludf.DUMMYFUNCTION("""COMPUTED_VALUE"""),"Yes, I will earn and do that")</f>
        <v>Yes, I will earn and do that</v>
      </c>
      <c r="G1666" s="1" t="str">
        <f ca="1">IFERROR(__xludf.DUMMYFUNCTION("""COMPUTED_VALUE"""),"This will be hard to do, but if it is the right company I would try")</f>
        <v>This will be hard to do, but if it is the right company I would try</v>
      </c>
      <c r="H1666" s="1" t="str">
        <f ca="1">IFERROR(__xludf.DUMMYFUNCTION("""COMPUTED_VALUE"""),"Yes")</f>
        <v>Yes</v>
      </c>
      <c r="I1666" s="1" t="str">
        <f ca="1">IFERROR(__xludf.DUMMYFUNCTION("""COMPUTED_VALUE"""),"Will NOT work for them")</f>
        <v>Will NOT work for them</v>
      </c>
      <c r="J1666" s="1">
        <f ca="1">IFERROR(__xludf.DUMMYFUNCTION("""COMPUTED_VALUE"""),7)</f>
        <v>7</v>
      </c>
      <c r="K1666" s="1" t="str">
        <f ca="1">IFERROR(__xludf.DUMMYFUNCTION("""COMPUTED_VALUE"""),"Fully Remote with Options to travel as and when needed")</f>
        <v>Fully Remote with Options to travel as and when needed</v>
      </c>
      <c r="L1666" s="1" t="str">
        <f ca="1">IFERROR(__xludf.DUMMYFUNCTION("""COMPUTED_VALUE"""),"Employer who pushes your limits by enabling an learning environment, and rewards you at the end")</f>
        <v>Employer who pushes your limits by enabling an learning environment, and rewards you at the end</v>
      </c>
      <c r="M1666"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N1666" s="1"/>
      <c r="O1666" s="1" t="str">
        <f ca="1">IFERROR(__xludf.DUMMYFUNCTION("""COMPUTED_VALUE"""),"Manager who explains what is expected, sets a goal and helps achieve it")</f>
        <v>Manager who explains what is expected, sets a goal and helps achieve it</v>
      </c>
      <c r="P1666" s="1" t="str">
        <f ca="1">IFERROR(__xludf.DUMMYFUNCTION("""COMPUTED_VALUE"""),"Work &lt;=6 People in the Team")</f>
        <v>Work &lt;=6 People in the Team</v>
      </c>
      <c r="Q1666" s="1" t="s">
        <v>43</v>
      </c>
      <c r="R1666" s="1"/>
    </row>
    <row r="1667" spans="1:18" x14ac:dyDescent="0.25">
      <c r="A1667" s="2">
        <f ca="1">IFERROR(__xludf.DUMMYFUNCTION("""COMPUTED_VALUE"""),45046.6700377662)</f>
        <v>45046.670037766198</v>
      </c>
      <c r="B1667" s="1" t="str">
        <f ca="1">IFERROR(__xludf.DUMMYFUNCTION("""COMPUTED_VALUE"""),"India")</f>
        <v>India</v>
      </c>
      <c r="C1667" s="1">
        <f ca="1">IFERROR(__xludf.DUMMYFUNCTION("""COMPUTED_VALUE"""),410206)</f>
        <v>410206</v>
      </c>
      <c r="D1667" s="1" t="str">
        <f ca="1">IFERROR(__xludf.DUMMYFUNCTION("""COMPUTED_VALUE"""),"Male")</f>
        <v>Male</v>
      </c>
      <c r="E1667" s="1" t="str">
        <f ca="1">IFERROR(__xludf.DUMMYFUNCTION("""COMPUTED_VALUE"""),"Influencers who had successful careers")</f>
        <v>Influencers who had successful careers</v>
      </c>
      <c r="F1667" s="1" t="str">
        <f ca="1">IFERROR(__xludf.DUMMYFUNCTION("""COMPUTED_VALUE"""),"Yes, I will earn and do that")</f>
        <v>Yes, I will earn and do that</v>
      </c>
      <c r="G1667" s="1" t="str">
        <f ca="1">IFERROR(__xludf.DUMMYFUNCTION("""COMPUTED_VALUE"""),"This will be hard to do, but if it is the right company I would try")</f>
        <v>This will be hard to do, but if it is the right company I would try</v>
      </c>
      <c r="H1667" s="1" t="str">
        <f ca="1">IFERROR(__xludf.DUMMYFUNCTION("""COMPUTED_VALUE"""),"No")</f>
        <v>No</v>
      </c>
      <c r="I1667" s="1" t="str">
        <f ca="1">IFERROR(__xludf.DUMMYFUNCTION("""COMPUTED_VALUE"""),"Will NOT work for them")</f>
        <v>Will NOT work for them</v>
      </c>
      <c r="J1667" s="1">
        <f ca="1">IFERROR(__xludf.DUMMYFUNCTION("""COMPUTED_VALUE"""),2)</f>
        <v>2</v>
      </c>
      <c r="K1667" s="1" t="str">
        <f ca="1">IFERROR(__xludf.DUMMYFUNCTION("""COMPUTED_VALUE"""),"Hybrid Working Environment with more than 15 days a month at office")</f>
        <v>Hybrid Working Environment with more than 15 days a month at office</v>
      </c>
      <c r="L1667" s="1" t="str">
        <f ca="1">IFERROR(__xludf.DUMMYFUNCTION("""COMPUTED_VALUE"""),"Employer who pushes your limits by enabling an learning environment, and rewards you at the end")</f>
        <v>Employer who pushes your limits by enabling an learning environment, and rewards you at the end</v>
      </c>
      <c r="M16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1667" s="1"/>
      <c r="O1667" s="1" t="str">
        <f ca="1">IFERROR(__xludf.DUMMYFUNCTION("""COMPUTED_VALUE"""),"Manager who explains what is expected, sets a goal and helps achieve it")</f>
        <v>Manager who explains what is expected, sets a goal and helps achieve it</v>
      </c>
      <c r="P1667" s="1" t="str">
        <f ca="1">IFERROR(__xludf.DUMMYFUNCTION("""COMPUTED_VALUE"""),"Work &lt;=6 People in the Team")</f>
        <v>Work &lt;=6 People in the Team</v>
      </c>
      <c r="Q1667" s="1" t="s">
        <v>40</v>
      </c>
      <c r="R1667" s="1"/>
    </row>
    <row r="1668" spans="1:18" x14ac:dyDescent="0.25">
      <c r="A1668" s="2">
        <f ca="1">IFERROR(__xludf.DUMMYFUNCTION("""COMPUTED_VALUE"""),45046.742538449)</f>
        <v>45046.742538448998</v>
      </c>
      <c r="B1668" s="1" t="str">
        <f ca="1">IFERROR(__xludf.DUMMYFUNCTION("""COMPUTED_VALUE"""),"India")</f>
        <v>India</v>
      </c>
      <c r="C1668" s="1">
        <f ca="1">IFERROR(__xludf.DUMMYFUNCTION("""COMPUTED_VALUE"""),110025)</f>
        <v>110025</v>
      </c>
      <c r="D1668" s="1" t="str">
        <f ca="1">IFERROR(__xludf.DUMMYFUNCTION("""COMPUTED_VALUE"""),"Male")</f>
        <v>Male</v>
      </c>
      <c r="E1668" s="1" t="str">
        <f ca="1">IFERROR(__xludf.DUMMYFUNCTION("""COMPUTED_VALUE"""),"Social Media like LinkedIn")</f>
        <v>Social Media like LinkedIn</v>
      </c>
      <c r="F1668" s="1" t="str">
        <f ca="1">IFERROR(__xludf.DUMMYFUNCTION("""COMPUTED_VALUE"""),"Yes, I will earn and do that")</f>
        <v>Yes, I will earn and do that</v>
      </c>
      <c r="G1668" s="1" t="str">
        <f ca="1">IFERROR(__xludf.DUMMYFUNCTION("""COMPUTED_VALUE"""),"Will work for 3 years or more")</f>
        <v>Will work for 3 years or more</v>
      </c>
      <c r="H1668" s="1" t="str">
        <f ca="1">IFERROR(__xludf.DUMMYFUNCTION("""COMPUTED_VALUE"""),"Yes")</f>
        <v>Yes</v>
      </c>
      <c r="I1668" s="1" t="str">
        <f ca="1">IFERROR(__xludf.DUMMYFUNCTION("""COMPUTED_VALUE"""),"Will work for them")</f>
        <v>Will work for them</v>
      </c>
      <c r="J1668" s="1">
        <f ca="1">IFERROR(__xludf.DUMMYFUNCTION("""COMPUTED_VALUE"""),3)</f>
        <v>3</v>
      </c>
      <c r="K1668" s="1" t="str">
        <f ca="1">IFERROR(__xludf.DUMMYFUNCTION("""COMPUTED_VALUE"""),"Every Day Office Environment")</f>
        <v>Every Day Office Environment</v>
      </c>
      <c r="L1668" s="1" t="str">
        <f ca="1">IFERROR(__xludf.DUMMYFUNCTION("""COMPUTED_VALUE"""),"Employer who pushes your limits by enabling an learning environment, and rewards you at the end")</f>
        <v>Employer who pushes your limits by enabling an learning environment, and rewards you at the end</v>
      </c>
      <c r="M1668"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N1668" s="1"/>
      <c r="O1668" s="1" t="str">
        <f ca="1">IFERROR(__xludf.DUMMYFUNCTION("""COMPUTED_VALUE"""),"Manager who explains what is expected, sets a goal and helps achieve it")</f>
        <v>Manager who explains what is expected, sets a goal and helps achieve it</v>
      </c>
      <c r="P1668" s="1" t="str">
        <f ca="1">IFERROR(__xludf.DUMMYFUNCTION("""COMPUTED_VALUE"""),"Work &lt;=6 People in the Team")</f>
        <v>Work &lt;=6 People in the Team</v>
      </c>
      <c r="Q1668" s="1" t="s">
        <v>40</v>
      </c>
      <c r="R1668" s="1"/>
    </row>
    <row r="1669" spans="1:18" x14ac:dyDescent="0.25">
      <c r="A1669" s="2">
        <f ca="1">IFERROR(__xludf.DUMMYFUNCTION("""COMPUTED_VALUE"""),45046.754666493)</f>
        <v>45046.754666492998</v>
      </c>
      <c r="B1669" s="1" t="str">
        <f ca="1">IFERROR(__xludf.DUMMYFUNCTION("""COMPUTED_VALUE"""),"India")</f>
        <v>India</v>
      </c>
      <c r="C1669" s="1">
        <f ca="1">IFERROR(__xludf.DUMMYFUNCTION("""COMPUTED_VALUE"""),201301)</f>
        <v>201301</v>
      </c>
      <c r="D1669" s="1" t="str">
        <f ca="1">IFERROR(__xludf.DUMMYFUNCTION("""COMPUTED_VALUE"""),"Male")</f>
        <v>Male</v>
      </c>
      <c r="E1669" s="1" t="str">
        <f ca="1">IFERROR(__xludf.DUMMYFUNCTION("""COMPUTED_VALUE"""),"Influencers who had successful careers")</f>
        <v>Influencers who had successful careers</v>
      </c>
      <c r="F1669" s="1" t="str">
        <f ca="1">IFERROR(__xludf.DUMMYFUNCTION("""COMPUTED_VALUE"""),"No I would not be pursuing Higher Education outside of India")</f>
        <v>No I would not be pursuing Higher Education outside of India</v>
      </c>
      <c r="G1669" s="1" t="str">
        <f ca="1">IFERROR(__xludf.DUMMYFUNCTION("""COMPUTED_VALUE"""),"No way")</f>
        <v>No way</v>
      </c>
      <c r="H1669" s="1" t="str">
        <f ca="1">IFERROR(__xludf.DUMMYFUNCTION("""COMPUTED_VALUE"""),"Yes")</f>
        <v>Yes</v>
      </c>
      <c r="I1669" s="1" t="str">
        <f ca="1">IFERROR(__xludf.DUMMYFUNCTION("""COMPUTED_VALUE"""),"Will NOT work for them")</f>
        <v>Will NOT work for them</v>
      </c>
      <c r="J1669" s="1">
        <f ca="1">IFERROR(__xludf.DUMMYFUNCTION("""COMPUTED_VALUE"""),10)</f>
        <v>10</v>
      </c>
      <c r="K1669" s="1" t="str">
        <f ca="1">IFERROR(__xludf.DUMMYFUNCTION("""COMPUTED_VALUE"""),"Every Day Office Environment")</f>
        <v>Every Day Office Environment</v>
      </c>
      <c r="L1669" s="1" t="str">
        <f ca="1">IFERROR(__xludf.DUMMYFUNCTION("""COMPUTED_VALUE"""),"Employer who appreciates learning and enables that environment")</f>
        <v>Employer who appreciates learning and enables that environment</v>
      </c>
      <c r="M166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N1669" s="1"/>
      <c r="O1669" s="1" t="str">
        <f ca="1">IFERROR(__xludf.DUMMYFUNCTION("""COMPUTED_VALUE"""),"Manager who clearly describes what she/he needs")</f>
        <v>Manager who clearly describes what she/he needs</v>
      </c>
      <c r="P1669" s="1" t="str">
        <f ca="1">IFERROR(__xludf.DUMMYFUNCTION("""COMPUTED_VALUE"""),"Work &gt;10 people in Team")</f>
        <v>Work &gt;10 people in Team</v>
      </c>
      <c r="Q1669" s="1" t="s">
        <v>40</v>
      </c>
      <c r="R1669" s="1"/>
    </row>
    <row r="1670" spans="1:18" x14ac:dyDescent="0.25">
      <c r="A1670" s="2">
        <f ca="1">IFERROR(__xludf.DUMMYFUNCTION("""COMPUTED_VALUE"""),45046.7640990625)</f>
        <v>45046.7640990625</v>
      </c>
      <c r="B1670" s="1" t="str">
        <f ca="1">IFERROR(__xludf.DUMMYFUNCTION("""COMPUTED_VALUE"""),"India")</f>
        <v>India</v>
      </c>
      <c r="C1670" s="1">
        <f ca="1">IFERROR(__xludf.DUMMYFUNCTION("""COMPUTED_VALUE"""),501301)</f>
        <v>501301</v>
      </c>
      <c r="D1670" s="1" t="str">
        <f ca="1">IFERROR(__xludf.DUMMYFUNCTION("""COMPUTED_VALUE"""),"Male")</f>
        <v>Male</v>
      </c>
      <c r="E1670" s="1" t="str">
        <f ca="1">IFERROR(__xludf.DUMMYFUNCTION("""COMPUTED_VALUE"""),"People who have changed the world for better")</f>
        <v>People who have changed the world for better</v>
      </c>
      <c r="F1670" s="1" t="str">
        <f ca="1">IFERROR(__xludf.DUMMYFUNCTION("""COMPUTED_VALUE"""),"No I would not be pursuing Higher Education outside of India")</f>
        <v>No I would not be pursuing Higher Education outside of India</v>
      </c>
      <c r="G1670" s="1" t="str">
        <f ca="1">IFERROR(__xludf.DUMMYFUNCTION("""COMPUTED_VALUE"""),"This will be hard to do, but if it is the right company I would try")</f>
        <v>This will be hard to do, but if it is the right company I would try</v>
      </c>
      <c r="H1670" s="1" t="str">
        <f ca="1">IFERROR(__xludf.DUMMYFUNCTION("""COMPUTED_VALUE"""),"No")</f>
        <v>No</v>
      </c>
      <c r="I1670" s="1" t="str">
        <f ca="1">IFERROR(__xludf.DUMMYFUNCTION("""COMPUTED_VALUE"""),"Will NOT work for them")</f>
        <v>Will NOT work for them</v>
      </c>
      <c r="J1670" s="1">
        <f ca="1">IFERROR(__xludf.DUMMYFUNCTION("""COMPUTED_VALUE"""),2)</f>
        <v>2</v>
      </c>
      <c r="K1670" s="1" t="str">
        <f ca="1">IFERROR(__xludf.DUMMYFUNCTION("""COMPUTED_VALUE"""),"Every Day Office Environment")</f>
        <v>Every Day Office Environment</v>
      </c>
      <c r="L1670" s="1" t="str">
        <f ca="1">IFERROR(__xludf.DUMMYFUNCTION("""COMPUTED_VALUE"""),"Employer who pushes your limits by enabling an learning environment, and rewards you at the end")</f>
        <v>Employer who pushes your limits by enabling an learning environment, and rewards you at the end</v>
      </c>
      <c r="M1670"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N1670" s="1"/>
      <c r="O1670" s="1" t="str">
        <f ca="1">IFERROR(__xludf.DUMMYFUNCTION("""COMPUTED_VALUE"""),"Manager who clearly describes what she/he needs")</f>
        <v>Manager who clearly describes what she/he needs</v>
      </c>
      <c r="P1670" s="1" t="str">
        <f ca="1">IFERROR(__xludf.DUMMYFUNCTION("""COMPUTED_VALUE"""),"Work &lt;=6 People in the Team")</f>
        <v>Work &lt;=6 People in the Team</v>
      </c>
      <c r="Q1670" s="1" t="s">
        <v>43</v>
      </c>
      <c r="R1670" s="1"/>
    </row>
    <row r="1671" spans="1:18" x14ac:dyDescent="0.25">
      <c r="A1671" s="2">
        <f ca="1">IFERROR(__xludf.DUMMYFUNCTION("""COMPUTED_VALUE"""),45046.8024966203)</f>
        <v>45046.802496620301</v>
      </c>
      <c r="B1671" s="1" t="str">
        <f ca="1">IFERROR(__xludf.DUMMYFUNCTION("""COMPUTED_VALUE"""),"Canada")</f>
        <v>Canada</v>
      </c>
      <c r="C1671" s="1" t="str">
        <f ca="1">IFERROR(__xludf.DUMMYFUNCTION("""COMPUTED_VALUE"""),"N9b2l3")</f>
        <v>N9b2l3</v>
      </c>
      <c r="D1671" s="1" t="str">
        <f ca="1">IFERROR(__xludf.DUMMYFUNCTION("""COMPUTED_VALUE"""),"Male")</f>
        <v>Male</v>
      </c>
      <c r="E1671" s="1" t="str">
        <f ca="1">IFERROR(__xludf.DUMMYFUNCTION("""COMPUTED_VALUE"""),"My Parents")</f>
        <v>My Parents</v>
      </c>
      <c r="F1671" s="1" t="str">
        <f ca="1">IFERROR(__xludf.DUMMYFUNCTION("""COMPUTED_VALUE"""),"Yes, I will earn and do that")</f>
        <v>Yes, I will earn and do that</v>
      </c>
      <c r="G1671" s="1" t="str">
        <f ca="1">IFERROR(__xludf.DUMMYFUNCTION("""COMPUTED_VALUE"""),"Will work for 3 years or more")</f>
        <v>Will work for 3 years or more</v>
      </c>
      <c r="H1671" s="1" t="str">
        <f ca="1">IFERROR(__xludf.DUMMYFUNCTION("""COMPUTED_VALUE"""),"No")</f>
        <v>No</v>
      </c>
      <c r="I1671" s="1" t="str">
        <f ca="1">IFERROR(__xludf.DUMMYFUNCTION("""COMPUTED_VALUE"""),"Will NOT work for them")</f>
        <v>Will NOT work for them</v>
      </c>
      <c r="J1671" s="1">
        <f ca="1">IFERROR(__xludf.DUMMYFUNCTION("""COMPUTED_VALUE"""),5)</f>
        <v>5</v>
      </c>
      <c r="K1671" s="1" t="str">
        <f ca="1">IFERROR(__xludf.DUMMYFUNCTION("""COMPUTED_VALUE"""),"Fully Remote with Options to travel as and when needed")</f>
        <v>Fully Remote with Options to travel as and when needed</v>
      </c>
      <c r="L1671" s="1" t="str">
        <f ca="1">IFERROR(__xludf.DUMMYFUNCTION("""COMPUTED_VALUE"""),"Employer who pushes your limits by enabling an learning environment, and rewards you at the end")</f>
        <v>Employer who pushes your limits by enabling an learning environment, and rewards you at the end</v>
      </c>
      <c r="M1671"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N1671" s="1"/>
      <c r="O1671" s="1" t="str">
        <f ca="1">IFERROR(__xludf.DUMMYFUNCTION("""COMPUTED_VALUE"""),"Manager who sets goal and helps me achieve it")</f>
        <v>Manager who sets goal and helps me achieve it</v>
      </c>
      <c r="P1671" s="1" t="str">
        <f ca="1">IFERROR(__xludf.DUMMYFUNCTION("""COMPUTED_VALUE"""),"Work &lt;=6 People in the Team")</f>
        <v>Work &lt;=6 People in the Team</v>
      </c>
      <c r="Q1671" s="1" t="s">
        <v>40</v>
      </c>
      <c r="R1671" s="1"/>
    </row>
    <row r="1672" spans="1:18" x14ac:dyDescent="0.25">
      <c r="A1672" s="2">
        <f ca="1">IFERROR(__xludf.DUMMYFUNCTION("""COMPUTED_VALUE"""),45046.8274273379)</f>
        <v>45046.827427337899</v>
      </c>
      <c r="B1672" s="1" t="str">
        <f ca="1">IFERROR(__xludf.DUMMYFUNCTION("""COMPUTED_VALUE"""),"India")</f>
        <v>India</v>
      </c>
      <c r="C1672" s="1">
        <f ca="1">IFERROR(__xludf.DUMMYFUNCTION("""COMPUTED_VALUE"""),201010)</f>
        <v>201010</v>
      </c>
      <c r="D1672" s="1" t="str">
        <f ca="1">IFERROR(__xludf.DUMMYFUNCTION("""COMPUTED_VALUE"""),"Female")</f>
        <v>Female</v>
      </c>
      <c r="E1672" s="1" t="str">
        <f ca="1">IFERROR(__xludf.DUMMYFUNCTION("""COMPUTED_VALUE"""),"My Parents")</f>
        <v>My Parents</v>
      </c>
      <c r="F1672" s="1" t="str">
        <f ca="1">IFERROR(__xludf.DUMMYFUNCTION("""COMPUTED_VALUE"""),"No, But if someone could bare the cost I will")</f>
        <v>No, But if someone could bare the cost I will</v>
      </c>
      <c r="G1672" s="1" t="str">
        <f ca="1">IFERROR(__xludf.DUMMYFUNCTION("""COMPUTED_VALUE"""),"This will be hard to do, but if it is the right company I would try")</f>
        <v>This will be hard to do, but if it is the right company I would try</v>
      </c>
      <c r="H1672" s="1" t="str">
        <f ca="1">IFERROR(__xludf.DUMMYFUNCTION("""COMPUTED_VALUE"""),"No")</f>
        <v>No</v>
      </c>
      <c r="I1672" s="1" t="str">
        <f ca="1">IFERROR(__xludf.DUMMYFUNCTION("""COMPUTED_VALUE"""),"Will NOT work for them")</f>
        <v>Will NOT work for them</v>
      </c>
      <c r="J1672" s="1">
        <f ca="1">IFERROR(__xludf.DUMMYFUNCTION("""COMPUTED_VALUE"""),7)</f>
        <v>7</v>
      </c>
      <c r="K1672" s="1" t="str">
        <f ca="1">IFERROR(__xludf.DUMMYFUNCTION("""COMPUTED_VALUE"""),"Hybrid Working Environment with more than 15 days a month at office")</f>
        <v>Hybrid Working Environment with more than 15 days a month at office</v>
      </c>
      <c r="L1672" s="1" t="str">
        <f ca="1">IFERROR(__xludf.DUMMYFUNCTION("""COMPUTED_VALUE"""),"Employer who rewards learning and enables that environment")</f>
        <v>Employer who rewards learning and enables that environment</v>
      </c>
      <c r="M1672"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N1672" s="1"/>
      <c r="O1672" s="1" t="str">
        <f ca="1">IFERROR(__xludf.DUMMYFUNCTION("""COMPUTED_VALUE"""),"Manager who explains what is expected, sets a goal and helps achieve it")</f>
        <v>Manager who explains what is expected, sets a goal and helps achieve it</v>
      </c>
      <c r="P1672" s="1" t="str">
        <f ca="1">IFERROR(__xludf.DUMMYFUNCTION("""COMPUTED_VALUE"""),"Work &lt;67 People in the Team")</f>
        <v>Work &lt;67 People in the Team</v>
      </c>
      <c r="Q1672" s="1" t="s">
        <v>43</v>
      </c>
      <c r="R1672" s="1"/>
    </row>
    <row r="1673" spans="1:18" x14ac:dyDescent="0.25">
      <c r="A1673" s="2">
        <f ca="1">IFERROR(__xludf.DUMMYFUNCTION("""COMPUTED_VALUE"""),45046.8611895254)</f>
        <v>45046.8611895254</v>
      </c>
      <c r="B1673" s="1" t="str">
        <f ca="1">IFERROR(__xludf.DUMMYFUNCTION("""COMPUTED_VALUE"""),"India")</f>
        <v>India</v>
      </c>
      <c r="C1673" s="1">
        <f ca="1">IFERROR(__xludf.DUMMYFUNCTION("""COMPUTED_VALUE"""),231001)</f>
        <v>231001</v>
      </c>
      <c r="D1673" s="1" t="str">
        <f ca="1">IFERROR(__xludf.DUMMYFUNCTION("""COMPUTED_VALUE"""),"Male")</f>
        <v>Male</v>
      </c>
      <c r="E1673" s="1" t="str">
        <f ca="1">IFERROR(__xludf.DUMMYFUNCTION("""COMPUTED_VALUE"""),"People from my circle, but not family members")</f>
        <v>People from my circle, but not family members</v>
      </c>
      <c r="F1673" s="1" t="str">
        <f ca="1">IFERROR(__xludf.DUMMYFUNCTION("""COMPUTED_VALUE"""),"No, But if someone could bare the cost I will")</f>
        <v>No, But if someone could bare the cost I will</v>
      </c>
      <c r="G1673" s="1" t="str">
        <f ca="1">IFERROR(__xludf.DUMMYFUNCTION("""COMPUTED_VALUE"""),"No way")</f>
        <v>No way</v>
      </c>
      <c r="H1673" s="1" t="str">
        <f ca="1">IFERROR(__xludf.DUMMYFUNCTION("""COMPUTED_VALUE"""),"No")</f>
        <v>No</v>
      </c>
      <c r="I1673" s="1" t="str">
        <f ca="1">IFERROR(__xludf.DUMMYFUNCTION("""COMPUTED_VALUE"""),"Will work for them")</f>
        <v>Will work for them</v>
      </c>
      <c r="J1673" s="1">
        <f ca="1">IFERROR(__xludf.DUMMYFUNCTION("""COMPUTED_VALUE"""),7)</f>
        <v>7</v>
      </c>
      <c r="K1673" s="1" t="str">
        <f ca="1">IFERROR(__xludf.DUMMYFUNCTION("""COMPUTED_VALUE"""),"Hybrid Working Environment with less than 3 days a month at office")</f>
        <v>Hybrid Working Environment with less than 3 days a month at office</v>
      </c>
      <c r="L1673" s="1" t="str">
        <f ca="1">IFERROR(__xludf.DUMMYFUNCTION("""COMPUTED_VALUE"""),"Employer who appreciates learning and enables that environment")</f>
        <v>Employer who appreciates learning and enables that environment</v>
      </c>
      <c r="M1673"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N1673" s="1"/>
      <c r="O1673" s="1" t="str">
        <f ca="1">IFERROR(__xludf.DUMMYFUNCTION("""COMPUTED_VALUE"""),"Manager who explains what is expected, sets a goal and helps achieve it")</f>
        <v>Manager who explains what is expected, sets a goal and helps achieve it</v>
      </c>
      <c r="P1673" s="1" t="str">
        <f ca="1">IFERROR(__xludf.DUMMYFUNCTION("""COMPUTED_VALUE"""),"Work &lt;=6 People in the Team")</f>
        <v>Work &lt;=6 People in the Team</v>
      </c>
      <c r="Q1673" s="1" t="s">
        <v>40</v>
      </c>
      <c r="R1673" s="1"/>
    </row>
    <row r="1674" spans="1:18" x14ac:dyDescent="0.25">
      <c r="A1674" s="2">
        <f ca="1">IFERROR(__xludf.DUMMYFUNCTION("""COMPUTED_VALUE"""),45046.8641874421)</f>
        <v>45046.864187442101</v>
      </c>
      <c r="B1674" s="1" t="str">
        <f ca="1">IFERROR(__xludf.DUMMYFUNCTION("""COMPUTED_VALUE"""),"India")</f>
        <v>India</v>
      </c>
      <c r="C1674" s="1">
        <f ca="1">IFERROR(__xludf.DUMMYFUNCTION("""COMPUTED_VALUE"""),605001)</f>
        <v>605001</v>
      </c>
      <c r="D1674" s="1" t="str">
        <f ca="1">IFERROR(__xludf.DUMMYFUNCTION("""COMPUTED_VALUE"""),"Male")</f>
        <v>Male</v>
      </c>
      <c r="E1674" s="1" t="str">
        <f ca="1">IFERROR(__xludf.DUMMYFUNCTION("""COMPUTED_VALUE"""),"My Parents")</f>
        <v>My Parents</v>
      </c>
      <c r="F1674" s="1" t="str">
        <f ca="1">IFERROR(__xludf.DUMMYFUNCTION("""COMPUTED_VALUE"""),"Yes, I will earn and do that")</f>
        <v>Yes, I will earn and do that</v>
      </c>
      <c r="G1674" s="1" t="str">
        <f ca="1">IFERROR(__xludf.DUMMYFUNCTION("""COMPUTED_VALUE"""),"This will be hard to do, but if it is the right company I would try")</f>
        <v>This will be hard to do, but if it is the right company I would try</v>
      </c>
      <c r="H1674" s="1" t="str">
        <f ca="1">IFERROR(__xludf.DUMMYFUNCTION("""COMPUTED_VALUE"""),"No")</f>
        <v>No</v>
      </c>
      <c r="I1674" s="1" t="str">
        <f ca="1">IFERROR(__xludf.DUMMYFUNCTION("""COMPUTED_VALUE"""),"Will NOT work for them")</f>
        <v>Will NOT work for them</v>
      </c>
      <c r="J1674" s="1">
        <f ca="1">IFERROR(__xludf.DUMMYFUNCTION("""COMPUTED_VALUE"""),1)</f>
        <v>1</v>
      </c>
      <c r="K1674" s="1" t="str">
        <f ca="1">IFERROR(__xludf.DUMMYFUNCTION("""COMPUTED_VALUE"""),"Fully Remote with Options to travel as and when needed")</f>
        <v>Fully Remote with Options to travel as and when needed</v>
      </c>
      <c r="L1674" s="1" t="str">
        <f ca="1">IFERROR(__xludf.DUMMYFUNCTION("""COMPUTED_VALUE"""),"Employer who appreciates learning and enables that environment")</f>
        <v>Employer who appreciates learning and enables that environment</v>
      </c>
      <c r="M167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1674" s="1"/>
      <c r="O1674" s="1" t="str">
        <f ca="1">IFERROR(__xludf.DUMMYFUNCTION("""COMPUTED_VALUE"""),"Manager who explains what is expected, sets a goal and helps achieve it")</f>
        <v>Manager who explains what is expected, sets a goal and helps achieve it</v>
      </c>
      <c r="P1674" s="1" t="str">
        <f ca="1">IFERROR(__xludf.DUMMYFUNCTION("""COMPUTED_VALUE"""),"Work &lt;=6 People in the Team")</f>
        <v>Work &lt;=6 People in the Team</v>
      </c>
      <c r="Q1674" s="1" t="s">
        <v>43</v>
      </c>
      <c r="R1674" s="1"/>
    </row>
    <row r="1675" spans="1:18" x14ac:dyDescent="0.25">
      <c r="A1675" s="2">
        <f ca="1">IFERROR(__xludf.DUMMYFUNCTION("""COMPUTED_VALUE"""),45046.8763102546)</f>
        <v>45046.8763102546</v>
      </c>
      <c r="B1675" s="1" t="str">
        <f ca="1">IFERROR(__xludf.DUMMYFUNCTION("""COMPUTED_VALUE"""),"India")</f>
        <v>India</v>
      </c>
      <c r="C1675" s="1">
        <f ca="1">IFERROR(__xludf.DUMMYFUNCTION("""COMPUTED_VALUE"""),250002)</f>
        <v>250002</v>
      </c>
      <c r="D1675" s="1" t="str">
        <f ca="1">IFERROR(__xludf.DUMMYFUNCTION("""COMPUTED_VALUE"""),"Female")</f>
        <v>Female</v>
      </c>
      <c r="E1675" s="1" t="str">
        <f ca="1">IFERROR(__xludf.DUMMYFUNCTION("""COMPUTED_VALUE"""),"My Parents")</f>
        <v>My Parents</v>
      </c>
      <c r="F1675" s="1" t="str">
        <f ca="1">IFERROR(__xludf.DUMMYFUNCTION("""COMPUTED_VALUE"""),"No I would not be pursuing Higher Education outside of India")</f>
        <v>No I would not be pursuing Higher Education outside of India</v>
      </c>
      <c r="G1675" s="1" t="str">
        <f ca="1">IFERROR(__xludf.DUMMYFUNCTION("""COMPUTED_VALUE"""),"Will work for 3 years or more")</f>
        <v>Will work for 3 years or more</v>
      </c>
      <c r="H1675" s="1" t="str">
        <f ca="1">IFERROR(__xludf.DUMMYFUNCTION("""COMPUTED_VALUE"""),"No")</f>
        <v>No</v>
      </c>
      <c r="I1675" s="1" t="str">
        <f ca="1">IFERROR(__xludf.DUMMYFUNCTION("""COMPUTED_VALUE"""),"Will NOT work for them")</f>
        <v>Will NOT work for them</v>
      </c>
      <c r="J1675" s="1">
        <f ca="1">IFERROR(__xludf.DUMMYFUNCTION("""COMPUTED_VALUE"""),8)</f>
        <v>8</v>
      </c>
      <c r="K1675" s="1" t="str">
        <f ca="1">IFERROR(__xludf.DUMMYFUNCTION("""COMPUTED_VALUE"""),"Hybrid Working Environment with more than 15 days a month at office")</f>
        <v>Hybrid Working Environment with more than 15 days a month at office</v>
      </c>
      <c r="L1675" s="1" t="str">
        <f ca="1">IFERROR(__xludf.DUMMYFUNCTION("""COMPUTED_VALUE"""),"Employer who pushes your limits by enabling an learning environment, and rewards you at the end")</f>
        <v>Employer who pushes your limits by enabling an learning environment, and rewards you at the end</v>
      </c>
      <c r="M1675" s="1" t="str">
        <f ca="1">IFERROR(__xludf.DUMMYFUNCTION("""COMPUTED_VALUE"""),"Business Operations in any organization, Look deeply into Data and generate insights, Work in a BPO setup for some well known client, An Artificial Intelligence Specialist / Talking to Robots")</f>
        <v>Business Operations in any organization, Look deeply into Data and generate insights, Work in a BPO setup for some well known client, An Artificial Intelligence Specialist / Talking to Robots</v>
      </c>
      <c r="N1675" s="1"/>
      <c r="O1675" s="1" t="str">
        <f ca="1">IFERROR(__xludf.DUMMYFUNCTION("""COMPUTED_VALUE"""),"Manager who explains what is expected, sets a goal and helps achieve it")</f>
        <v>Manager who explains what is expected, sets a goal and helps achieve it</v>
      </c>
      <c r="P1675" s="1" t="str">
        <f ca="1">IFERROR(__xludf.DUMMYFUNCTION("""COMPUTED_VALUE"""),"Work &gt;10 people in Team")</f>
        <v>Work &gt;10 people in Team</v>
      </c>
      <c r="Q1675" s="1" t="s">
        <v>43</v>
      </c>
      <c r="R1675" s="1"/>
    </row>
    <row r="1676" spans="1:18" x14ac:dyDescent="0.25">
      <c r="A1676" s="2">
        <f ca="1">IFERROR(__xludf.DUMMYFUNCTION("""COMPUTED_VALUE"""),45046.8849753935)</f>
        <v>45046.884975393499</v>
      </c>
      <c r="B1676" s="1" t="str">
        <f ca="1">IFERROR(__xludf.DUMMYFUNCTION("""COMPUTED_VALUE"""),"India")</f>
        <v>India</v>
      </c>
      <c r="C1676" s="1">
        <f ca="1">IFERROR(__xludf.DUMMYFUNCTION("""COMPUTED_VALUE"""),500094)</f>
        <v>500094</v>
      </c>
      <c r="D1676" s="1" t="str">
        <f ca="1">IFERROR(__xludf.DUMMYFUNCTION("""COMPUTED_VALUE"""),"Female")</f>
        <v>Female</v>
      </c>
      <c r="E1676" s="1" t="str">
        <f ca="1">IFERROR(__xludf.DUMMYFUNCTION("""COMPUTED_VALUE"""),"My Parents")</f>
        <v>My Parents</v>
      </c>
      <c r="F1676" s="1" t="str">
        <f ca="1">IFERROR(__xludf.DUMMYFUNCTION("""COMPUTED_VALUE"""),"No I would not be pursuing Higher Education outside of India")</f>
        <v>No I would not be pursuing Higher Education outside of India</v>
      </c>
      <c r="G1676" s="1" t="str">
        <f ca="1">IFERROR(__xludf.DUMMYFUNCTION("""COMPUTED_VALUE"""),"Will work for 3 years or more")</f>
        <v>Will work for 3 years or more</v>
      </c>
      <c r="H1676" s="1" t="str">
        <f ca="1">IFERROR(__xludf.DUMMYFUNCTION("""COMPUTED_VALUE"""),"No")</f>
        <v>No</v>
      </c>
      <c r="I1676" s="1" t="str">
        <f ca="1">IFERROR(__xludf.DUMMYFUNCTION("""COMPUTED_VALUE"""),"Will NOT work for them")</f>
        <v>Will NOT work for them</v>
      </c>
      <c r="J1676" s="1">
        <f ca="1">IFERROR(__xludf.DUMMYFUNCTION("""COMPUTED_VALUE"""),2)</f>
        <v>2</v>
      </c>
      <c r="K1676" s="1" t="str">
        <f ca="1">IFERROR(__xludf.DUMMYFUNCTION("""COMPUTED_VALUE"""),"Every Day Office Environment")</f>
        <v>Every Day Office Environment</v>
      </c>
      <c r="L1676" s="1" t="str">
        <f ca="1">IFERROR(__xludf.DUMMYFUNCTION("""COMPUTED_VALUE"""),"Employer who appreciates learning and enables that environment")</f>
        <v>Employer who appreciates learning and enables that environment</v>
      </c>
      <c r="M1676" s="1" t="str">
        <f ca="1">IFERROR(__xludf.DUMMYFUNCTION("""COMPUTED_VALUE"""),"Design and Creative strategy in any company, Teaching in any of the institutes/colleges/online or offline, Work as a freelancer and do my thing my way, An Artificial Intelligence Specialist / Talking to Robots")</f>
        <v>Design and Creative strategy in any company, Teaching in any of the institutes/colleges/online or offline, Work as a freelancer and do my thing my way, An Artificial Intelligence Specialist / Talking to Robots</v>
      </c>
      <c r="N1676" s="1"/>
      <c r="O1676" s="1" t="str">
        <f ca="1">IFERROR(__xludf.DUMMYFUNCTION("""COMPUTED_VALUE"""),"Manager who sets goal and helps me achieve it")</f>
        <v>Manager who sets goal and helps me achieve it</v>
      </c>
      <c r="P1676" s="1" t="str">
        <f ca="1">IFERROR(__xludf.DUMMYFUNCTION("""COMPUTED_VALUE"""),"Work &lt;=6 People in the Team")</f>
        <v>Work &lt;=6 People in the Team</v>
      </c>
      <c r="Q1676" s="1" t="s">
        <v>43</v>
      </c>
      <c r="R1676" s="1"/>
    </row>
    <row r="1677" spans="1:18" x14ac:dyDescent="0.25">
      <c r="A1677" s="2">
        <f ca="1">IFERROR(__xludf.DUMMYFUNCTION("""COMPUTED_VALUE"""),45046.8979110648)</f>
        <v>45046.8979110648</v>
      </c>
      <c r="B1677" s="1" t="str">
        <f ca="1">IFERROR(__xludf.DUMMYFUNCTION("""COMPUTED_VALUE"""),"India")</f>
        <v>India</v>
      </c>
      <c r="C1677" s="1">
        <f ca="1">IFERROR(__xludf.DUMMYFUNCTION("""COMPUTED_VALUE"""),501510)</f>
        <v>501510</v>
      </c>
      <c r="D1677" s="1" t="str">
        <f ca="1">IFERROR(__xludf.DUMMYFUNCTION("""COMPUTED_VALUE"""),"Male")</f>
        <v>Male</v>
      </c>
      <c r="E1677" s="1" t="str">
        <f ca="1">IFERROR(__xludf.DUMMYFUNCTION("""COMPUTED_VALUE"""),"My Parents")</f>
        <v>My Parents</v>
      </c>
      <c r="F1677" s="1" t="str">
        <f ca="1">IFERROR(__xludf.DUMMYFUNCTION("""COMPUTED_VALUE"""),"No, But if someone could bare the cost I will")</f>
        <v>No, But if someone could bare the cost I will</v>
      </c>
      <c r="G1677" s="1" t="str">
        <f ca="1">IFERROR(__xludf.DUMMYFUNCTION("""COMPUTED_VALUE"""),"Will work for 3 years or more")</f>
        <v>Will work for 3 years or more</v>
      </c>
      <c r="H1677" s="1" t="str">
        <f ca="1">IFERROR(__xludf.DUMMYFUNCTION("""COMPUTED_VALUE"""),"No")</f>
        <v>No</v>
      </c>
      <c r="I1677" s="1" t="str">
        <f ca="1">IFERROR(__xludf.DUMMYFUNCTION("""COMPUTED_VALUE"""),"Will NOT work for them")</f>
        <v>Will NOT work for them</v>
      </c>
      <c r="J1677" s="1">
        <f ca="1">IFERROR(__xludf.DUMMYFUNCTION("""COMPUTED_VALUE"""),6)</f>
        <v>6</v>
      </c>
      <c r="K1677" s="1" t="str">
        <f ca="1">IFERROR(__xludf.DUMMYFUNCTION("""COMPUTED_VALUE"""),"Hybrid Working Environment with less than 3 days a month at office")</f>
        <v>Hybrid Working Environment with less than 3 days a month at office</v>
      </c>
      <c r="L1677" s="1" t="str">
        <f ca="1">IFERROR(__xludf.DUMMYFUNCTION("""COMPUTED_VALUE"""),"Employer who pushes your limits by enabling an learning environment, and rewards you at the end")</f>
        <v>Employer who pushes your limits by enabling an learning environment, and rewards you at the end</v>
      </c>
      <c r="M167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N1677" s="1"/>
      <c r="O1677" s="1" t="str">
        <f ca="1">IFERROR(__xludf.DUMMYFUNCTION("""COMPUTED_VALUE"""),"Manager who explains what is expected, sets a goal and helps achieve it")</f>
        <v>Manager who explains what is expected, sets a goal and helps achieve it</v>
      </c>
      <c r="P1677" s="1" t="str">
        <f ca="1">IFERROR(__xludf.DUMMYFUNCTION("""COMPUTED_VALUE"""),"Work &lt;67 People in the Team")</f>
        <v>Work &lt;67 People in the Team</v>
      </c>
      <c r="Q1677" s="1" t="s">
        <v>40</v>
      </c>
      <c r="R1677" s="1"/>
    </row>
    <row r="1678" spans="1:18" x14ac:dyDescent="0.25">
      <c r="A1678" s="2">
        <f ca="1">IFERROR(__xludf.DUMMYFUNCTION("""COMPUTED_VALUE"""),45046.9069368055)</f>
        <v>45046.906936805499</v>
      </c>
      <c r="B1678" s="1" t="str">
        <f ca="1">IFERROR(__xludf.DUMMYFUNCTION("""COMPUTED_VALUE"""),"India")</f>
        <v>India</v>
      </c>
      <c r="C1678" s="1">
        <f ca="1">IFERROR(__xludf.DUMMYFUNCTION("""COMPUTED_VALUE"""),110072)</f>
        <v>110072</v>
      </c>
      <c r="D1678" s="1" t="str">
        <f ca="1">IFERROR(__xludf.DUMMYFUNCTION("""COMPUTED_VALUE"""),"Male")</f>
        <v>Male</v>
      </c>
      <c r="E1678" s="1" t="str">
        <f ca="1">IFERROR(__xludf.DUMMYFUNCTION("""COMPUTED_VALUE"""),"People from my circle, but not family members")</f>
        <v>People from my circle, but not family members</v>
      </c>
      <c r="F1678" s="1" t="str">
        <f ca="1">IFERROR(__xludf.DUMMYFUNCTION("""COMPUTED_VALUE"""),"No, But if someone could bare the cost I will")</f>
        <v>No, But if someone could bare the cost I will</v>
      </c>
      <c r="G1678" s="1" t="str">
        <f ca="1">IFERROR(__xludf.DUMMYFUNCTION("""COMPUTED_VALUE"""),"This will be hard to do, but if it is the right company I would try")</f>
        <v>This will be hard to do, but if it is the right company I would try</v>
      </c>
      <c r="H1678" s="1" t="str">
        <f ca="1">IFERROR(__xludf.DUMMYFUNCTION("""COMPUTED_VALUE"""),"Yes")</f>
        <v>Yes</v>
      </c>
      <c r="I1678" s="1" t="str">
        <f ca="1">IFERROR(__xludf.DUMMYFUNCTION("""COMPUTED_VALUE"""),"Will work for them")</f>
        <v>Will work for them</v>
      </c>
      <c r="J1678" s="1">
        <f ca="1">IFERROR(__xludf.DUMMYFUNCTION("""COMPUTED_VALUE"""),8)</f>
        <v>8</v>
      </c>
      <c r="K1678" s="1" t="str">
        <f ca="1">IFERROR(__xludf.DUMMYFUNCTION("""COMPUTED_VALUE"""),"Hybrid Working Environment with more than 15 days a month at office")</f>
        <v>Hybrid Working Environment with more than 15 days a month at office</v>
      </c>
      <c r="L1678" s="1" t="str">
        <f ca="1">IFERROR(__xludf.DUMMYFUNCTION("""COMPUTED_VALUE"""),"Employer who appreciates learning and enables that environment")</f>
        <v>Employer who appreciates learning and enables that environment</v>
      </c>
      <c r="M167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678" s="1"/>
      <c r="O1678" s="1" t="str">
        <f ca="1">IFERROR(__xludf.DUMMYFUNCTION("""COMPUTED_VALUE"""),"Manager who clearly describes what she/he needs")</f>
        <v>Manager who clearly describes what she/he needs</v>
      </c>
      <c r="P1678" s="1" t="str">
        <f ca="1">IFERROR(__xludf.DUMMYFUNCTION("""COMPUTED_VALUE"""),"Work Alone, &lt;67 people in team")</f>
        <v>Work Alone, &lt;67 people in team</v>
      </c>
      <c r="Q1678" s="1" t="s">
        <v>43</v>
      </c>
      <c r="R1678" s="1"/>
    </row>
    <row r="1679" spans="1:18" x14ac:dyDescent="0.25">
      <c r="A1679" s="2">
        <f ca="1">IFERROR(__xludf.DUMMYFUNCTION("""COMPUTED_VALUE"""),45046.9121014236)</f>
        <v>45046.912101423601</v>
      </c>
      <c r="B1679" s="1" t="str">
        <f ca="1">IFERROR(__xludf.DUMMYFUNCTION("""COMPUTED_VALUE"""),"India")</f>
        <v>India</v>
      </c>
      <c r="C1679" s="1">
        <f ca="1">IFERROR(__xludf.DUMMYFUNCTION("""COMPUTED_VALUE"""),482001)</f>
        <v>482001</v>
      </c>
      <c r="D1679" s="1" t="str">
        <f ca="1">IFERROR(__xludf.DUMMYFUNCTION("""COMPUTED_VALUE"""),"Male")</f>
        <v>Male</v>
      </c>
      <c r="E1679" s="1" t="str">
        <f ca="1">IFERROR(__xludf.DUMMYFUNCTION("""COMPUTED_VALUE"""),"Social Media like LinkedIn")</f>
        <v>Social Media like LinkedIn</v>
      </c>
      <c r="F1679" s="1" t="str">
        <f ca="1">IFERROR(__xludf.DUMMYFUNCTION("""COMPUTED_VALUE"""),"Yes, I will earn and do that")</f>
        <v>Yes, I will earn and do that</v>
      </c>
      <c r="G1679" s="1" t="str">
        <f ca="1">IFERROR(__xludf.DUMMYFUNCTION("""COMPUTED_VALUE"""),"Will work for 3 years or more")</f>
        <v>Will work for 3 years or more</v>
      </c>
      <c r="H1679" s="1" t="str">
        <f ca="1">IFERROR(__xludf.DUMMYFUNCTION("""COMPUTED_VALUE"""),"No")</f>
        <v>No</v>
      </c>
      <c r="I1679" s="1" t="str">
        <f ca="1">IFERROR(__xludf.DUMMYFUNCTION("""COMPUTED_VALUE"""),"Will work for them")</f>
        <v>Will work for them</v>
      </c>
      <c r="J1679" s="1">
        <f ca="1">IFERROR(__xludf.DUMMYFUNCTION("""COMPUTED_VALUE"""),3)</f>
        <v>3</v>
      </c>
      <c r="K1679" s="1" t="str">
        <f ca="1">IFERROR(__xludf.DUMMYFUNCTION("""COMPUTED_VALUE"""),"Hybrid Working Environment with more than 15 days a month at office")</f>
        <v>Hybrid Working Environment with more than 15 days a month at office</v>
      </c>
      <c r="L1679" s="1" t="str">
        <f ca="1">IFERROR(__xludf.DUMMYFUNCTION("""COMPUTED_VALUE"""),"Employer who appreciates learning and enables that environment")</f>
        <v>Employer who appreciates learning and enables that environment</v>
      </c>
      <c r="M1679"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N1679" s="1"/>
      <c r="O1679" s="1" t="str">
        <f ca="1">IFERROR(__xludf.DUMMYFUNCTION("""COMPUTED_VALUE"""),"Manager who sets goal and helps me achieve it")</f>
        <v>Manager who sets goal and helps me achieve it</v>
      </c>
      <c r="P1679" s="1" t="str">
        <f ca="1">IFERROR(__xludf.DUMMYFUNCTION("""COMPUTED_VALUE"""),"Work  &lt;67 people in team")</f>
        <v>Work  &lt;67 people in team</v>
      </c>
      <c r="Q1679" s="1" t="s">
        <v>43</v>
      </c>
      <c r="R1679" s="1"/>
    </row>
    <row r="1680" spans="1:18" x14ac:dyDescent="0.25">
      <c r="A1680" s="2">
        <f ca="1">IFERROR(__xludf.DUMMYFUNCTION("""COMPUTED_VALUE"""),45046.9198481365)</f>
        <v>45046.919848136502</v>
      </c>
      <c r="B1680" s="1" t="str">
        <f ca="1">IFERROR(__xludf.DUMMYFUNCTION("""COMPUTED_VALUE"""),"United States of America")</f>
        <v>United States of America</v>
      </c>
      <c r="C1680" s="1" t="str">
        <f ca="1">IFERROR(__xludf.DUMMYFUNCTION("""COMPUTED_VALUE"""),"06511")</f>
        <v>06511</v>
      </c>
      <c r="D1680" s="1" t="str">
        <f ca="1">IFERROR(__xludf.DUMMYFUNCTION("""COMPUTED_VALUE"""),"Male")</f>
        <v>Male</v>
      </c>
      <c r="E1680" s="1" t="str">
        <f ca="1">IFERROR(__xludf.DUMMYFUNCTION("""COMPUTED_VALUE"""),"People who have changed the world for better")</f>
        <v>People who have changed the world for better</v>
      </c>
      <c r="F1680" s="1" t="str">
        <f ca="1">IFERROR(__xludf.DUMMYFUNCTION("""COMPUTED_VALUE"""),"No, But if someone could bare the cost I will")</f>
        <v>No, But if someone could bare the cost I will</v>
      </c>
      <c r="G1680" s="1" t="str">
        <f ca="1">IFERROR(__xludf.DUMMYFUNCTION("""COMPUTED_VALUE"""),"Will work for 3 years or more")</f>
        <v>Will work for 3 years or more</v>
      </c>
      <c r="H1680" s="1" t="str">
        <f ca="1">IFERROR(__xludf.DUMMYFUNCTION("""COMPUTED_VALUE"""),"No")</f>
        <v>No</v>
      </c>
      <c r="I1680" s="1" t="str">
        <f ca="1">IFERROR(__xludf.DUMMYFUNCTION("""COMPUTED_VALUE"""),"Will NOT work for them")</f>
        <v>Will NOT work for them</v>
      </c>
      <c r="J1680" s="1">
        <f ca="1">IFERROR(__xludf.DUMMYFUNCTION("""COMPUTED_VALUE"""),10)</f>
        <v>10</v>
      </c>
      <c r="K1680" s="1" t="str">
        <f ca="1">IFERROR(__xludf.DUMMYFUNCTION("""COMPUTED_VALUE"""),"Every Day Office Environment")</f>
        <v>Every Day Office Environment</v>
      </c>
      <c r="L1680" s="1" t="str">
        <f ca="1">IFERROR(__xludf.DUMMYFUNCTION("""COMPUTED_VALUE"""),"Employer who rewards learning and enables that environment")</f>
        <v>Employer who rewards learning and enables that environment</v>
      </c>
      <c r="M1680"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N1680" s="1"/>
      <c r="O1680" s="1" t="str">
        <f ca="1">IFERROR(__xludf.DUMMYFUNCTION("""COMPUTED_VALUE"""),"Manager who explains what is expected, sets a goal and helps achieve it")</f>
        <v>Manager who explains what is expected, sets a goal and helps achieve it</v>
      </c>
      <c r="P1680" s="1" t="str">
        <f ca="1">IFERROR(__xludf.DUMMYFUNCTION("""COMPUTED_VALUE"""),"Work &lt;=6 People in the Team")</f>
        <v>Work &lt;=6 People in the Team</v>
      </c>
      <c r="Q1680" s="1" t="s">
        <v>43</v>
      </c>
      <c r="R1680" s="1"/>
    </row>
    <row r="1681" spans="1:18" x14ac:dyDescent="0.25">
      <c r="A1681" s="2">
        <f ca="1">IFERROR(__xludf.DUMMYFUNCTION("""COMPUTED_VALUE"""),45046.9317352083)</f>
        <v>45046.931735208302</v>
      </c>
      <c r="B1681" s="1" t="str">
        <f ca="1">IFERROR(__xludf.DUMMYFUNCTION("""COMPUTED_VALUE"""),"India")</f>
        <v>India</v>
      </c>
      <c r="C1681" s="1">
        <f ca="1">IFERROR(__xludf.DUMMYFUNCTION("""COMPUTED_VALUE"""),500094)</f>
        <v>500094</v>
      </c>
      <c r="D1681" s="1" t="str">
        <f ca="1">IFERROR(__xludf.DUMMYFUNCTION("""COMPUTED_VALUE"""),"Male")</f>
        <v>Male</v>
      </c>
      <c r="E1681" s="1" t="str">
        <f ca="1">IFERROR(__xludf.DUMMYFUNCTION("""COMPUTED_VALUE"""),"My Parents")</f>
        <v>My Parents</v>
      </c>
      <c r="F1681" s="1" t="str">
        <f ca="1">IFERROR(__xludf.DUMMYFUNCTION("""COMPUTED_VALUE"""),"No, But if someone could bare the cost I will")</f>
        <v>No, But if someone could bare the cost I will</v>
      </c>
      <c r="G1681" s="1" t="str">
        <f ca="1">IFERROR(__xludf.DUMMYFUNCTION("""COMPUTED_VALUE"""),"Will work for 3 years or more")</f>
        <v>Will work for 3 years or more</v>
      </c>
      <c r="H1681" s="1" t="str">
        <f ca="1">IFERROR(__xludf.DUMMYFUNCTION("""COMPUTED_VALUE"""),"Yes")</f>
        <v>Yes</v>
      </c>
      <c r="I1681" s="1" t="str">
        <f ca="1">IFERROR(__xludf.DUMMYFUNCTION("""COMPUTED_VALUE"""),"Will work for them")</f>
        <v>Will work for them</v>
      </c>
      <c r="J1681" s="1">
        <f ca="1">IFERROR(__xludf.DUMMYFUNCTION("""COMPUTED_VALUE"""),5)</f>
        <v>5</v>
      </c>
      <c r="K1681" s="1" t="str">
        <f ca="1">IFERROR(__xludf.DUMMYFUNCTION("""COMPUTED_VALUE"""),"Every Day Office Environment")</f>
        <v>Every Day Office Environment</v>
      </c>
      <c r="L1681" s="1" t="str">
        <f ca="1">IFERROR(__xludf.DUMMYFUNCTION("""COMPUTED_VALUE"""),"Employer who appreciates learning and enables that environment")</f>
        <v>Employer who appreciates learning and enables that environment</v>
      </c>
      <c r="M1681"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N1681" s="1"/>
      <c r="O1681" s="1" t="str">
        <f ca="1">IFERROR(__xludf.DUMMYFUNCTION("""COMPUTED_VALUE"""),"Manager who explains what is expected, sets a goal and helps achieve it")</f>
        <v>Manager who explains what is expected, sets a goal and helps achieve it</v>
      </c>
      <c r="P1681" s="1" t="str">
        <f ca="1">IFERROR(__xludf.DUMMYFUNCTION("""COMPUTED_VALUE"""),"Work &lt;=6 People in the Team")</f>
        <v>Work &lt;=6 People in the Team</v>
      </c>
      <c r="Q1681" s="1" t="s">
        <v>43</v>
      </c>
      <c r="R1681" s="1"/>
    </row>
    <row r="1682" spans="1:18" x14ac:dyDescent="0.25">
      <c r="A1682" s="2">
        <f ca="1">IFERROR(__xludf.DUMMYFUNCTION("""COMPUTED_VALUE"""),45046.9529843518)</f>
        <v>45046.952984351803</v>
      </c>
      <c r="B1682" s="1" t="str">
        <f ca="1">IFERROR(__xludf.DUMMYFUNCTION("""COMPUTED_VALUE"""),"India")</f>
        <v>India</v>
      </c>
      <c r="C1682" s="1">
        <f ca="1">IFERROR(__xludf.DUMMYFUNCTION("""COMPUTED_VALUE"""),454001)</f>
        <v>454001</v>
      </c>
      <c r="D1682" s="1" t="str">
        <f ca="1">IFERROR(__xludf.DUMMYFUNCTION("""COMPUTED_VALUE"""),"Male")</f>
        <v>Male</v>
      </c>
      <c r="E1682" s="1" t="str">
        <f ca="1">IFERROR(__xludf.DUMMYFUNCTION("""COMPUTED_VALUE"""),"My Parents")</f>
        <v>My Parents</v>
      </c>
      <c r="F1682" s="1" t="str">
        <f ca="1">IFERROR(__xludf.DUMMYFUNCTION("""COMPUTED_VALUE"""),"No, But if someone could bare the cost I will")</f>
        <v>No, But if someone could bare the cost I will</v>
      </c>
      <c r="G1682" s="1" t="str">
        <f ca="1">IFERROR(__xludf.DUMMYFUNCTION("""COMPUTED_VALUE"""),"Will work for 3 years or more")</f>
        <v>Will work for 3 years or more</v>
      </c>
      <c r="H1682" s="1" t="str">
        <f ca="1">IFERROR(__xludf.DUMMYFUNCTION("""COMPUTED_VALUE"""),"No")</f>
        <v>No</v>
      </c>
      <c r="I1682" s="1" t="str">
        <f ca="1">IFERROR(__xludf.DUMMYFUNCTION("""COMPUTED_VALUE"""),"Will NOT work for them")</f>
        <v>Will NOT work for them</v>
      </c>
      <c r="J1682" s="1">
        <f ca="1">IFERROR(__xludf.DUMMYFUNCTION("""COMPUTED_VALUE"""),7)</f>
        <v>7</v>
      </c>
      <c r="K1682" s="1" t="str">
        <f ca="1">IFERROR(__xludf.DUMMYFUNCTION("""COMPUTED_VALUE"""),"Hybrid Working Environment with more than 15 days a month at office")</f>
        <v>Hybrid Working Environment with more than 15 days a month at office</v>
      </c>
      <c r="L1682" s="1" t="str">
        <f ca="1">IFERROR(__xludf.DUMMYFUNCTION("""COMPUTED_VALUE"""),"Employer who pushes your limits by enabling an learning environment, and rewards you at the end")</f>
        <v>Employer who pushes your limits by enabling an learning environment, and rewards you at the end</v>
      </c>
      <c r="M168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1682" s="1"/>
      <c r="O1682" s="1" t="str">
        <f ca="1">IFERROR(__xludf.DUMMYFUNCTION("""COMPUTED_VALUE"""),"Manager who explains what is expected, sets a goal and helps achieve it")</f>
        <v>Manager who explains what is expected, sets a goal and helps achieve it</v>
      </c>
      <c r="P1682" s="1" t="str">
        <f ca="1">IFERROR(__xludf.DUMMYFUNCTION("""COMPUTED_VALUE"""),"Work &lt;=6 People in the Team")</f>
        <v>Work &lt;=6 People in the Team</v>
      </c>
      <c r="Q1682" s="1" t="s">
        <v>40</v>
      </c>
      <c r="R1682" s="1"/>
    </row>
    <row r="1683" spans="1:18" x14ac:dyDescent="0.25">
      <c r="A1683" s="2">
        <f ca="1">IFERROR(__xludf.DUMMYFUNCTION("""COMPUTED_VALUE"""),45046.9943983449)</f>
        <v>45046.994398344897</v>
      </c>
      <c r="B1683" s="1" t="str">
        <f ca="1">IFERROR(__xludf.DUMMYFUNCTION("""COMPUTED_VALUE"""),"India")</f>
        <v>India</v>
      </c>
      <c r="C1683" s="1">
        <f ca="1">IFERROR(__xludf.DUMMYFUNCTION("""COMPUTED_VALUE"""),607001)</f>
        <v>607001</v>
      </c>
      <c r="D1683" s="1" t="str">
        <f ca="1">IFERROR(__xludf.DUMMYFUNCTION("""COMPUTED_VALUE"""),"Male")</f>
        <v>Male</v>
      </c>
      <c r="E1683" s="1" t="str">
        <f ca="1">IFERROR(__xludf.DUMMYFUNCTION("""COMPUTED_VALUE"""),"Influencers who had successful careers")</f>
        <v>Influencers who had successful careers</v>
      </c>
      <c r="F1683" s="1" t="str">
        <f ca="1">IFERROR(__xludf.DUMMYFUNCTION("""COMPUTED_VALUE"""),"Yes, I will earn and do that")</f>
        <v>Yes, I will earn and do that</v>
      </c>
      <c r="G1683" s="1" t="str">
        <f ca="1">IFERROR(__xludf.DUMMYFUNCTION("""COMPUTED_VALUE"""),"Will work for 3 years or more")</f>
        <v>Will work for 3 years or more</v>
      </c>
      <c r="H1683" s="1" t="str">
        <f ca="1">IFERROR(__xludf.DUMMYFUNCTION("""COMPUTED_VALUE"""),"No")</f>
        <v>No</v>
      </c>
      <c r="I1683" s="1" t="str">
        <f ca="1">IFERROR(__xludf.DUMMYFUNCTION("""COMPUTED_VALUE"""),"Will NOT work for them")</f>
        <v>Will NOT work for them</v>
      </c>
      <c r="J1683" s="1">
        <f ca="1">IFERROR(__xludf.DUMMYFUNCTION("""COMPUTED_VALUE"""),6)</f>
        <v>6</v>
      </c>
      <c r="K1683" s="1" t="str">
        <f ca="1">IFERROR(__xludf.DUMMYFUNCTION("""COMPUTED_VALUE"""),"Hybrid Working Environment with more than 15 days a month at office")</f>
        <v>Hybrid Working Environment with more than 15 days a month at office</v>
      </c>
      <c r="L1683" s="1" t="str">
        <f ca="1">IFERROR(__xludf.DUMMYFUNCTION("""COMPUTED_VALUE"""),"Employer who rewards learning and enables that environment")</f>
        <v>Employer who rewards learning and enables that environment</v>
      </c>
      <c r="M1683" s="1" t="str">
        <f ca="1">IFERROR(__xludf.DUMMYFUNCTION("""COMPUTED_VALUE"""),"Design and Creative strategy in any company, Work as a freelancer and do my thing my way, Entrepreneur or Start Up, I Want to sell things/Sales")</f>
        <v>Design and Creative strategy in any company, Work as a freelancer and do my thing my way, Entrepreneur or Start Up, I Want to sell things/Sales</v>
      </c>
      <c r="N1683" s="1"/>
      <c r="O1683" s="1" t="str">
        <f ca="1">IFERROR(__xludf.DUMMYFUNCTION("""COMPUTED_VALUE"""),"Manager who explains what is expected, sets a goal and helps achieve it")</f>
        <v>Manager who explains what is expected, sets a goal and helps achieve it</v>
      </c>
      <c r="P1683" s="1" t="str">
        <f ca="1">IFERROR(__xludf.DUMMYFUNCTION("""COMPUTED_VALUE"""),"Work &lt;=6 People in the Team")</f>
        <v>Work &lt;=6 People in the Team</v>
      </c>
      <c r="Q1683" s="1" t="s">
        <v>43</v>
      </c>
      <c r="R1683" s="1"/>
    </row>
    <row r="1684" spans="1:18" x14ac:dyDescent="0.25">
      <c r="A1684" s="2">
        <f ca="1">IFERROR(__xludf.DUMMYFUNCTION("""COMPUTED_VALUE"""),45046.9973956712)</f>
        <v>45046.997395671198</v>
      </c>
      <c r="B1684" s="1" t="str">
        <f ca="1">IFERROR(__xludf.DUMMYFUNCTION("""COMPUTED_VALUE"""),"India")</f>
        <v>India</v>
      </c>
      <c r="C1684" s="1">
        <f ca="1">IFERROR(__xludf.DUMMYFUNCTION("""COMPUTED_VALUE"""),621211)</f>
        <v>621211</v>
      </c>
      <c r="D1684" s="1" t="str">
        <f ca="1">IFERROR(__xludf.DUMMYFUNCTION("""COMPUTED_VALUE"""),"Male")</f>
        <v>Male</v>
      </c>
      <c r="E1684" s="1" t="str">
        <f ca="1">IFERROR(__xludf.DUMMYFUNCTION("""COMPUTED_VALUE"""),"Influencers who had successful careers")</f>
        <v>Influencers who had successful careers</v>
      </c>
      <c r="F1684" s="1" t="str">
        <f ca="1">IFERROR(__xludf.DUMMYFUNCTION("""COMPUTED_VALUE"""),"Yes, I will earn and do that")</f>
        <v>Yes, I will earn and do that</v>
      </c>
      <c r="G1684" s="1" t="str">
        <f ca="1">IFERROR(__xludf.DUMMYFUNCTION("""COMPUTED_VALUE"""),"This will be hard to do, but if it is the right company I would try")</f>
        <v>This will be hard to do, but if it is the right company I would try</v>
      </c>
      <c r="H1684" s="1" t="str">
        <f ca="1">IFERROR(__xludf.DUMMYFUNCTION("""COMPUTED_VALUE"""),"Yes")</f>
        <v>Yes</v>
      </c>
      <c r="I1684" s="1" t="str">
        <f ca="1">IFERROR(__xludf.DUMMYFUNCTION("""COMPUTED_VALUE"""),"Will work for them")</f>
        <v>Will work for them</v>
      </c>
      <c r="J1684" s="1">
        <f ca="1">IFERROR(__xludf.DUMMYFUNCTION("""COMPUTED_VALUE"""),5)</f>
        <v>5</v>
      </c>
      <c r="K1684" s="1" t="str">
        <f ca="1">IFERROR(__xludf.DUMMYFUNCTION("""COMPUTED_VALUE"""),"Every Day Office Environment")</f>
        <v>Every Day Office Environment</v>
      </c>
      <c r="L1684" s="1" t="str">
        <f ca="1">IFERROR(__xludf.DUMMYFUNCTION("""COMPUTED_VALUE"""),"Employer who appreciates learning and enables that environment")</f>
        <v>Employer who appreciates learning and enables that environment</v>
      </c>
      <c r="M1684"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N1684" s="1"/>
      <c r="O1684" s="1" t="str">
        <f ca="1">IFERROR(__xludf.DUMMYFUNCTION("""COMPUTED_VALUE"""),"Manager who sets targets and expects me to achieve it")</f>
        <v>Manager who sets targets and expects me to achieve it</v>
      </c>
      <c r="P1684" s="1" t="str">
        <f ca="1">IFERROR(__xludf.DUMMYFUNCTION("""COMPUTED_VALUE"""),"Work alone")</f>
        <v>Work alone</v>
      </c>
      <c r="Q1684" s="1" t="s">
        <v>43</v>
      </c>
      <c r="R1684" s="1"/>
    </row>
    <row r="1685" spans="1:18" x14ac:dyDescent="0.25">
      <c r="A1685" s="2">
        <f ca="1">IFERROR(__xludf.DUMMYFUNCTION("""COMPUTED_VALUE"""),45047.0024111111)</f>
        <v>45047.002411111098</v>
      </c>
      <c r="B1685" s="1" t="str">
        <f ca="1">IFERROR(__xludf.DUMMYFUNCTION("""COMPUTED_VALUE"""),"India")</f>
        <v>India</v>
      </c>
      <c r="C1685" s="1">
        <f ca="1">IFERROR(__xludf.DUMMYFUNCTION("""COMPUTED_VALUE"""),395006)</f>
        <v>395006</v>
      </c>
      <c r="D1685" s="1" t="str">
        <f ca="1">IFERROR(__xludf.DUMMYFUNCTION("""COMPUTED_VALUE"""),"Male")</f>
        <v>Male</v>
      </c>
      <c r="E1685" s="1" t="str">
        <f ca="1">IFERROR(__xludf.DUMMYFUNCTION("""COMPUTED_VALUE"""),"People who have changed the world for better")</f>
        <v>People who have changed the world for better</v>
      </c>
      <c r="F1685" s="1" t="str">
        <f ca="1">IFERROR(__xludf.DUMMYFUNCTION("""COMPUTED_VALUE"""),"No I would not be pursuing Higher Education outside of India")</f>
        <v>No I would not be pursuing Higher Education outside of India</v>
      </c>
      <c r="G1685" s="1" t="str">
        <f ca="1">IFERROR(__xludf.DUMMYFUNCTION("""COMPUTED_VALUE"""),"This will be hard to do, but if it is the right company I would try")</f>
        <v>This will be hard to do, but if it is the right company I would try</v>
      </c>
      <c r="H1685" s="1" t="str">
        <f ca="1">IFERROR(__xludf.DUMMYFUNCTION("""COMPUTED_VALUE"""),"No")</f>
        <v>No</v>
      </c>
      <c r="I1685" s="1" t="str">
        <f ca="1">IFERROR(__xludf.DUMMYFUNCTION("""COMPUTED_VALUE"""),"Will NOT work for them")</f>
        <v>Will NOT work for them</v>
      </c>
      <c r="J1685" s="1">
        <f ca="1">IFERROR(__xludf.DUMMYFUNCTION("""COMPUTED_VALUE"""),5)</f>
        <v>5</v>
      </c>
      <c r="K1685" s="1" t="str">
        <f ca="1">IFERROR(__xludf.DUMMYFUNCTION("""COMPUTED_VALUE"""),"Hybrid Working Environment with more than 15 days a month at office")</f>
        <v>Hybrid Working Environment with more than 15 days a month at office</v>
      </c>
      <c r="L1685" s="1" t="str">
        <f ca="1">IFERROR(__xludf.DUMMYFUNCTION("""COMPUTED_VALUE"""),"Employer who appreciates learning and enables that environment")</f>
        <v>Employer who appreciates learning and enables that environment</v>
      </c>
      <c r="M1685"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N1685" s="1"/>
      <c r="O1685" s="1" t="str">
        <f ca="1">IFERROR(__xludf.DUMMYFUNCTION("""COMPUTED_VALUE"""),"Manager who clearly describes what she/he needs")</f>
        <v>Manager who clearly describes what she/he needs</v>
      </c>
      <c r="P1685" s="1" t="str">
        <f ca="1">IFERROR(__xludf.DUMMYFUNCTION("""COMPUTED_VALUE"""),"Work &lt;=6 People in the Team")</f>
        <v>Work &lt;=6 People in the Team</v>
      </c>
      <c r="Q1685" s="1" t="s">
        <v>42</v>
      </c>
      <c r="R1685" s="1"/>
    </row>
    <row r="1686" spans="1:18" x14ac:dyDescent="0.25">
      <c r="A1686" s="2">
        <f ca="1">IFERROR(__xludf.DUMMYFUNCTION("""COMPUTED_VALUE"""),45047.0057332638)</f>
        <v>45047.005733263803</v>
      </c>
      <c r="B1686" s="1" t="str">
        <f ca="1">IFERROR(__xludf.DUMMYFUNCTION("""COMPUTED_VALUE"""),"India")</f>
        <v>India</v>
      </c>
      <c r="C1686" s="1">
        <f ca="1">IFERROR(__xludf.DUMMYFUNCTION("""COMPUTED_VALUE"""),576213)</f>
        <v>576213</v>
      </c>
      <c r="D1686" s="1" t="str">
        <f ca="1">IFERROR(__xludf.DUMMYFUNCTION("""COMPUTED_VALUE"""),"Female")</f>
        <v>Female</v>
      </c>
      <c r="E1686" s="1" t="str">
        <f ca="1">IFERROR(__xludf.DUMMYFUNCTION("""COMPUTED_VALUE"""),"My Parents")</f>
        <v>My Parents</v>
      </c>
      <c r="F1686" s="1" t="str">
        <f ca="1">IFERROR(__xludf.DUMMYFUNCTION("""COMPUTED_VALUE"""),"Yes, I will earn and do that")</f>
        <v>Yes, I will earn and do that</v>
      </c>
      <c r="G1686" s="1" t="str">
        <f ca="1">IFERROR(__xludf.DUMMYFUNCTION("""COMPUTED_VALUE"""),"This will be hard to do, but if it is the right company I would try")</f>
        <v>This will be hard to do, but if it is the right company I would try</v>
      </c>
      <c r="H1686" s="1" t="str">
        <f ca="1">IFERROR(__xludf.DUMMYFUNCTION("""COMPUTED_VALUE"""),"Yes")</f>
        <v>Yes</v>
      </c>
      <c r="I1686" s="1" t="str">
        <f ca="1">IFERROR(__xludf.DUMMYFUNCTION("""COMPUTED_VALUE"""),"Will work for them")</f>
        <v>Will work for them</v>
      </c>
      <c r="J1686" s="1">
        <f ca="1">IFERROR(__xludf.DUMMYFUNCTION("""COMPUTED_VALUE"""),9)</f>
        <v>9</v>
      </c>
      <c r="K1686" s="1" t="str">
        <f ca="1">IFERROR(__xludf.DUMMYFUNCTION("""COMPUTED_VALUE"""),"Fully Remote with No option to visit offices")</f>
        <v>Fully Remote with No option to visit offices</v>
      </c>
      <c r="L1686" s="1" t="str">
        <f ca="1">IFERROR(__xludf.DUMMYFUNCTION("""COMPUTED_VALUE"""),"Employer who pushes your limits by enabling an learning environment, and rewards you at the end")</f>
        <v>Employer who pushes your limits by enabling an learning environment, and rewards you at the end</v>
      </c>
      <c r="M168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N1686" s="1"/>
      <c r="O1686" s="1" t="str">
        <f ca="1">IFERROR(__xludf.DUMMYFUNCTION("""COMPUTED_VALUE"""),"Manager who explains what is expected, sets a goal and helps achieve it")</f>
        <v>Manager who explains what is expected, sets a goal and helps achieve it</v>
      </c>
      <c r="P1686" s="1" t="str">
        <f ca="1">IFERROR(__xludf.DUMMYFUNCTION("""COMPUTED_VALUE"""),"Work &lt;=6 People in the Team")</f>
        <v>Work &lt;=6 People in the Team</v>
      </c>
      <c r="Q1686" s="1" t="s">
        <v>40</v>
      </c>
      <c r="R1686" s="1"/>
    </row>
    <row r="1687" spans="1:18" x14ac:dyDescent="0.25">
      <c r="A1687" s="2">
        <f ca="1">IFERROR(__xludf.DUMMYFUNCTION("""COMPUTED_VALUE"""),45047.0214135879)</f>
        <v>45047.0214135879</v>
      </c>
      <c r="B1687" s="1" t="str">
        <f ca="1">IFERROR(__xludf.DUMMYFUNCTION("""COMPUTED_VALUE"""),"India")</f>
        <v>India</v>
      </c>
      <c r="C1687" s="1">
        <f ca="1">IFERROR(__xludf.DUMMYFUNCTION("""COMPUTED_VALUE"""),456010)</f>
        <v>456010</v>
      </c>
      <c r="D1687" s="1" t="str">
        <f ca="1">IFERROR(__xludf.DUMMYFUNCTION("""COMPUTED_VALUE"""),"Male")</f>
        <v>Male</v>
      </c>
      <c r="E1687" s="1" t="str">
        <f ca="1">IFERROR(__xludf.DUMMYFUNCTION("""COMPUTED_VALUE"""),"People who have changed the world for better")</f>
        <v>People who have changed the world for better</v>
      </c>
      <c r="F1687" s="1" t="str">
        <f ca="1">IFERROR(__xludf.DUMMYFUNCTION("""COMPUTED_VALUE"""),"No I would not be pursuing Higher Education outside of India")</f>
        <v>No I would not be pursuing Higher Education outside of India</v>
      </c>
      <c r="G1687" s="1" t="str">
        <f ca="1">IFERROR(__xludf.DUMMYFUNCTION("""COMPUTED_VALUE"""),"Will work for 3 years or more")</f>
        <v>Will work for 3 years or more</v>
      </c>
      <c r="H1687" s="1" t="str">
        <f ca="1">IFERROR(__xludf.DUMMYFUNCTION("""COMPUTED_VALUE"""),"No")</f>
        <v>No</v>
      </c>
      <c r="I1687" s="1" t="str">
        <f ca="1">IFERROR(__xludf.DUMMYFUNCTION("""COMPUTED_VALUE"""),"Will NOT work for them")</f>
        <v>Will NOT work for them</v>
      </c>
      <c r="J1687" s="1">
        <f ca="1">IFERROR(__xludf.DUMMYFUNCTION("""COMPUTED_VALUE"""),6)</f>
        <v>6</v>
      </c>
      <c r="K1687" s="1" t="str">
        <f ca="1">IFERROR(__xludf.DUMMYFUNCTION("""COMPUTED_VALUE"""),"Hybrid Working Environment with more than 15 days a month at office")</f>
        <v>Hybrid Working Environment with more than 15 days a month at office</v>
      </c>
      <c r="L1687" s="1" t="str">
        <f ca="1">IFERROR(__xludf.DUMMYFUNCTION("""COMPUTED_VALUE"""),"Employer who rewards learning and enables that environment")</f>
        <v>Employer who rewards learning and enables that environment</v>
      </c>
      <c r="M168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N1687" s="1"/>
      <c r="O1687" s="1" t="str">
        <f ca="1">IFERROR(__xludf.DUMMYFUNCTION("""COMPUTED_VALUE"""),"Manager who explains what is expected, sets a goal and helps achieve it")</f>
        <v>Manager who explains what is expected, sets a goal and helps achieve it</v>
      </c>
      <c r="P1687" s="1" t="str">
        <f ca="1">IFERROR(__xludf.DUMMYFUNCTION("""COMPUTED_VALUE"""),"Work &lt;=6 People in the Team")</f>
        <v>Work &lt;=6 People in the Team</v>
      </c>
      <c r="Q1687" s="1" t="s">
        <v>43</v>
      </c>
      <c r="R1687" s="1"/>
    </row>
    <row r="1688" spans="1:18" x14ac:dyDescent="0.25">
      <c r="A1688" s="2">
        <f ca="1">IFERROR(__xludf.DUMMYFUNCTION("""COMPUTED_VALUE"""),45047.0459471527)</f>
        <v>45047.045947152699</v>
      </c>
      <c r="B1688" s="1" t="str">
        <f ca="1">IFERROR(__xludf.DUMMYFUNCTION("""COMPUTED_VALUE"""),"India")</f>
        <v>India</v>
      </c>
      <c r="C1688" s="1">
        <f ca="1">IFERROR(__xludf.DUMMYFUNCTION("""COMPUTED_VALUE"""),500019)</f>
        <v>500019</v>
      </c>
      <c r="D1688" s="1" t="str">
        <f ca="1">IFERROR(__xludf.DUMMYFUNCTION("""COMPUTED_VALUE"""),"Male")</f>
        <v>Male</v>
      </c>
      <c r="E1688" s="1" t="str">
        <f ca="1">IFERROR(__xludf.DUMMYFUNCTION("""COMPUTED_VALUE"""),"My Parents")</f>
        <v>My Parents</v>
      </c>
      <c r="F1688" s="1" t="str">
        <f ca="1">IFERROR(__xludf.DUMMYFUNCTION("""COMPUTED_VALUE"""),"Yes, I will earn and do that")</f>
        <v>Yes, I will earn and do that</v>
      </c>
      <c r="G1688" s="1" t="str">
        <f ca="1">IFERROR(__xludf.DUMMYFUNCTION("""COMPUTED_VALUE"""),"This will be hard to do, but if it is the right company I would try")</f>
        <v>This will be hard to do, but if it is the right company I would try</v>
      </c>
      <c r="H1688" s="1" t="str">
        <f ca="1">IFERROR(__xludf.DUMMYFUNCTION("""COMPUTED_VALUE"""),"No")</f>
        <v>No</v>
      </c>
      <c r="I1688" s="1" t="str">
        <f ca="1">IFERROR(__xludf.DUMMYFUNCTION("""COMPUTED_VALUE"""),"Will NOT work for them")</f>
        <v>Will NOT work for them</v>
      </c>
      <c r="J1688" s="1">
        <f ca="1">IFERROR(__xludf.DUMMYFUNCTION("""COMPUTED_VALUE"""),1)</f>
        <v>1</v>
      </c>
      <c r="K1688" s="1" t="str">
        <f ca="1">IFERROR(__xludf.DUMMYFUNCTION("""COMPUTED_VALUE"""),"Hybrid Working Environment with more than 15 days a month at office")</f>
        <v>Hybrid Working Environment with more than 15 days a month at office</v>
      </c>
      <c r="L1688" s="1" t="str">
        <f ca="1">IFERROR(__xludf.DUMMYFUNCTION("""COMPUTED_VALUE"""),"Employer who pushes your limits by enabling an learning environment, and rewards you at the end")</f>
        <v>Employer who pushes your limits by enabling an learning environment, and rewards you at the end</v>
      </c>
      <c r="M168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688" s="1"/>
      <c r="O1688" s="1" t="str">
        <f ca="1">IFERROR(__xludf.DUMMYFUNCTION("""COMPUTED_VALUE"""),"Manager who clearly describes what she/he needs")</f>
        <v>Manager who clearly describes what she/he needs</v>
      </c>
      <c r="P1688" s="1" t="str">
        <f ca="1">IFERROR(__xludf.DUMMYFUNCTION("""COMPUTED_VALUE"""),"Work &lt;=6 People in the Team")</f>
        <v>Work &lt;=6 People in the Team</v>
      </c>
      <c r="Q1688" s="1" t="s">
        <v>40</v>
      </c>
      <c r="R1688" s="1"/>
    </row>
    <row r="1689" spans="1:18" x14ac:dyDescent="0.25">
      <c r="A1689" s="2">
        <f ca="1">IFERROR(__xludf.DUMMYFUNCTION("""COMPUTED_VALUE"""),45047.075836956)</f>
        <v>45047.075836955999</v>
      </c>
      <c r="B1689" s="1" t="str">
        <f ca="1">IFERROR(__xludf.DUMMYFUNCTION("""COMPUTED_VALUE"""),"India")</f>
        <v>India</v>
      </c>
      <c r="C1689" s="1">
        <f ca="1">IFERROR(__xludf.DUMMYFUNCTION("""COMPUTED_VALUE"""),452001)</f>
        <v>452001</v>
      </c>
      <c r="D1689" s="1" t="str">
        <f ca="1">IFERROR(__xludf.DUMMYFUNCTION("""COMPUTED_VALUE"""),"Male")</f>
        <v>Male</v>
      </c>
      <c r="E1689" s="1" t="str">
        <f ca="1">IFERROR(__xludf.DUMMYFUNCTION("""COMPUTED_VALUE"""),"Social Media like LinkedIn")</f>
        <v>Social Media like LinkedIn</v>
      </c>
      <c r="F1689" s="1" t="str">
        <f ca="1">IFERROR(__xludf.DUMMYFUNCTION("""COMPUTED_VALUE"""),"Yes, I will earn and do that")</f>
        <v>Yes, I will earn and do that</v>
      </c>
      <c r="G1689" s="1" t="str">
        <f ca="1">IFERROR(__xludf.DUMMYFUNCTION("""COMPUTED_VALUE"""),"Will work for 3 years or more")</f>
        <v>Will work for 3 years or more</v>
      </c>
      <c r="H1689" s="1" t="str">
        <f ca="1">IFERROR(__xludf.DUMMYFUNCTION("""COMPUTED_VALUE"""),"Yes")</f>
        <v>Yes</v>
      </c>
      <c r="I1689" s="1" t="str">
        <f ca="1">IFERROR(__xludf.DUMMYFUNCTION("""COMPUTED_VALUE"""),"Will NOT work for them")</f>
        <v>Will NOT work for them</v>
      </c>
      <c r="J1689" s="1">
        <f ca="1">IFERROR(__xludf.DUMMYFUNCTION("""COMPUTED_VALUE"""),10)</f>
        <v>10</v>
      </c>
      <c r="K1689" s="1" t="str">
        <f ca="1">IFERROR(__xludf.DUMMYFUNCTION("""COMPUTED_VALUE"""),"Hybrid Working Environment with more than 15 days a month at office")</f>
        <v>Hybrid Working Environment with more than 15 days a month at office</v>
      </c>
      <c r="L1689" s="1" t="str">
        <f ca="1">IFERROR(__xludf.DUMMYFUNCTION("""COMPUTED_VALUE"""),"Employer who appreciates learning and enables that environment")</f>
        <v>Employer who appreciates learning and enables that environment</v>
      </c>
      <c r="M1689"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N1689" s="1"/>
      <c r="O1689" s="1" t="str">
        <f ca="1">IFERROR(__xludf.DUMMYFUNCTION("""COMPUTED_VALUE"""),"Manager who explains what is expected, sets a goal and helps achieve it")</f>
        <v>Manager who explains what is expected, sets a goal and helps achieve it</v>
      </c>
      <c r="P1689" s="1" t="str">
        <f ca="1">IFERROR(__xludf.DUMMYFUNCTION("""COMPUTED_VALUE"""),"Work &lt;=6 People in the Team")</f>
        <v>Work &lt;=6 People in the Team</v>
      </c>
      <c r="Q1689" s="1" t="s">
        <v>43</v>
      </c>
      <c r="R1689" s="1"/>
    </row>
    <row r="1690" spans="1:18" x14ac:dyDescent="0.25">
      <c r="A1690" s="2">
        <f ca="1">IFERROR(__xludf.DUMMYFUNCTION("""COMPUTED_VALUE"""),45047.0772063078)</f>
        <v>45047.077206307797</v>
      </c>
      <c r="B1690" s="1" t="str">
        <f ca="1">IFERROR(__xludf.DUMMYFUNCTION("""COMPUTED_VALUE"""),"India")</f>
        <v>India</v>
      </c>
      <c r="C1690" s="1">
        <f ca="1">IFERROR(__xludf.DUMMYFUNCTION("""COMPUTED_VALUE"""),452001)</f>
        <v>452001</v>
      </c>
      <c r="D1690" s="1" t="str">
        <f ca="1">IFERROR(__xludf.DUMMYFUNCTION("""COMPUTED_VALUE"""),"Female")</f>
        <v>Female</v>
      </c>
      <c r="E1690" s="1" t="str">
        <f ca="1">IFERROR(__xludf.DUMMYFUNCTION("""COMPUTED_VALUE"""),"My Parents")</f>
        <v>My Parents</v>
      </c>
      <c r="F1690" s="1" t="str">
        <f ca="1">IFERROR(__xludf.DUMMYFUNCTION("""COMPUTED_VALUE"""),"No, But if someone could bare the cost I will")</f>
        <v>No, But if someone could bare the cost I will</v>
      </c>
      <c r="G1690" s="1" t="str">
        <f ca="1">IFERROR(__xludf.DUMMYFUNCTION("""COMPUTED_VALUE"""),"This will be hard to do, but if it is the right company I would try")</f>
        <v>This will be hard to do, but if it is the right company I would try</v>
      </c>
      <c r="H1690" s="1" t="str">
        <f ca="1">IFERROR(__xludf.DUMMYFUNCTION("""COMPUTED_VALUE"""),"No")</f>
        <v>No</v>
      </c>
      <c r="I1690" s="1" t="str">
        <f ca="1">IFERROR(__xludf.DUMMYFUNCTION("""COMPUTED_VALUE"""),"Will NOT work for them")</f>
        <v>Will NOT work for them</v>
      </c>
      <c r="J1690" s="1">
        <f ca="1">IFERROR(__xludf.DUMMYFUNCTION("""COMPUTED_VALUE"""),3)</f>
        <v>3</v>
      </c>
      <c r="K1690" s="1" t="str">
        <f ca="1">IFERROR(__xludf.DUMMYFUNCTION("""COMPUTED_VALUE"""),"Fully Remote with Options to travel as and when needed")</f>
        <v>Fully Remote with Options to travel as and when needed</v>
      </c>
      <c r="L1690" s="1" t="str">
        <f ca="1">IFERROR(__xludf.DUMMYFUNCTION("""COMPUTED_VALUE"""),"Employer who pushes your limits and doesn't enables learning environment and never rewards you")</f>
        <v>Employer who pushes your limits and doesn't enables learning environment and never rewards you</v>
      </c>
      <c r="M1690" s="1" t="str">
        <f ca="1">IFERROR(__xludf.DUMMYFUNCTION("""COMPUTED_VALUE"""),"Design and Creative strategy in any company, Work as a freelancer and do my thing my way, Become a content Creator in some platform, An Artificial Intelligence Specialist / Talking to Robots")</f>
        <v>Design and Creative strategy in any company, Work as a freelancer and do my thing my way, Become a content Creator in some platform, An Artificial Intelligence Specialist / Talking to Robots</v>
      </c>
      <c r="N1690" s="1"/>
      <c r="O1690" s="1" t="str">
        <f ca="1">IFERROR(__xludf.DUMMYFUNCTION("""COMPUTED_VALUE"""),"Manager who sets goal and helps me achieve it")</f>
        <v>Manager who sets goal and helps me achieve it</v>
      </c>
      <c r="P1690" s="1" t="str">
        <f ca="1">IFERROR(__xludf.DUMMYFUNCTION("""COMPUTED_VALUE"""),"Work &lt;=6 People in the Team")</f>
        <v>Work &lt;=6 People in the Team</v>
      </c>
      <c r="Q1690" s="1" t="s">
        <v>40</v>
      </c>
      <c r="R1690" s="1"/>
    </row>
    <row r="1691" spans="1:18" x14ac:dyDescent="0.25">
      <c r="A1691" s="2">
        <f ca="1">IFERROR(__xludf.DUMMYFUNCTION("""COMPUTED_VALUE"""),45047.07927)</f>
        <v>45047.079270000002</v>
      </c>
      <c r="B1691" s="1" t="str">
        <f ca="1">IFERROR(__xludf.DUMMYFUNCTION("""COMPUTED_VALUE"""),"India")</f>
        <v>India</v>
      </c>
      <c r="C1691" s="1">
        <f ca="1">IFERROR(__xludf.DUMMYFUNCTION("""COMPUTED_VALUE"""),452010)</f>
        <v>452010</v>
      </c>
      <c r="D1691" s="1" t="str">
        <f ca="1">IFERROR(__xludf.DUMMYFUNCTION("""COMPUTED_VALUE"""),"Female")</f>
        <v>Female</v>
      </c>
      <c r="E1691" s="1" t="str">
        <f ca="1">IFERROR(__xludf.DUMMYFUNCTION("""COMPUTED_VALUE"""),"People who have changed the world for better")</f>
        <v>People who have changed the world for better</v>
      </c>
      <c r="F1691" s="1" t="str">
        <f ca="1">IFERROR(__xludf.DUMMYFUNCTION("""COMPUTED_VALUE"""),"No I would not be pursuing Higher Education outside of India")</f>
        <v>No I would not be pursuing Higher Education outside of India</v>
      </c>
      <c r="G1691" s="1" t="str">
        <f ca="1">IFERROR(__xludf.DUMMYFUNCTION("""COMPUTED_VALUE"""),"This will be hard to do, but if it is the right company I would try")</f>
        <v>This will be hard to do, but if it is the right company I would try</v>
      </c>
      <c r="H1691" s="1" t="str">
        <f ca="1">IFERROR(__xludf.DUMMYFUNCTION("""COMPUTED_VALUE"""),"Yes")</f>
        <v>Yes</v>
      </c>
      <c r="I1691" s="1" t="str">
        <f ca="1">IFERROR(__xludf.DUMMYFUNCTION("""COMPUTED_VALUE"""),"Will NOT work for them")</f>
        <v>Will NOT work for them</v>
      </c>
      <c r="J1691" s="1">
        <f ca="1">IFERROR(__xludf.DUMMYFUNCTION("""COMPUTED_VALUE"""),6)</f>
        <v>6</v>
      </c>
      <c r="K1691" s="1" t="str">
        <f ca="1">IFERROR(__xludf.DUMMYFUNCTION("""COMPUTED_VALUE"""),"Fully Remote with No option to visit offices")</f>
        <v>Fully Remote with No option to visit offices</v>
      </c>
      <c r="L1691" s="1" t="str">
        <f ca="1">IFERROR(__xludf.DUMMYFUNCTION("""COMPUTED_VALUE"""),"Employer who pushes your limits by enabling an learning environment, and rewards you at the end")</f>
        <v>Employer who pushes your limits by enabling an learning environment, and rewards you at the end</v>
      </c>
      <c r="M1691"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N1691" s="1"/>
      <c r="O1691" s="1" t="str">
        <f ca="1">IFERROR(__xludf.DUMMYFUNCTION("""COMPUTED_VALUE"""),"Manager who explains what is expected, sets a goal and helps achieve it")</f>
        <v>Manager who explains what is expected, sets a goal and helps achieve it</v>
      </c>
      <c r="P1691" s="1" t="str">
        <f ca="1">IFERROR(__xludf.DUMMYFUNCTION("""COMPUTED_VALUE"""),"Work &gt;10 people in Team")</f>
        <v>Work &gt;10 people in Team</v>
      </c>
      <c r="Q1691" s="1" t="s">
        <v>40</v>
      </c>
      <c r="R1691" s="1"/>
    </row>
    <row r="1692" spans="1:18" x14ac:dyDescent="0.25">
      <c r="A1692" s="2">
        <f ca="1">IFERROR(__xludf.DUMMYFUNCTION("""COMPUTED_VALUE"""),45047.3014310185)</f>
        <v>45047.301431018503</v>
      </c>
      <c r="B1692" s="1" t="str">
        <f ca="1">IFERROR(__xludf.DUMMYFUNCTION("""COMPUTED_VALUE"""),"India")</f>
        <v>India</v>
      </c>
      <c r="C1692" s="1">
        <f ca="1">IFERROR(__xludf.DUMMYFUNCTION("""COMPUTED_VALUE"""),201014)</f>
        <v>201014</v>
      </c>
      <c r="D1692" s="1" t="str">
        <f ca="1">IFERROR(__xludf.DUMMYFUNCTION("""COMPUTED_VALUE"""),"Female")</f>
        <v>Female</v>
      </c>
      <c r="E1692" s="1" t="str">
        <f ca="1">IFERROR(__xludf.DUMMYFUNCTION("""COMPUTED_VALUE"""),"Influencers who had successful careers")</f>
        <v>Influencers who had successful careers</v>
      </c>
      <c r="F1692" s="1" t="str">
        <f ca="1">IFERROR(__xludf.DUMMYFUNCTION("""COMPUTED_VALUE"""),"Yes, I will earn and do that")</f>
        <v>Yes, I will earn and do that</v>
      </c>
      <c r="G1692" s="1" t="str">
        <f ca="1">IFERROR(__xludf.DUMMYFUNCTION("""COMPUTED_VALUE"""),"This will be hard to do, but if it is the right company I would try")</f>
        <v>This will be hard to do, but if it is the right company I would try</v>
      </c>
      <c r="H1692" s="1" t="str">
        <f ca="1">IFERROR(__xludf.DUMMYFUNCTION("""COMPUTED_VALUE"""),"No")</f>
        <v>No</v>
      </c>
      <c r="I1692" s="1" t="str">
        <f ca="1">IFERROR(__xludf.DUMMYFUNCTION("""COMPUTED_VALUE"""),"Will NOT work for them")</f>
        <v>Will NOT work for them</v>
      </c>
      <c r="J1692" s="1">
        <f ca="1">IFERROR(__xludf.DUMMYFUNCTION("""COMPUTED_VALUE"""),3)</f>
        <v>3</v>
      </c>
      <c r="K1692" s="1" t="str">
        <f ca="1">IFERROR(__xludf.DUMMYFUNCTION("""COMPUTED_VALUE"""),"Hybrid Working Environment with more than 15 days a month at office")</f>
        <v>Hybrid Working Environment with more than 15 days a month at office</v>
      </c>
      <c r="L1692" s="1" t="str">
        <f ca="1">IFERROR(__xludf.DUMMYFUNCTION("""COMPUTED_VALUE"""),"Employer who pushes your limits by enabling an learning environment, and rewards you at the end")</f>
        <v>Employer who pushes your limits by enabling an learning environment, and rewards you at the end</v>
      </c>
      <c r="M16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N1692" s="1"/>
      <c r="O1692" s="1" t="str">
        <f ca="1">IFERROR(__xludf.DUMMYFUNCTION("""COMPUTED_VALUE"""),"Manager who explains what is expected, sets a goal and helps achieve it")</f>
        <v>Manager who explains what is expected, sets a goal and helps achieve it</v>
      </c>
      <c r="P1692" s="1" t="str">
        <f ca="1">IFERROR(__xludf.DUMMYFUNCTION("""COMPUTED_VALUE"""),"Work &lt;=6 People in the Team")</f>
        <v>Work &lt;=6 People in the Team</v>
      </c>
      <c r="Q1692" s="1" t="s">
        <v>40</v>
      </c>
      <c r="R1692" s="1"/>
    </row>
    <row r="1693" spans="1:18" x14ac:dyDescent="0.25">
      <c r="A1693" s="2">
        <f ca="1">IFERROR(__xludf.DUMMYFUNCTION("""COMPUTED_VALUE"""),45047.3243079166)</f>
        <v>45047.324307916599</v>
      </c>
      <c r="B1693" s="1" t="str">
        <f ca="1">IFERROR(__xludf.DUMMYFUNCTION("""COMPUTED_VALUE"""),"India")</f>
        <v>India</v>
      </c>
      <c r="C1693" s="1">
        <f ca="1">IFERROR(__xludf.DUMMYFUNCTION("""COMPUTED_VALUE"""),587102)</f>
        <v>587102</v>
      </c>
      <c r="D1693" s="1" t="str">
        <f ca="1">IFERROR(__xludf.DUMMYFUNCTION("""COMPUTED_VALUE"""),"Male")</f>
        <v>Male</v>
      </c>
      <c r="E1693" s="1" t="str">
        <f ca="1">IFERROR(__xludf.DUMMYFUNCTION("""COMPUTED_VALUE"""),"Social Media like LinkedIn")</f>
        <v>Social Media like LinkedIn</v>
      </c>
      <c r="F1693" s="1" t="str">
        <f ca="1">IFERROR(__xludf.DUMMYFUNCTION("""COMPUTED_VALUE"""),"No I would not be pursuing Higher Education outside of India")</f>
        <v>No I would not be pursuing Higher Education outside of India</v>
      </c>
      <c r="G1693" s="1" t="str">
        <f ca="1">IFERROR(__xludf.DUMMYFUNCTION("""COMPUTED_VALUE"""),"Will work for 3 years or more")</f>
        <v>Will work for 3 years or more</v>
      </c>
      <c r="H1693" s="1" t="str">
        <f ca="1">IFERROR(__xludf.DUMMYFUNCTION("""COMPUTED_VALUE"""),"No")</f>
        <v>No</v>
      </c>
      <c r="I1693" s="1" t="str">
        <f ca="1">IFERROR(__xludf.DUMMYFUNCTION("""COMPUTED_VALUE"""),"Will NOT work for them")</f>
        <v>Will NOT work for them</v>
      </c>
      <c r="J1693" s="1">
        <f ca="1">IFERROR(__xludf.DUMMYFUNCTION("""COMPUTED_VALUE"""),5)</f>
        <v>5</v>
      </c>
      <c r="K1693" s="1" t="str">
        <f ca="1">IFERROR(__xludf.DUMMYFUNCTION("""COMPUTED_VALUE"""),"Fully Remote with No option to visit offices")</f>
        <v>Fully Remote with No option to visit offices</v>
      </c>
      <c r="L1693" s="1" t="str">
        <f ca="1">IFERROR(__xludf.DUMMYFUNCTION("""COMPUTED_VALUE"""),"Employer who pushes your limits by enabling an learning environment, and rewards you at the end")</f>
        <v>Employer who pushes your limits by enabling an learning environment, and rewards you at the end</v>
      </c>
      <c r="M169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N1693" s="1"/>
      <c r="O1693" s="1" t="str">
        <f ca="1">IFERROR(__xludf.DUMMYFUNCTION("""COMPUTED_VALUE"""),"Manager who sets goal and helps me achieve it")</f>
        <v>Manager who sets goal and helps me achieve it</v>
      </c>
      <c r="P1693" s="1" t="str">
        <f ca="1">IFERROR(__xludf.DUMMYFUNCTION("""COMPUTED_VALUE"""),"Work alone, Work &gt;10 people in Team")</f>
        <v>Work alone, Work &gt;10 people in Team</v>
      </c>
      <c r="Q1693" s="1" t="s">
        <v>43</v>
      </c>
      <c r="R1693" s="1"/>
    </row>
    <row r="1694" spans="1:18" x14ac:dyDescent="0.25">
      <c r="A1694" s="2">
        <f ca="1">IFERROR(__xludf.DUMMYFUNCTION("""COMPUTED_VALUE"""),45047.3627345601)</f>
        <v>45047.362734560098</v>
      </c>
      <c r="B1694" s="1" t="str">
        <f ca="1">IFERROR(__xludf.DUMMYFUNCTION("""COMPUTED_VALUE"""),"India")</f>
        <v>India</v>
      </c>
      <c r="C1694" s="1">
        <f ca="1">IFERROR(__xludf.DUMMYFUNCTION("""COMPUTED_VALUE"""),530068)</f>
        <v>530068</v>
      </c>
      <c r="D1694" s="1" t="str">
        <f ca="1">IFERROR(__xludf.DUMMYFUNCTION("""COMPUTED_VALUE"""),"Male")</f>
        <v>Male</v>
      </c>
      <c r="E1694" s="1" t="str">
        <f ca="1">IFERROR(__xludf.DUMMYFUNCTION("""COMPUTED_VALUE"""),"People who have changed the world for better")</f>
        <v>People who have changed the world for better</v>
      </c>
      <c r="F1694" s="1" t="str">
        <f ca="1">IFERROR(__xludf.DUMMYFUNCTION("""COMPUTED_VALUE"""),"No I would not be pursuing Higher Education outside of India")</f>
        <v>No I would not be pursuing Higher Education outside of India</v>
      </c>
      <c r="G1694" s="1" t="str">
        <f ca="1">IFERROR(__xludf.DUMMYFUNCTION("""COMPUTED_VALUE"""),"This will be hard to do, but if it is the right company I would try")</f>
        <v>This will be hard to do, but if it is the right company I would try</v>
      </c>
      <c r="H1694" s="1" t="str">
        <f ca="1">IFERROR(__xludf.DUMMYFUNCTION("""COMPUTED_VALUE"""),"Yes")</f>
        <v>Yes</v>
      </c>
      <c r="I1694" s="1" t="str">
        <f ca="1">IFERROR(__xludf.DUMMYFUNCTION("""COMPUTED_VALUE"""),"Will NOT work for them")</f>
        <v>Will NOT work for them</v>
      </c>
      <c r="J1694" s="1">
        <f ca="1">IFERROR(__xludf.DUMMYFUNCTION("""COMPUTED_VALUE"""),5)</f>
        <v>5</v>
      </c>
      <c r="K1694" s="1" t="str">
        <f ca="1">IFERROR(__xludf.DUMMYFUNCTION("""COMPUTED_VALUE"""),"Fully Remote with Options to travel as and when needed")</f>
        <v>Fully Remote with Options to travel as and when needed</v>
      </c>
      <c r="L1694" s="1" t="str">
        <f ca="1">IFERROR(__xludf.DUMMYFUNCTION("""COMPUTED_VALUE"""),"Employer who appreciates learning and enables that environment")</f>
        <v>Employer who appreciates learning and enables that environment</v>
      </c>
      <c r="M1694"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N1694" s="1"/>
      <c r="O1694" s="1" t="str">
        <f ca="1">IFERROR(__xludf.DUMMYFUNCTION("""COMPUTED_VALUE"""),"Manager who sets goal and helps me achieve it")</f>
        <v>Manager who sets goal and helps me achieve it</v>
      </c>
      <c r="P1694" s="1" t="str">
        <f ca="1">IFERROR(__xludf.DUMMYFUNCTION("""COMPUTED_VALUE"""),"Work &lt;=6 People in the Team")</f>
        <v>Work &lt;=6 People in the Team</v>
      </c>
      <c r="Q1694" s="1" t="s">
        <v>43</v>
      </c>
      <c r="R1694" s="1"/>
    </row>
    <row r="1695" spans="1:18" x14ac:dyDescent="0.25">
      <c r="A1695" s="2">
        <f ca="1">IFERROR(__xludf.DUMMYFUNCTION("""COMPUTED_VALUE"""),45047.3815643055)</f>
        <v>45047.381564305499</v>
      </c>
      <c r="B1695" s="1" t="str">
        <f ca="1">IFERROR(__xludf.DUMMYFUNCTION("""COMPUTED_VALUE"""),"India")</f>
        <v>India</v>
      </c>
      <c r="C1695" s="1">
        <f ca="1">IFERROR(__xludf.DUMMYFUNCTION("""COMPUTED_VALUE"""),456010)</f>
        <v>456010</v>
      </c>
      <c r="D1695" s="1" t="str">
        <f ca="1">IFERROR(__xludf.DUMMYFUNCTION("""COMPUTED_VALUE"""),"Male")</f>
        <v>Male</v>
      </c>
      <c r="E1695" s="1" t="str">
        <f ca="1">IFERROR(__xludf.DUMMYFUNCTION("""COMPUTED_VALUE"""),"People who have changed the world for better")</f>
        <v>People who have changed the world for better</v>
      </c>
      <c r="F1695" s="1" t="str">
        <f ca="1">IFERROR(__xludf.DUMMYFUNCTION("""COMPUTED_VALUE"""),"Yes, I will earn and do that")</f>
        <v>Yes, I will earn and do that</v>
      </c>
      <c r="G1695" s="1" t="str">
        <f ca="1">IFERROR(__xludf.DUMMYFUNCTION("""COMPUTED_VALUE"""),"Will work for 3 years or more")</f>
        <v>Will work for 3 years or more</v>
      </c>
      <c r="H1695" s="1" t="str">
        <f ca="1">IFERROR(__xludf.DUMMYFUNCTION("""COMPUTED_VALUE"""),"Yes")</f>
        <v>Yes</v>
      </c>
      <c r="I1695" s="1" t="str">
        <f ca="1">IFERROR(__xludf.DUMMYFUNCTION("""COMPUTED_VALUE"""),"Will work for them")</f>
        <v>Will work for them</v>
      </c>
      <c r="J1695" s="1">
        <f ca="1">IFERROR(__xludf.DUMMYFUNCTION("""COMPUTED_VALUE"""),6)</f>
        <v>6</v>
      </c>
      <c r="K1695" s="1" t="str">
        <f ca="1">IFERROR(__xludf.DUMMYFUNCTION("""COMPUTED_VALUE"""),"Every Day Office Environment")</f>
        <v>Every Day Office Environment</v>
      </c>
      <c r="L1695" s="1" t="str">
        <f ca="1">IFERROR(__xludf.DUMMYFUNCTION("""COMPUTED_VALUE"""),"Employer who pushes your limits by enabling an learning environment, and rewards you at the end")</f>
        <v>Employer who pushes your limits by enabling an learning environment, and rewards you at the end</v>
      </c>
      <c r="M1695"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N1695" s="1"/>
      <c r="O1695" s="1" t="str">
        <f ca="1">IFERROR(__xludf.DUMMYFUNCTION("""COMPUTED_VALUE"""),"Manager who sets targets and expects me to achieve it")</f>
        <v>Manager who sets targets and expects me to achieve it</v>
      </c>
      <c r="P1695" s="1" t="str">
        <f ca="1">IFERROR(__xludf.DUMMYFUNCTION("""COMPUTED_VALUE"""),"Work &gt;10 people in Team")</f>
        <v>Work &gt;10 people in Team</v>
      </c>
      <c r="Q1695" s="1" t="s">
        <v>40</v>
      </c>
      <c r="R1695" s="1"/>
    </row>
    <row r="1696" spans="1:18" x14ac:dyDescent="0.25">
      <c r="A1696" s="2">
        <f ca="1">IFERROR(__xludf.DUMMYFUNCTION("""COMPUTED_VALUE"""),45047.4022306133)</f>
        <v>45047.402230613297</v>
      </c>
      <c r="B1696" s="1" t="str">
        <f ca="1">IFERROR(__xludf.DUMMYFUNCTION("""COMPUTED_VALUE"""),"India")</f>
        <v>India</v>
      </c>
      <c r="C1696" s="1">
        <f ca="1">IFERROR(__xludf.DUMMYFUNCTION("""COMPUTED_VALUE"""),560045)</f>
        <v>560045</v>
      </c>
      <c r="D1696" s="1" t="str">
        <f ca="1">IFERROR(__xludf.DUMMYFUNCTION("""COMPUTED_VALUE"""),"Female")</f>
        <v>Female</v>
      </c>
      <c r="E1696" s="1" t="str">
        <f ca="1">IFERROR(__xludf.DUMMYFUNCTION("""COMPUTED_VALUE"""),"People from my circle, but not family members")</f>
        <v>People from my circle, but not family members</v>
      </c>
      <c r="F1696" s="1" t="str">
        <f ca="1">IFERROR(__xludf.DUMMYFUNCTION("""COMPUTED_VALUE"""),"Yes, I will earn and do that")</f>
        <v>Yes, I will earn and do that</v>
      </c>
      <c r="G1696" s="1" t="str">
        <f ca="1">IFERROR(__xludf.DUMMYFUNCTION("""COMPUTED_VALUE"""),"This will be hard to do, but if it is the right company I would try")</f>
        <v>This will be hard to do, but if it is the right company I would try</v>
      </c>
      <c r="H1696" s="1" t="str">
        <f ca="1">IFERROR(__xludf.DUMMYFUNCTION("""COMPUTED_VALUE"""),"No")</f>
        <v>No</v>
      </c>
      <c r="I1696" s="1" t="str">
        <f ca="1">IFERROR(__xludf.DUMMYFUNCTION("""COMPUTED_VALUE"""),"Will work for them")</f>
        <v>Will work for them</v>
      </c>
      <c r="J1696" s="1">
        <f ca="1">IFERROR(__xludf.DUMMYFUNCTION("""COMPUTED_VALUE"""),6)</f>
        <v>6</v>
      </c>
      <c r="K1696" s="1" t="str">
        <f ca="1">IFERROR(__xludf.DUMMYFUNCTION("""COMPUTED_VALUE"""),"Hybrid Working Environment with more than 15 days a month at office")</f>
        <v>Hybrid Working Environment with more than 15 days a month at office</v>
      </c>
      <c r="L1696" s="1" t="str">
        <f ca="1">IFERROR(__xludf.DUMMYFUNCTION("""COMPUTED_VALUE"""),"Employer who pushes your limits by enabling an learning environment, and rewards you at the end")</f>
        <v>Employer who pushes your limits by enabling an learning environment, and rewards you at the end</v>
      </c>
      <c r="M1696"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N1696" s="1"/>
      <c r="O1696" s="1" t="str">
        <f ca="1">IFERROR(__xludf.DUMMYFUNCTION("""COMPUTED_VALUE"""),"Manager who explains what is expected, sets a goal and helps achieve it")</f>
        <v>Manager who explains what is expected, sets a goal and helps achieve it</v>
      </c>
      <c r="P1696" s="1" t="str">
        <f ca="1">IFERROR(__xludf.DUMMYFUNCTION("""COMPUTED_VALUE"""),"Work &lt;=6 People in the Team")</f>
        <v>Work &lt;=6 People in the Team</v>
      </c>
      <c r="Q1696" s="1" t="s">
        <v>43</v>
      </c>
      <c r="R1696" s="1"/>
    </row>
    <row r="1697" spans="1:18" x14ac:dyDescent="0.25">
      <c r="A1697" s="2">
        <f ca="1">IFERROR(__xludf.DUMMYFUNCTION("""COMPUTED_VALUE"""),45047.4425448263)</f>
        <v>45047.442544826299</v>
      </c>
      <c r="B1697" s="1" t="str">
        <f ca="1">IFERROR(__xludf.DUMMYFUNCTION("""COMPUTED_VALUE"""),"India")</f>
        <v>India</v>
      </c>
      <c r="C1697" s="1">
        <f ca="1">IFERROR(__xludf.DUMMYFUNCTION("""COMPUTED_VALUE"""),605007)</f>
        <v>605007</v>
      </c>
      <c r="D1697" s="1" t="str">
        <f ca="1">IFERROR(__xludf.DUMMYFUNCTION("""COMPUTED_VALUE"""),"Female")</f>
        <v>Female</v>
      </c>
      <c r="E1697" s="1" t="str">
        <f ca="1">IFERROR(__xludf.DUMMYFUNCTION("""COMPUTED_VALUE"""),"People from my circle, but not family members")</f>
        <v>People from my circle, but not family members</v>
      </c>
      <c r="F1697" s="1" t="str">
        <f ca="1">IFERROR(__xludf.DUMMYFUNCTION("""COMPUTED_VALUE"""),"No, But if someone could bare the cost I will")</f>
        <v>No, But if someone could bare the cost I will</v>
      </c>
      <c r="G1697" s="1" t="str">
        <f ca="1">IFERROR(__xludf.DUMMYFUNCTION("""COMPUTED_VALUE"""),"This will be hard to do, but if it is the right company I would try")</f>
        <v>This will be hard to do, but if it is the right company I would try</v>
      </c>
      <c r="H1697" s="1" t="str">
        <f ca="1">IFERROR(__xludf.DUMMYFUNCTION("""COMPUTED_VALUE"""),"No")</f>
        <v>No</v>
      </c>
      <c r="I1697" s="1" t="str">
        <f ca="1">IFERROR(__xludf.DUMMYFUNCTION("""COMPUTED_VALUE"""),"Will NOT work for them")</f>
        <v>Will NOT work for them</v>
      </c>
      <c r="J1697" s="1">
        <f ca="1">IFERROR(__xludf.DUMMYFUNCTION("""COMPUTED_VALUE"""),5)</f>
        <v>5</v>
      </c>
      <c r="K1697" s="1" t="str">
        <f ca="1">IFERROR(__xludf.DUMMYFUNCTION("""COMPUTED_VALUE"""),"Hybrid Working Environment with less than 3 days a month at office")</f>
        <v>Hybrid Working Environment with less than 3 days a month at office</v>
      </c>
      <c r="L1697" s="1" t="str">
        <f ca="1">IFERROR(__xludf.DUMMYFUNCTION("""COMPUTED_VALUE"""),"Employer who rewards learning and enables that environment")</f>
        <v>Employer who rewards learning and enables that environment</v>
      </c>
      <c r="M1697"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N1697" s="1"/>
      <c r="O1697" s="1" t="str">
        <f ca="1">IFERROR(__xludf.DUMMYFUNCTION("""COMPUTED_VALUE"""),"Manager who explains what is expected, sets a goal and helps achieve it")</f>
        <v>Manager who explains what is expected, sets a goal and helps achieve it</v>
      </c>
      <c r="P1697" s="1" t="str">
        <f ca="1">IFERROR(__xludf.DUMMYFUNCTION("""COMPUTED_VALUE"""),"Work &lt;=6 People in the Team")</f>
        <v>Work &lt;=6 People in the Team</v>
      </c>
      <c r="Q1697" s="1" t="s">
        <v>40</v>
      </c>
      <c r="R1697" s="1"/>
    </row>
    <row r="1698" spans="1:18" x14ac:dyDescent="0.25">
      <c r="A1698" s="2">
        <f ca="1">IFERROR(__xludf.DUMMYFUNCTION("""COMPUTED_VALUE"""),45047.4549181597)</f>
        <v>45047.454918159703</v>
      </c>
      <c r="B1698" s="1" t="str">
        <f ca="1">IFERROR(__xludf.DUMMYFUNCTION("""COMPUTED_VALUE"""),"India")</f>
        <v>India</v>
      </c>
      <c r="C1698" s="1">
        <f ca="1">IFERROR(__xludf.DUMMYFUNCTION("""COMPUTED_VALUE"""),201002)</f>
        <v>201002</v>
      </c>
      <c r="D1698" s="1" t="str">
        <f ca="1">IFERROR(__xludf.DUMMYFUNCTION("""COMPUTED_VALUE"""),"Female")</f>
        <v>Female</v>
      </c>
      <c r="E1698" s="1" t="str">
        <f ca="1">IFERROR(__xludf.DUMMYFUNCTION("""COMPUTED_VALUE"""),"People from my circle, but not family members")</f>
        <v>People from my circle, but not family members</v>
      </c>
      <c r="F1698" s="1" t="str">
        <f ca="1">IFERROR(__xludf.DUMMYFUNCTION("""COMPUTED_VALUE"""),"No, But if someone could bare the cost I will")</f>
        <v>No, But if someone could bare the cost I will</v>
      </c>
      <c r="G1698" s="1" t="str">
        <f ca="1">IFERROR(__xludf.DUMMYFUNCTION("""COMPUTED_VALUE"""),"This will be hard to do, but if it is the right company I would try")</f>
        <v>This will be hard to do, but if it is the right company I would try</v>
      </c>
      <c r="H1698" s="1" t="str">
        <f ca="1">IFERROR(__xludf.DUMMYFUNCTION("""COMPUTED_VALUE"""),"No")</f>
        <v>No</v>
      </c>
      <c r="I1698" s="1" t="str">
        <f ca="1">IFERROR(__xludf.DUMMYFUNCTION("""COMPUTED_VALUE"""),"Will NOT work for them")</f>
        <v>Will NOT work for them</v>
      </c>
      <c r="J1698" s="1">
        <f ca="1">IFERROR(__xludf.DUMMYFUNCTION("""COMPUTED_VALUE"""),6)</f>
        <v>6</v>
      </c>
      <c r="K1698" s="1" t="str">
        <f ca="1">IFERROR(__xludf.DUMMYFUNCTION("""COMPUTED_VALUE"""),"Hybrid Working Environment with more than 15 days a month at office")</f>
        <v>Hybrid Working Environment with more than 15 days a month at office</v>
      </c>
      <c r="L1698" s="1" t="str">
        <f ca="1">IFERROR(__xludf.DUMMYFUNCTION("""COMPUTED_VALUE"""),"Employer who pushes your limits by enabling an learning environment, and rewards you at the end")</f>
        <v>Employer who pushes your limits by enabling an learning environment, and rewards you at the end</v>
      </c>
      <c r="M16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698" s="1"/>
      <c r="O1698" s="1" t="str">
        <f ca="1">IFERROR(__xludf.DUMMYFUNCTION("""COMPUTED_VALUE"""),"Manager who explains what is expected, sets a goal and helps achieve it")</f>
        <v>Manager who explains what is expected, sets a goal and helps achieve it</v>
      </c>
      <c r="P1698" s="1" t="str">
        <f ca="1">IFERROR(__xludf.DUMMYFUNCTION("""COMPUTED_VALUE"""),"Work &lt;=6 People in the Team")</f>
        <v>Work &lt;=6 People in the Team</v>
      </c>
      <c r="Q1698" s="1" t="s">
        <v>43</v>
      </c>
      <c r="R1698" s="1"/>
    </row>
    <row r="1699" spans="1:18" x14ac:dyDescent="0.25">
      <c r="A1699" s="2">
        <f ca="1">IFERROR(__xludf.DUMMYFUNCTION("""COMPUTED_VALUE"""),45047.4897973726)</f>
        <v>45047.489797372597</v>
      </c>
      <c r="B1699" s="1" t="str">
        <f ca="1">IFERROR(__xludf.DUMMYFUNCTION("""COMPUTED_VALUE"""),"India")</f>
        <v>India</v>
      </c>
      <c r="C1699" s="1">
        <f ca="1">IFERROR(__xludf.DUMMYFUNCTION("""COMPUTED_VALUE"""),530002)</f>
        <v>530002</v>
      </c>
      <c r="D1699" s="1" t="str">
        <f ca="1">IFERROR(__xludf.DUMMYFUNCTION("""COMPUTED_VALUE"""),"Male")</f>
        <v>Male</v>
      </c>
      <c r="E1699" s="1" t="str">
        <f ca="1">IFERROR(__xludf.DUMMYFUNCTION("""COMPUTED_VALUE"""),"People from my circle, but not family members")</f>
        <v>People from my circle, but not family members</v>
      </c>
      <c r="F1699" s="1" t="str">
        <f ca="1">IFERROR(__xludf.DUMMYFUNCTION("""COMPUTED_VALUE"""),"No, But if someone could bare the cost I will")</f>
        <v>No, But if someone could bare the cost I will</v>
      </c>
      <c r="G1699" s="1" t="str">
        <f ca="1">IFERROR(__xludf.DUMMYFUNCTION("""COMPUTED_VALUE"""),"Will work for 3 years or more")</f>
        <v>Will work for 3 years or more</v>
      </c>
      <c r="H1699" s="1" t="str">
        <f ca="1">IFERROR(__xludf.DUMMYFUNCTION("""COMPUTED_VALUE"""),"No")</f>
        <v>No</v>
      </c>
      <c r="I1699" s="1" t="str">
        <f ca="1">IFERROR(__xludf.DUMMYFUNCTION("""COMPUTED_VALUE"""),"Will NOT work for them")</f>
        <v>Will NOT work for them</v>
      </c>
      <c r="J1699" s="1">
        <f ca="1">IFERROR(__xludf.DUMMYFUNCTION("""COMPUTED_VALUE"""),2)</f>
        <v>2</v>
      </c>
      <c r="K1699" s="1" t="str">
        <f ca="1">IFERROR(__xludf.DUMMYFUNCTION("""COMPUTED_VALUE"""),"Fully Remote with Options to travel as and when needed")</f>
        <v>Fully Remote with Options to travel as and when needed</v>
      </c>
      <c r="L1699" s="1" t="str">
        <f ca="1">IFERROR(__xludf.DUMMYFUNCTION("""COMPUTED_VALUE"""),"Employer who rewards learning and enables that environment")</f>
        <v>Employer who rewards learning and enables that environment</v>
      </c>
      <c r="M16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N1699" s="1"/>
      <c r="O1699" s="1" t="str">
        <f ca="1">IFERROR(__xludf.DUMMYFUNCTION("""COMPUTED_VALUE"""),"Manager who sets goal and helps me achieve it")</f>
        <v>Manager who sets goal and helps me achieve it</v>
      </c>
      <c r="P1699" s="1" t="str">
        <f ca="1">IFERROR(__xludf.DUMMYFUNCTION("""COMPUTED_VALUE"""),"Work &lt;=6 People in the Team")</f>
        <v>Work &lt;=6 People in the Team</v>
      </c>
      <c r="Q1699" s="1" t="s">
        <v>40</v>
      </c>
      <c r="R1699" s="1"/>
    </row>
    <row r="1700" spans="1:18" x14ac:dyDescent="0.25">
      <c r="A1700" s="2">
        <f ca="1">IFERROR(__xludf.DUMMYFUNCTION("""COMPUTED_VALUE"""),45047.5106112963)</f>
        <v>45047.510611296297</v>
      </c>
      <c r="B1700" s="1" t="str">
        <f ca="1">IFERROR(__xludf.DUMMYFUNCTION("""COMPUTED_VALUE"""),"India")</f>
        <v>India</v>
      </c>
      <c r="C1700" s="1">
        <f ca="1">IFERROR(__xludf.DUMMYFUNCTION("""COMPUTED_VALUE"""),388001)</f>
        <v>388001</v>
      </c>
      <c r="D1700" s="1" t="str">
        <f ca="1">IFERROR(__xludf.DUMMYFUNCTION("""COMPUTED_VALUE"""),"Female")</f>
        <v>Female</v>
      </c>
      <c r="E1700" s="1" t="str">
        <f ca="1">IFERROR(__xludf.DUMMYFUNCTION("""COMPUTED_VALUE"""),"People from my circle, but not family members")</f>
        <v>People from my circle, but not family members</v>
      </c>
      <c r="F1700" s="1" t="str">
        <f ca="1">IFERROR(__xludf.DUMMYFUNCTION("""COMPUTED_VALUE"""),"No I would not be pursuing Higher Education outside of India")</f>
        <v>No I would not be pursuing Higher Education outside of India</v>
      </c>
      <c r="G1700" s="1" t="str">
        <f ca="1">IFERROR(__xludf.DUMMYFUNCTION("""COMPUTED_VALUE"""),"This will be hard to do, but if it is the right company I would try")</f>
        <v>This will be hard to do, but if it is the right company I would try</v>
      </c>
      <c r="H1700" s="1" t="str">
        <f ca="1">IFERROR(__xludf.DUMMYFUNCTION("""COMPUTED_VALUE"""),"No")</f>
        <v>No</v>
      </c>
      <c r="I1700" s="1" t="str">
        <f ca="1">IFERROR(__xludf.DUMMYFUNCTION("""COMPUTED_VALUE"""),"Will NOT work for them")</f>
        <v>Will NOT work for them</v>
      </c>
      <c r="J1700" s="1">
        <f ca="1">IFERROR(__xludf.DUMMYFUNCTION("""COMPUTED_VALUE"""),6)</f>
        <v>6</v>
      </c>
      <c r="K1700" s="1" t="str">
        <f ca="1">IFERROR(__xludf.DUMMYFUNCTION("""COMPUTED_VALUE"""),"Fully Remote with No option to visit offices")</f>
        <v>Fully Remote with No option to visit offices</v>
      </c>
      <c r="L1700" s="1" t="str">
        <f ca="1">IFERROR(__xludf.DUMMYFUNCTION("""COMPUTED_VALUE"""),"Employer who pushes your limits by enabling an learning environment, and rewards you at the end")</f>
        <v>Employer who pushes your limits by enabling an learning environment, and rewards you at the end</v>
      </c>
      <c r="M17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N1700" s="1"/>
      <c r="O1700" s="1" t="str">
        <f ca="1">IFERROR(__xludf.DUMMYFUNCTION("""COMPUTED_VALUE"""),"Manager who explains what is expected, sets a goal and helps achieve it")</f>
        <v>Manager who explains what is expected, sets a goal and helps achieve it</v>
      </c>
      <c r="P1700" s="1" t="str">
        <f ca="1">IFERROR(__xludf.DUMMYFUNCTION("""COMPUTED_VALUE"""),"Work &lt;=6 People in the Team")</f>
        <v>Work &lt;=6 People in the Team</v>
      </c>
      <c r="Q1700" s="1" t="s">
        <v>43</v>
      </c>
      <c r="R1700" s="1"/>
    </row>
    <row r="1701" spans="1:18" x14ac:dyDescent="0.25">
      <c r="A1701" s="2">
        <f ca="1">IFERROR(__xludf.DUMMYFUNCTION("""COMPUTED_VALUE"""),45047.5191983217)</f>
        <v>45047.519198321701</v>
      </c>
      <c r="B1701" s="1" t="str">
        <f ca="1">IFERROR(__xludf.DUMMYFUNCTION("""COMPUTED_VALUE"""),"India")</f>
        <v>India</v>
      </c>
      <c r="C1701" s="1">
        <f ca="1">IFERROR(__xludf.DUMMYFUNCTION("""COMPUTED_VALUE"""),679103)</f>
        <v>679103</v>
      </c>
      <c r="D1701" s="1" t="str">
        <f ca="1">IFERROR(__xludf.DUMMYFUNCTION("""COMPUTED_VALUE"""),"Male")</f>
        <v>Male</v>
      </c>
      <c r="E1701" s="1" t="str">
        <f ca="1">IFERROR(__xludf.DUMMYFUNCTION("""COMPUTED_VALUE"""),"My Parents")</f>
        <v>My Parents</v>
      </c>
      <c r="F1701" s="1" t="str">
        <f ca="1">IFERROR(__xludf.DUMMYFUNCTION("""COMPUTED_VALUE"""),"No I would not be pursuing Higher Education outside of India")</f>
        <v>No I would not be pursuing Higher Education outside of India</v>
      </c>
      <c r="G1701" s="1" t="str">
        <f ca="1">IFERROR(__xludf.DUMMYFUNCTION("""COMPUTED_VALUE"""),"No way")</f>
        <v>No way</v>
      </c>
      <c r="H1701" s="1" t="str">
        <f ca="1">IFERROR(__xludf.DUMMYFUNCTION("""COMPUTED_VALUE"""),"No")</f>
        <v>No</v>
      </c>
      <c r="I1701" s="1" t="str">
        <f ca="1">IFERROR(__xludf.DUMMYFUNCTION("""COMPUTED_VALUE"""),"Will NOT work for them")</f>
        <v>Will NOT work for them</v>
      </c>
      <c r="J1701" s="1">
        <f ca="1">IFERROR(__xludf.DUMMYFUNCTION("""COMPUTED_VALUE"""),6)</f>
        <v>6</v>
      </c>
      <c r="K1701" s="1" t="str">
        <f ca="1">IFERROR(__xludf.DUMMYFUNCTION("""COMPUTED_VALUE"""),"Fully Remote with Options to travel as and when needed")</f>
        <v>Fully Remote with Options to travel as and when needed</v>
      </c>
      <c r="L1701" s="1" t="str">
        <f ca="1">IFERROR(__xludf.DUMMYFUNCTION("""COMPUTED_VALUE"""),"Employers who appreciates learning but doesn't enables an learning environment")</f>
        <v>Employers who appreciates learning but doesn't enables an learning environment</v>
      </c>
      <c r="M170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1701" s="1"/>
      <c r="O1701" s="1" t="str">
        <f ca="1">IFERROR(__xludf.DUMMYFUNCTION("""COMPUTED_VALUE"""),"Manager who sets unrealistic targets")</f>
        <v>Manager who sets unrealistic targets</v>
      </c>
      <c r="P1701" s="1" t="str">
        <f ca="1">IFERROR(__xludf.DUMMYFUNCTION("""COMPUTED_VALUE"""),"Work &gt;10 people in Team")</f>
        <v>Work &gt;10 people in Team</v>
      </c>
      <c r="Q1701" s="1" t="s">
        <v>44</v>
      </c>
      <c r="R1701" s="1"/>
    </row>
    <row r="1702" spans="1:18" x14ac:dyDescent="0.25">
      <c r="A1702" s="2">
        <f ca="1">IFERROR(__xludf.DUMMYFUNCTION("""COMPUTED_VALUE"""),45047.5199075578)</f>
        <v>45047.519907557798</v>
      </c>
      <c r="B1702" s="1" t="str">
        <f ca="1">IFERROR(__xludf.DUMMYFUNCTION("""COMPUTED_VALUE"""),"India")</f>
        <v>India</v>
      </c>
      <c r="C1702" s="1">
        <f ca="1">IFERROR(__xludf.DUMMYFUNCTION("""COMPUTED_VALUE"""),678008)</f>
        <v>678008</v>
      </c>
      <c r="D1702" s="1" t="str">
        <f ca="1">IFERROR(__xludf.DUMMYFUNCTION("""COMPUTED_VALUE"""),"Male")</f>
        <v>Male</v>
      </c>
      <c r="E1702" s="1" t="str">
        <f ca="1">IFERROR(__xludf.DUMMYFUNCTION("""COMPUTED_VALUE"""),"Social Media like LinkedIn")</f>
        <v>Social Media like LinkedIn</v>
      </c>
      <c r="F1702" s="1" t="str">
        <f ca="1">IFERROR(__xludf.DUMMYFUNCTION("""COMPUTED_VALUE"""),"Yes, I will earn and do that")</f>
        <v>Yes, I will earn and do that</v>
      </c>
      <c r="G1702" s="1" t="str">
        <f ca="1">IFERROR(__xludf.DUMMYFUNCTION("""COMPUTED_VALUE"""),"Will work for 3 years or more")</f>
        <v>Will work for 3 years or more</v>
      </c>
      <c r="H1702" s="1" t="str">
        <f ca="1">IFERROR(__xludf.DUMMYFUNCTION("""COMPUTED_VALUE"""),"No")</f>
        <v>No</v>
      </c>
      <c r="I1702" s="1" t="str">
        <f ca="1">IFERROR(__xludf.DUMMYFUNCTION("""COMPUTED_VALUE"""),"Will NOT work for them")</f>
        <v>Will NOT work for them</v>
      </c>
      <c r="J1702" s="1">
        <f ca="1">IFERROR(__xludf.DUMMYFUNCTION("""COMPUTED_VALUE"""),9)</f>
        <v>9</v>
      </c>
      <c r="K1702" s="1" t="str">
        <f ca="1">IFERROR(__xludf.DUMMYFUNCTION("""COMPUTED_VALUE"""),"Hybrid Working Environment with less than 3 days a month at office")</f>
        <v>Hybrid Working Environment with less than 3 days a month at office</v>
      </c>
      <c r="L1702" s="1" t="str">
        <f ca="1">IFERROR(__xludf.DUMMYFUNCTION("""COMPUTED_VALUE"""),"Employer who appreciates learning and enables that environment")</f>
        <v>Employer who appreciates learning and enables that environment</v>
      </c>
      <c r="M170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N1702" s="1"/>
      <c r="O1702" s="1" t="str">
        <f ca="1">IFERROR(__xludf.DUMMYFUNCTION("""COMPUTED_VALUE"""),"Manager who explains what is expected, sets a goal and helps achieve it")</f>
        <v>Manager who explains what is expected, sets a goal and helps achieve it</v>
      </c>
      <c r="P1702" s="1" t="str">
        <f ca="1">IFERROR(__xludf.DUMMYFUNCTION("""COMPUTED_VALUE"""),"Work &lt;=6 People in the Team")</f>
        <v>Work &lt;=6 People in the Team</v>
      </c>
      <c r="Q1702" s="1" t="s">
        <v>43</v>
      </c>
      <c r="R1702" s="1"/>
    </row>
    <row r="1703" spans="1:18" x14ac:dyDescent="0.25">
      <c r="A1703" s="2">
        <f ca="1">IFERROR(__xludf.DUMMYFUNCTION("""COMPUTED_VALUE"""),45047.52076603)</f>
        <v>45047.52076603</v>
      </c>
      <c r="B1703" s="1" t="str">
        <f ca="1">IFERROR(__xludf.DUMMYFUNCTION("""COMPUTED_VALUE"""),"India")</f>
        <v>India</v>
      </c>
      <c r="C1703" s="1">
        <f ca="1">IFERROR(__xludf.DUMMYFUNCTION("""COMPUTED_VALUE"""),560016)</f>
        <v>560016</v>
      </c>
      <c r="D1703" s="1" t="str">
        <f ca="1">IFERROR(__xludf.DUMMYFUNCTION("""COMPUTED_VALUE"""),"Female")</f>
        <v>Female</v>
      </c>
      <c r="E1703" s="1" t="str">
        <f ca="1">IFERROR(__xludf.DUMMYFUNCTION("""COMPUTED_VALUE"""),"Influencers who had successful careers")</f>
        <v>Influencers who had successful careers</v>
      </c>
      <c r="F1703" s="1" t="str">
        <f ca="1">IFERROR(__xludf.DUMMYFUNCTION("""COMPUTED_VALUE"""),"No I would not be pursuing Higher Education outside of India")</f>
        <v>No I would not be pursuing Higher Education outside of India</v>
      </c>
      <c r="G1703" s="1" t="str">
        <f ca="1">IFERROR(__xludf.DUMMYFUNCTION("""COMPUTED_VALUE"""),"Will work for 3 years or more")</f>
        <v>Will work for 3 years or more</v>
      </c>
      <c r="H1703" s="1" t="str">
        <f ca="1">IFERROR(__xludf.DUMMYFUNCTION("""COMPUTED_VALUE"""),"No")</f>
        <v>No</v>
      </c>
      <c r="I1703" s="1" t="str">
        <f ca="1">IFERROR(__xludf.DUMMYFUNCTION("""COMPUTED_VALUE"""),"Will NOT work for them")</f>
        <v>Will NOT work for them</v>
      </c>
      <c r="J1703" s="1">
        <f ca="1">IFERROR(__xludf.DUMMYFUNCTION("""COMPUTED_VALUE"""),5)</f>
        <v>5</v>
      </c>
      <c r="K1703" s="1" t="str">
        <f ca="1">IFERROR(__xludf.DUMMYFUNCTION("""COMPUTED_VALUE"""),"Fully Remote with Options to travel as and when needed")</f>
        <v>Fully Remote with Options to travel as and when needed</v>
      </c>
      <c r="L1703" s="1" t="str">
        <f ca="1">IFERROR(__xludf.DUMMYFUNCTION("""COMPUTED_VALUE"""),"Employer who appreciates learning and enables that environment")</f>
        <v>Employer who appreciates learning and enables that environment</v>
      </c>
      <c r="M1703"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N1703" s="1"/>
      <c r="O1703" s="1" t="str">
        <f ca="1">IFERROR(__xludf.DUMMYFUNCTION("""COMPUTED_VALUE"""),"Manager who explains what is expected, sets a goal and helps achieve it")</f>
        <v>Manager who explains what is expected, sets a goal and helps achieve it</v>
      </c>
      <c r="P1703" s="1" t="str">
        <f ca="1">IFERROR(__xludf.DUMMYFUNCTION("""COMPUTED_VALUE"""),"Work &lt;=6 People in the Team")</f>
        <v>Work &lt;=6 People in the Team</v>
      </c>
      <c r="Q1703" s="1" t="s">
        <v>42</v>
      </c>
      <c r="R1703" s="1"/>
    </row>
    <row r="1704" spans="1:18" x14ac:dyDescent="0.25">
      <c r="A1704" s="2">
        <f ca="1">IFERROR(__xludf.DUMMYFUNCTION("""COMPUTED_VALUE"""),45047.5449521064)</f>
        <v>45047.5449521064</v>
      </c>
      <c r="B1704" s="1" t="str">
        <f ca="1">IFERROR(__xludf.DUMMYFUNCTION("""COMPUTED_VALUE"""),"India")</f>
        <v>India</v>
      </c>
      <c r="C1704" s="1">
        <f ca="1">IFERROR(__xludf.DUMMYFUNCTION("""COMPUTED_VALUE"""),572120)</f>
        <v>572120</v>
      </c>
      <c r="D1704" s="1" t="str">
        <f ca="1">IFERROR(__xludf.DUMMYFUNCTION("""COMPUTED_VALUE"""),"Male")</f>
        <v>Male</v>
      </c>
      <c r="E1704" s="1" t="str">
        <f ca="1">IFERROR(__xludf.DUMMYFUNCTION("""COMPUTED_VALUE"""),"Social Media like LinkedIn")</f>
        <v>Social Media like LinkedIn</v>
      </c>
      <c r="F1704" s="1" t="str">
        <f ca="1">IFERROR(__xludf.DUMMYFUNCTION("""COMPUTED_VALUE"""),"Yes, I will earn and do that")</f>
        <v>Yes, I will earn and do that</v>
      </c>
      <c r="G1704" s="1" t="str">
        <f ca="1">IFERROR(__xludf.DUMMYFUNCTION("""COMPUTED_VALUE"""),"This will be hard to do, but if it is the right company I would try")</f>
        <v>This will be hard to do, but if it is the right company I would try</v>
      </c>
      <c r="H1704" s="1" t="str">
        <f ca="1">IFERROR(__xludf.DUMMYFUNCTION("""COMPUTED_VALUE"""),"No")</f>
        <v>No</v>
      </c>
      <c r="I1704" s="1" t="str">
        <f ca="1">IFERROR(__xludf.DUMMYFUNCTION("""COMPUTED_VALUE"""),"Will NOT work for them")</f>
        <v>Will NOT work for them</v>
      </c>
      <c r="J1704" s="1">
        <f ca="1">IFERROR(__xludf.DUMMYFUNCTION("""COMPUTED_VALUE"""),8)</f>
        <v>8</v>
      </c>
      <c r="K1704" s="1" t="str">
        <f ca="1">IFERROR(__xludf.DUMMYFUNCTION("""COMPUTED_VALUE"""),"Hybrid Working Environment with more than 15 days a month at office")</f>
        <v>Hybrid Working Environment with more than 15 days a month at office</v>
      </c>
      <c r="L1704" s="1" t="str">
        <f ca="1">IFERROR(__xludf.DUMMYFUNCTION("""COMPUTED_VALUE"""),"Employer who rewards learning and enables that environment")</f>
        <v>Employer who rewards learning and enables that environment</v>
      </c>
      <c r="M1704" s="1" t="str">
        <f ca="1">IFERROR(__xludf.DUMMYFUNCTION("""COMPUTED_VALUE"""),"Build and develop a Team, Look deeply into Data and generate insights, An Artificial Intelligence Specialist / Talking to Robots, Manufacturing / Oil and Gas/ Construction / Hard Physical Work related")</f>
        <v>Build and develop a Team, Look deeply into Data and generate insights, An Artificial Intelligence Specialist / Talking to Robots, Manufacturing / Oil and Gas/ Construction / Hard Physical Work related</v>
      </c>
      <c r="N1704" s="1"/>
      <c r="O1704" s="1" t="str">
        <f ca="1">IFERROR(__xludf.DUMMYFUNCTION("""COMPUTED_VALUE"""),"Manager who sets goal and helps me achieve it")</f>
        <v>Manager who sets goal and helps me achieve it</v>
      </c>
      <c r="P1704" s="1" t="str">
        <f ca="1">IFERROR(__xludf.DUMMYFUNCTION("""COMPUTED_VALUE"""),"Work &lt;=6 People in the Team")</f>
        <v>Work &lt;=6 People in the Team</v>
      </c>
      <c r="Q1704" s="1" t="s">
        <v>40</v>
      </c>
      <c r="R1704" s="1"/>
    </row>
    <row r="1705" spans="1:18" x14ac:dyDescent="0.25">
      <c r="A1705" s="2">
        <f ca="1">IFERROR(__xludf.DUMMYFUNCTION("""COMPUTED_VALUE"""),45047.6028984953)</f>
        <v>45047.602898495301</v>
      </c>
      <c r="B1705" s="1" t="str">
        <f ca="1">IFERROR(__xludf.DUMMYFUNCTION("""COMPUTED_VALUE"""),"India")</f>
        <v>India</v>
      </c>
      <c r="C1705" s="1">
        <f ca="1">IFERROR(__xludf.DUMMYFUNCTION("""COMPUTED_VALUE"""),679101)</f>
        <v>679101</v>
      </c>
      <c r="D1705" s="1" t="str">
        <f ca="1">IFERROR(__xludf.DUMMYFUNCTION("""COMPUTED_VALUE"""),"Female")</f>
        <v>Female</v>
      </c>
      <c r="E1705" s="1" t="str">
        <f ca="1">IFERROR(__xludf.DUMMYFUNCTION("""COMPUTED_VALUE"""),"My Parents")</f>
        <v>My Parents</v>
      </c>
      <c r="F1705" s="1" t="str">
        <f ca="1">IFERROR(__xludf.DUMMYFUNCTION("""COMPUTED_VALUE"""),"Yes, I will earn and do that")</f>
        <v>Yes, I will earn and do that</v>
      </c>
      <c r="G1705" s="1" t="str">
        <f ca="1">IFERROR(__xludf.DUMMYFUNCTION("""COMPUTED_VALUE"""),"Will work for 3 years or more")</f>
        <v>Will work for 3 years or more</v>
      </c>
      <c r="H1705" s="1" t="str">
        <f ca="1">IFERROR(__xludf.DUMMYFUNCTION("""COMPUTED_VALUE"""),"Yes")</f>
        <v>Yes</v>
      </c>
      <c r="I1705" s="1" t="str">
        <f ca="1">IFERROR(__xludf.DUMMYFUNCTION("""COMPUTED_VALUE"""),"Will NOT work for them")</f>
        <v>Will NOT work for them</v>
      </c>
      <c r="J1705" s="1">
        <f ca="1">IFERROR(__xludf.DUMMYFUNCTION("""COMPUTED_VALUE"""),1)</f>
        <v>1</v>
      </c>
      <c r="K1705" s="1" t="str">
        <f ca="1">IFERROR(__xludf.DUMMYFUNCTION("""COMPUTED_VALUE"""),"Every Day Office Environment")</f>
        <v>Every Day Office Environment</v>
      </c>
      <c r="L1705" s="1" t="str">
        <f ca="1">IFERROR(__xludf.DUMMYFUNCTION("""COMPUTED_VALUE"""),"Employer who pushes your limits and doesn't enables learning environment and never rewards you")</f>
        <v>Employer who pushes your limits and doesn't enables learning environment and never rewards you</v>
      </c>
      <c r="M1705"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N1705" s="1"/>
      <c r="O1705" s="1" t="str">
        <f ca="1">IFERROR(__xludf.DUMMYFUNCTION("""COMPUTED_VALUE"""),"Manager who sets goal and helps me achieve it")</f>
        <v>Manager who sets goal and helps me achieve it</v>
      </c>
      <c r="P1705" s="1" t="str">
        <f ca="1">IFERROR(__xludf.DUMMYFUNCTION("""COMPUTED_VALUE"""),"Work &lt;=6 People in the Team")</f>
        <v>Work &lt;=6 People in the Team</v>
      </c>
      <c r="Q1705" s="1" t="s">
        <v>40</v>
      </c>
      <c r="R1705" s="1"/>
    </row>
    <row r="1706" spans="1:18" x14ac:dyDescent="0.25">
      <c r="A1706" s="2">
        <f ca="1">IFERROR(__xludf.DUMMYFUNCTION("""COMPUTED_VALUE"""),45047.6218276157)</f>
        <v>45047.621827615701</v>
      </c>
      <c r="B1706" s="1" t="str">
        <f ca="1">IFERROR(__xludf.DUMMYFUNCTION("""COMPUTED_VALUE"""),"India")</f>
        <v>India</v>
      </c>
      <c r="C1706" s="1">
        <f ca="1">IFERROR(__xludf.DUMMYFUNCTION("""COMPUTED_VALUE"""),827012)</f>
        <v>827012</v>
      </c>
      <c r="D1706" s="1" t="str">
        <f ca="1">IFERROR(__xludf.DUMMYFUNCTION("""COMPUTED_VALUE"""),"Male")</f>
        <v>Male</v>
      </c>
      <c r="E1706" s="1" t="str">
        <f ca="1">IFERROR(__xludf.DUMMYFUNCTION("""COMPUTED_VALUE"""),"Social Media like LinkedIn")</f>
        <v>Social Media like LinkedIn</v>
      </c>
      <c r="F1706" s="1" t="str">
        <f ca="1">IFERROR(__xludf.DUMMYFUNCTION("""COMPUTED_VALUE"""),"Yes, I will earn and do that")</f>
        <v>Yes, I will earn and do that</v>
      </c>
      <c r="G1706" s="1" t="str">
        <f ca="1">IFERROR(__xludf.DUMMYFUNCTION("""COMPUTED_VALUE"""),"This will be hard to do, but if it is the right company I would try")</f>
        <v>This will be hard to do, but if it is the right company I would try</v>
      </c>
      <c r="H1706" s="1" t="str">
        <f ca="1">IFERROR(__xludf.DUMMYFUNCTION("""COMPUTED_VALUE"""),"No")</f>
        <v>No</v>
      </c>
      <c r="I1706" s="1" t="str">
        <f ca="1">IFERROR(__xludf.DUMMYFUNCTION("""COMPUTED_VALUE"""),"Will work for them")</f>
        <v>Will work for them</v>
      </c>
      <c r="J1706" s="1">
        <f ca="1">IFERROR(__xludf.DUMMYFUNCTION("""COMPUTED_VALUE"""),6)</f>
        <v>6</v>
      </c>
      <c r="K1706" s="1" t="str">
        <f ca="1">IFERROR(__xludf.DUMMYFUNCTION("""COMPUTED_VALUE"""),"Hybrid Working Environment with less than 3 days a month at office")</f>
        <v>Hybrid Working Environment with less than 3 days a month at office</v>
      </c>
      <c r="L1706" s="1" t="str">
        <f ca="1">IFERROR(__xludf.DUMMYFUNCTION("""COMPUTED_VALUE"""),"Employer who pushes your limits by enabling an learning environment, and rewards you at the end")</f>
        <v>Employer who pushes your limits by enabling an learning environment, and rewards you at the end</v>
      </c>
      <c r="M1706"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N1706" s="1"/>
      <c r="O1706" s="1" t="str">
        <f ca="1">IFERROR(__xludf.DUMMYFUNCTION("""COMPUTED_VALUE"""),"Manager who explains what is expected, sets a goal and helps achieve it")</f>
        <v>Manager who explains what is expected, sets a goal and helps achieve it</v>
      </c>
      <c r="P1706" s="1" t="str">
        <f ca="1">IFERROR(__xludf.DUMMYFUNCTION("""COMPUTED_VALUE"""),"Work &gt;=7 People in the Team")</f>
        <v>Work &gt;=7 People in the Team</v>
      </c>
      <c r="Q1706" s="1" t="s">
        <v>40</v>
      </c>
      <c r="R1706" s="1"/>
    </row>
    <row r="1707" spans="1:18" x14ac:dyDescent="0.25">
      <c r="A1707" s="2">
        <f ca="1">IFERROR(__xludf.DUMMYFUNCTION("""COMPUTED_VALUE"""),45047.6227852199)</f>
        <v>45047.622785219901</v>
      </c>
      <c r="B1707" s="1" t="str">
        <f ca="1">IFERROR(__xludf.DUMMYFUNCTION("""COMPUTED_VALUE"""),"India")</f>
        <v>India</v>
      </c>
      <c r="C1707" s="1">
        <f ca="1">IFERROR(__xludf.DUMMYFUNCTION("""COMPUTED_VALUE"""),827004)</f>
        <v>827004</v>
      </c>
      <c r="D1707" s="1" t="str">
        <f ca="1">IFERROR(__xludf.DUMMYFUNCTION("""COMPUTED_VALUE"""),"Male")</f>
        <v>Male</v>
      </c>
      <c r="E1707" s="1" t="str">
        <f ca="1">IFERROR(__xludf.DUMMYFUNCTION("""COMPUTED_VALUE"""),"My Parents")</f>
        <v>My Parents</v>
      </c>
      <c r="F1707" s="1" t="str">
        <f ca="1">IFERROR(__xludf.DUMMYFUNCTION("""COMPUTED_VALUE"""),"Yes, I will earn and do that")</f>
        <v>Yes, I will earn and do that</v>
      </c>
      <c r="G1707" s="1" t="str">
        <f ca="1">IFERROR(__xludf.DUMMYFUNCTION("""COMPUTED_VALUE"""),"This will be hard to do, but if it is the right company I would try")</f>
        <v>This will be hard to do, but if it is the right company I would try</v>
      </c>
      <c r="H1707" s="1" t="str">
        <f ca="1">IFERROR(__xludf.DUMMYFUNCTION("""COMPUTED_VALUE"""),"Yes")</f>
        <v>Yes</v>
      </c>
      <c r="I1707" s="1" t="str">
        <f ca="1">IFERROR(__xludf.DUMMYFUNCTION("""COMPUTED_VALUE"""),"Will work for them")</f>
        <v>Will work for them</v>
      </c>
      <c r="J1707" s="1">
        <f ca="1">IFERROR(__xludf.DUMMYFUNCTION("""COMPUTED_VALUE"""),1)</f>
        <v>1</v>
      </c>
      <c r="K1707" s="1" t="str">
        <f ca="1">IFERROR(__xludf.DUMMYFUNCTION("""COMPUTED_VALUE"""),"Every Day Office Environment")</f>
        <v>Every Day Office Environment</v>
      </c>
      <c r="L1707" s="1" t="str">
        <f ca="1">IFERROR(__xludf.DUMMYFUNCTION("""COMPUTED_VALUE"""),"Employer who appreciates learning and enables that environment")</f>
        <v>Employer who appreciates learning and enables that environment</v>
      </c>
      <c r="M1707" s="1" t="str">
        <f ca="1">IFERROR(__xludf.DUMMYFUNCTION("""COMPUTED_VALUE"""),"Design and Creative strategy in any company, Teaching in any of the institutes/colleges/online or offline, Become a content Creator in some platform, I Want to sell things/Sales")</f>
        <v>Design and Creative strategy in any company, Teaching in any of the institutes/colleges/online or offline, Become a content Creator in some platform, I Want to sell things/Sales</v>
      </c>
      <c r="N1707" s="1"/>
      <c r="O1707" s="1" t="str">
        <f ca="1">IFERROR(__xludf.DUMMYFUNCTION("""COMPUTED_VALUE"""),"Manager who clearly describes what she/he needs")</f>
        <v>Manager who clearly describes what she/he needs</v>
      </c>
      <c r="P1707" s="1" t="str">
        <f ca="1">IFERROR(__xludf.DUMMYFUNCTION("""COMPUTED_VALUE"""),"Work &gt;10 people in Team")</f>
        <v>Work &gt;10 people in Team</v>
      </c>
      <c r="Q1707" s="1" t="s">
        <v>43</v>
      </c>
      <c r="R1707" s="1"/>
    </row>
    <row r="1708" spans="1:18" x14ac:dyDescent="0.25">
      <c r="A1708" s="2">
        <f ca="1">IFERROR(__xludf.DUMMYFUNCTION("""COMPUTED_VALUE"""),45047.6240149537)</f>
        <v>45047.624014953697</v>
      </c>
      <c r="B1708" s="1" t="str">
        <f ca="1">IFERROR(__xludf.DUMMYFUNCTION("""COMPUTED_VALUE"""),"India")</f>
        <v>India</v>
      </c>
      <c r="C1708" s="1">
        <f ca="1">IFERROR(__xludf.DUMMYFUNCTION("""COMPUTED_VALUE"""),827013)</f>
        <v>827013</v>
      </c>
      <c r="D1708" s="1" t="str">
        <f ca="1">IFERROR(__xludf.DUMMYFUNCTION("""COMPUTED_VALUE"""),"Male")</f>
        <v>Male</v>
      </c>
      <c r="E1708" s="1" t="str">
        <f ca="1">IFERROR(__xludf.DUMMYFUNCTION("""COMPUTED_VALUE"""),"My Parents")</f>
        <v>My Parents</v>
      </c>
      <c r="F1708" s="1" t="str">
        <f ca="1">IFERROR(__xludf.DUMMYFUNCTION("""COMPUTED_VALUE"""),"Yes, I will earn and do that")</f>
        <v>Yes, I will earn and do that</v>
      </c>
      <c r="G1708" s="1" t="str">
        <f ca="1">IFERROR(__xludf.DUMMYFUNCTION("""COMPUTED_VALUE"""),"This will be hard to do, but if it is the right company I would try")</f>
        <v>This will be hard to do, but if it is the right company I would try</v>
      </c>
      <c r="H1708" s="1" t="str">
        <f ca="1">IFERROR(__xludf.DUMMYFUNCTION("""COMPUTED_VALUE"""),"No")</f>
        <v>No</v>
      </c>
      <c r="I1708" s="1" t="str">
        <f ca="1">IFERROR(__xludf.DUMMYFUNCTION("""COMPUTED_VALUE"""),"Will NOT work for them")</f>
        <v>Will NOT work for them</v>
      </c>
      <c r="J1708" s="1">
        <f ca="1">IFERROR(__xludf.DUMMYFUNCTION("""COMPUTED_VALUE"""),8)</f>
        <v>8</v>
      </c>
      <c r="K1708" s="1" t="str">
        <f ca="1">IFERROR(__xludf.DUMMYFUNCTION("""COMPUTED_VALUE"""),"Every Day Office Environment")</f>
        <v>Every Day Office Environment</v>
      </c>
      <c r="L1708" s="1" t="str">
        <f ca="1">IFERROR(__xludf.DUMMYFUNCTION("""COMPUTED_VALUE"""),"Employer who appreciates learning and enables that environment")</f>
        <v>Employer who appreciates learning and enables that environment</v>
      </c>
      <c r="M170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N1708" s="1"/>
      <c r="O1708" s="1" t="str">
        <f ca="1">IFERROR(__xludf.DUMMYFUNCTION("""COMPUTED_VALUE"""),"Manager who clearly describes what she/he needs")</f>
        <v>Manager who clearly describes what she/he needs</v>
      </c>
      <c r="P1708" s="1" t="str">
        <f ca="1">IFERROR(__xludf.DUMMYFUNCTION("""COMPUTED_VALUE"""),"Work &lt;=6 People in the Team")</f>
        <v>Work &lt;=6 People in the Team</v>
      </c>
      <c r="Q1708" s="1" t="s">
        <v>43</v>
      </c>
      <c r="R1708" s="1"/>
    </row>
    <row r="1709" spans="1:18" x14ac:dyDescent="0.25">
      <c r="A1709" s="2">
        <f ca="1">IFERROR(__xludf.DUMMYFUNCTION("""COMPUTED_VALUE"""),45047.626820949)</f>
        <v>45047.626820949001</v>
      </c>
      <c r="B1709" s="1" t="str">
        <f ca="1">IFERROR(__xludf.DUMMYFUNCTION("""COMPUTED_VALUE"""),"India")</f>
        <v>India</v>
      </c>
      <c r="C1709" s="1">
        <f ca="1">IFERROR(__xludf.DUMMYFUNCTION("""COMPUTED_VALUE"""),160030)</f>
        <v>160030</v>
      </c>
      <c r="D1709" s="1" t="str">
        <f ca="1">IFERROR(__xludf.DUMMYFUNCTION("""COMPUTED_VALUE"""),"Female")</f>
        <v>Female</v>
      </c>
      <c r="E1709" s="1" t="str">
        <f ca="1">IFERROR(__xludf.DUMMYFUNCTION("""COMPUTED_VALUE"""),"My Parents")</f>
        <v>My Parents</v>
      </c>
      <c r="F1709" s="1" t="str">
        <f ca="1">IFERROR(__xludf.DUMMYFUNCTION("""COMPUTED_VALUE"""),"No, But if someone could bare the cost I will")</f>
        <v>No, But if someone could bare the cost I will</v>
      </c>
      <c r="G1709" s="1" t="str">
        <f ca="1">IFERROR(__xludf.DUMMYFUNCTION("""COMPUTED_VALUE"""),"This will be hard to do, but if it is the right company I would try")</f>
        <v>This will be hard to do, but if it is the right company I would try</v>
      </c>
      <c r="H1709" s="1" t="str">
        <f ca="1">IFERROR(__xludf.DUMMYFUNCTION("""COMPUTED_VALUE"""),"No")</f>
        <v>No</v>
      </c>
      <c r="I1709" s="1" t="str">
        <f ca="1">IFERROR(__xludf.DUMMYFUNCTION("""COMPUTED_VALUE"""),"Will NOT work for them")</f>
        <v>Will NOT work for them</v>
      </c>
      <c r="J1709" s="1">
        <f ca="1">IFERROR(__xludf.DUMMYFUNCTION("""COMPUTED_VALUE"""),7)</f>
        <v>7</v>
      </c>
      <c r="K1709" s="1" t="str">
        <f ca="1">IFERROR(__xludf.DUMMYFUNCTION("""COMPUTED_VALUE"""),"Hybrid Working Environment with more than 15 days a month at office")</f>
        <v>Hybrid Working Environment with more than 15 days a month at office</v>
      </c>
      <c r="L1709" s="1" t="str">
        <f ca="1">IFERROR(__xludf.DUMMYFUNCTION("""COMPUTED_VALUE"""),"Employer who pushes your limits by enabling an learning environment, and rewards you at the end")</f>
        <v>Employer who pushes your limits by enabling an learning environment, and rewards you at the end</v>
      </c>
      <c r="M170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N1709" s="1"/>
      <c r="O1709" s="1" t="str">
        <f ca="1">IFERROR(__xludf.DUMMYFUNCTION("""COMPUTED_VALUE"""),"Manager who explains what is expected, sets a goal and helps achieve it")</f>
        <v>Manager who explains what is expected, sets a goal and helps achieve it</v>
      </c>
      <c r="P1709" s="1" t="str">
        <f ca="1">IFERROR(__xludf.DUMMYFUNCTION("""COMPUTED_VALUE"""),"Work &lt;=6 People in the Team")</f>
        <v>Work &lt;=6 People in the Team</v>
      </c>
      <c r="Q1709" s="1" t="s">
        <v>42</v>
      </c>
      <c r="R1709" s="1"/>
    </row>
    <row r="1710" spans="1:18" x14ac:dyDescent="0.25">
      <c r="A1710" s="2">
        <f ca="1">IFERROR(__xludf.DUMMYFUNCTION("""COMPUTED_VALUE"""),45047.6277729861)</f>
        <v>45047.627772986103</v>
      </c>
      <c r="B1710" s="1" t="str">
        <f ca="1">IFERROR(__xludf.DUMMYFUNCTION("""COMPUTED_VALUE"""),"India")</f>
        <v>India</v>
      </c>
      <c r="C1710" s="1">
        <f ca="1">IFERROR(__xludf.DUMMYFUNCTION("""COMPUTED_VALUE"""),678001)</f>
        <v>678001</v>
      </c>
      <c r="D1710" s="1" t="str">
        <f ca="1">IFERROR(__xludf.DUMMYFUNCTION("""COMPUTED_VALUE"""),"Male")</f>
        <v>Male</v>
      </c>
      <c r="E1710" s="1" t="str">
        <f ca="1">IFERROR(__xludf.DUMMYFUNCTION("""COMPUTED_VALUE"""),"Influencers who had successful careers")</f>
        <v>Influencers who had successful careers</v>
      </c>
      <c r="F1710" s="1" t="str">
        <f ca="1">IFERROR(__xludf.DUMMYFUNCTION("""COMPUTED_VALUE"""),"No I would not be pursuing Higher Education outside of India")</f>
        <v>No I would not be pursuing Higher Education outside of India</v>
      </c>
      <c r="G1710" s="1" t="str">
        <f ca="1">IFERROR(__xludf.DUMMYFUNCTION("""COMPUTED_VALUE"""),"This will be hard to do, but if it is the right company I would try")</f>
        <v>This will be hard to do, but if it is the right company I would try</v>
      </c>
      <c r="H1710" s="1" t="str">
        <f ca="1">IFERROR(__xludf.DUMMYFUNCTION("""COMPUTED_VALUE"""),"No")</f>
        <v>No</v>
      </c>
      <c r="I1710" s="1" t="str">
        <f ca="1">IFERROR(__xludf.DUMMYFUNCTION("""COMPUTED_VALUE"""),"Will NOT work for them")</f>
        <v>Will NOT work for them</v>
      </c>
      <c r="J1710" s="1">
        <f ca="1">IFERROR(__xludf.DUMMYFUNCTION("""COMPUTED_VALUE"""),3)</f>
        <v>3</v>
      </c>
      <c r="K1710" s="1" t="str">
        <f ca="1">IFERROR(__xludf.DUMMYFUNCTION("""COMPUTED_VALUE"""),"Fully Remote with Options to travel as and when needed")</f>
        <v>Fully Remote with Options to travel as and when needed</v>
      </c>
      <c r="L1710" s="1" t="str">
        <f ca="1">IFERROR(__xludf.DUMMYFUNCTION("""COMPUTED_VALUE"""),"Employer who pushes your limits by enabling an learning environment, and rewards you at the end")</f>
        <v>Employer who pushes your limits by enabling an learning environment, and rewards you at the end</v>
      </c>
      <c r="M1710"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N1710" s="1"/>
      <c r="O1710" s="1" t="str">
        <f ca="1">IFERROR(__xludf.DUMMYFUNCTION("""COMPUTED_VALUE"""),"Manager who sets goal and helps me achieve it")</f>
        <v>Manager who sets goal and helps me achieve it</v>
      </c>
      <c r="P1710" s="1" t="str">
        <f ca="1">IFERROR(__xludf.DUMMYFUNCTION("""COMPUTED_VALUE"""),"Work &gt;=7 People in the Team")</f>
        <v>Work &gt;=7 People in the Team</v>
      </c>
      <c r="Q1710" s="1" t="s">
        <v>40</v>
      </c>
      <c r="R1710" s="1"/>
    </row>
    <row r="1711" spans="1:18" x14ac:dyDescent="0.25">
      <c r="A1711" s="2">
        <f ca="1">IFERROR(__xludf.DUMMYFUNCTION("""COMPUTED_VALUE"""),45047.6383055787)</f>
        <v>45047.638305578701</v>
      </c>
      <c r="B1711" s="1" t="str">
        <f ca="1">IFERROR(__xludf.DUMMYFUNCTION("""COMPUTED_VALUE"""),"India")</f>
        <v>India</v>
      </c>
      <c r="C1711" s="1">
        <f ca="1">IFERROR(__xludf.DUMMYFUNCTION("""COMPUTED_VALUE"""),422003)</f>
        <v>422003</v>
      </c>
      <c r="D1711" s="1" t="str">
        <f ca="1">IFERROR(__xludf.DUMMYFUNCTION("""COMPUTED_VALUE"""),"Female")</f>
        <v>Female</v>
      </c>
      <c r="E1711" s="1" t="str">
        <f ca="1">IFERROR(__xludf.DUMMYFUNCTION("""COMPUTED_VALUE"""),"My Parents")</f>
        <v>My Parents</v>
      </c>
      <c r="F1711" s="1" t="str">
        <f ca="1">IFERROR(__xludf.DUMMYFUNCTION("""COMPUTED_VALUE"""),"No, But if someone could bare the cost I will")</f>
        <v>No, But if someone could bare the cost I will</v>
      </c>
      <c r="G1711" s="1" t="str">
        <f ca="1">IFERROR(__xludf.DUMMYFUNCTION("""COMPUTED_VALUE"""),"This will be hard to do, but if it is the right company I would try")</f>
        <v>This will be hard to do, but if it is the right company I would try</v>
      </c>
      <c r="H1711" s="1" t="str">
        <f ca="1">IFERROR(__xludf.DUMMYFUNCTION("""COMPUTED_VALUE"""),"No")</f>
        <v>No</v>
      </c>
      <c r="I1711" s="1" t="str">
        <f ca="1">IFERROR(__xludf.DUMMYFUNCTION("""COMPUTED_VALUE"""),"Will NOT work for them")</f>
        <v>Will NOT work for them</v>
      </c>
      <c r="J1711" s="1">
        <f ca="1">IFERROR(__xludf.DUMMYFUNCTION("""COMPUTED_VALUE"""),4)</f>
        <v>4</v>
      </c>
      <c r="K1711" s="1" t="str">
        <f ca="1">IFERROR(__xludf.DUMMYFUNCTION("""COMPUTED_VALUE"""),"Hybrid Working Environment with less than 3 days a month at office")</f>
        <v>Hybrid Working Environment with less than 3 days a month at office</v>
      </c>
      <c r="L1711" s="1" t="str">
        <f ca="1">IFERROR(__xludf.DUMMYFUNCTION("""COMPUTED_VALUE"""),"Employer who rewards learning and enables that environment")</f>
        <v>Employer who rewards learning and enables that environment</v>
      </c>
      <c r="M1711" s="1" t="str">
        <f ca="1">IFERROR(__xludf.DUMMYFUNCTION("""COMPUTED_VALUE"""),"Build and develop a Team, Design and Develop amazing software, Become a content Creator in some platform, I Want to sell things/Sales")</f>
        <v>Build and develop a Team, Design and Develop amazing software, Become a content Creator in some platform, I Want to sell things/Sales</v>
      </c>
      <c r="N1711" s="1"/>
      <c r="O1711" s="1" t="str">
        <f ca="1">IFERROR(__xludf.DUMMYFUNCTION("""COMPUTED_VALUE"""),"Manager who clearly describes what she/he needs")</f>
        <v>Manager who clearly describes what she/he needs</v>
      </c>
      <c r="P1711" s="1" t="str">
        <f ca="1">IFERROR(__xludf.DUMMYFUNCTION("""COMPUTED_VALUE"""),"Work &lt;=6 People in the Team")</f>
        <v>Work &lt;=6 People in the Team</v>
      </c>
      <c r="Q1711" s="1" t="s">
        <v>43</v>
      </c>
      <c r="R1711" s="1"/>
    </row>
    <row r="1712" spans="1:18" x14ac:dyDescent="0.25">
      <c r="A1712" s="2">
        <f ca="1">IFERROR(__xludf.DUMMYFUNCTION("""COMPUTED_VALUE"""),45047.646368368)</f>
        <v>45047.646368367998</v>
      </c>
      <c r="B1712" s="1" t="str">
        <f ca="1">IFERROR(__xludf.DUMMYFUNCTION("""COMPUTED_VALUE"""),"India")</f>
        <v>India</v>
      </c>
      <c r="C1712" s="1">
        <f ca="1">IFERROR(__xludf.DUMMYFUNCTION("""COMPUTED_VALUE"""),827012)</f>
        <v>827012</v>
      </c>
      <c r="D1712" s="1" t="str">
        <f ca="1">IFERROR(__xludf.DUMMYFUNCTION("""COMPUTED_VALUE"""),"Male")</f>
        <v>Male</v>
      </c>
      <c r="E1712" s="1" t="str">
        <f ca="1">IFERROR(__xludf.DUMMYFUNCTION("""COMPUTED_VALUE"""),"Social Media like LinkedIn")</f>
        <v>Social Media like LinkedIn</v>
      </c>
      <c r="F1712" s="1" t="str">
        <f ca="1">IFERROR(__xludf.DUMMYFUNCTION("""COMPUTED_VALUE"""),"Yes, I will earn and do that")</f>
        <v>Yes, I will earn and do that</v>
      </c>
      <c r="G1712" s="1" t="str">
        <f ca="1">IFERROR(__xludf.DUMMYFUNCTION("""COMPUTED_VALUE"""),"This will be hard to do, but if it is the right company I would try")</f>
        <v>This will be hard to do, but if it is the right company I would try</v>
      </c>
      <c r="H1712" s="1" t="str">
        <f ca="1">IFERROR(__xludf.DUMMYFUNCTION("""COMPUTED_VALUE"""),"No")</f>
        <v>No</v>
      </c>
      <c r="I1712" s="1" t="str">
        <f ca="1">IFERROR(__xludf.DUMMYFUNCTION("""COMPUTED_VALUE"""),"Will NOT work for them")</f>
        <v>Will NOT work for them</v>
      </c>
      <c r="J1712" s="1">
        <f ca="1">IFERROR(__xludf.DUMMYFUNCTION("""COMPUTED_VALUE"""),7)</f>
        <v>7</v>
      </c>
      <c r="K1712" s="1" t="str">
        <f ca="1">IFERROR(__xludf.DUMMYFUNCTION("""COMPUTED_VALUE"""),"Hybrid Working Environment with more than 15 days a month at office")</f>
        <v>Hybrid Working Environment with more than 15 days a month at office</v>
      </c>
      <c r="L1712" s="1" t="str">
        <f ca="1">IFERROR(__xludf.DUMMYFUNCTION("""COMPUTED_VALUE"""),"Employer who pushes your limits by enabling an learning environment, and rewards you at the end")</f>
        <v>Employer who pushes your limits by enabling an learning environment, and rewards you at the end</v>
      </c>
      <c r="M1712"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N1712" s="1"/>
      <c r="O1712" s="1" t="str">
        <f ca="1">IFERROR(__xludf.DUMMYFUNCTION("""COMPUTED_VALUE"""),"Manager who explains what is expected, sets a goal and helps achieve it")</f>
        <v>Manager who explains what is expected, sets a goal and helps achieve it</v>
      </c>
      <c r="P1712" s="1" t="str">
        <f ca="1">IFERROR(__xludf.DUMMYFUNCTION("""COMPUTED_VALUE"""),"Work &lt;=6 People in the Team")</f>
        <v>Work &lt;=6 People in the Team</v>
      </c>
      <c r="Q1712" s="1" t="s">
        <v>43</v>
      </c>
      <c r="R1712" s="1"/>
    </row>
    <row r="1713" spans="1:18" x14ac:dyDescent="0.25">
      <c r="A1713" s="2">
        <f ca="1">IFERROR(__xludf.DUMMYFUNCTION("""COMPUTED_VALUE"""),45047.6676305555)</f>
        <v>45047.667630555501</v>
      </c>
      <c r="B1713" s="1" t="str">
        <f ca="1">IFERROR(__xludf.DUMMYFUNCTION("""COMPUTED_VALUE"""),"India")</f>
        <v>India</v>
      </c>
      <c r="C1713" s="1">
        <f ca="1">IFERROR(__xludf.DUMMYFUNCTION("""COMPUTED_VALUE"""),700023)</f>
        <v>700023</v>
      </c>
      <c r="D1713" s="1" t="str">
        <f ca="1">IFERROR(__xludf.DUMMYFUNCTION("""COMPUTED_VALUE"""),"Female")</f>
        <v>Female</v>
      </c>
      <c r="E1713" s="1" t="str">
        <f ca="1">IFERROR(__xludf.DUMMYFUNCTION("""COMPUTED_VALUE"""),"People from my circle, but not family members")</f>
        <v>People from my circle, but not family members</v>
      </c>
      <c r="F1713" s="1" t="str">
        <f ca="1">IFERROR(__xludf.DUMMYFUNCTION("""COMPUTED_VALUE"""),"Yes, I will earn and do that")</f>
        <v>Yes, I will earn and do that</v>
      </c>
      <c r="G1713" s="1" t="str">
        <f ca="1">IFERROR(__xludf.DUMMYFUNCTION("""COMPUTED_VALUE"""),"Will work for 3 years or more")</f>
        <v>Will work for 3 years or more</v>
      </c>
      <c r="H1713" s="1" t="str">
        <f ca="1">IFERROR(__xludf.DUMMYFUNCTION("""COMPUTED_VALUE"""),"No")</f>
        <v>No</v>
      </c>
      <c r="I1713" s="1" t="str">
        <f ca="1">IFERROR(__xludf.DUMMYFUNCTION("""COMPUTED_VALUE"""),"Will NOT work for them")</f>
        <v>Will NOT work for them</v>
      </c>
      <c r="J1713" s="1">
        <f ca="1">IFERROR(__xludf.DUMMYFUNCTION("""COMPUTED_VALUE"""),9)</f>
        <v>9</v>
      </c>
      <c r="K1713" s="1" t="str">
        <f ca="1">IFERROR(__xludf.DUMMYFUNCTION("""COMPUTED_VALUE"""),"Hybrid Working Environment with less than 3 days a month at office")</f>
        <v>Hybrid Working Environment with less than 3 days a month at office</v>
      </c>
      <c r="L1713" s="1" t="str">
        <f ca="1">IFERROR(__xludf.DUMMYFUNCTION("""COMPUTED_VALUE"""),"Employer who pushes your limits by enabling an learning environment, and rewards you at the end")</f>
        <v>Employer who pushes your limits by enabling an learning environment, and rewards you at the end</v>
      </c>
      <c r="M1713"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N1713" s="1"/>
      <c r="O1713" s="1" t="str">
        <f ca="1">IFERROR(__xludf.DUMMYFUNCTION("""COMPUTED_VALUE"""),"Manager who sets goal and helps me achieve it")</f>
        <v>Manager who sets goal and helps me achieve it</v>
      </c>
      <c r="P1713" s="1" t="str">
        <f ca="1">IFERROR(__xludf.DUMMYFUNCTION("""COMPUTED_VALUE"""),"Work &lt;=6 People in the Team")</f>
        <v>Work &lt;=6 People in the Team</v>
      </c>
      <c r="Q1713" s="1" t="s">
        <v>42</v>
      </c>
      <c r="R1713" s="1"/>
    </row>
    <row r="1714" spans="1:18" x14ac:dyDescent="0.25">
      <c r="A1714" s="2">
        <f ca="1">IFERROR(__xludf.DUMMYFUNCTION("""COMPUTED_VALUE"""),45047.6686354398)</f>
        <v>45047.668635439797</v>
      </c>
      <c r="B1714" s="1" t="str">
        <f ca="1">IFERROR(__xludf.DUMMYFUNCTION("""COMPUTED_VALUE"""),"India")</f>
        <v>India</v>
      </c>
      <c r="C1714" s="1">
        <f ca="1">IFERROR(__xludf.DUMMYFUNCTION("""COMPUTED_VALUE"""),605010)</f>
        <v>605010</v>
      </c>
      <c r="D1714" s="1" t="str">
        <f ca="1">IFERROR(__xludf.DUMMYFUNCTION("""COMPUTED_VALUE"""),"Male")</f>
        <v>Male</v>
      </c>
      <c r="E1714" s="1" t="str">
        <f ca="1">IFERROR(__xludf.DUMMYFUNCTION("""COMPUTED_VALUE"""),"My Parents")</f>
        <v>My Parents</v>
      </c>
      <c r="F1714" s="1" t="str">
        <f ca="1">IFERROR(__xludf.DUMMYFUNCTION("""COMPUTED_VALUE"""),"No I would not be pursuing Higher Education outside of India")</f>
        <v>No I would not be pursuing Higher Education outside of India</v>
      </c>
      <c r="G1714" s="1" t="str">
        <f ca="1">IFERROR(__xludf.DUMMYFUNCTION("""COMPUTED_VALUE"""),"Will work for 3 years or more")</f>
        <v>Will work for 3 years or more</v>
      </c>
      <c r="H1714" s="1" t="str">
        <f ca="1">IFERROR(__xludf.DUMMYFUNCTION("""COMPUTED_VALUE"""),"No")</f>
        <v>No</v>
      </c>
      <c r="I1714" s="1" t="str">
        <f ca="1">IFERROR(__xludf.DUMMYFUNCTION("""COMPUTED_VALUE"""),"Will NOT work for them")</f>
        <v>Will NOT work for them</v>
      </c>
      <c r="J1714" s="1">
        <f ca="1">IFERROR(__xludf.DUMMYFUNCTION("""COMPUTED_VALUE"""),5)</f>
        <v>5</v>
      </c>
      <c r="K1714" s="1" t="str">
        <f ca="1">IFERROR(__xludf.DUMMYFUNCTION("""COMPUTED_VALUE"""),"Hybrid Working Environment with more than 15 days a month at office")</f>
        <v>Hybrid Working Environment with more than 15 days a month at office</v>
      </c>
      <c r="L1714" s="1" t="str">
        <f ca="1">IFERROR(__xludf.DUMMYFUNCTION("""COMPUTED_VALUE"""),"Employer who appreciates learning and enables that environment")</f>
        <v>Employer who appreciates learning and enables that environment</v>
      </c>
      <c r="M1714"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N1714" s="1"/>
      <c r="O1714" s="1" t="str">
        <f ca="1">IFERROR(__xludf.DUMMYFUNCTION("""COMPUTED_VALUE"""),"Manager who sets goal and helps me achieve it")</f>
        <v>Manager who sets goal and helps me achieve it</v>
      </c>
      <c r="P1714" s="1" t="str">
        <f ca="1">IFERROR(__xludf.DUMMYFUNCTION("""COMPUTED_VALUE"""),"Work &gt;10 people in Team")</f>
        <v>Work &gt;10 people in Team</v>
      </c>
      <c r="Q1714" s="1" t="s">
        <v>43</v>
      </c>
      <c r="R1714" s="1"/>
    </row>
    <row r="1715" spans="1:18" x14ac:dyDescent="0.25">
      <c r="A1715" s="2">
        <f ca="1">IFERROR(__xludf.DUMMYFUNCTION("""COMPUTED_VALUE"""),45047.7061130787)</f>
        <v>45047.706113078697</v>
      </c>
      <c r="B1715" s="1" t="str">
        <f ca="1">IFERROR(__xludf.DUMMYFUNCTION("""COMPUTED_VALUE"""),"India")</f>
        <v>India</v>
      </c>
      <c r="C1715" s="1">
        <f ca="1">IFERROR(__xludf.DUMMYFUNCTION("""COMPUTED_VALUE"""),7)</f>
        <v>7</v>
      </c>
      <c r="D1715" s="1" t="str">
        <f ca="1">IFERROR(__xludf.DUMMYFUNCTION("""COMPUTED_VALUE"""),"Female")</f>
        <v>Female</v>
      </c>
      <c r="E1715" s="1" t="str">
        <f ca="1">IFERROR(__xludf.DUMMYFUNCTION("""COMPUTED_VALUE"""),"People who have changed the world for better")</f>
        <v>People who have changed the world for better</v>
      </c>
      <c r="F1715" s="1" t="str">
        <f ca="1">IFERROR(__xludf.DUMMYFUNCTION("""COMPUTED_VALUE"""),"No, But if someone could bare the cost I will")</f>
        <v>No, But if someone could bare the cost I will</v>
      </c>
      <c r="G1715" s="1" t="str">
        <f ca="1">IFERROR(__xludf.DUMMYFUNCTION("""COMPUTED_VALUE"""),"This will be hard to do, but if it is the right company I would try")</f>
        <v>This will be hard to do, but if it is the right company I would try</v>
      </c>
      <c r="H1715" s="1" t="str">
        <f ca="1">IFERROR(__xludf.DUMMYFUNCTION("""COMPUTED_VALUE"""),"Yes")</f>
        <v>Yes</v>
      </c>
      <c r="I1715" s="1" t="str">
        <f ca="1">IFERROR(__xludf.DUMMYFUNCTION("""COMPUTED_VALUE"""),"Will NOT work for them")</f>
        <v>Will NOT work for them</v>
      </c>
      <c r="J1715" s="1">
        <f ca="1">IFERROR(__xludf.DUMMYFUNCTION("""COMPUTED_VALUE"""),4)</f>
        <v>4</v>
      </c>
      <c r="K1715" s="1" t="str">
        <f ca="1">IFERROR(__xludf.DUMMYFUNCTION("""COMPUTED_VALUE"""),"Hybrid Working Environment with less than 3 days a month at office")</f>
        <v>Hybrid Working Environment with less than 3 days a month at office</v>
      </c>
      <c r="L1715" s="1" t="str">
        <f ca="1">IFERROR(__xludf.DUMMYFUNCTION("""COMPUTED_VALUE"""),"Employer who pushes your limits by enabling an learning environment, and rewards you at the end")</f>
        <v>Employer who pushes your limits by enabling an learning environment, and rewards you at the end</v>
      </c>
      <c r="M171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N1715" s="1"/>
      <c r="O1715" s="1" t="str">
        <f ca="1">IFERROR(__xludf.DUMMYFUNCTION("""COMPUTED_VALUE"""),"Manager who explains what is expected, sets a goal and helps achieve it")</f>
        <v>Manager who explains what is expected, sets a goal and helps achieve it</v>
      </c>
      <c r="P1715" s="1" t="str">
        <f ca="1">IFERROR(__xludf.DUMMYFUNCTION("""COMPUTED_VALUE"""),"Work &lt;=6 People in the Team")</f>
        <v>Work &lt;=6 People in the Team</v>
      </c>
      <c r="Q1715" s="1" t="s">
        <v>43</v>
      </c>
      <c r="R1715" s="1"/>
    </row>
    <row r="1716" spans="1:18" x14ac:dyDescent="0.25">
      <c r="A1716" s="2">
        <f ca="1">IFERROR(__xludf.DUMMYFUNCTION("""COMPUTED_VALUE"""),45047.729737824)</f>
        <v>45047.729737823996</v>
      </c>
      <c r="B1716" s="1" t="str">
        <f ca="1">IFERROR(__xludf.DUMMYFUNCTION("""COMPUTED_VALUE"""),"India")</f>
        <v>India</v>
      </c>
      <c r="C1716" s="1">
        <f ca="1">IFERROR(__xludf.DUMMYFUNCTION("""COMPUTED_VALUE"""),700000)</f>
        <v>700000</v>
      </c>
      <c r="D1716" s="1" t="str">
        <f ca="1">IFERROR(__xludf.DUMMYFUNCTION("""COMPUTED_VALUE"""),"Female")</f>
        <v>Female</v>
      </c>
      <c r="E1716" s="1" t="str">
        <f ca="1">IFERROR(__xludf.DUMMYFUNCTION("""COMPUTED_VALUE"""),"People who have changed the world for better")</f>
        <v>People who have changed the world for better</v>
      </c>
      <c r="F1716" s="1" t="str">
        <f ca="1">IFERROR(__xludf.DUMMYFUNCTION("""COMPUTED_VALUE"""),"No, But if someone could bare the cost I will")</f>
        <v>No, But if someone could bare the cost I will</v>
      </c>
      <c r="G1716" s="1" t="str">
        <f ca="1">IFERROR(__xludf.DUMMYFUNCTION("""COMPUTED_VALUE"""),"This will be hard to do, but if it is the right company I would try")</f>
        <v>This will be hard to do, but if it is the right company I would try</v>
      </c>
      <c r="H1716" s="1" t="str">
        <f ca="1">IFERROR(__xludf.DUMMYFUNCTION("""COMPUTED_VALUE"""),"Yes")</f>
        <v>Yes</v>
      </c>
      <c r="I1716" s="1" t="str">
        <f ca="1">IFERROR(__xludf.DUMMYFUNCTION("""COMPUTED_VALUE"""),"Will NOT work for them")</f>
        <v>Will NOT work for them</v>
      </c>
      <c r="J1716" s="1">
        <f ca="1">IFERROR(__xludf.DUMMYFUNCTION("""COMPUTED_VALUE"""),4)</f>
        <v>4</v>
      </c>
      <c r="K1716" s="1" t="str">
        <f ca="1">IFERROR(__xludf.DUMMYFUNCTION("""COMPUTED_VALUE"""),"Fully Remote with Options to travel as and when needed")</f>
        <v>Fully Remote with Options to travel as and when needed</v>
      </c>
      <c r="L1716" s="1" t="str">
        <f ca="1">IFERROR(__xludf.DUMMYFUNCTION("""COMPUTED_VALUE"""),"Employer who rewards learning and enables that environment")</f>
        <v>Employer who rewards learning and enables that environment</v>
      </c>
      <c r="M1716"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716" s="1"/>
      <c r="O1716" s="1" t="str">
        <f ca="1">IFERROR(__xludf.DUMMYFUNCTION("""COMPUTED_VALUE"""),"Manager who clearly describes what she/he needs")</f>
        <v>Manager who clearly describes what she/he needs</v>
      </c>
      <c r="P1716" s="1" t="str">
        <f ca="1">IFERROR(__xludf.DUMMYFUNCTION("""COMPUTED_VALUE"""),"Work &lt;=6 People in the Team")</f>
        <v>Work &lt;=6 People in the Team</v>
      </c>
      <c r="Q1716" s="1" t="s">
        <v>43</v>
      </c>
      <c r="R1716" s="1"/>
    </row>
    <row r="1717" spans="1:18" x14ac:dyDescent="0.25">
      <c r="A1717" s="2">
        <f ca="1">IFERROR(__xludf.DUMMYFUNCTION("""COMPUTED_VALUE"""),45047.7772984143)</f>
        <v>45047.777298414301</v>
      </c>
      <c r="B1717" s="1" t="str">
        <f ca="1">IFERROR(__xludf.DUMMYFUNCTION("""COMPUTED_VALUE"""),"India")</f>
        <v>India</v>
      </c>
      <c r="C1717" s="1">
        <f ca="1">IFERROR(__xludf.DUMMYFUNCTION("""COMPUTED_VALUE"""),474006)</f>
        <v>474006</v>
      </c>
      <c r="D1717" s="1" t="str">
        <f ca="1">IFERROR(__xludf.DUMMYFUNCTION("""COMPUTED_VALUE"""),"Male")</f>
        <v>Male</v>
      </c>
      <c r="E1717" s="1" t="str">
        <f ca="1">IFERROR(__xludf.DUMMYFUNCTION("""COMPUTED_VALUE"""),"Influencers who had successful careers")</f>
        <v>Influencers who had successful careers</v>
      </c>
      <c r="F1717" s="1" t="str">
        <f ca="1">IFERROR(__xludf.DUMMYFUNCTION("""COMPUTED_VALUE"""),"Yes, I will earn and do that")</f>
        <v>Yes, I will earn and do that</v>
      </c>
      <c r="G1717" s="1" t="str">
        <f ca="1">IFERROR(__xludf.DUMMYFUNCTION("""COMPUTED_VALUE"""),"This will be hard to do, but if it is the right company I would try")</f>
        <v>This will be hard to do, but if it is the right company I would try</v>
      </c>
      <c r="H1717" s="1" t="str">
        <f ca="1">IFERROR(__xludf.DUMMYFUNCTION("""COMPUTED_VALUE"""),"No")</f>
        <v>No</v>
      </c>
      <c r="I1717" s="1" t="str">
        <f ca="1">IFERROR(__xludf.DUMMYFUNCTION("""COMPUTED_VALUE"""),"Will NOT work for them")</f>
        <v>Will NOT work for them</v>
      </c>
      <c r="J1717" s="1">
        <f ca="1">IFERROR(__xludf.DUMMYFUNCTION("""COMPUTED_VALUE"""),3)</f>
        <v>3</v>
      </c>
      <c r="K1717" s="1" t="str">
        <f ca="1">IFERROR(__xludf.DUMMYFUNCTION("""COMPUTED_VALUE"""),"Hybrid Working Environment with more than 15 days a month at office")</f>
        <v>Hybrid Working Environment with more than 15 days a month at office</v>
      </c>
      <c r="L1717" s="1" t="str">
        <f ca="1">IFERROR(__xludf.DUMMYFUNCTION("""COMPUTED_VALUE"""),"Employer who pushes your limits by enabling an learning environment, and rewards you at the end")</f>
        <v>Employer who pushes your limits by enabling an learning environment, and rewards you at the end</v>
      </c>
      <c r="M1717"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N1717" s="1"/>
      <c r="O1717" s="1" t="str">
        <f ca="1">IFERROR(__xludf.DUMMYFUNCTION("""COMPUTED_VALUE"""),"Manager who explains what is expected, sets a goal and helps achieve it")</f>
        <v>Manager who explains what is expected, sets a goal and helps achieve it</v>
      </c>
      <c r="P1717" s="1" t="str">
        <f ca="1">IFERROR(__xludf.DUMMYFUNCTION("""COMPUTED_VALUE"""),"Work &lt;=6 People in the Team")</f>
        <v>Work &lt;=6 People in the Team</v>
      </c>
      <c r="Q1717" s="1" t="s">
        <v>40</v>
      </c>
      <c r="R1717" s="1"/>
    </row>
    <row r="1718" spans="1:18" x14ac:dyDescent="0.25">
      <c r="A1718" s="2">
        <f ca="1">IFERROR(__xludf.DUMMYFUNCTION("""COMPUTED_VALUE"""),45047.8053951388)</f>
        <v>45047.805395138799</v>
      </c>
      <c r="B1718" s="1" t="str">
        <f ca="1">IFERROR(__xludf.DUMMYFUNCTION("""COMPUTED_VALUE"""),"India")</f>
        <v>India</v>
      </c>
      <c r="C1718" s="1">
        <f ca="1">IFERROR(__xludf.DUMMYFUNCTION("""COMPUTED_VALUE"""),700032)</f>
        <v>700032</v>
      </c>
      <c r="D1718" s="1" t="str">
        <f ca="1">IFERROR(__xludf.DUMMYFUNCTION("""COMPUTED_VALUE"""),"Male")</f>
        <v>Male</v>
      </c>
      <c r="E1718" s="1" t="str">
        <f ca="1">IFERROR(__xludf.DUMMYFUNCTION("""COMPUTED_VALUE"""),"Influencers who had successful careers")</f>
        <v>Influencers who had successful careers</v>
      </c>
      <c r="F1718" s="1" t="str">
        <f ca="1">IFERROR(__xludf.DUMMYFUNCTION("""COMPUTED_VALUE"""),"Yes, I will earn and do that")</f>
        <v>Yes, I will earn and do that</v>
      </c>
      <c r="G1718" s="1" t="str">
        <f ca="1">IFERROR(__xludf.DUMMYFUNCTION("""COMPUTED_VALUE"""),"Will work for 3 years or more")</f>
        <v>Will work for 3 years or more</v>
      </c>
      <c r="H1718" s="1" t="str">
        <f ca="1">IFERROR(__xludf.DUMMYFUNCTION("""COMPUTED_VALUE"""),"No")</f>
        <v>No</v>
      </c>
      <c r="I1718" s="1" t="str">
        <f ca="1">IFERROR(__xludf.DUMMYFUNCTION("""COMPUTED_VALUE"""),"Will NOT work for them")</f>
        <v>Will NOT work for them</v>
      </c>
      <c r="J1718" s="1">
        <f ca="1">IFERROR(__xludf.DUMMYFUNCTION("""COMPUTED_VALUE"""),1)</f>
        <v>1</v>
      </c>
      <c r="K1718" s="1" t="str">
        <f ca="1">IFERROR(__xludf.DUMMYFUNCTION("""COMPUTED_VALUE"""),"Hybrid Working Environment with more than 15 days a month at office")</f>
        <v>Hybrid Working Environment with more than 15 days a month at office</v>
      </c>
      <c r="L1718" s="1" t="str">
        <f ca="1">IFERROR(__xludf.DUMMYFUNCTION("""COMPUTED_VALUE"""),"Employer who pushes your limits by enabling an learning environment, and rewards you at the end")</f>
        <v>Employer who pushes your limits by enabling an learning environment, and rewards you at the end</v>
      </c>
      <c r="M1718"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N1718" s="1"/>
      <c r="O1718" s="1" t="str">
        <f ca="1">IFERROR(__xludf.DUMMYFUNCTION("""COMPUTED_VALUE"""),"Manager who explains what is expected, sets a goal and helps achieve it")</f>
        <v>Manager who explains what is expected, sets a goal and helps achieve it</v>
      </c>
      <c r="P1718" s="1" t="str">
        <f ca="1">IFERROR(__xludf.DUMMYFUNCTION("""COMPUTED_VALUE"""),"Work &lt;=6 People in the Team")</f>
        <v>Work &lt;=6 People in the Team</v>
      </c>
      <c r="Q1718" s="1" t="s">
        <v>42</v>
      </c>
      <c r="R1718" s="1"/>
    </row>
    <row r="1719" spans="1:18" x14ac:dyDescent="0.25">
      <c r="A1719" s="2">
        <f ca="1">IFERROR(__xludf.DUMMYFUNCTION("""COMPUTED_VALUE"""),45047.8368315972)</f>
        <v>45047.836831597197</v>
      </c>
      <c r="B1719" s="1" t="str">
        <f ca="1">IFERROR(__xludf.DUMMYFUNCTION("""COMPUTED_VALUE"""),"India")</f>
        <v>India</v>
      </c>
      <c r="C1719" s="1">
        <f ca="1">IFERROR(__xludf.DUMMYFUNCTION("""COMPUTED_VALUE"""),829111)</f>
        <v>829111</v>
      </c>
      <c r="D1719" s="1" t="str">
        <f ca="1">IFERROR(__xludf.DUMMYFUNCTION("""COMPUTED_VALUE"""),"Male")</f>
        <v>Male</v>
      </c>
      <c r="E1719" s="1" t="str">
        <f ca="1">IFERROR(__xludf.DUMMYFUNCTION("""COMPUTED_VALUE"""),"Social Media like LinkedIn")</f>
        <v>Social Media like LinkedIn</v>
      </c>
      <c r="F1719" s="1" t="str">
        <f ca="1">IFERROR(__xludf.DUMMYFUNCTION("""COMPUTED_VALUE"""),"No, But if someone could bare the cost I will")</f>
        <v>No, But if someone could bare the cost I will</v>
      </c>
      <c r="G1719" s="1" t="str">
        <f ca="1">IFERROR(__xludf.DUMMYFUNCTION("""COMPUTED_VALUE"""),"Will work for 3 years or more")</f>
        <v>Will work for 3 years or more</v>
      </c>
      <c r="H1719" s="1" t="str">
        <f ca="1">IFERROR(__xludf.DUMMYFUNCTION("""COMPUTED_VALUE"""),"Yes")</f>
        <v>Yes</v>
      </c>
      <c r="I1719" s="1" t="str">
        <f ca="1">IFERROR(__xludf.DUMMYFUNCTION("""COMPUTED_VALUE"""),"Will work for them")</f>
        <v>Will work for them</v>
      </c>
      <c r="J1719" s="1">
        <f ca="1">IFERROR(__xludf.DUMMYFUNCTION("""COMPUTED_VALUE"""),8)</f>
        <v>8</v>
      </c>
      <c r="K1719" s="1" t="str">
        <f ca="1">IFERROR(__xludf.DUMMYFUNCTION("""COMPUTED_VALUE"""),"Every Day Office Environment")</f>
        <v>Every Day Office Environment</v>
      </c>
      <c r="L1719" s="1" t="str">
        <f ca="1">IFERROR(__xludf.DUMMYFUNCTION("""COMPUTED_VALUE"""),"Employer who appreciates learning and enables that environment")</f>
        <v>Employer who appreciates learning and enables that environment</v>
      </c>
      <c r="M171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N1719" s="1"/>
      <c r="O1719" s="1" t="str">
        <f ca="1">IFERROR(__xludf.DUMMYFUNCTION("""COMPUTED_VALUE"""),"Manager who sets goal and helps me achieve it")</f>
        <v>Manager who sets goal and helps me achieve it</v>
      </c>
      <c r="P1719" s="1" t="str">
        <f ca="1">IFERROR(__xludf.DUMMYFUNCTION("""COMPUTED_VALUE"""),"Work &gt;10 people in Team")</f>
        <v>Work &gt;10 people in Team</v>
      </c>
      <c r="Q1719" s="1" t="s">
        <v>43</v>
      </c>
      <c r="R1719" s="1"/>
    </row>
    <row r="1720" spans="1:18" x14ac:dyDescent="0.25">
      <c r="A1720" s="2">
        <f ca="1">IFERROR(__xludf.DUMMYFUNCTION("""COMPUTED_VALUE"""),45047.9071817824)</f>
        <v>45047.907181782401</v>
      </c>
      <c r="B1720" s="1" t="str">
        <f ca="1">IFERROR(__xludf.DUMMYFUNCTION("""COMPUTED_VALUE"""),"India")</f>
        <v>India</v>
      </c>
      <c r="C1720" s="1">
        <f ca="1">IFERROR(__xludf.DUMMYFUNCTION("""COMPUTED_VALUE"""),110019)</f>
        <v>110019</v>
      </c>
      <c r="D1720" s="1" t="str">
        <f ca="1">IFERROR(__xludf.DUMMYFUNCTION("""COMPUTED_VALUE"""),"Male")</f>
        <v>Male</v>
      </c>
      <c r="E1720" s="1" t="str">
        <f ca="1">IFERROR(__xludf.DUMMYFUNCTION("""COMPUTED_VALUE"""),"People who have changed the world for better")</f>
        <v>People who have changed the world for better</v>
      </c>
      <c r="F1720" s="1" t="str">
        <f ca="1">IFERROR(__xludf.DUMMYFUNCTION("""COMPUTED_VALUE"""),"No, But if someone could bare the cost I will")</f>
        <v>No, But if someone could bare the cost I will</v>
      </c>
      <c r="G1720" s="1" t="str">
        <f ca="1">IFERROR(__xludf.DUMMYFUNCTION("""COMPUTED_VALUE"""),"This will be hard to do, but if it is the right company I would try")</f>
        <v>This will be hard to do, but if it is the right company I would try</v>
      </c>
      <c r="H1720" s="1" t="str">
        <f ca="1">IFERROR(__xludf.DUMMYFUNCTION("""COMPUTED_VALUE"""),"Yes")</f>
        <v>Yes</v>
      </c>
      <c r="I1720" s="1" t="str">
        <f ca="1">IFERROR(__xludf.DUMMYFUNCTION("""COMPUTED_VALUE"""),"Will NOT work for them")</f>
        <v>Will NOT work for them</v>
      </c>
      <c r="J1720" s="1">
        <f ca="1">IFERROR(__xludf.DUMMYFUNCTION("""COMPUTED_VALUE"""),5)</f>
        <v>5</v>
      </c>
      <c r="K1720" s="1" t="str">
        <f ca="1">IFERROR(__xludf.DUMMYFUNCTION("""COMPUTED_VALUE"""),"Hybrid Working Environment with more than 15 days a month at office")</f>
        <v>Hybrid Working Environment with more than 15 days a month at office</v>
      </c>
      <c r="L1720" s="1" t="str">
        <f ca="1">IFERROR(__xludf.DUMMYFUNCTION("""COMPUTED_VALUE"""),"Employer who pushes your limits by enabling an learning environment, and rewards you at the end")</f>
        <v>Employer who pushes your limits by enabling an learning environment, and rewards you at the end</v>
      </c>
      <c r="M172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1720" s="1"/>
      <c r="O1720" s="1" t="str">
        <f ca="1">IFERROR(__xludf.DUMMYFUNCTION("""COMPUTED_VALUE"""),"Manager who explains what is expected, sets a goal and helps achieve it")</f>
        <v>Manager who explains what is expected, sets a goal and helps achieve it</v>
      </c>
      <c r="P1720" s="1" t="str">
        <f ca="1">IFERROR(__xludf.DUMMYFUNCTION("""COMPUTED_VALUE"""),"Work &lt;=6 People in the Team")</f>
        <v>Work &lt;=6 People in the Team</v>
      </c>
      <c r="Q1720" s="1" t="s">
        <v>43</v>
      </c>
      <c r="R1720" s="1"/>
    </row>
    <row r="1721" spans="1:18" x14ac:dyDescent="0.25">
      <c r="A1721" s="2">
        <f ca="1">IFERROR(__xludf.DUMMYFUNCTION("""COMPUTED_VALUE"""),45047.9081729976)</f>
        <v>45047.908172997602</v>
      </c>
      <c r="B1721" s="1" t="str">
        <f ca="1">IFERROR(__xludf.DUMMYFUNCTION("""COMPUTED_VALUE"""),"India")</f>
        <v>India</v>
      </c>
      <c r="C1721" s="1">
        <f ca="1">IFERROR(__xludf.DUMMYFUNCTION("""COMPUTED_VALUE"""),382421)</f>
        <v>382421</v>
      </c>
      <c r="D1721" s="1" t="str">
        <f ca="1">IFERROR(__xludf.DUMMYFUNCTION("""COMPUTED_VALUE"""),"Male")</f>
        <v>Male</v>
      </c>
      <c r="E1721" s="1" t="str">
        <f ca="1">IFERROR(__xludf.DUMMYFUNCTION("""COMPUTED_VALUE"""),"My Parents")</f>
        <v>My Parents</v>
      </c>
      <c r="F1721" s="1" t="str">
        <f ca="1">IFERROR(__xludf.DUMMYFUNCTION("""COMPUTED_VALUE"""),"Yes, I will earn and do that")</f>
        <v>Yes, I will earn and do that</v>
      </c>
      <c r="G1721" s="1" t="str">
        <f ca="1">IFERROR(__xludf.DUMMYFUNCTION("""COMPUTED_VALUE"""),"Will work for 3 years or more")</f>
        <v>Will work for 3 years or more</v>
      </c>
      <c r="H1721" s="1" t="str">
        <f ca="1">IFERROR(__xludf.DUMMYFUNCTION("""COMPUTED_VALUE"""),"No")</f>
        <v>No</v>
      </c>
      <c r="I1721" s="1" t="str">
        <f ca="1">IFERROR(__xludf.DUMMYFUNCTION("""COMPUTED_VALUE"""),"Will NOT work for them")</f>
        <v>Will NOT work for them</v>
      </c>
      <c r="J1721" s="1">
        <f ca="1">IFERROR(__xludf.DUMMYFUNCTION("""COMPUTED_VALUE"""),3)</f>
        <v>3</v>
      </c>
      <c r="K1721" s="1" t="str">
        <f ca="1">IFERROR(__xludf.DUMMYFUNCTION("""COMPUTED_VALUE"""),"Every Day Office Environment")</f>
        <v>Every Day Office Environment</v>
      </c>
      <c r="L1721" s="1" t="str">
        <f ca="1">IFERROR(__xludf.DUMMYFUNCTION("""COMPUTED_VALUE"""),"Employer who pushes your limits by enabling an learning environment, and rewards you at the end")</f>
        <v>Employer who pushes your limits by enabling an learning environment, and rewards you at the end</v>
      </c>
      <c r="M1721"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N1721" s="1"/>
      <c r="O1721" s="1" t="str">
        <f ca="1">IFERROR(__xludf.DUMMYFUNCTION("""COMPUTED_VALUE"""),"Manager who clearly describes what she/he needs")</f>
        <v>Manager who clearly describes what she/he needs</v>
      </c>
      <c r="P1721" s="1" t="str">
        <f ca="1">IFERROR(__xludf.DUMMYFUNCTION("""COMPUTED_VALUE"""),"Work &gt;=7 People in the Team")</f>
        <v>Work &gt;=7 People in the Team</v>
      </c>
      <c r="Q1721" s="1" t="s">
        <v>43</v>
      </c>
      <c r="R1721" s="1"/>
    </row>
    <row r="1722" spans="1:18" x14ac:dyDescent="0.25">
      <c r="A1722" s="2">
        <f ca="1">IFERROR(__xludf.DUMMYFUNCTION("""COMPUTED_VALUE"""),45047.91073875)</f>
        <v>45047.910738749997</v>
      </c>
      <c r="B1722" s="1" t="str">
        <f ca="1">IFERROR(__xludf.DUMMYFUNCTION("""COMPUTED_VALUE"""),"India")</f>
        <v>India</v>
      </c>
      <c r="C1722" s="1">
        <f ca="1">IFERROR(__xludf.DUMMYFUNCTION("""COMPUTED_VALUE"""),382470)</f>
        <v>382470</v>
      </c>
      <c r="D1722" s="1" t="str">
        <f ca="1">IFERROR(__xludf.DUMMYFUNCTION("""COMPUTED_VALUE"""),"Male")</f>
        <v>Male</v>
      </c>
      <c r="E1722" s="1" t="str">
        <f ca="1">IFERROR(__xludf.DUMMYFUNCTION("""COMPUTED_VALUE"""),"People from my circle, but not family members")</f>
        <v>People from my circle, but not family members</v>
      </c>
      <c r="F1722" s="1" t="str">
        <f ca="1">IFERROR(__xludf.DUMMYFUNCTION("""COMPUTED_VALUE"""),"No I would not be pursuing Higher Education outside of India")</f>
        <v>No I would not be pursuing Higher Education outside of India</v>
      </c>
      <c r="G1722" s="1" t="str">
        <f ca="1">IFERROR(__xludf.DUMMYFUNCTION("""COMPUTED_VALUE"""),"Will work for 3 years or more")</f>
        <v>Will work for 3 years or more</v>
      </c>
      <c r="H1722" s="1" t="str">
        <f ca="1">IFERROR(__xludf.DUMMYFUNCTION("""COMPUTED_VALUE"""),"No")</f>
        <v>No</v>
      </c>
      <c r="I1722" s="1" t="str">
        <f ca="1">IFERROR(__xludf.DUMMYFUNCTION("""COMPUTED_VALUE"""),"Will NOT work for them")</f>
        <v>Will NOT work for them</v>
      </c>
      <c r="J1722" s="1">
        <f ca="1">IFERROR(__xludf.DUMMYFUNCTION("""COMPUTED_VALUE"""),5)</f>
        <v>5</v>
      </c>
      <c r="K1722" s="1" t="str">
        <f ca="1">IFERROR(__xludf.DUMMYFUNCTION("""COMPUTED_VALUE"""),"Every Day Office Environment")</f>
        <v>Every Day Office Environment</v>
      </c>
      <c r="L1722" s="1" t="str">
        <f ca="1">IFERROR(__xludf.DUMMYFUNCTION("""COMPUTED_VALUE"""),"Employer who appreciates learning and enables that environment")</f>
        <v>Employer who appreciates learning and enables that environment</v>
      </c>
      <c r="M1722"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N1722" s="1"/>
      <c r="O1722" s="1" t="str">
        <f ca="1">IFERROR(__xludf.DUMMYFUNCTION("""COMPUTED_VALUE"""),"Manager who sets goal and helps me achieve it")</f>
        <v>Manager who sets goal and helps me achieve it</v>
      </c>
      <c r="P1722" s="1" t="str">
        <f ca="1">IFERROR(__xludf.DUMMYFUNCTION("""COMPUTED_VALUE"""),"Work &gt;10 people in Team")</f>
        <v>Work &gt;10 people in Team</v>
      </c>
      <c r="Q1722" s="1" t="s">
        <v>43</v>
      </c>
      <c r="R1722" s="1"/>
    </row>
    <row r="1723" spans="1:18" x14ac:dyDescent="0.25">
      <c r="A1723" s="2">
        <f ca="1">IFERROR(__xludf.DUMMYFUNCTION("""COMPUTED_VALUE"""),45047.9135722685)</f>
        <v>45047.913572268502</v>
      </c>
      <c r="B1723" s="1" t="str">
        <f ca="1">IFERROR(__xludf.DUMMYFUNCTION("""COMPUTED_VALUE"""),"India")</f>
        <v>India</v>
      </c>
      <c r="C1723" s="1">
        <f ca="1">IFERROR(__xludf.DUMMYFUNCTION("""COMPUTED_VALUE"""),380005)</f>
        <v>380005</v>
      </c>
      <c r="D1723" s="1" t="str">
        <f ca="1">IFERROR(__xludf.DUMMYFUNCTION("""COMPUTED_VALUE"""),"Male")</f>
        <v>Male</v>
      </c>
      <c r="E1723" s="1" t="str">
        <f ca="1">IFERROR(__xludf.DUMMYFUNCTION("""COMPUTED_VALUE"""),"People who have changed the world for better")</f>
        <v>People who have changed the world for better</v>
      </c>
      <c r="F1723" s="1" t="str">
        <f ca="1">IFERROR(__xludf.DUMMYFUNCTION("""COMPUTED_VALUE"""),"No I would not be pursuing Higher Education outside of India")</f>
        <v>No I would not be pursuing Higher Education outside of India</v>
      </c>
      <c r="G1723" s="1" t="str">
        <f ca="1">IFERROR(__xludf.DUMMYFUNCTION("""COMPUTED_VALUE"""),"Will work for 3 years or more")</f>
        <v>Will work for 3 years or more</v>
      </c>
      <c r="H1723" s="1" t="str">
        <f ca="1">IFERROR(__xludf.DUMMYFUNCTION("""COMPUTED_VALUE"""),"No")</f>
        <v>No</v>
      </c>
      <c r="I1723" s="1" t="str">
        <f ca="1">IFERROR(__xludf.DUMMYFUNCTION("""COMPUTED_VALUE"""),"Will NOT work for them")</f>
        <v>Will NOT work for them</v>
      </c>
      <c r="J1723" s="1">
        <f ca="1">IFERROR(__xludf.DUMMYFUNCTION("""COMPUTED_VALUE"""),2)</f>
        <v>2</v>
      </c>
      <c r="K1723" s="1" t="str">
        <f ca="1">IFERROR(__xludf.DUMMYFUNCTION("""COMPUTED_VALUE"""),"Hybrid Working Environment with less than 3 days a month at office")</f>
        <v>Hybrid Working Environment with less than 3 days a month at office</v>
      </c>
      <c r="L1723" s="1" t="str">
        <f ca="1">IFERROR(__xludf.DUMMYFUNCTION("""COMPUTED_VALUE"""),"Employer who pushes your limits by enabling an learning environment, and rewards you at the end")</f>
        <v>Employer who pushes your limits by enabling an learning environment, and rewards you at the end</v>
      </c>
      <c r="M172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N1723" s="1"/>
      <c r="O1723" s="1" t="str">
        <f ca="1">IFERROR(__xludf.DUMMYFUNCTION("""COMPUTED_VALUE"""),"Manager who explains what is expected, sets a goal and helps achieve it")</f>
        <v>Manager who explains what is expected, sets a goal and helps achieve it</v>
      </c>
      <c r="P1723" s="1" t="str">
        <f ca="1">IFERROR(__xludf.DUMMYFUNCTION("""COMPUTED_VALUE"""),"Work &gt;=7 People in the Team")</f>
        <v>Work &gt;=7 People in the Team</v>
      </c>
      <c r="Q1723" s="1" t="s">
        <v>40</v>
      </c>
      <c r="R1723" s="1"/>
    </row>
    <row r="1724" spans="1:18" x14ac:dyDescent="0.25">
      <c r="A1724" s="2">
        <f ca="1">IFERROR(__xludf.DUMMYFUNCTION("""COMPUTED_VALUE"""),45047.9185322222)</f>
        <v>45047.918532222197</v>
      </c>
      <c r="B1724" s="1" t="str">
        <f ca="1">IFERROR(__xludf.DUMMYFUNCTION("""COMPUTED_VALUE"""),"India")</f>
        <v>India</v>
      </c>
      <c r="C1724" s="1">
        <f ca="1">IFERROR(__xludf.DUMMYFUNCTION("""COMPUTED_VALUE"""),382424)</f>
        <v>382424</v>
      </c>
      <c r="D1724" s="1" t="str">
        <f ca="1">IFERROR(__xludf.DUMMYFUNCTION("""COMPUTED_VALUE"""),"Male")</f>
        <v>Male</v>
      </c>
      <c r="E1724" s="1" t="str">
        <f ca="1">IFERROR(__xludf.DUMMYFUNCTION("""COMPUTED_VALUE"""),"My Parents")</f>
        <v>My Parents</v>
      </c>
      <c r="F1724" s="1" t="str">
        <f ca="1">IFERROR(__xludf.DUMMYFUNCTION("""COMPUTED_VALUE"""),"No, But if someone could bare the cost I will")</f>
        <v>No, But if someone could bare the cost I will</v>
      </c>
      <c r="G1724" s="1" t="str">
        <f ca="1">IFERROR(__xludf.DUMMYFUNCTION("""COMPUTED_VALUE"""),"This will be hard to do, but if it is the right company I would try")</f>
        <v>This will be hard to do, but if it is the right company I would try</v>
      </c>
      <c r="H1724" s="1" t="str">
        <f ca="1">IFERROR(__xludf.DUMMYFUNCTION("""COMPUTED_VALUE"""),"No")</f>
        <v>No</v>
      </c>
      <c r="I1724" s="1" t="str">
        <f ca="1">IFERROR(__xludf.DUMMYFUNCTION("""COMPUTED_VALUE"""),"Will NOT work for them")</f>
        <v>Will NOT work for them</v>
      </c>
      <c r="J1724" s="1">
        <f ca="1">IFERROR(__xludf.DUMMYFUNCTION("""COMPUTED_VALUE"""),8)</f>
        <v>8</v>
      </c>
      <c r="K1724" s="1" t="str">
        <f ca="1">IFERROR(__xludf.DUMMYFUNCTION("""COMPUTED_VALUE"""),"Hybrid Working Environment with less than 3 days a month at office")</f>
        <v>Hybrid Working Environment with less than 3 days a month at office</v>
      </c>
      <c r="L1724" s="1" t="str">
        <f ca="1">IFERROR(__xludf.DUMMYFUNCTION("""COMPUTED_VALUE"""),"Employer who rewards learning and enables that environment")</f>
        <v>Employer who rewards learning and enables that environment</v>
      </c>
      <c r="M172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N1724" s="1"/>
      <c r="O1724" s="1" t="str">
        <f ca="1">IFERROR(__xludf.DUMMYFUNCTION("""COMPUTED_VALUE"""),"Manager who explains what is expected, sets a goal and helps achieve it")</f>
        <v>Manager who explains what is expected, sets a goal and helps achieve it</v>
      </c>
      <c r="P1724" s="1" t="str">
        <f ca="1">IFERROR(__xludf.DUMMYFUNCTION("""COMPUTED_VALUE"""),"Work &lt;=6 People in the Team")</f>
        <v>Work &lt;=6 People in the Team</v>
      </c>
      <c r="Q1724" s="1" t="s">
        <v>40</v>
      </c>
      <c r="R1724" s="1"/>
    </row>
    <row r="1725" spans="1:18" x14ac:dyDescent="0.25">
      <c r="A1725" s="2">
        <f ca="1">IFERROR(__xludf.DUMMYFUNCTION("""COMPUTED_VALUE"""),45047.9193210879)</f>
        <v>45047.919321087902</v>
      </c>
      <c r="B1725" s="1" t="str">
        <f ca="1">IFERROR(__xludf.DUMMYFUNCTION("""COMPUTED_VALUE"""),"India")</f>
        <v>India</v>
      </c>
      <c r="C1725" s="1">
        <f ca="1">IFERROR(__xludf.DUMMYFUNCTION("""COMPUTED_VALUE"""),382424)</f>
        <v>382424</v>
      </c>
      <c r="D1725" s="1" t="str">
        <f ca="1">IFERROR(__xludf.DUMMYFUNCTION("""COMPUTED_VALUE"""),"Male")</f>
        <v>Male</v>
      </c>
      <c r="E1725" s="1" t="str">
        <f ca="1">IFERROR(__xludf.DUMMYFUNCTION("""COMPUTED_VALUE"""),"My Parents")</f>
        <v>My Parents</v>
      </c>
      <c r="F1725" s="1" t="str">
        <f ca="1">IFERROR(__xludf.DUMMYFUNCTION("""COMPUTED_VALUE"""),"No, But if someone could bare the cost I will")</f>
        <v>No, But if someone could bare the cost I will</v>
      </c>
      <c r="G1725" s="1" t="str">
        <f ca="1">IFERROR(__xludf.DUMMYFUNCTION("""COMPUTED_VALUE"""),"Will work for 3 years or more")</f>
        <v>Will work for 3 years or more</v>
      </c>
      <c r="H1725" s="1" t="str">
        <f ca="1">IFERROR(__xludf.DUMMYFUNCTION("""COMPUTED_VALUE"""),"No")</f>
        <v>No</v>
      </c>
      <c r="I1725" s="1" t="str">
        <f ca="1">IFERROR(__xludf.DUMMYFUNCTION("""COMPUTED_VALUE"""),"Will NOT work for them")</f>
        <v>Will NOT work for them</v>
      </c>
      <c r="J1725" s="1">
        <f ca="1">IFERROR(__xludf.DUMMYFUNCTION("""COMPUTED_VALUE"""),10)</f>
        <v>10</v>
      </c>
      <c r="K1725" s="1" t="str">
        <f ca="1">IFERROR(__xludf.DUMMYFUNCTION("""COMPUTED_VALUE"""),"Hybrid Working Environment with more than 15 days a month at office")</f>
        <v>Hybrid Working Environment with more than 15 days a month at office</v>
      </c>
      <c r="L1725" s="1" t="str">
        <f ca="1">IFERROR(__xludf.DUMMYFUNCTION("""COMPUTED_VALUE"""),"Employer who pushes your limits by enabling an learning environment, and rewards you at the end")</f>
        <v>Employer who pushes your limits by enabling an learning environment, and rewards you at the end</v>
      </c>
      <c r="M1725"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N1725" s="1"/>
      <c r="O1725" s="1" t="str">
        <f ca="1">IFERROR(__xludf.DUMMYFUNCTION("""COMPUTED_VALUE"""),"Manager who sets goal and helps me achieve it")</f>
        <v>Manager who sets goal and helps me achieve it</v>
      </c>
      <c r="P1725" s="1" t="str">
        <f ca="1">IFERROR(__xludf.DUMMYFUNCTION("""COMPUTED_VALUE"""),"Work &gt;10 people in Team")</f>
        <v>Work &gt;10 people in Team</v>
      </c>
      <c r="Q1725" s="1" t="s">
        <v>43</v>
      </c>
      <c r="R1725" s="1"/>
    </row>
    <row r="1726" spans="1:18" x14ac:dyDescent="0.25">
      <c r="A1726" s="2">
        <f ca="1">IFERROR(__xludf.DUMMYFUNCTION("""COMPUTED_VALUE"""),45047.9219332291)</f>
        <v>45047.921933229103</v>
      </c>
      <c r="B1726" s="1" t="str">
        <f ca="1">IFERROR(__xludf.DUMMYFUNCTION("""COMPUTED_VALUE"""),"India")</f>
        <v>India</v>
      </c>
      <c r="C1726" s="1">
        <f ca="1">IFERROR(__xludf.DUMMYFUNCTION("""COMPUTED_VALUE"""),382421)</f>
        <v>382421</v>
      </c>
      <c r="D1726" s="1" t="str">
        <f ca="1">IFERROR(__xludf.DUMMYFUNCTION("""COMPUTED_VALUE"""),"Male")</f>
        <v>Male</v>
      </c>
      <c r="E1726" s="1" t="str">
        <f ca="1">IFERROR(__xludf.DUMMYFUNCTION("""COMPUTED_VALUE"""),"People from my circle, but not family members")</f>
        <v>People from my circle, but not family members</v>
      </c>
      <c r="F1726" s="1" t="str">
        <f ca="1">IFERROR(__xludf.DUMMYFUNCTION("""COMPUTED_VALUE"""),"Yes, I will earn and do that")</f>
        <v>Yes, I will earn and do that</v>
      </c>
      <c r="G1726" s="1" t="str">
        <f ca="1">IFERROR(__xludf.DUMMYFUNCTION("""COMPUTED_VALUE"""),"No way")</f>
        <v>No way</v>
      </c>
      <c r="H1726" s="1" t="str">
        <f ca="1">IFERROR(__xludf.DUMMYFUNCTION("""COMPUTED_VALUE"""),"Yes")</f>
        <v>Yes</v>
      </c>
      <c r="I1726" s="1" t="str">
        <f ca="1">IFERROR(__xludf.DUMMYFUNCTION("""COMPUTED_VALUE"""),"Will NOT work for them")</f>
        <v>Will NOT work for them</v>
      </c>
      <c r="J1726" s="1">
        <f ca="1">IFERROR(__xludf.DUMMYFUNCTION("""COMPUTED_VALUE"""),3)</f>
        <v>3</v>
      </c>
      <c r="K1726" s="1" t="str">
        <f ca="1">IFERROR(__xludf.DUMMYFUNCTION("""COMPUTED_VALUE"""),"Fully Remote with Options to travel as and when needed")</f>
        <v>Fully Remote with Options to travel as and when needed</v>
      </c>
      <c r="L1726" s="1" t="str">
        <f ca="1">IFERROR(__xludf.DUMMYFUNCTION("""COMPUTED_VALUE"""),"Employer who appreciates learning and enables that environment")</f>
        <v>Employer who appreciates learning and enables that environment</v>
      </c>
      <c r="M172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N1726" s="1"/>
      <c r="O1726" s="1" t="str">
        <f ca="1">IFERROR(__xludf.DUMMYFUNCTION("""COMPUTED_VALUE"""),"Manager who explains what is expected, sets a goal and helps achieve it")</f>
        <v>Manager who explains what is expected, sets a goal and helps achieve it</v>
      </c>
      <c r="P1726" s="1" t="str">
        <f ca="1">IFERROR(__xludf.DUMMYFUNCTION("""COMPUTED_VALUE"""),"Work &lt;=6 People in the Team")</f>
        <v>Work &lt;=6 People in the Team</v>
      </c>
      <c r="Q1726" s="1" t="s">
        <v>43</v>
      </c>
      <c r="R1726" s="1"/>
    </row>
    <row r="1727" spans="1:18" x14ac:dyDescent="0.25">
      <c r="A1727" s="2">
        <f ca="1">IFERROR(__xludf.DUMMYFUNCTION("""COMPUTED_VALUE"""),45047.9250033912)</f>
        <v>45047.925003391203</v>
      </c>
      <c r="B1727" s="1" t="str">
        <f ca="1">IFERROR(__xludf.DUMMYFUNCTION("""COMPUTED_VALUE"""),"India")</f>
        <v>India</v>
      </c>
      <c r="C1727" s="1">
        <f ca="1">IFERROR(__xludf.DUMMYFUNCTION("""COMPUTED_VALUE"""),380019)</f>
        <v>380019</v>
      </c>
      <c r="D1727" s="1" t="str">
        <f ca="1">IFERROR(__xludf.DUMMYFUNCTION("""COMPUTED_VALUE"""),"Male")</f>
        <v>Male</v>
      </c>
      <c r="E1727" s="1" t="str">
        <f ca="1">IFERROR(__xludf.DUMMYFUNCTION("""COMPUTED_VALUE"""),"People from my circle, but not family members")</f>
        <v>People from my circle, but not family members</v>
      </c>
      <c r="F1727" s="1" t="str">
        <f ca="1">IFERROR(__xludf.DUMMYFUNCTION("""COMPUTED_VALUE"""),"Yes, I will earn and do that")</f>
        <v>Yes, I will earn and do that</v>
      </c>
      <c r="G1727" s="1" t="str">
        <f ca="1">IFERROR(__xludf.DUMMYFUNCTION("""COMPUTED_VALUE"""),"Will work for 3 years or more")</f>
        <v>Will work for 3 years or more</v>
      </c>
      <c r="H1727" s="1" t="str">
        <f ca="1">IFERROR(__xludf.DUMMYFUNCTION("""COMPUTED_VALUE"""),"No")</f>
        <v>No</v>
      </c>
      <c r="I1727" s="1" t="str">
        <f ca="1">IFERROR(__xludf.DUMMYFUNCTION("""COMPUTED_VALUE"""),"Will work for them")</f>
        <v>Will work for them</v>
      </c>
      <c r="J1727" s="1">
        <f ca="1">IFERROR(__xludf.DUMMYFUNCTION("""COMPUTED_VALUE"""),5)</f>
        <v>5</v>
      </c>
      <c r="K1727" s="1" t="str">
        <f ca="1">IFERROR(__xludf.DUMMYFUNCTION("""COMPUTED_VALUE"""),"Hybrid Working Environment with less than 3 days a month at office")</f>
        <v>Hybrid Working Environment with less than 3 days a month at office</v>
      </c>
      <c r="L1727" s="1" t="str">
        <f ca="1">IFERROR(__xludf.DUMMYFUNCTION("""COMPUTED_VALUE"""),"Employer who pushes your limits by enabling an learning environment, and rewards you at the end")</f>
        <v>Employer who pushes your limits by enabling an learning environment, and rewards you at the end</v>
      </c>
      <c r="M1727"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N1727" s="1"/>
      <c r="O1727" s="1" t="str">
        <f ca="1">IFERROR(__xludf.DUMMYFUNCTION("""COMPUTED_VALUE"""),"Manager who sets goal and helps me achieve it")</f>
        <v>Manager who sets goal and helps me achieve it</v>
      </c>
      <c r="P1727" s="1" t="str">
        <f ca="1">IFERROR(__xludf.DUMMYFUNCTION("""COMPUTED_VALUE"""),"Work Alone, &lt;67 people in team")</f>
        <v>Work Alone, &lt;67 people in team</v>
      </c>
      <c r="Q1727" s="1" t="s">
        <v>43</v>
      </c>
      <c r="R1727" s="1"/>
    </row>
    <row r="1728" spans="1:18" x14ac:dyDescent="0.25">
      <c r="A1728" s="2">
        <f ca="1">IFERROR(__xludf.DUMMYFUNCTION("""COMPUTED_VALUE"""),45047.9434096296)</f>
        <v>45047.943409629603</v>
      </c>
      <c r="B1728" s="1" t="str">
        <f ca="1">IFERROR(__xludf.DUMMYFUNCTION("""COMPUTED_VALUE"""),"India")</f>
        <v>India</v>
      </c>
      <c r="C1728" s="1">
        <f ca="1">IFERROR(__xludf.DUMMYFUNCTION("""COMPUTED_VALUE"""),382421)</f>
        <v>382421</v>
      </c>
      <c r="D1728" s="1" t="str">
        <f ca="1">IFERROR(__xludf.DUMMYFUNCTION("""COMPUTED_VALUE"""),"Male")</f>
        <v>Male</v>
      </c>
      <c r="E1728" s="1" t="str">
        <f ca="1">IFERROR(__xludf.DUMMYFUNCTION("""COMPUTED_VALUE"""),"My Parents")</f>
        <v>My Parents</v>
      </c>
      <c r="F1728" s="1" t="str">
        <f ca="1">IFERROR(__xludf.DUMMYFUNCTION("""COMPUTED_VALUE"""),"No I would not be pursuing Higher Education outside of India")</f>
        <v>No I would not be pursuing Higher Education outside of India</v>
      </c>
      <c r="G1728" s="1" t="str">
        <f ca="1">IFERROR(__xludf.DUMMYFUNCTION("""COMPUTED_VALUE"""),"This will be hard to do, but if it is the right company I would try")</f>
        <v>This will be hard to do, but if it is the right company I would try</v>
      </c>
      <c r="H1728" s="1" t="str">
        <f ca="1">IFERROR(__xludf.DUMMYFUNCTION("""COMPUTED_VALUE"""),"No")</f>
        <v>No</v>
      </c>
      <c r="I1728" s="1" t="str">
        <f ca="1">IFERROR(__xludf.DUMMYFUNCTION("""COMPUTED_VALUE"""),"Will NOT work for them")</f>
        <v>Will NOT work for them</v>
      </c>
      <c r="J1728" s="1">
        <f ca="1">IFERROR(__xludf.DUMMYFUNCTION("""COMPUTED_VALUE"""),1)</f>
        <v>1</v>
      </c>
      <c r="K1728" s="1" t="str">
        <f ca="1">IFERROR(__xludf.DUMMYFUNCTION("""COMPUTED_VALUE"""),"Every Day Office Environment")</f>
        <v>Every Day Office Environment</v>
      </c>
      <c r="L1728" s="1" t="str">
        <f ca="1">IFERROR(__xludf.DUMMYFUNCTION("""COMPUTED_VALUE"""),"Employer who rewards learning and enables that environment")</f>
        <v>Employer who rewards learning and enables that environment</v>
      </c>
      <c r="M1728"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N1728" s="1"/>
      <c r="O1728" s="1" t="str">
        <f ca="1">IFERROR(__xludf.DUMMYFUNCTION("""COMPUTED_VALUE"""),"Manager who clearly describes what she/he needs")</f>
        <v>Manager who clearly describes what she/he needs</v>
      </c>
      <c r="P1728" s="1" t="str">
        <f ca="1">IFERROR(__xludf.DUMMYFUNCTION("""COMPUTED_VALUE"""),"Work &lt;67 People in the Team")</f>
        <v>Work &lt;67 People in the Team</v>
      </c>
      <c r="Q1728" s="1" t="s">
        <v>43</v>
      </c>
      <c r="R1728" s="1"/>
    </row>
    <row r="1729" spans="1:18" x14ac:dyDescent="0.25">
      <c r="A1729" s="2">
        <f ca="1">IFERROR(__xludf.DUMMYFUNCTION("""COMPUTED_VALUE"""),45048.2153501388)</f>
        <v>45048.215350138802</v>
      </c>
      <c r="B1729" s="1" t="str">
        <f ca="1">IFERROR(__xludf.DUMMYFUNCTION("""COMPUTED_VALUE"""),"India")</f>
        <v>India</v>
      </c>
      <c r="C1729" s="1">
        <f ca="1">IFERROR(__xludf.DUMMYFUNCTION("""COMPUTED_VALUE"""),144411)</f>
        <v>144411</v>
      </c>
      <c r="D1729" s="1" t="str">
        <f ca="1">IFERROR(__xludf.DUMMYFUNCTION("""COMPUTED_VALUE"""),"Male")</f>
        <v>Male</v>
      </c>
      <c r="E1729" s="1" t="str">
        <f ca="1">IFERROR(__xludf.DUMMYFUNCTION("""COMPUTED_VALUE"""),"My Parents")</f>
        <v>My Parents</v>
      </c>
      <c r="F1729" s="1" t="str">
        <f ca="1">IFERROR(__xludf.DUMMYFUNCTION("""COMPUTED_VALUE"""),"No, But if someone could bare the cost I will")</f>
        <v>No, But if someone could bare the cost I will</v>
      </c>
      <c r="G1729" s="1" t="str">
        <f ca="1">IFERROR(__xludf.DUMMYFUNCTION("""COMPUTED_VALUE"""),"This will be hard to do, but if it is the right company I would try")</f>
        <v>This will be hard to do, but if it is the right company I would try</v>
      </c>
      <c r="H1729" s="1" t="str">
        <f ca="1">IFERROR(__xludf.DUMMYFUNCTION("""COMPUTED_VALUE"""),"No")</f>
        <v>No</v>
      </c>
      <c r="I1729" s="1" t="str">
        <f ca="1">IFERROR(__xludf.DUMMYFUNCTION("""COMPUTED_VALUE"""),"Will NOT work for them")</f>
        <v>Will NOT work for them</v>
      </c>
      <c r="J1729" s="1">
        <f ca="1">IFERROR(__xludf.DUMMYFUNCTION("""COMPUTED_VALUE"""),1)</f>
        <v>1</v>
      </c>
      <c r="K1729" s="1" t="str">
        <f ca="1">IFERROR(__xludf.DUMMYFUNCTION("""COMPUTED_VALUE"""),"Every Day Office Environment")</f>
        <v>Every Day Office Environment</v>
      </c>
      <c r="L1729" s="1" t="str">
        <f ca="1">IFERROR(__xludf.DUMMYFUNCTION("""COMPUTED_VALUE"""),"Employer who pushes your limits by enabling an learning environment, and rewards you at the end")</f>
        <v>Employer who pushes your limits by enabling an learning environment, and rewards you at the end</v>
      </c>
      <c r="M17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N1729" s="1"/>
      <c r="O1729" s="1" t="str">
        <f ca="1">IFERROR(__xludf.DUMMYFUNCTION("""COMPUTED_VALUE"""),"Manager who explains what is expected, sets a goal and helps achieve it")</f>
        <v>Manager who explains what is expected, sets a goal and helps achieve it</v>
      </c>
      <c r="P1729" s="1" t="str">
        <f ca="1">IFERROR(__xludf.DUMMYFUNCTION("""COMPUTED_VALUE"""),"Work &lt;=6 People in the Team")</f>
        <v>Work &lt;=6 People in the Team</v>
      </c>
      <c r="Q1729" s="1" t="s">
        <v>40</v>
      </c>
      <c r="R1729" s="1"/>
    </row>
    <row r="1730" spans="1:18" x14ac:dyDescent="0.25">
      <c r="A1730" s="2">
        <f ca="1">IFERROR(__xludf.DUMMYFUNCTION("""COMPUTED_VALUE"""),45048.2312286921)</f>
        <v>45048.231228692101</v>
      </c>
      <c r="B1730" s="1" t="str">
        <f ca="1">IFERROR(__xludf.DUMMYFUNCTION("""COMPUTED_VALUE"""),"India")</f>
        <v>India</v>
      </c>
      <c r="C1730" s="1">
        <f ca="1">IFERROR(__xludf.DUMMYFUNCTION("""COMPUTED_VALUE"""),600122)</f>
        <v>600122</v>
      </c>
      <c r="D1730" s="1" t="str">
        <f ca="1">IFERROR(__xludf.DUMMYFUNCTION("""COMPUTED_VALUE"""),"Male")</f>
        <v>Male</v>
      </c>
      <c r="E1730" s="1" t="str">
        <f ca="1">IFERROR(__xludf.DUMMYFUNCTION("""COMPUTED_VALUE"""),"People from my circle, but not family members")</f>
        <v>People from my circle, but not family members</v>
      </c>
      <c r="F1730" s="1" t="str">
        <f ca="1">IFERROR(__xludf.DUMMYFUNCTION("""COMPUTED_VALUE"""),"No, But if someone could bare the cost I will")</f>
        <v>No, But if someone could bare the cost I will</v>
      </c>
      <c r="G1730" s="1" t="str">
        <f ca="1">IFERROR(__xludf.DUMMYFUNCTION("""COMPUTED_VALUE"""),"This will be hard to do, but if it is the right company I would try")</f>
        <v>This will be hard to do, but if it is the right company I would try</v>
      </c>
      <c r="H1730" s="1" t="str">
        <f ca="1">IFERROR(__xludf.DUMMYFUNCTION("""COMPUTED_VALUE"""),"No")</f>
        <v>No</v>
      </c>
      <c r="I1730" s="1" t="str">
        <f ca="1">IFERROR(__xludf.DUMMYFUNCTION("""COMPUTED_VALUE"""),"Will NOT work for them")</f>
        <v>Will NOT work for them</v>
      </c>
      <c r="J1730" s="1">
        <f ca="1">IFERROR(__xludf.DUMMYFUNCTION("""COMPUTED_VALUE"""),4)</f>
        <v>4</v>
      </c>
      <c r="K1730" s="1" t="str">
        <f ca="1">IFERROR(__xludf.DUMMYFUNCTION("""COMPUTED_VALUE"""),"Hybrid Working Environment with more than 15 days a month at office")</f>
        <v>Hybrid Working Environment with more than 15 days a month at office</v>
      </c>
      <c r="L1730" s="1" t="str">
        <f ca="1">IFERROR(__xludf.DUMMYFUNCTION("""COMPUTED_VALUE"""),"Employer who appreciates learning and enables that environment")</f>
        <v>Employer who appreciates learning and enables that environment</v>
      </c>
      <c r="M1730"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730" s="1"/>
      <c r="O1730" s="1" t="str">
        <f ca="1">IFERROR(__xludf.DUMMYFUNCTION("""COMPUTED_VALUE"""),"Manager who clearly describes what she/he needs")</f>
        <v>Manager who clearly describes what she/he needs</v>
      </c>
      <c r="P1730" s="1" t="str">
        <f ca="1">IFERROR(__xludf.DUMMYFUNCTION("""COMPUTED_VALUE"""),"Work &lt;=6 People in the Team")</f>
        <v>Work &lt;=6 People in the Team</v>
      </c>
      <c r="Q1730" s="1" t="s">
        <v>43</v>
      </c>
      <c r="R1730" s="1"/>
    </row>
    <row r="1731" spans="1:18" x14ac:dyDescent="0.25">
      <c r="A1731" s="2">
        <f ca="1">IFERROR(__xludf.DUMMYFUNCTION("""COMPUTED_VALUE"""),45048.2640454745)</f>
        <v>45048.264045474498</v>
      </c>
      <c r="B1731" s="1" t="str">
        <f ca="1">IFERROR(__xludf.DUMMYFUNCTION("""COMPUTED_VALUE"""),"India")</f>
        <v>India</v>
      </c>
      <c r="C1731" s="1">
        <f ca="1">IFERROR(__xludf.DUMMYFUNCTION("""COMPUTED_VALUE"""),380005)</f>
        <v>380005</v>
      </c>
      <c r="D1731" s="1" t="str">
        <f ca="1">IFERROR(__xludf.DUMMYFUNCTION("""COMPUTED_VALUE"""),"Male")</f>
        <v>Male</v>
      </c>
      <c r="E1731" s="1" t="str">
        <f ca="1">IFERROR(__xludf.DUMMYFUNCTION("""COMPUTED_VALUE"""),"Influencers who had successful careers")</f>
        <v>Influencers who had successful careers</v>
      </c>
      <c r="F1731" s="1" t="str">
        <f ca="1">IFERROR(__xludf.DUMMYFUNCTION("""COMPUTED_VALUE"""),"No, But if someone could bare the cost I will")</f>
        <v>No, But if someone could bare the cost I will</v>
      </c>
      <c r="G1731" s="1" t="str">
        <f ca="1">IFERROR(__xludf.DUMMYFUNCTION("""COMPUTED_VALUE"""),"Will work for 3 years or more")</f>
        <v>Will work for 3 years or more</v>
      </c>
      <c r="H1731" s="1" t="str">
        <f ca="1">IFERROR(__xludf.DUMMYFUNCTION("""COMPUTED_VALUE"""),"No")</f>
        <v>No</v>
      </c>
      <c r="I1731" s="1" t="str">
        <f ca="1">IFERROR(__xludf.DUMMYFUNCTION("""COMPUTED_VALUE"""),"Will work for them")</f>
        <v>Will work for them</v>
      </c>
      <c r="J1731" s="1">
        <f ca="1">IFERROR(__xludf.DUMMYFUNCTION("""COMPUTED_VALUE"""),8)</f>
        <v>8</v>
      </c>
      <c r="K1731" s="1" t="str">
        <f ca="1">IFERROR(__xludf.DUMMYFUNCTION("""COMPUTED_VALUE"""),"Hybrid Working Environment with more than 15 days a month at office")</f>
        <v>Hybrid Working Environment with more than 15 days a month at office</v>
      </c>
      <c r="L1731" s="1" t="str">
        <f ca="1">IFERROR(__xludf.DUMMYFUNCTION("""COMPUTED_VALUE"""),"Employer who appreciates learning and enables that environment")</f>
        <v>Employer who appreciates learning and enables that environment</v>
      </c>
      <c r="M1731" s="1" t="str">
        <f ca="1">IFERROR(__xludf.DUMMYFUNCTION("""COMPUTED_VALUE"""),"Business Operations in any organization, Manage and drive End-to-End Projects or Products, Work in a BPO setup for some well known client, Entrepreneur or Start Up")</f>
        <v>Business Operations in any organization, Manage and drive End-to-End Projects or Products, Work in a BPO setup for some well known client, Entrepreneur or Start Up</v>
      </c>
      <c r="N1731" s="1"/>
      <c r="O1731" s="1" t="str">
        <f ca="1">IFERROR(__xludf.DUMMYFUNCTION("""COMPUTED_VALUE"""),"Manager who clearly describes what she/he needs")</f>
        <v>Manager who clearly describes what she/he needs</v>
      </c>
      <c r="P1731" s="1" t="str">
        <f ca="1">IFERROR(__xludf.DUMMYFUNCTION("""COMPUTED_VALUE"""),"Work &lt;=6 People in the Team")</f>
        <v>Work &lt;=6 People in the Team</v>
      </c>
      <c r="Q1731" s="1" t="s">
        <v>43</v>
      </c>
      <c r="R1731" s="1"/>
    </row>
    <row r="1732" spans="1:18" x14ac:dyDescent="0.25">
      <c r="A1732" s="2">
        <f ca="1">IFERROR(__xludf.DUMMYFUNCTION("""COMPUTED_VALUE"""),45048.3342632638)</f>
        <v>45048.334263263801</v>
      </c>
      <c r="B1732" s="1" t="str">
        <f ca="1">IFERROR(__xludf.DUMMYFUNCTION("""COMPUTED_VALUE"""),"India")</f>
        <v>India</v>
      </c>
      <c r="C1732" s="1">
        <f ca="1">IFERROR(__xludf.DUMMYFUNCTION("""COMPUTED_VALUE"""),515870)</f>
        <v>515870</v>
      </c>
      <c r="D1732" s="1" t="str">
        <f ca="1">IFERROR(__xludf.DUMMYFUNCTION("""COMPUTED_VALUE"""),"Male")</f>
        <v>Male</v>
      </c>
      <c r="E1732" s="1" t="str">
        <f ca="1">IFERROR(__xludf.DUMMYFUNCTION("""COMPUTED_VALUE"""),"Influencers who had successful careers")</f>
        <v>Influencers who had successful careers</v>
      </c>
      <c r="F1732" s="1" t="str">
        <f ca="1">IFERROR(__xludf.DUMMYFUNCTION("""COMPUTED_VALUE"""),"No I would not be pursuing Higher Education outside of India")</f>
        <v>No I would not be pursuing Higher Education outside of India</v>
      </c>
      <c r="G1732" s="1" t="str">
        <f ca="1">IFERROR(__xludf.DUMMYFUNCTION("""COMPUTED_VALUE"""),"This will be hard to do, but if it is the right company I would try")</f>
        <v>This will be hard to do, but if it is the right company I would try</v>
      </c>
      <c r="H1732" s="1" t="str">
        <f ca="1">IFERROR(__xludf.DUMMYFUNCTION("""COMPUTED_VALUE"""),"No")</f>
        <v>No</v>
      </c>
      <c r="I1732" s="1" t="str">
        <f ca="1">IFERROR(__xludf.DUMMYFUNCTION("""COMPUTED_VALUE"""),"Will NOT work for them")</f>
        <v>Will NOT work for them</v>
      </c>
      <c r="J1732" s="1">
        <f ca="1">IFERROR(__xludf.DUMMYFUNCTION("""COMPUTED_VALUE"""),4)</f>
        <v>4</v>
      </c>
      <c r="K1732" s="1" t="str">
        <f ca="1">IFERROR(__xludf.DUMMYFUNCTION("""COMPUTED_VALUE"""),"Fully Remote with Options to travel as and when needed")</f>
        <v>Fully Remote with Options to travel as and when needed</v>
      </c>
      <c r="L1732" s="1" t="str">
        <f ca="1">IFERROR(__xludf.DUMMYFUNCTION("""COMPUTED_VALUE"""),"Employer who rewards learning and enables that environment")</f>
        <v>Employer who rewards learning and enables that environment</v>
      </c>
      <c r="M1732" s="1" t="str">
        <f ca="1">IFERROR(__xludf.DUMMYFUNCTION("""COMPUTED_VALUE"""),"Business Operations in any organization, Look deeply into Data and generate insights, Work in a BPO setup for some well known client, Become a content Creator in some platform")</f>
        <v>Business Operations in any organization, Look deeply into Data and generate insights, Work in a BPO setup for some well known client, Become a content Creator in some platform</v>
      </c>
      <c r="N1732" s="1"/>
      <c r="O1732" s="1" t="str">
        <f ca="1">IFERROR(__xludf.DUMMYFUNCTION("""COMPUTED_VALUE"""),"Manager who explains what is expected, sets a goal and helps achieve it")</f>
        <v>Manager who explains what is expected, sets a goal and helps achieve it</v>
      </c>
      <c r="P1732" s="1" t="str">
        <f ca="1">IFERROR(__xludf.DUMMYFUNCTION("""COMPUTED_VALUE"""),"Work &gt;10 people in Team")</f>
        <v>Work &gt;10 people in Team</v>
      </c>
      <c r="Q1732" s="1" t="s">
        <v>43</v>
      </c>
      <c r="R1732" s="1"/>
    </row>
    <row r="1733" spans="1:18" x14ac:dyDescent="0.25">
      <c r="A1733" s="2">
        <f ca="1">IFERROR(__xludf.DUMMYFUNCTION("""COMPUTED_VALUE"""),45048.412455405)</f>
        <v>45048.412455404999</v>
      </c>
      <c r="B1733" s="1" t="str">
        <f ca="1">IFERROR(__xludf.DUMMYFUNCTION("""COMPUTED_VALUE"""),"India")</f>
        <v>India</v>
      </c>
      <c r="C1733" s="1">
        <f ca="1">IFERROR(__xludf.DUMMYFUNCTION("""COMPUTED_VALUE"""),515870)</f>
        <v>515870</v>
      </c>
      <c r="D1733" s="1" t="str">
        <f ca="1">IFERROR(__xludf.DUMMYFUNCTION("""COMPUTED_VALUE"""),"Male")</f>
        <v>Male</v>
      </c>
      <c r="E1733" s="1" t="str">
        <f ca="1">IFERROR(__xludf.DUMMYFUNCTION("""COMPUTED_VALUE"""),"My Parents")</f>
        <v>My Parents</v>
      </c>
      <c r="F1733" s="1" t="str">
        <f ca="1">IFERROR(__xludf.DUMMYFUNCTION("""COMPUTED_VALUE"""),"No, But if someone could bare the cost I will")</f>
        <v>No, But if someone could bare the cost I will</v>
      </c>
      <c r="G1733" s="1" t="str">
        <f ca="1">IFERROR(__xludf.DUMMYFUNCTION("""COMPUTED_VALUE"""),"Will work for 3 years or more")</f>
        <v>Will work for 3 years or more</v>
      </c>
      <c r="H1733" s="1" t="str">
        <f ca="1">IFERROR(__xludf.DUMMYFUNCTION("""COMPUTED_VALUE"""),"Yes")</f>
        <v>Yes</v>
      </c>
      <c r="I1733" s="1" t="str">
        <f ca="1">IFERROR(__xludf.DUMMYFUNCTION("""COMPUTED_VALUE"""),"Will NOT work for them")</f>
        <v>Will NOT work for them</v>
      </c>
      <c r="J1733" s="1">
        <f ca="1">IFERROR(__xludf.DUMMYFUNCTION("""COMPUTED_VALUE"""),8)</f>
        <v>8</v>
      </c>
      <c r="K1733" s="1" t="str">
        <f ca="1">IFERROR(__xludf.DUMMYFUNCTION("""COMPUTED_VALUE"""),"Hybrid Working Environment with less than 3 days a month at office")</f>
        <v>Hybrid Working Environment with less than 3 days a month at office</v>
      </c>
      <c r="L1733" s="1" t="str">
        <f ca="1">IFERROR(__xludf.DUMMYFUNCTION("""COMPUTED_VALUE"""),"Employer who pushes your limits by enabling an learning environment, and rewards you at the end")</f>
        <v>Employer who pushes your limits by enabling an learning environment, and rewards you at the end</v>
      </c>
      <c r="M1733"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N1733" s="1"/>
      <c r="O1733" s="1" t="str">
        <f ca="1">IFERROR(__xludf.DUMMYFUNCTION("""COMPUTED_VALUE"""),"Manager who explains what is expected, sets a goal and helps achieve it")</f>
        <v>Manager who explains what is expected, sets a goal and helps achieve it</v>
      </c>
      <c r="P1733" s="1" t="str">
        <f ca="1">IFERROR(__xludf.DUMMYFUNCTION("""COMPUTED_VALUE"""),"Work &gt;10 people in Team")</f>
        <v>Work &gt;10 people in Team</v>
      </c>
      <c r="Q1733" s="1" t="s">
        <v>43</v>
      </c>
      <c r="R1733" s="1"/>
    </row>
    <row r="1734" spans="1:18" x14ac:dyDescent="0.25">
      <c r="A1734" s="2">
        <f ca="1">IFERROR(__xludf.DUMMYFUNCTION("""COMPUTED_VALUE"""),45048.5657092592)</f>
        <v>45048.565709259201</v>
      </c>
      <c r="B1734" s="1" t="str">
        <f ca="1">IFERROR(__xludf.DUMMYFUNCTION("""COMPUTED_VALUE"""),"India")</f>
        <v>India</v>
      </c>
      <c r="C1734" s="1">
        <f ca="1">IFERROR(__xludf.DUMMYFUNCTION("""COMPUTED_VALUE"""),560098)</f>
        <v>560098</v>
      </c>
      <c r="D1734" s="1" t="str">
        <f ca="1">IFERROR(__xludf.DUMMYFUNCTION("""COMPUTED_VALUE"""),"Male")</f>
        <v>Male</v>
      </c>
      <c r="E1734" s="1" t="str">
        <f ca="1">IFERROR(__xludf.DUMMYFUNCTION("""COMPUTED_VALUE"""),"My Parents")</f>
        <v>My Parents</v>
      </c>
      <c r="F1734" s="1" t="str">
        <f ca="1">IFERROR(__xludf.DUMMYFUNCTION("""COMPUTED_VALUE"""),"Yes, I will earn and do that")</f>
        <v>Yes, I will earn and do that</v>
      </c>
      <c r="G1734" s="1" t="str">
        <f ca="1">IFERROR(__xludf.DUMMYFUNCTION("""COMPUTED_VALUE"""),"This will be hard to do, but if it is the right company I would try")</f>
        <v>This will be hard to do, but if it is the right company I would try</v>
      </c>
      <c r="H1734" s="1" t="str">
        <f ca="1">IFERROR(__xludf.DUMMYFUNCTION("""COMPUTED_VALUE"""),"No")</f>
        <v>No</v>
      </c>
      <c r="I1734" s="1" t="str">
        <f ca="1">IFERROR(__xludf.DUMMYFUNCTION("""COMPUTED_VALUE"""),"Will NOT work for them")</f>
        <v>Will NOT work for them</v>
      </c>
      <c r="J1734" s="1">
        <f ca="1">IFERROR(__xludf.DUMMYFUNCTION("""COMPUTED_VALUE"""),2)</f>
        <v>2</v>
      </c>
      <c r="K1734" s="1" t="str">
        <f ca="1">IFERROR(__xludf.DUMMYFUNCTION("""COMPUTED_VALUE"""),"Fully Remote with Options to travel as and when needed")</f>
        <v>Fully Remote with Options to travel as and when needed</v>
      </c>
      <c r="L1734" s="1" t="str">
        <f ca="1">IFERROR(__xludf.DUMMYFUNCTION("""COMPUTED_VALUE"""),"Employer who rewards learning and enables that environment")</f>
        <v>Employer who rewards learning and enables that environment</v>
      </c>
      <c r="M1734"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N1734" s="1"/>
      <c r="O1734" s="1" t="str">
        <f ca="1">IFERROR(__xludf.DUMMYFUNCTION("""COMPUTED_VALUE"""),"Manager who explains what is expected, sets a goal and helps achieve it")</f>
        <v>Manager who explains what is expected, sets a goal and helps achieve it</v>
      </c>
      <c r="P1734" s="1" t="str">
        <f ca="1">IFERROR(__xludf.DUMMYFUNCTION("""COMPUTED_VALUE"""),"Work &lt;=6 People in the Team")</f>
        <v>Work &lt;=6 People in the Team</v>
      </c>
      <c r="Q1734" s="1" t="s">
        <v>43</v>
      </c>
      <c r="R1734" s="1"/>
    </row>
    <row r="1735" spans="1:18" x14ac:dyDescent="0.25">
      <c r="A1735" s="2">
        <f ca="1">IFERROR(__xludf.DUMMYFUNCTION("""COMPUTED_VALUE"""),45048.5770787151)</f>
        <v>45048.577078715098</v>
      </c>
      <c r="B1735" s="1" t="str">
        <f ca="1">IFERROR(__xludf.DUMMYFUNCTION("""COMPUTED_VALUE"""),"India")</f>
        <v>India</v>
      </c>
      <c r="C1735" s="1">
        <f ca="1">IFERROR(__xludf.DUMMYFUNCTION("""COMPUTED_VALUE"""),793007)</f>
        <v>793007</v>
      </c>
      <c r="D1735" s="1" t="str">
        <f ca="1">IFERROR(__xludf.DUMMYFUNCTION("""COMPUTED_VALUE"""),"Male")</f>
        <v>Male</v>
      </c>
      <c r="E1735" s="1" t="str">
        <f ca="1">IFERROR(__xludf.DUMMYFUNCTION("""COMPUTED_VALUE"""),"People who have changed the world for better")</f>
        <v>People who have changed the world for better</v>
      </c>
      <c r="F1735" s="1" t="str">
        <f ca="1">IFERROR(__xludf.DUMMYFUNCTION("""COMPUTED_VALUE"""),"No I would not be pursuing Higher Education outside of India")</f>
        <v>No I would not be pursuing Higher Education outside of India</v>
      </c>
      <c r="G1735" s="1" t="str">
        <f ca="1">IFERROR(__xludf.DUMMYFUNCTION("""COMPUTED_VALUE"""),"Will work for 3 years or more")</f>
        <v>Will work for 3 years or more</v>
      </c>
      <c r="H1735" s="1" t="str">
        <f ca="1">IFERROR(__xludf.DUMMYFUNCTION("""COMPUTED_VALUE"""),"Yes")</f>
        <v>Yes</v>
      </c>
      <c r="I1735" s="1" t="str">
        <f ca="1">IFERROR(__xludf.DUMMYFUNCTION("""COMPUTED_VALUE"""),"Will work for them")</f>
        <v>Will work for them</v>
      </c>
      <c r="J1735" s="1">
        <f ca="1">IFERROR(__xludf.DUMMYFUNCTION("""COMPUTED_VALUE"""),5)</f>
        <v>5</v>
      </c>
      <c r="K1735" s="1" t="str">
        <f ca="1">IFERROR(__xludf.DUMMYFUNCTION("""COMPUTED_VALUE"""),"Fully Remote with Options to travel as and when needed")</f>
        <v>Fully Remote with Options to travel as and when needed</v>
      </c>
      <c r="L1735" s="1" t="str">
        <f ca="1">IFERROR(__xludf.DUMMYFUNCTION("""COMPUTED_VALUE"""),"Employer who pushes your limits by enabling an learning environment, and rewards you at the end")</f>
        <v>Employer who pushes your limits by enabling an learning environment, and rewards you at the end</v>
      </c>
      <c r="M1735"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N1735" s="1"/>
      <c r="O1735" s="1" t="str">
        <f ca="1">IFERROR(__xludf.DUMMYFUNCTION("""COMPUTED_VALUE"""),"Manager who clearly describes what she/he needs")</f>
        <v>Manager who clearly describes what she/he needs</v>
      </c>
      <c r="P1735" s="1" t="str">
        <f ca="1">IFERROR(__xludf.DUMMYFUNCTION("""COMPUTED_VALUE"""),"Work &lt;=6 People in the Team")</f>
        <v>Work &lt;=6 People in the Team</v>
      </c>
      <c r="Q1735" s="1" t="s">
        <v>40</v>
      </c>
      <c r="R1735" s="1"/>
    </row>
    <row r="1736" spans="1:18" x14ac:dyDescent="0.25">
      <c r="A1736" s="2">
        <f ca="1">IFERROR(__xludf.DUMMYFUNCTION("""COMPUTED_VALUE"""),45048.5917379398)</f>
        <v>45048.591737939802</v>
      </c>
      <c r="B1736" s="1" t="str">
        <f ca="1">IFERROR(__xludf.DUMMYFUNCTION("""COMPUTED_VALUE"""),"India")</f>
        <v>India</v>
      </c>
      <c r="C1736" s="1">
        <f ca="1">IFERROR(__xludf.DUMMYFUNCTION("""COMPUTED_VALUE"""),793006)</f>
        <v>793006</v>
      </c>
      <c r="D1736" s="1" t="str">
        <f ca="1">IFERROR(__xludf.DUMMYFUNCTION("""COMPUTED_VALUE"""),"Female")</f>
        <v>Female</v>
      </c>
      <c r="E1736" s="1" t="str">
        <f ca="1">IFERROR(__xludf.DUMMYFUNCTION("""COMPUTED_VALUE"""),"Influencers who had successful careers")</f>
        <v>Influencers who had successful careers</v>
      </c>
      <c r="F1736" s="1" t="str">
        <f ca="1">IFERROR(__xludf.DUMMYFUNCTION("""COMPUTED_VALUE"""),"Yes, I will earn and do that")</f>
        <v>Yes, I will earn and do that</v>
      </c>
      <c r="G1736" s="1" t="str">
        <f ca="1">IFERROR(__xludf.DUMMYFUNCTION("""COMPUTED_VALUE"""),"This will be hard to do, but if it is the right company I would try")</f>
        <v>This will be hard to do, but if it is the right company I would try</v>
      </c>
      <c r="H1736" s="1" t="str">
        <f ca="1">IFERROR(__xludf.DUMMYFUNCTION("""COMPUTED_VALUE"""),"No")</f>
        <v>No</v>
      </c>
      <c r="I1736" s="1" t="str">
        <f ca="1">IFERROR(__xludf.DUMMYFUNCTION("""COMPUTED_VALUE"""),"Will NOT work for them")</f>
        <v>Will NOT work for them</v>
      </c>
      <c r="J1736" s="1">
        <f ca="1">IFERROR(__xludf.DUMMYFUNCTION("""COMPUTED_VALUE"""),2)</f>
        <v>2</v>
      </c>
      <c r="K1736" s="1" t="str">
        <f ca="1">IFERROR(__xludf.DUMMYFUNCTION("""COMPUTED_VALUE"""),"Hybrid Working Environment with more than 15 days a month at office")</f>
        <v>Hybrid Working Environment with more than 15 days a month at office</v>
      </c>
      <c r="L1736" s="1" t="str">
        <f ca="1">IFERROR(__xludf.DUMMYFUNCTION("""COMPUTED_VALUE"""),"Employer who pushes your limits by enabling an learning environment, and rewards you at the end")</f>
        <v>Employer who pushes your limits by enabling an learning environment, and rewards you at the end</v>
      </c>
      <c r="M1736"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N1736" s="1"/>
      <c r="O1736" s="1" t="str">
        <f ca="1">IFERROR(__xludf.DUMMYFUNCTION("""COMPUTED_VALUE"""),"Manager who explains what is expected, sets a goal and helps achieve it")</f>
        <v>Manager who explains what is expected, sets a goal and helps achieve it</v>
      </c>
      <c r="P1736" s="1" t="str">
        <f ca="1">IFERROR(__xludf.DUMMYFUNCTION("""COMPUTED_VALUE"""),"Work &lt;=6 People in the Team")</f>
        <v>Work &lt;=6 People in the Team</v>
      </c>
      <c r="Q1736" s="1" t="s">
        <v>40</v>
      </c>
      <c r="R1736" s="1"/>
    </row>
    <row r="1737" spans="1:18" x14ac:dyDescent="0.25">
      <c r="A1737" s="2">
        <f ca="1">IFERROR(__xludf.DUMMYFUNCTION("""COMPUTED_VALUE"""),45048.5935423726)</f>
        <v>45048.593542372597</v>
      </c>
      <c r="B1737" s="1" t="str">
        <f ca="1">IFERROR(__xludf.DUMMYFUNCTION("""COMPUTED_VALUE"""),"India")</f>
        <v>India</v>
      </c>
      <c r="C1737" s="1">
        <f ca="1">IFERROR(__xludf.DUMMYFUNCTION("""COMPUTED_VALUE"""),793002)</f>
        <v>793002</v>
      </c>
      <c r="D1737" s="1" t="str">
        <f ca="1">IFERROR(__xludf.DUMMYFUNCTION("""COMPUTED_VALUE"""),"Male")</f>
        <v>Male</v>
      </c>
      <c r="E1737" s="1" t="str">
        <f ca="1">IFERROR(__xludf.DUMMYFUNCTION("""COMPUTED_VALUE"""),"My Parents")</f>
        <v>My Parents</v>
      </c>
      <c r="F1737" s="1" t="str">
        <f ca="1">IFERROR(__xludf.DUMMYFUNCTION("""COMPUTED_VALUE"""),"Yes, I will earn and do that")</f>
        <v>Yes, I will earn and do that</v>
      </c>
      <c r="G1737" s="1" t="str">
        <f ca="1">IFERROR(__xludf.DUMMYFUNCTION("""COMPUTED_VALUE"""),"This will be hard to do, but if it is the right company I would try")</f>
        <v>This will be hard to do, but if it is the right company I would try</v>
      </c>
      <c r="H1737" s="1" t="str">
        <f ca="1">IFERROR(__xludf.DUMMYFUNCTION("""COMPUTED_VALUE"""),"Yes")</f>
        <v>Yes</v>
      </c>
      <c r="I1737" s="1" t="str">
        <f ca="1">IFERROR(__xludf.DUMMYFUNCTION("""COMPUTED_VALUE"""),"Will work for them")</f>
        <v>Will work for them</v>
      </c>
      <c r="J1737" s="1">
        <f ca="1">IFERROR(__xludf.DUMMYFUNCTION("""COMPUTED_VALUE"""),4)</f>
        <v>4</v>
      </c>
      <c r="K1737" s="1" t="str">
        <f ca="1">IFERROR(__xludf.DUMMYFUNCTION("""COMPUTED_VALUE"""),"Hybrid Working Environment with less than 3 days a month at office")</f>
        <v>Hybrid Working Environment with less than 3 days a month at office</v>
      </c>
      <c r="L1737" s="1" t="str">
        <f ca="1">IFERROR(__xludf.DUMMYFUNCTION("""COMPUTED_VALUE"""),"Employer who pushes your limits by enabling an learning environment, and rewards you at the end")</f>
        <v>Employer who pushes your limits by enabling an learning environment, and rewards you at the end</v>
      </c>
      <c r="M1737"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N1737" s="1"/>
      <c r="O1737" s="1" t="str">
        <f ca="1">IFERROR(__xludf.DUMMYFUNCTION("""COMPUTED_VALUE"""),"Manager who explains what is expected, sets a goal and helps achieve it")</f>
        <v>Manager who explains what is expected, sets a goal and helps achieve it</v>
      </c>
      <c r="P1737" s="1" t="str">
        <f ca="1">IFERROR(__xludf.DUMMYFUNCTION("""COMPUTED_VALUE"""),"Work &lt;=6 People in the Team")</f>
        <v>Work &lt;=6 People in the Team</v>
      </c>
      <c r="Q1737" s="1" t="s">
        <v>40</v>
      </c>
      <c r="R1737" s="1"/>
    </row>
    <row r="1738" spans="1:18" x14ac:dyDescent="0.25">
      <c r="A1738" s="2">
        <f ca="1">IFERROR(__xludf.DUMMYFUNCTION("""COMPUTED_VALUE"""),45048.6025830555)</f>
        <v>45048.602583055501</v>
      </c>
      <c r="B1738" s="1" t="str">
        <f ca="1">IFERROR(__xludf.DUMMYFUNCTION("""COMPUTED_VALUE"""),"India")</f>
        <v>India</v>
      </c>
      <c r="C1738" s="1">
        <f ca="1">IFERROR(__xludf.DUMMYFUNCTION("""COMPUTED_VALUE"""),793009)</f>
        <v>793009</v>
      </c>
      <c r="D1738" s="1" t="str">
        <f ca="1">IFERROR(__xludf.DUMMYFUNCTION("""COMPUTED_VALUE"""),"Female")</f>
        <v>Female</v>
      </c>
      <c r="E1738" s="1" t="str">
        <f ca="1">IFERROR(__xludf.DUMMYFUNCTION("""COMPUTED_VALUE"""),"People who have changed the world for better")</f>
        <v>People who have changed the world for better</v>
      </c>
      <c r="F1738" s="1" t="str">
        <f ca="1">IFERROR(__xludf.DUMMYFUNCTION("""COMPUTED_VALUE"""),"Yes, I will earn and do that")</f>
        <v>Yes, I will earn and do that</v>
      </c>
      <c r="G1738" s="1" t="str">
        <f ca="1">IFERROR(__xludf.DUMMYFUNCTION("""COMPUTED_VALUE"""),"Will work for 3 years or more")</f>
        <v>Will work for 3 years or more</v>
      </c>
      <c r="H1738" s="1" t="str">
        <f ca="1">IFERROR(__xludf.DUMMYFUNCTION("""COMPUTED_VALUE"""),"No")</f>
        <v>No</v>
      </c>
      <c r="I1738" s="1" t="str">
        <f ca="1">IFERROR(__xludf.DUMMYFUNCTION("""COMPUTED_VALUE"""),"Will NOT work for them")</f>
        <v>Will NOT work for them</v>
      </c>
      <c r="J1738" s="1">
        <f ca="1">IFERROR(__xludf.DUMMYFUNCTION("""COMPUTED_VALUE"""),1)</f>
        <v>1</v>
      </c>
      <c r="K1738" s="1" t="str">
        <f ca="1">IFERROR(__xludf.DUMMYFUNCTION("""COMPUTED_VALUE"""),"Fully Remote with Options to travel as and when needed")</f>
        <v>Fully Remote with Options to travel as and when needed</v>
      </c>
      <c r="L1738" s="1" t="str">
        <f ca="1">IFERROR(__xludf.DUMMYFUNCTION("""COMPUTED_VALUE"""),"Employer who pushes your limits by enabling an learning environment, and rewards you at the end")</f>
        <v>Employer who pushes your limits by enabling an learning environment, and rewards you at the end</v>
      </c>
      <c r="M1738"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N1738" s="1"/>
      <c r="O1738" s="1" t="str">
        <f ca="1">IFERROR(__xludf.DUMMYFUNCTION("""COMPUTED_VALUE"""),"Manager who explains what is expected, sets a goal and helps achieve it")</f>
        <v>Manager who explains what is expected, sets a goal and helps achieve it</v>
      </c>
      <c r="P1738" s="1" t="str">
        <f ca="1">IFERROR(__xludf.DUMMYFUNCTION("""COMPUTED_VALUE"""),"Work Alone, &lt;=6 in team")</f>
        <v>Work Alone, &lt;=6 in team</v>
      </c>
      <c r="Q1738" s="1" t="s">
        <v>43</v>
      </c>
      <c r="R1738" s="1"/>
    </row>
    <row r="1739" spans="1:18" x14ac:dyDescent="0.25">
      <c r="A1739" s="2">
        <f ca="1">IFERROR(__xludf.DUMMYFUNCTION("""COMPUTED_VALUE"""),45048.6031778125)</f>
        <v>45048.603177812503</v>
      </c>
      <c r="B1739" s="1" t="str">
        <f ca="1">IFERROR(__xludf.DUMMYFUNCTION("""COMPUTED_VALUE"""),"India")</f>
        <v>India</v>
      </c>
      <c r="C1739" s="1">
        <f ca="1">IFERROR(__xludf.DUMMYFUNCTION("""COMPUTED_VALUE"""),793021)</f>
        <v>793021</v>
      </c>
      <c r="D1739" s="1" t="str">
        <f ca="1">IFERROR(__xludf.DUMMYFUNCTION("""COMPUTED_VALUE"""),"Female")</f>
        <v>Female</v>
      </c>
      <c r="E1739" s="1" t="str">
        <f ca="1">IFERROR(__xludf.DUMMYFUNCTION("""COMPUTED_VALUE"""),"My Parents")</f>
        <v>My Parents</v>
      </c>
      <c r="F1739" s="1" t="str">
        <f ca="1">IFERROR(__xludf.DUMMYFUNCTION("""COMPUTED_VALUE"""),"No I would not be pursuing Higher Education outside of India")</f>
        <v>No I would not be pursuing Higher Education outside of India</v>
      </c>
      <c r="G1739" s="1" t="str">
        <f ca="1">IFERROR(__xludf.DUMMYFUNCTION("""COMPUTED_VALUE"""),"This will be hard to do, but if it is the right company I would try")</f>
        <v>This will be hard to do, but if it is the right company I would try</v>
      </c>
      <c r="H1739" s="1" t="str">
        <f ca="1">IFERROR(__xludf.DUMMYFUNCTION("""COMPUTED_VALUE"""),"Yes")</f>
        <v>Yes</v>
      </c>
      <c r="I1739" s="1" t="str">
        <f ca="1">IFERROR(__xludf.DUMMYFUNCTION("""COMPUTED_VALUE"""),"Will NOT work for them")</f>
        <v>Will NOT work for them</v>
      </c>
      <c r="J1739" s="1">
        <f ca="1">IFERROR(__xludf.DUMMYFUNCTION("""COMPUTED_VALUE"""),3)</f>
        <v>3</v>
      </c>
      <c r="K1739" s="1" t="str">
        <f ca="1">IFERROR(__xludf.DUMMYFUNCTION("""COMPUTED_VALUE"""),"Fully Remote with No option to visit offices")</f>
        <v>Fully Remote with No option to visit offices</v>
      </c>
      <c r="L1739" s="1" t="str">
        <f ca="1">IFERROR(__xludf.DUMMYFUNCTION("""COMPUTED_VALUE"""),"Employer who rewards learning and enables that environment")</f>
        <v>Employer who rewards learning and enables that environment</v>
      </c>
      <c r="M1739" s="1" t="str">
        <f ca="1">IFERROR(__xludf.DUMMYFUNCTION("""COMPUTED_VALUE"""),"Build and develop a Team, Look deeply into Data and generate insights, Become a content Creator in some platform, Manufacturing / Oil and Gas/ Construction / Hard Physical Work related")</f>
        <v>Build and develop a Team, Look deeply into Data and generate insights, Become a content Creator in some platform, Manufacturing / Oil and Gas/ Construction / Hard Physical Work related</v>
      </c>
      <c r="N1739" s="1"/>
      <c r="O1739" s="1" t="str">
        <f ca="1">IFERROR(__xludf.DUMMYFUNCTION("""COMPUTED_VALUE"""),"Manager who explains what is expected, sets a goal and helps achieve it")</f>
        <v>Manager who explains what is expected, sets a goal and helps achieve it</v>
      </c>
      <c r="P1739" s="1" t="str">
        <f ca="1">IFERROR(__xludf.DUMMYFUNCTION("""COMPUTED_VALUE"""),"Work &lt;=6 People in the Team")</f>
        <v>Work &lt;=6 People in the Team</v>
      </c>
      <c r="Q1739" s="1" t="s">
        <v>42</v>
      </c>
      <c r="R1739" s="1"/>
    </row>
    <row r="1740" spans="1:18" x14ac:dyDescent="0.25">
      <c r="A1740" s="2">
        <f ca="1">IFERROR(__xludf.DUMMYFUNCTION("""COMPUTED_VALUE"""),45048.6108131713)</f>
        <v>45048.610813171297</v>
      </c>
      <c r="B1740" s="1" t="str">
        <f ca="1">IFERROR(__xludf.DUMMYFUNCTION("""COMPUTED_VALUE"""),"India")</f>
        <v>India</v>
      </c>
      <c r="C1740" s="1">
        <f ca="1">IFERROR(__xludf.DUMMYFUNCTION("""COMPUTED_VALUE"""),411004)</f>
        <v>411004</v>
      </c>
      <c r="D1740" s="1" t="str">
        <f ca="1">IFERROR(__xludf.DUMMYFUNCTION("""COMPUTED_VALUE"""),"Female")</f>
        <v>Female</v>
      </c>
      <c r="E1740" s="1" t="str">
        <f ca="1">IFERROR(__xludf.DUMMYFUNCTION("""COMPUTED_VALUE"""),"People who have changed the world for better")</f>
        <v>People who have changed the world for better</v>
      </c>
      <c r="F1740" s="1" t="str">
        <f ca="1">IFERROR(__xludf.DUMMYFUNCTION("""COMPUTED_VALUE"""),"No, But if someone could bare the cost I will")</f>
        <v>No, But if someone could bare the cost I will</v>
      </c>
      <c r="G1740" s="1" t="str">
        <f ca="1">IFERROR(__xludf.DUMMYFUNCTION("""COMPUTED_VALUE"""),"This will be hard to do, but if it is the right company I would try")</f>
        <v>This will be hard to do, but if it is the right company I would try</v>
      </c>
      <c r="H1740" s="1" t="str">
        <f ca="1">IFERROR(__xludf.DUMMYFUNCTION("""COMPUTED_VALUE"""),"No")</f>
        <v>No</v>
      </c>
      <c r="I1740" s="1" t="str">
        <f ca="1">IFERROR(__xludf.DUMMYFUNCTION("""COMPUTED_VALUE"""),"Will NOT work for them")</f>
        <v>Will NOT work for them</v>
      </c>
      <c r="J1740" s="1">
        <f ca="1">IFERROR(__xludf.DUMMYFUNCTION("""COMPUTED_VALUE"""),8)</f>
        <v>8</v>
      </c>
      <c r="K1740" s="1" t="str">
        <f ca="1">IFERROR(__xludf.DUMMYFUNCTION("""COMPUTED_VALUE"""),"Fully Remote with Options to travel as and when needed")</f>
        <v>Fully Remote with Options to travel as and when needed</v>
      </c>
      <c r="L1740" s="1" t="str">
        <f ca="1">IFERROR(__xludf.DUMMYFUNCTION("""COMPUTED_VALUE"""),"Employer who pushes your limits by enabling an learning environment, and rewards you at the end")</f>
        <v>Employer who pushes your limits by enabling an learning environment, and rewards you at the end</v>
      </c>
      <c r="M1740"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N1740" s="1"/>
      <c r="O1740" s="1" t="str">
        <f ca="1">IFERROR(__xludf.DUMMYFUNCTION("""COMPUTED_VALUE"""),"Manager who sets targets and expects me to achieve it")</f>
        <v>Manager who sets targets and expects me to achieve it</v>
      </c>
      <c r="P1740" s="1" t="str">
        <f ca="1">IFERROR(__xludf.DUMMYFUNCTION("""COMPUTED_VALUE"""),"Work &lt;=6 People in the Team")</f>
        <v>Work &lt;=6 People in the Team</v>
      </c>
      <c r="Q1740" s="1" t="s">
        <v>43</v>
      </c>
      <c r="R1740" s="1"/>
    </row>
    <row r="1741" spans="1:18" x14ac:dyDescent="0.25">
      <c r="A1741" s="2">
        <f ca="1">IFERROR(__xludf.DUMMYFUNCTION("""COMPUTED_VALUE"""),45048.6146675578)</f>
        <v>45048.614667557798</v>
      </c>
      <c r="B1741" s="1" t="str">
        <f ca="1">IFERROR(__xludf.DUMMYFUNCTION("""COMPUTED_VALUE"""),"India")</f>
        <v>India</v>
      </c>
      <c r="C1741" s="1">
        <f ca="1">IFERROR(__xludf.DUMMYFUNCTION("""COMPUTED_VALUE"""),793001)</f>
        <v>793001</v>
      </c>
      <c r="D1741" s="1" t="str">
        <f ca="1">IFERROR(__xludf.DUMMYFUNCTION("""COMPUTED_VALUE"""),"Male")</f>
        <v>Male</v>
      </c>
      <c r="E1741" s="1" t="str">
        <f ca="1">IFERROR(__xludf.DUMMYFUNCTION("""COMPUTED_VALUE"""),"Influencers who had successful careers")</f>
        <v>Influencers who had successful careers</v>
      </c>
      <c r="F1741" s="1" t="str">
        <f ca="1">IFERROR(__xludf.DUMMYFUNCTION("""COMPUTED_VALUE"""),"Yes, I will earn and do that")</f>
        <v>Yes, I will earn and do that</v>
      </c>
      <c r="G1741" s="1" t="str">
        <f ca="1">IFERROR(__xludf.DUMMYFUNCTION("""COMPUTED_VALUE"""),"This will be hard to do, but if it is the right company I would try")</f>
        <v>This will be hard to do, but if it is the right company I would try</v>
      </c>
      <c r="H1741" s="1" t="str">
        <f ca="1">IFERROR(__xludf.DUMMYFUNCTION("""COMPUTED_VALUE"""),"No")</f>
        <v>No</v>
      </c>
      <c r="I1741" s="1" t="str">
        <f ca="1">IFERROR(__xludf.DUMMYFUNCTION("""COMPUTED_VALUE"""),"Will NOT work for them")</f>
        <v>Will NOT work for them</v>
      </c>
      <c r="J1741" s="1">
        <f ca="1">IFERROR(__xludf.DUMMYFUNCTION("""COMPUTED_VALUE"""),2)</f>
        <v>2</v>
      </c>
      <c r="K1741" s="1" t="str">
        <f ca="1">IFERROR(__xludf.DUMMYFUNCTION("""COMPUTED_VALUE"""),"Fully Remote with Options to travel as and when needed")</f>
        <v>Fully Remote with Options to travel as and when needed</v>
      </c>
      <c r="L1741" s="1" t="str">
        <f ca="1">IFERROR(__xludf.DUMMYFUNCTION("""COMPUTED_VALUE"""),"Employer who appreciates learning and enables that environment")</f>
        <v>Employer who appreciates learning and enables that environment</v>
      </c>
      <c r="M1741"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N1741" s="1"/>
      <c r="O1741" s="1" t="str">
        <f ca="1">IFERROR(__xludf.DUMMYFUNCTION("""COMPUTED_VALUE"""),"Manager who explains what is expected, sets a goal and helps achieve it")</f>
        <v>Manager who explains what is expected, sets a goal and helps achieve it</v>
      </c>
      <c r="P1741" s="1" t="str">
        <f ca="1">IFERROR(__xludf.DUMMYFUNCTION("""COMPUTED_VALUE"""),"Work &lt;=6 People in the Team")</f>
        <v>Work &lt;=6 People in the Team</v>
      </c>
      <c r="Q1741" s="1" t="s">
        <v>43</v>
      </c>
      <c r="R1741" s="1"/>
    </row>
    <row r="1742" spans="1:18" x14ac:dyDescent="0.25">
      <c r="A1742" s="2">
        <f ca="1">IFERROR(__xludf.DUMMYFUNCTION("""COMPUTED_VALUE"""),45048.6178744675)</f>
        <v>45048.617874467498</v>
      </c>
      <c r="B1742" s="1" t="str">
        <f ca="1">IFERROR(__xludf.DUMMYFUNCTION("""COMPUTED_VALUE"""),"India")</f>
        <v>India</v>
      </c>
      <c r="C1742" s="1">
        <f ca="1">IFERROR(__xludf.DUMMYFUNCTION("""COMPUTED_VALUE"""),793006)</f>
        <v>793006</v>
      </c>
      <c r="D1742" s="1" t="str">
        <f ca="1">IFERROR(__xludf.DUMMYFUNCTION("""COMPUTED_VALUE"""),"Female")</f>
        <v>Female</v>
      </c>
      <c r="E1742" s="1" t="str">
        <f ca="1">IFERROR(__xludf.DUMMYFUNCTION("""COMPUTED_VALUE"""),"My Parents")</f>
        <v>My Parents</v>
      </c>
      <c r="F1742" s="1" t="str">
        <f ca="1">IFERROR(__xludf.DUMMYFUNCTION("""COMPUTED_VALUE"""),"Yes, I will earn and do that")</f>
        <v>Yes, I will earn and do that</v>
      </c>
      <c r="G1742" s="1" t="str">
        <f ca="1">IFERROR(__xludf.DUMMYFUNCTION("""COMPUTED_VALUE"""),"This will be hard to do, but if it is the right company I would try")</f>
        <v>This will be hard to do, but if it is the right company I would try</v>
      </c>
      <c r="H1742" s="1" t="str">
        <f ca="1">IFERROR(__xludf.DUMMYFUNCTION("""COMPUTED_VALUE"""),"Yes")</f>
        <v>Yes</v>
      </c>
      <c r="I1742" s="1" t="str">
        <f ca="1">IFERROR(__xludf.DUMMYFUNCTION("""COMPUTED_VALUE"""),"Will NOT work for them")</f>
        <v>Will NOT work for them</v>
      </c>
      <c r="J1742" s="1">
        <f ca="1">IFERROR(__xludf.DUMMYFUNCTION("""COMPUTED_VALUE"""),1)</f>
        <v>1</v>
      </c>
      <c r="K1742" s="1" t="str">
        <f ca="1">IFERROR(__xludf.DUMMYFUNCTION("""COMPUTED_VALUE"""),"Fully Remote with Options to travel as and when needed")</f>
        <v>Fully Remote with Options to travel as and when needed</v>
      </c>
      <c r="L1742" s="1" t="str">
        <f ca="1">IFERROR(__xludf.DUMMYFUNCTION("""COMPUTED_VALUE"""),"Employer who pushes your limits by enabling an learning environment, and rewards you at the end")</f>
        <v>Employer who pushes your limits by enabling an learning environment, and rewards you at the end</v>
      </c>
      <c r="M1742"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N1742" s="1"/>
      <c r="O1742" s="1" t="str">
        <f ca="1">IFERROR(__xludf.DUMMYFUNCTION("""COMPUTED_VALUE"""),"Manager who explains what is expected, sets a goal and helps achieve it")</f>
        <v>Manager who explains what is expected, sets a goal and helps achieve it</v>
      </c>
      <c r="P1742" s="1" t="str">
        <f ca="1">IFERROR(__xludf.DUMMYFUNCTION("""COMPUTED_VALUE"""),"Work &lt;=6 People in the Team")</f>
        <v>Work &lt;=6 People in the Team</v>
      </c>
      <c r="Q1742" s="1" t="s">
        <v>43</v>
      </c>
      <c r="R1742" s="1"/>
    </row>
    <row r="1743" spans="1:18" x14ac:dyDescent="0.25">
      <c r="A1743" s="2">
        <f ca="1">IFERROR(__xludf.DUMMYFUNCTION("""COMPUTED_VALUE"""),45048.6188695023)</f>
        <v>45048.618869502301</v>
      </c>
      <c r="B1743" s="1" t="str">
        <f ca="1">IFERROR(__xludf.DUMMYFUNCTION("""COMPUTED_VALUE"""),"India")</f>
        <v>India</v>
      </c>
      <c r="C1743" s="1">
        <f ca="1">IFERROR(__xludf.DUMMYFUNCTION("""COMPUTED_VALUE"""),737136)</f>
        <v>737136</v>
      </c>
      <c r="D1743" s="1" t="str">
        <f ca="1">IFERROR(__xludf.DUMMYFUNCTION("""COMPUTED_VALUE"""),"Female")</f>
        <v>Female</v>
      </c>
      <c r="E1743" s="1" t="str">
        <f ca="1">IFERROR(__xludf.DUMMYFUNCTION("""COMPUTED_VALUE"""),"People who have changed the world for better")</f>
        <v>People who have changed the world for better</v>
      </c>
      <c r="F1743" s="1" t="str">
        <f ca="1">IFERROR(__xludf.DUMMYFUNCTION("""COMPUTED_VALUE"""),"Yes, I will earn and do that")</f>
        <v>Yes, I will earn and do that</v>
      </c>
      <c r="G1743" s="1" t="str">
        <f ca="1">IFERROR(__xludf.DUMMYFUNCTION("""COMPUTED_VALUE"""),"This will be hard to do, but if it is the right company I would try")</f>
        <v>This will be hard to do, but if it is the right company I would try</v>
      </c>
      <c r="H1743" s="1" t="str">
        <f ca="1">IFERROR(__xludf.DUMMYFUNCTION("""COMPUTED_VALUE"""),"No")</f>
        <v>No</v>
      </c>
      <c r="I1743" s="1" t="str">
        <f ca="1">IFERROR(__xludf.DUMMYFUNCTION("""COMPUTED_VALUE"""),"Will NOT work for them")</f>
        <v>Will NOT work for them</v>
      </c>
      <c r="J1743" s="1">
        <f ca="1">IFERROR(__xludf.DUMMYFUNCTION("""COMPUTED_VALUE"""),4)</f>
        <v>4</v>
      </c>
      <c r="K1743" s="1" t="str">
        <f ca="1">IFERROR(__xludf.DUMMYFUNCTION("""COMPUTED_VALUE"""),"Hybrid Working Environment with less than 3 days a month at office")</f>
        <v>Hybrid Working Environment with less than 3 days a month at office</v>
      </c>
      <c r="L1743" s="1" t="str">
        <f ca="1">IFERROR(__xludf.DUMMYFUNCTION("""COMPUTED_VALUE"""),"Employer who appreciates learning and enables that environment")</f>
        <v>Employer who appreciates learning and enables that environment</v>
      </c>
      <c r="M1743"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N1743" s="1"/>
      <c r="O1743" s="1" t="str">
        <f ca="1">IFERROR(__xludf.DUMMYFUNCTION("""COMPUTED_VALUE"""),"Manager who explains what is expected, sets a goal and helps achieve it")</f>
        <v>Manager who explains what is expected, sets a goal and helps achieve it</v>
      </c>
      <c r="P1743" s="1" t="str">
        <f ca="1">IFERROR(__xludf.DUMMYFUNCTION("""COMPUTED_VALUE"""),"Work &lt;=6 People in the Team")</f>
        <v>Work &lt;=6 People in the Team</v>
      </c>
      <c r="Q1743" s="1" t="s">
        <v>43</v>
      </c>
      <c r="R1743" s="1"/>
    </row>
    <row r="1744" spans="1:18" x14ac:dyDescent="0.25">
      <c r="A1744" s="2">
        <f ca="1">IFERROR(__xludf.DUMMYFUNCTION("""COMPUTED_VALUE"""),45048.626502199)</f>
        <v>45048.626502198997</v>
      </c>
      <c r="B1744" s="1" t="str">
        <f ca="1">IFERROR(__xludf.DUMMYFUNCTION("""COMPUTED_VALUE"""),"India")</f>
        <v>India</v>
      </c>
      <c r="C1744" s="1">
        <f ca="1">IFERROR(__xludf.DUMMYFUNCTION("""COMPUTED_VALUE"""),793006)</f>
        <v>793006</v>
      </c>
      <c r="D1744" s="1" t="str">
        <f ca="1">IFERROR(__xludf.DUMMYFUNCTION("""COMPUTED_VALUE"""),"Male")</f>
        <v>Male</v>
      </c>
      <c r="E1744" s="1" t="str">
        <f ca="1">IFERROR(__xludf.DUMMYFUNCTION("""COMPUTED_VALUE"""),"People who have changed the world for better")</f>
        <v>People who have changed the world for better</v>
      </c>
      <c r="F1744" s="1" t="str">
        <f ca="1">IFERROR(__xludf.DUMMYFUNCTION("""COMPUTED_VALUE"""),"No I would not be pursuing Higher Education outside of India")</f>
        <v>No I would not be pursuing Higher Education outside of India</v>
      </c>
      <c r="G1744" s="1" t="str">
        <f ca="1">IFERROR(__xludf.DUMMYFUNCTION("""COMPUTED_VALUE"""),"This will be hard to do, but if it is the right company I would try")</f>
        <v>This will be hard to do, but if it is the right company I would try</v>
      </c>
      <c r="H1744" s="1" t="str">
        <f ca="1">IFERROR(__xludf.DUMMYFUNCTION("""COMPUTED_VALUE"""),"Yes")</f>
        <v>Yes</v>
      </c>
      <c r="I1744" s="1" t="str">
        <f ca="1">IFERROR(__xludf.DUMMYFUNCTION("""COMPUTED_VALUE"""),"Will work for them")</f>
        <v>Will work for them</v>
      </c>
      <c r="J1744" s="1">
        <f ca="1">IFERROR(__xludf.DUMMYFUNCTION("""COMPUTED_VALUE"""),10)</f>
        <v>10</v>
      </c>
      <c r="K1744" s="1" t="str">
        <f ca="1">IFERROR(__xludf.DUMMYFUNCTION("""COMPUTED_VALUE"""),"Hybrid Working Environment with more than 15 days a month at office")</f>
        <v>Hybrid Working Environment with more than 15 days a month at office</v>
      </c>
      <c r="L1744" s="1" t="str">
        <f ca="1">IFERROR(__xludf.DUMMYFUNCTION("""COMPUTED_VALUE"""),"Employer who pushes your limits by enabling an learning environment, and rewards you at the end")</f>
        <v>Employer who pushes your limits by enabling an learning environment, and rewards you at the end</v>
      </c>
      <c r="M1744"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N1744" s="1"/>
      <c r="O1744" s="1" t="str">
        <f ca="1">IFERROR(__xludf.DUMMYFUNCTION("""COMPUTED_VALUE"""),"Manager who sets targets and expects me to achieve it")</f>
        <v>Manager who sets targets and expects me to achieve it</v>
      </c>
      <c r="P1744" s="1" t="str">
        <f ca="1">IFERROR(__xludf.DUMMYFUNCTION("""COMPUTED_VALUE"""),"Work &lt;=6 People in the Team")</f>
        <v>Work &lt;=6 People in the Team</v>
      </c>
      <c r="Q1744" s="1" t="s">
        <v>43</v>
      </c>
      <c r="R1744" s="1"/>
    </row>
    <row r="1745" spans="1:18" x14ac:dyDescent="0.25">
      <c r="A1745" s="2">
        <f ca="1">IFERROR(__xludf.DUMMYFUNCTION("""COMPUTED_VALUE"""),45048.6277116666)</f>
        <v>45048.627711666602</v>
      </c>
      <c r="B1745" s="1" t="str">
        <f ca="1">IFERROR(__xludf.DUMMYFUNCTION("""COMPUTED_VALUE"""),"India")</f>
        <v>India</v>
      </c>
      <c r="C1745" s="1">
        <f ca="1">IFERROR(__xludf.DUMMYFUNCTION("""COMPUTED_VALUE"""),111018)</f>
        <v>111018</v>
      </c>
      <c r="D1745" s="1" t="str">
        <f ca="1">IFERROR(__xludf.DUMMYFUNCTION("""COMPUTED_VALUE"""),"Male")</f>
        <v>Male</v>
      </c>
      <c r="E1745" s="1" t="str">
        <f ca="1">IFERROR(__xludf.DUMMYFUNCTION("""COMPUTED_VALUE"""),"My Parents")</f>
        <v>My Parents</v>
      </c>
      <c r="F1745" s="1" t="str">
        <f ca="1">IFERROR(__xludf.DUMMYFUNCTION("""COMPUTED_VALUE"""),"No I would not be pursuing Higher Education outside of India")</f>
        <v>No I would not be pursuing Higher Education outside of India</v>
      </c>
      <c r="G1745" s="1" t="str">
        <f ca="1">IFERROR(__xludf.DUMMYFUNCTION("""COMPUTED_VALUE"""),"This will be hard to do, but if it is the right company I would try")</f>
        <v>This will be hard to do, but if it is the right company I would try</v>
      </c>
      <c r="H1745" s="1" t="str">
        <f ca="1">IFERROR(__xludf.DUMMYFUNCTION("""COMPUTED_VALUE"""),"Yes")</f>
        <v>Yes</v>
      </c>
      <c r="I1745" s="1" t="str">
        <f ca="1">IFERROR(__xludf.DUMMYFUNCTION("""COMPUTED_VALUE"""),"Will NOT work for them")</f>
        <v>Will NOT work for them</v>
      </c>
      <c r="J1745" s="1">
        <f ca="1">IFERROR(__xludf.DUMMYFUNCTION("""COMPUTED_VALUE"""),4)</f>
        <v>4</v>
      </c>
      <c r="K1745" s="1" t="str">
        <f ca="1">IFERROR(__xludf.DUMMYFUNCTION("""COMPUTED_VALUE"""),"Hybrid Working Environment with less than 3 days a month at office")</f>
        <v>Hybrid Working Environment with less than 3 days a month at office</v>
      </c>
      <c r="L1745" s="1" t="str">
        <f ca="1">IFERROR(__xludf.DUMMYFUNCTION("""COMPUTED_VALUE"""),"Employer who pushes your limits by enabling an learning environment, and rewards you at the end")</f>
        <v>Employer who pushes your limits by enabling an learning environment, and rewards you at the end</v>
      </c>
      <c r="M174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N1745" s="1"/>
      <c r="O1745" s="1" t="str">
        <f ca="1">IFERROR(__xludf.DUMMYFUNCTION("""COMPUTED_VALUE"""),"Manager who sets goal and helps me achieve it")</f>
        <v>Manager who sets goal and helps me achieve it</v>
      </c>
      <c r="P1745" s="1" t="str">
        <f ca="1">IFERROR(__xludf.DUMMYFUNCTION("""COMPUTED_VALUE"""),"Work &lt;=6 People in the Team")</f>
        <v>Work &lt;=6 People in the Team</v>
      </c>
      <c r="Q1745" s="1" t="s">
        <v>40</v>
      </c>
      <c r="R1745" s="1"/>
    </row>
    <row r="1746" spans="1:18" x14ac:dyDescent="0.25">
      <c r="A1746" s="2">
        <f ca="1">IFERROR(__xludf.DUMMYFUNCTION("""COMPUTED_VALUE"""),45048.6290957523)</f>
        <v>45048.629095752302</v>
      </c>
      <c r="B1746" s="1" t="str">
        <f ca="1">IFERROR(__xludf.DUMMYFUNCTION("""COMPUTED_VALUE"""),"India")</f>
        <v>India</v>
      </c>
      <c r="C1746" s="1">
        <f ca="1">IFERROR(__xludf.DUMMYFUNCTION("""COMPUTED_VALUE"""),794001)</f>
        <v>794001</v>
      </c>
      <c r="D1746" s="1" t="str">
        <f ca="1">IFERROR(__xludf.DUMMYFUNCTION("""COMPUTED_VALUE"""),"Male")</f>
        <v>Male</v>
      </c>
      <c r="E1746" s="1" t="str">
        <f ca="1">IFERROR(__xludf.DUMMYFUNCTION("""COMPUTED_VALUE"""),"My Parents")</f>
        <v>My Parents</v>
      </c>
      <c r="F1746" s="1" t="str">
        <f ca="1">IFERROR(__xludf.DUMMYFUNCTION("""COMPUTED_VALUE"""),"No, But if someone could bare the cost I will")</f>
        <v>No, But if someone could bare the cost I will</v>
      </c>
      <c r="G1746" s="1" t="str">
        <f ca="1">IFERROR(__xludf.DUMMYFUNCTION("""COMPUTED_VALUE"""),"Will work for 3 years or more")</f>
        <v>Will work for 3 years or more</v>
      </c>
      <c r="H1746" s="1" t="str">
        <f ca="1">IFERROR(__xludf.DUMMYFUNCTION("""COMPUTED_VALUE"""),"No")</f>
        <v>No</v>
      </c>
      <c r="I1746" s="1" t="str">
        <f ca="1">IFERROR(__xludf.DUMMYFUNCTION("""COMPUTED_VALUE"""),"Will NOT work for them")</f>
        <v>Will NOT work for them</v>
      </c>
      <c r="J1746" s="1">
        <f ca="1">IFERROR(__xludf.DUMMYFUNCTION("""COMPUTED_VALUE"""),3)</f>
        <v>3</v>
      </c>
      <c r="K1746" s="1" t="str">
        <f ca="1">IFERROR(__xludf.DUMMYFUNCTION("""COMPUTED_VALUE"""),"Fully Remote with No option to visit offices")</f>
        <v>Fully Remote with No option to visit offices</v>
      </c>
      <c r="L1746" s="1" t="str">
        <f ca="1">IFERROR(__xludf.DUMMYFUNCTION("""COMPUTED_VALUE"""),"Employer who appreciates learning and enables that environment")</f>
        <v>Employer who appreciates learning and enables that environment</v>
      </c>
      <c r="M1746"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N1746" s="1"/>
      <c r="O1746" s="1" t="str">
        <f ca="1">IFERROR(__xludf.DUMMYFUNCTION("""COMPUTED_VALUE"""),"Manager who sets unrealistic targets")</f>
        <v>Manager who sets unrealistic targets</v>
      </c>
      <c r="P1746" s="1" t="str">
        <f ca="1">IFERROR(__xludf.DUMMYFUNCTION("""COMPUTED_VALUE"""),"Work Alone, &lt;=6 in team")</f>
        <v>Work Alone, &lt;=6 in team</v>
      </c>
      <c r="Q1746" s="1" t="s">
        <v>43</v>
      </c>
      <c r="R1746" s="1"/>
    </row>
    <row r="1747" spans="1:18" x14ac:dyDescent="0.25">
      <c r="A1747" s="2">
        <f ca="1">IFERROR(__xludf.DUMMYFUNCTION("""COMPUTED_VALUE"""),45048.6721538425)</f>
        <v>45048.672153842497</v>
      </c>
      <c r="B1747" s="1" t="str">
        <f ca="1">IFERROR(__xludf.DUMMYFUNCTION("""COMPUTED_VALUE"""),"India")</f>
        <v>India</v>
      </c>
      <c r="C1747" s="1">
        <f ca="1">IFERROR(__xludf.DUMMYFUNCTION("""COMPUTED_VALUE"""),110070)</f>
        <v>110070</v>
      </c>
      <c r="D1747" s="1" t="str">
        <f ca="1">IFERROR(__xludf.DUMMYFUNCTION("""COMPUTED_VALUE"""),"Male")</f>
        <v>Male</v>
      </c>
      <c r="E1747" s="1" t="str">
        <f ca="1">IFERROR(__xludf.DUMMYFUNCTION("""COMPUTED_VALUE"""),"People who have changed the world for better")</f>
        <v>People who have changed the world for better</v>
      </c>
      <c r="F1747" s="1" t="str">
        <f ca="1">IFERROR(__xludf.DUMMYFUNCTION("""COMPUTED_VALUE"""),"No I would not be pursuing Higher Education outside of India")</f>
        <v>No I would not be pursuing Higher Education outside of India</v>
      </c>
      <c r="G1747" s="1" t="str">
        <f ca="1">IFERROR(__xludf.DUMMYFUNCTION("""COMPUTED_VALUE"""),"This will be hard to do, but if it is the right company I would try")</f>
        <v>This will be hard to do, but if it is the right company I would try</v>
      </c>
      <c r="H1747" s="1" t="str">
        <f ca="1">IFERROR(__xludf.DUMMYFUNCTION("""COMPUTED_VALUE"""),"No")</f>
        <v>No</v>
      </c>
      <c r="I1747" s="1" t="str">
        <f ca="1">IFERROR(__xludf.DUMMYFUNCTION("""COMPUTED_VALUE"""),"Will NOT work for them")</f>
        <v>Will NOT work for them</v>
      </c>
      <c r="J1747" s="1">
        <f ca="1">IFERROR(__xludf.DUMMYFUNCTION("""COMPUTED_VALUE"""),4)</f>
        <v>4</v>
      </c>
      <c r="K1747" s="1" t="str">
        <f ca="1">IFERROR(__xludf.DUMMYFUNCTION("""COMPUTED_VALUE"""),"Fully Remote with Options to travel as and when needed")</f>
        <v>Fully Remote with Options to travel as and when needed</v>
      </c>
      <c r="L1747" s="1" t="str">
        <f ca="1">IFERROR(__xludf.DUMMYFUNCTION("""COMPUTED_VALUE"""),"Employer who pushes your limits by enabling an learning environment, and rewards you at the end")</f>
        <v>Employer who pushes your limits by enabling an learning environment, and rewards you at the end</v>
      </c>
      <c r="M1747" s="1" t="str">
        <f ca="1">IFERROR(__xludf.DUMMYFUNCTION("""COMPUTED_VALUE"""),"Design and Creative strategy in any company, Work in a BPO setup for some well known client, Work as a freelancer and do my thing my way, Entrepreneur or Start Up")</f>
        <v>Design and Creative strategy in any company, Work in a BPO setup for some well known client, Work as a freelancer and do my thing my way, Entrepreneur or Start Up</v>
      </c>
      <c r="N1747" s="1"/>
      <c r="O1747" s="1" t="str">
        <f ca="1">IFERROR(__xludf.DUMMYFUNCTION("""COMPUTED_VALUE"""),"Manager who sets goal and helps me achieve it")</f>
        <v>Manager who sets goal and helps me achieve it</v>
      </c>
      <c r="P1747" s="1" t="str">
        <f ca="1">IFERROR(__xludf.DUMMYFUNCTION("""COMPUTED_VALUE"""),"Work &lt;=6 People in the Team")</f>
        <v>Work &lt;=6 People in the Team</v>
      </c>
      <c r="Q1747" s="1" t="s">
        <v>40</v>
      </c>
      <c r="R1747" s="1"/>
    </row>
    <row r="1748" spans="1:18" x14ac:dyDescent="0.25">
      <c r="A1748" s="2">
        <f ca="1">IFERROR(__xludf.DUMMYFUNCTION("""COMPUTED_VALUE"""),45048.6817630324)</f>
        <v>45048.6817630324</v>
      </c>
      <c r="B1748" s="1" t="str">
        <f ca="1">IFERROR(__xludf.DUMMYFUNCTION("""COMPUTED_VALUE"""),"India")</f>
        <v>India</v>
      </c>
      <c r="C1748" s="1">
        <f ca="1">IFERROR(__xludf.DUMMYFUNCTION("""COMPUTED_VALUE"""),560029)</f>
        <v>560029</v>
      </c>
      <c r="D1748" s="1" t="str">
        <f ca="1">IFERROR(__xludf.DUMMYFUNCTION("""COMPUTED_VALUE"""),"Female")</f>
        <v>Female</v>
      </c>
      <c r="E1748" s="1" t="str">
        <f ca="1">IFERROR(__xludf.DUMMYFUNCTION("""COMPUTED_VALUE"""),"My Parents")</f>
        <v>My Parents</v>
      </c>
      <c r="F1748" s="1" t="str">
        <f ca="1">IFERROR(__xludf.DUMMYFUNCTION("""COMPUTED_VALUE"""),"No I would not be pursuing Higher Education outside of India")</f>
        <v>No I would not be pursuing Higher Education outside of India</v>
      </c>
      <c r="G1748" s="1" t="str">
        <f ca="1">IFERROR(__xludf.DUMMYFUNCTION("""COMPUTED_VALUE"""),"This will be hard to do, but if it is the right company I would try")</f>
        <v>This will be hard to do, but if it is the right company I would try</v>
      </c>
      <c r="H1748" s="1" t="str">
        <f ca="1">IFERROR(__xludf.DUMMYFUNCTION("""COMPUTED_VALUE"""),"No")</f>
        <v>No</v>
      </c>
      <c r="I1748" s="1" t="str">
        <f ca="1">IFERROR(__xludf.DUMMYFUNCTION("""COMPUTED_VALUE"""),"Will NOT work for them")</f>
        <v>Will NOT work for them</v>
      </c>
      <c r="J1748" s="1">
        <f ca="1">IFERROR(__xludf.DUMMYFUNCTION("""COMPUTED_VALUE"""),3)</f>
        <v>3</v>
      </c>
      <c r="K1748" s="1" t="str">
        <f ca="1">IFERROR(__xludf.DUMMYFUNCTION("""COMPUTED_VALUE"""),"Fully Remote with No option to visit offices")</f>
        <v>Fully Remote with No option to visit offices</v>
      </c>
      <c r="L1748" s="1" t="str">
        <f ca="1">IFERROR(__xludf.DUMMYFUNCTION("""COMPUTED_VALUE"""),"Employer who pushes your limits by enabling an learning environment, and rewards you at the end")</f>
        <v>Employer who pushes your limits by enabling an learning environment, and rewards you at the end</v>
      </c>
      <c r="M1748"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N1748" s="1"/>
      <c r="O1748" s="1" t="str">
        <f ca="1">IFERROR(__xludf.DUMMYFUNCTION("""COMPUTED_VALUE"""),"Manager who sets goal and helps me achieve it")</f>
        <v>Manager who sets goal and helps me achieve it</v>
      </c>
      <c r="P1748" s="1" t="str">
        <f ca="1">IFERROR(__xludf.DUMMYFUNCTION("""COMPUTED_VALUE"""),"Work &lt;=6 People in the Team")</f>
        <v>Work &lt;=6 People in the Team</v>
      </c>
      <c r="Q1748" s="1" t="s">
        <v>43</v>
      </c>
      <c r="R1748" s="1"/>
    </row>
    <row r="1749" spans="1:18" x14ac:dyDescent="0.25">
      <c r="A1749" s="2">
        <f ca="1">IFERROR(__xludf.DUMMYFUNCTION("""COMPUTED_VALUE"""),45048.6870161226)</f>
        <v>45048.687016122603</v>
      </c>
      <c r="B1749" s="1" t="str">
        <f ca="1">IFERROR(__xludf.DUMMYFUNCTION("""COMPUTED_VALUE"""),"India")</f>
        <v>India</v>
      </c>
      <c r="C1749" s="1">
        <f ca="1">IFERROR(__xludf.DUMMYFUNCTION("""COMPUTED_VALUE"""),787001)</f>
        <v>787001</v>
      </c>
      <c r="D1749" s="1" t="str">
        <f ca="1">IFERROR(__xludf.DUMMYFUNCTION("""COMPUTED_VALUE"""),"Male")</f>
        <v>Male</v>
      </c>
      <c r="E1749" s="1" t="str">
        <f ca="1">IFERROR(__xludf.DUMMYFUNCTION("""COMPUTED_VALUE"""),"People from my circle, but not family members")</f>
        <v>People from my circle, but not family members</v>
      </c>
      <c r="F1749" s="1" t="str">
        <f ca="1">IFERROR(__xludf.DUMMYFUNCTION("""COMPUTED_VALUE"""),"No I would not be pursuing Higher Education outside of India")</f>
        <v>No I would not be pursuing Higher Education outside of India</v>
      </c>
      <c r="G1749" s="1" t="str">
        <f ca="1">IFERROR(__xludf.DUMMYFUNCTION("""COMPUTED_VALUE"""),"This will be hard to do, but if it is the right company I would try")</f>
        <v>This will be hard to do, but if it is the right company I would try</v>
      </c>
      <c r="H1749" s="1" t="str">
        <f ca="1">IFERROR(__xludf.DUMMYFUNCTION("""COMPUTED_VALUE"""),"No")</f>
        <v>No</v>
      </c>
      <c r="I1749" s="1" t="str">
        <f ca="1">IFERROR(__xludf.DUMMYFUNCTION("""COMPUTED_VALUE"""),"Will NOT work for them")</f>
        <v>Will NOT work for them</v>
      </c>
      <c r="J1749" s="1">
        <f ca="1">IFERROR(__xludf.DUMMYFUNCTION("""COMPUTED_VALUE"""),3)</f>
        <v>3</v>
      </c>
      <c r="K1749" s="1" t="str">
        <f ca="1">IFERROR(__xludf.DUMMYFUNCTION("""COMPUTED_VALUE"""),"Hybrid Working Environment with less than 3 days a month at office")</f>
        <v>Hybrid Working Environment with less than 3 days a month at office</v>
      </c>
      <c r="L1749" s="1" t="str">
        <f ca="1">IFERROR(__xludf.DUMMYFUNCTION("""COMPUTED_VALUE"""),"Employer who pushes your limits by enabling an learning environment, and rewards you at the end")</f>
        <v>Employer who pushes your limits by enabling an learning environment, and rewards you at the end</v>
      </c>
      <c r="M174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N1749" s="1"/>
      <c r="O1749" s="1" t="str">
        <f ca="1">IFERROR(__xludf.DUMMYFUNCTION("""COMPUTED_VALUE"""),"Manager who sets goal and helps me achieve it")</f>
        <v>Manager who sets goal and helps me achieve it</v>
      </c>
      <c r="P1749" s="1" t="str">
        <f ca="1">IFERROR(__xludf.DUMMYFUNCTION("""COMPUTED_VALUE"""),"Work &lt;=6 People in the Team")</f>
        <v>Work &lt;=6 People in the Team</v>
      </c>
      <c r="Q1749" s="1" t="s">
        <v>43</v>
      </c>
      <c r="R1749" s="1"/>
    </row>
    <row r="1750" spans="1:18" x14ac:dyDescent="0.25">
      <c r="A1750" s="2">
        <f ca="1">IFERROR(__xludf.DUMMYFUNCTION("""COMPUTED_VALUE"""),45048.6895349884)</f>
        <v>45048.6895349884</v>
      </c>
      <c r="B1750" s="1" t="str">
        <f ca="1">IFERROR(__xludf.DUMMYFUNCTION("""COMPUTED_VALUE"""),"India")</f>
        <v>India</v>
      </c>
      <c r="C1750" s="1">
        <f ca="1">IFERROR(__xludf.DUMMYFUNCTION("""COMPUTED_VALUE"""),793006)</f>
        <v>793006</v>
      </c>
      <c r="D1750" s="1" t="str">
        <f ca="1">IFERROR(__xludf.DUMMYFUNCTION("""COMPUTED_VALUE"""),"Female")</f>
        <v>Female</v>
      </c>
      <c r="E1750" s="1" t="str">
        <f ca="1">IFERROR(__xludf.DUMMYFUNCTION("""COMPUTED_VALUE"""),"Influencers who had successful careers")</f>
        <v>Influencers who had successful careers</v>
      </c>
      <c r="F1750" s="1" t="str">
        <f ca="1">IFERROR(__xludf.DUMMYFUNCTION("""COMPUTED_VALUE"""),"Yes, I will earn and do that")</f>
        <v>Yes, I will earn and do that</v>
      </c>
      <c r="G1750" s="1" t="str">
        <f ca="1">IFERROR(__xludf.DUMMYFUNCTION("""COMPUTED_VALUE"""),"This will be hard to do, but if it is the right company I would try")</f>
        <v>This will be hard to do, but if it is the right company I would try</v>
      </c>
      <c r="H1750" s="1" t="str">
        <f ca="1">IFERROR(__xludf.DUMMYFUNCTION("""COMPUTED_VALUE"""),"No")</f>
        <v>No</v>
      </c>
      <c r="I1750" s="1" t="str">
        <f ca="1">IFERROR(__xludf.DUMMYFUNCTION("""COMPUTED_VALUE"""),"Will work for them")</f>
        <v>Will work for them</v>
      </c>
      <c r="J1750" s="1">
        <f ca="1">IFERROR(__xludf.DUMMYFUNCTION("""COMPUTED_VALUE"""),5)</f>
        <v>5</v>
      </c>
      <c r="K1750" s="1" t="str">
        <f ca="1">IFERROR(__xludf.DUMMYFUNCTION("""COMPUTED_VALUE"""),"Fully Remote with Options to travel as and when needed")</f>
        <v>Fully Remote with Options to travel as and when needed</v>
      </c>
      <c r="L1750" s="1" t="str">
        <f ca="1">IFERROR(__xludf.DUMMYFUNCTION("""COMPUTED_VALUE"""),"Employer who pushes your limits by enabling an learning environment, and rewards you at the end")</f>
        <v>Employer who pushes your limits by enabling an learning environment, and rewards you at the end</v>
      </c>
      <c r="M175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N1750" s="1"/>
      <c r="O1750" s="1" t="str">
        <f ca="1">IFERROR(__xludf.DUMMYFUNCTION("""COMPUTED_VALUE"""),"Manager who sets goal and helps me achieve it")</f>
        <v>Manager who sets goal and helps me achieve it</v>
      </c>
      <c r="P1750" s="1" t="str">
        <f ca="1">IFERROR(__xludf.DUMMYFUNCTION("""COMPUTED_VALUE"""),"Work &lt;=6 People in the Team")</f>
        <v>Work &lt;=6 People in the Team</v>
      </c>
      <c r="Q1750" s="1" t="s">
        <v>40</v>
      </c>
      <c r="R1750" s="1"/>
    </row>
    <row r="1751" spans="1:18" x14ac:dyDescent="0.25">
      <c r="A1751" s="2">
        <f ca="1">IFERROR(__xludf.DUMMYFUNCTION("""COMPUTED_VALUE"""),45048.6943014467)</f>
        <v>45048.694301446703</v>
      </c>
      <c r="B1751" s="1" t="str">
        <f ca="1">IFERROR(__xludf.DUMMYFUNCTION("""COMPUTED_VALUE"""),"India")</f>
        <v>India</v>
      </c>
      <c r="C1751" s="1">
        <f ca="1">IFERROR(__xludf.DUMMYFUNCTION("""COMPUTED_VALUE"""),793102)</f>
        <v>793102</v>
      </c>
      <c r="D1751" s="1" t="str">
        <f ca="1">IFERROR(__xludf.DUMMYFUNCTION("""COMPUTED_VALUE"""),"Female")</f>
        <v>Female</v>
      </c>
      <c r="E1751" s="1" t="str">
        <f ca="1">IFERROR(__xludf.DUMMYFUNCTION("""COMPUTED_VALUE"""),"People from my circle, but not family members")</f>
        <v>People from my circle, but not family members</v>
      </c>
      <c r="F1751" s="1" t="str">
        <f ca="1">IFERROR(__xludf.DUMMYFUNCTION("""COMPUTED_VALUE"""),"No, But if someone could bare the cost I will")</f>
        <v>No, But if someone could bare the cost I will</v>
      </c>
      <c r="G1751" s="1" t="str">
        <f ca="1">IFERROR(__xludf.DUMMYFUNCTION("""COMPUTED_VALUE"""),"This will be hard to do, but if it is the right company I would try")</f>
        <v>This will be hard to do, but if it is the right company I would try</v>
      </c>
      <c r="H1751" s="1" t="str">
        <f ca="1">IFERROR(__xludf.DUMMYFUNCTION("""COMPUTED_VALUE"""),"No")</f>
        <v>No</v>
      </c>
      <c r="I1751" s="1" t="str">
        <f ca="1">IFERROR(__xludf.DUMMYFUNCTION("""COMPUTED_VALUE"""),"Will NOT work for them")</f>
        <v>Will NOT work for them</v>
      </c>
      <c r="J1751" s="1">
        <f ca="1">IFERROR(__xludf.DUMMYFUNCTION("""COMPUTED_VALUE"""),5)</f>
        <v>5</v>
      </c>
      <c r="K1751" s="1" t="str">
        <f ca="1">IFERROR(__xludf.DUMMYFUNCTION("""COMPUTED_VALUE"""),"Hybrid Working Environment with more than 15 days a month at office")</f>
        <v>Hybrid Working Environment with more than 15 days a month at office</v>
      </c>
      <c r="L1751" s="1" t="str">
        <f ca="1">IFERROR(__xludf.DUMMYFUNCTION("""COMPUTED_VALUE"""),"Employer who pushes your limits by enabling an learning environment, and rewards you at the end")</f>
        <v>Employer who pushes your limits by enabling an learning environment, and rewards you at the end</v>
      </c>
      <c r="M175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N1751" s="1"/>
      <c r="O1751" s="1" t="str">
        <f ca="1">IFERROR(__xludf.DUMMYFUNCTION("""COMPUTED_VALUE"""),"Manager who explains what is expected, sets a goal and helps achieve it")</f>
        <v>Manager who explains what is expected, sets a goal and helps achieve it</v>
      </c>
      <c r="P1751" s="1" t="str">
        <f ca="1">IFERROR(__xludf.DUMMYFUNCTION("""COMPUTED_VALUE"""),"Work &lt;=6 People in the Team")</f>
        <v>Work &lt;=6 People in the Team</v>
      </c>
      <c r="Q1751" s="1" t="s">
        <v>40</v>
      </c>
      <c r="R1751" s="1"/>
    </row>
    <row r="1752" spans="1:18" x14ac:dyDescent="0.25">
      <c r="A1752" s="2">
        <f ca="1">IFERROR(__xludf.DUMMYFUNCTION("""COMPUTED_VALUE"""),45048.705125)</f>
        <v>45048.705125</v>
      </c>
      <c r="B1752" s="1" t="str">
        <f ca="1">IFERROR(__xludf.DUMMYFUNCTION("""COMPUTED_VALUE"""),"United Arab Emirates")</f>
        <v>United Arab Emirates</v>
      </c>
      <c r="C1752" s="1">
        <f ca="1">IFERROR(__xludf.DUMMYFUNCTION("""COMPUTED_VALUE"""),307501)</f>
        <v>307501</v>
      </c>
      <c r="D1752" s="1" t="str">
        <f ca="1">IFERROR(__xludf.DUMMYFUNCTION("""COMPUTED_VALUE"""),"Male")</f>
        <v>Male</v>
      </c>
      <c r="E1752" s="1" t="str">
        <f ca="1">IFERROR(__xludf.DUMMYFUNCTION("""COMPUTED_VALUE"""),"People who have changed the world for better")</f>
        <v>People who have changed the world for better</v>
      </c>
      <c r="F1752" s="1" t="str">
        <f ca="1">IFERROR(__xludf.DUMMYFUNCTION("""COMPUTED_VALUE"""),"No I would not be pursuing Higher Education outside of India")</f>
        <v>No I would not be pursuing Higher Education outside of India</v>
      </c>
      <c r="G1752" s="1" t="str">
        <f ca="1">IFERROR(__xludf.DUMMYFUNCTION("""COMPUTED_VALUE"""),"This will be hard to do, but if it is the right company I would try")</f>
        <v>This will be hard to do, but if it is the right company I would try</v>
      </c>
      <c r="H1752" s="1" t="str">
        <f ca="1">IFERROR(__xludf.DUMMYFUNCTION("""COMPUTED_VALUE"""),"No")</f>
        <v>No</v>
      </c>
      <c r="I1752" s="1" t="str">
        <f ca="1">IFERROR(__xludf.DUMMYFUNCTION("""COMPUTED_VALUE"""),"Will NOT work for them")</f>
        <v>Will NOT work for them</v>
      </c>
      <c r="J1752" s="1">
        <f ca="1">IFERROR(__xludf.DUMMYFUNCTION("""COMPUTED_VALUE"""),1)</f>
        <v>1</v>
      </c>
      <c r="K1752" s="1" t="str">
        <f ca="1">IFERROR(__xludf.DUMMYFUNCTION("""COMPUTED_VALUE"""),"Every Day Office Environment")</f>
        <v>Every Day Office Environment</v>
      </c>
      <c r="L1752" s="1" t="str">
        <f ca="1">IFERROR(__xludf.DUMMYFUNCTION("""COMPUTED_VALUE"""),"Employer who appreciates learning and enables that environment")</f>
        <v>Employer who appreciates learning and enables that environment</v>
      </c>
      <c r="M1752"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N1752" s="1"/>
      <c r="O1752" s="1" t="str">
        <f ca="1">IFERROR(__xludf.DUMMYFUNCTION("""COMPUTED_VALUE"""),"Manager who sets goal and helps me achieve it")</f>
        <v>Manager who sets goal and helps me achieve it</v>
      </c>
      <c r="P1752" s="1" t="str">
        <f ca="1">IFERROR(__xludf.DUMMYFUNCTION("""COMPUTED_VALUE"""),"Work &gt;10 people in Team")</f>
        <v>Work &gt;10 people in Team</v>
      </c>
      <c r="Q1752" s="1" t="s">
        <v>43</v>
      </c>
      <c r="R1752" s="1"/>
    </row>
    <row r="1753" spans="1:18" x14ac:dyDescent="0.25">
      <c r="A1753" s="2">
        <f ca="1">IFERROR(__xludf.DUMMYFUNCTION("""COMPUTED_VALUE"""),45048.7235053935)</f>
        <v>45048.7235053935</v>
      </c>
      <c r="B1753" s="1" t="str">
        <f ca="1">IFERROR(__xludf.DUMMYFUNCTION("""COMPUTED_VALUE"""),"India")</f>
        <v>India</v>
      </c>
      <c r="C1753" s="1">
        <f ca="1">IFERROR(__xludf.DUMMYFUNCTION("""COMPUTED_VALUE"""),793006)</f>
        <v>793006</v>
      </c>
      <c r="D1753" s="1" t="str">
        <f ca="1">IFERROR(__xludf.DUMMYFUNCTION("""COMPUTED_VALUE"""),"Female")</f>
        <v>Female</v>
      </c>
      <c r="E1753" s="1" t="str">
        <f ca="1">IFERROR(__xludf.DUMMYFUNCTION("""COMPUTED_VALUE"""),"People who have changed the world for better")</f>
        <v>People who have changed the world for better</v>
      </c>
      <c r="F1753" s="1" t="str">
        <f ca="1">IFERROR(__xludf.DUMMYFUNCTION("""COMPUTED_VALUE"""),"No I would not be pursuing Higher Education outside of India")</f>
        <v>No I would not be pursuing Higher Education outside of India</v>
      </c>
      <c r="G1753" s="1" t="str">
        <f ca="1">IFERROR(__xludf.DUMMYFUNCTION("""COMPUTED_VALUE"""),"This will be hard to do, but if it is the right company I would try")</f>
        <v>This will be hard to do, but if it is the right company I would try</v>
      </c>
      <c r="H1753" s="1" t="str">
        <f ca="1">IFERROR(__xludf.DUMMYFUNCTION("""COMPUTED_VALUE"""),"Yes")</f>
        <v>Yes</v>
      </c>
      <c r="I1753" s="1" t="str">
        <f ca="1">IFERROR(__xludf.DUMMYFUNCTION("""COMPUTED_VALUE"""),"Will NOT work for them")</f>
        <v>Will NOT work for them</v>
      </c>
      <c r="J1753" s="1">
        <f ca="1">IFERROR(__xludf.DUMMYFUNCTION("""COMPUTED_VALUE"""),4)</f>
        <v>4</v>
      </c>
      <c r="K1753" s="1" t="str">
        <f ca="1">IFERROR(__xludf.DUMMYFUNCTION("""COMPUTED_VALUE"""),"Fully Remote with Options to travel as and when needed")</f>
        <v>Fully Remote with Options to travel as and when needed</v>
      </c>
      <c r="L1753" s="1" t="str">
        <f ca="1">IFERROR(__xludf.DUMMYFUNCTION("""COMPUTED_VALUE"""),"Employer who rewards learning and enables that environment")</f>
        <v>Employer who rewards learning and enables that environment</v>
      </c>
      <c r="M1753"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N1753" s="1"/>
      <c r="O1753" s="1" t="str">
        <f ca="1">IFERROR(__xludf.DUMMYFUNCTION("""COMPUTED_VALUE"""),"Manager who explains what is expected, sets a goal and helps achieve it")</f>
        <v>Manager who explains what is expected, sets a goal and helps achieve it</v>
      </c>
      <c r="P1753" s="1" t="str">
        <f ca="1">IFERROR(__xludf.DUMMYFUNCTION("""COMPUTED_VALUE"""),"Work &lt;=6 People in the Team")</f>
        <v>Work &lt;=6 People in the Team</v>
      </c>
      <c r="Q1753" s="1" t="s">
        <v>43</v>
      </c>
      <c r="R1753" s="1"/>
    </row>
    <row r="1754" spans="1:18" x14ac:dyDescent="0.25">
      <c r="A1754" s="2">
        <f ca="1">IFERROR(__xludf.DUMMYFUNCTION("""COMPUTED_VALUE"""),45048.7529429861)</f>
        <v>45048.752942986102</v>
      </c>
      <c r="B1754" s="1" t="str">
        <f ca="1">IFERROR(__xludf.DUMMYFUNCTION("""COMPUTED_VALUE"""),"India")</f>
        <v>India</v>
      </c>
      <c r="C1754" s="1">
        <f ca="1">IFERROR(__xludf.DUMMYFUNCTION("""COMPUTED_VALUE"""),793021)</f>
        <v>793021</v>
      </c>
      <c r="D1754" s="1" t="str">
        <f ca="1">IFERROR(__xludf.DUMMYFUNCTION("""COMPUTED_VALUE"""),"Male")</f>
        <v>Male</v>
      </c>
      <c r="E1754" s="1" t="str">
        <f ca="1">IFERROR(__xludf.DUMMYFUNCTION("""COMPUTED_VALUE"""),"Influencers who had successful careers")</f>
        <v>Influencers who had successful careers</v>
      </c>
      <c r="F1754" s="1" t="str">
        <f ca="1">IFERROR(__xludf.DUMMYFUNCTION("""COMPUTED_VALUE"""),"No, But if someone could bare the cost I will")</f>
        <v>No, But if someone could bare the cost I will</v>
      </c>
      <c r="G1754" s="1" t="str">
        <f ca="1">IFERROR(__xludf.DUMMYFUNCTION("""COMPUTED_VALUE"""),"This will be hard to do, but if it is the right company I would try")</f>
        <v>This will be hard to do, but if it is the right company I would try</v>
      </c>
      <c r="H1754" s="1" t="str">
        <f ca="1">IFERROR(__xludf.DUMMYFUNCTION("""COMPUTED_VALUE"""),"Yes")</f>
        <v>Yes</v>
      </c>
      <c r="I1754" s="1" t="str">
        <f ca="1">IFERROR(__xludf.DUMMYFUNCTION("""COMPUTED_VALUE"""),"Will work for them")</f>
        <v>Will work for them</v>
      </c>
      <c r="J1754" s="1">
        <f ca="1">IFERROR(__xludf.DUMMYFUNCTION("""COMPUTED_VALUE"""),8)</f>
        <v>8</v>
      </c>
      <c r="K1754" s="1" t="str">
        <f ca="1">IFERROR(__xludf.DUMMYFUNCTION("""COMPUTED_VALUE"""),"Fully Remote with Options to travel as and when needed")</f>
        <v>Fully Remote with Options to travel as and when needed</v>
      </c>
      <c r="L1754" s="1" t="str">
        <f ca="1">IFERROR(__xludf.DUMMYFUNCTION("""COMPUTED_VALUE"""),"Employer who rewards learning and enables that environment")</f>
        <v>Employer who rewards learning and enables that environment</v>
      </c>
      <c r="M1754" s="1" t="str">
        <f ca="1">IFERROR(__xludf.DUMMYFUNCTION("""COMPUTED_VALUE"""),"Design and Creative strategy in any company, Become a content Creator in some platform, Entrepreneur or Start Up, Manufacturing / Oil and Gas/ Construction / Hard Physical Work related")</f>
        <v>Design and Creative strategy in any company, Become a content Creator in some platform, Entrepreneur or Start Up, Manufacturing / Oil and Gas/ Construction / Hard Physical Work related</v>
      </c>
      <c r="N1754" s="1"/>
      <c r="O1754" s="1" t="str">
        <f ca="1">IFERROR(__xludf.DUMMYFUNCTION("""COMPUTED_VALUE"""),"Manager who explains what is expected, sets a goal and helps achieve it")</f>
        <v>Manager who explains what is expected, sets a goal and helps achieve it</v>
      </c>
      <c r="P1754" s="1" t="str">
        <f ca="1">IFERROR(__xludf.DUMMYFUNCTION("""COMPUTED_VALUE"""),"Work &lt;=6 People in the Team")</f>
        <v>Work &lt;=6 People in the Team</v>
      </c>
      <c r="Q1754" s="1" t="s">
        <v>43</v>
      </c>
      <c r="R1754" s="1"/>
    </row>
    <row r="1755" spans="1:18" x14ac:dyDescent="0.25">
      <c r="A1755" s="1"/>
      <c r="B1755" s="1"/>
      <c r="C1755" s="1"/>
      <c r="D1755" s="1"/>
      <c r="E1755" s="1"/>
      <c r="F1755" s="1"/>
      <c r="G1755" s="1"/>
      <c r="H1755" s="1"/>
      <c r="I1755" s="1"/>
      <c r="J1755" s="1"/>
      <c r="K1755" s="1"/>
      <c r="L1755" s="1"/>
      <c r="M1755" s="1"/>
      <c r="N1755" s="1"/>
      <c r="O1755" s="1"/>
      <c r="P1755" s="1"/>
      <c r="Q1755" s="1"/>
      <c r="R1755" s="1"/>
    </row>
    <row r="1756" spans="1:18" x14ac:dyDescent="0.25">
      <c r="A1756" s="1"/>
      <c r="B1756" s="1"/>
      <c r="C1756" s="1"/>
      <c r="D1756" s="1"/>
      <c r="E1756" s="5"/>
      <c r="F1756" s="1"/>
      <c r="G1756" s="1"/>
      <c r="H1756" s="1"/>
      <c r="I1756" s="1"/>
      <c r="J1756" s="1"/>
      <c r="K1756" s="1"/>
      <c r="L1756" s="1"/>
      <c r="M1756" s="1"/>
      <c r="N1756" s="1"/>
      <c r="O1756" s="1"/>
      <c r="P1756" s="1"/>
      <c r="Q1756" s="1"/>
      <c r="R1756" s="1"/>
    </row>
    <row r="1757" spans="1:18" x14ac:dyDescent="0.25">
      <c r="A1757" s="1"/>
      <c r="B1757" s="1"/>
      <c r="C1757" s="1"/>
      <c r="D1757" s="1"/>
      <c r="E1757" s="1"/>
      <c r="F1757" s="1"/>
      <c r="G1757" s="1"/>
      <c r="H1757" s="1"/>
      <c r="I1757" s="1"/>
      <c r="J1757" s="1"/>
      <c r="K1757" s="1"/>
      <c r="L1757" s="1"/>
      <c r="M1757" s="1"/>
      <c r="N1757" s="1"/>
      <c r="O1757" s="1"/>
      <c r="P1757" s="1"/>
      <c r="Q1757" s="1"/>
      <c r="R1757" s="1"/>
    </row>
    <row r="1758" spans="1:18" x14ac:dyDescent="0.25">
      <c r="A1758" s="1"/>
      <c r="B1758" s="1"/>
      <c r="C1758" s="1"/>
      <c r="D1758" s="1"/>
      <c r="E1758" s="1"/>
      <c r="F1758" s="1"/>
      <c r="G1758" s="1"/>
      <c r="H1758" s="1"/>
      <c r="I1758" s="1"/>
      <c r="J1758" s="1"/>
      <c r="K1758" s="1"/>
      <c r="L1758" s="1"/>
      <c r="M1758" s="1"/>
      <c r="N1758" s="1"/>
      <c r="O1758" s="1"/>
      <c r="P1758" s="1"/>
      <c r="Q1758" s="1"/>
      <c r="R1758" s="1"/>
    </row>
    <row r="1759" spans="1:18" x14ac:dyDescent="0.25">
      <c r="A1759" s="1"/>
      <c r="B1759" s="1"/>
      <c r="C1759" s="1"/>
      <c r="D1759" s="1"/>
      <c r="E1759" s="1"/>
      <c r="F1759" s="1"/>
      <c r="G1759" s="1"/>
      <c r="H1759" s="1"/>
      <c r="I1759" s="1"/>
      <c r="J1759" s="1"/>
      <c r="K1759" s="1"/>
      <c r="L1759" s="1"/>
      <c r="M1759" s="1"/>
      <c r="N1759" s="1"/>
      <c r="O1759" s="1"/>
      <c r="P1759" s="1"/>
      <c r="Q1759" s="1"/>
      <c r="R1759" s="1"/>
    </row>
    <row r="1760" spans="1:18" x14ac:dyDescent="0.25">
      <c r="A1760" s="1"/>
      <c r="B1760" s="1"/>
      <c r="C1760" s="1"/>
      <c r="D1760" s="1"/>
      <c r="E1760" s="1"/>
      <c r="F1760" s="1"/>
      <c r="G1760" s="1"/>
      <c r="H1760" s="1"/>
      <c r="I1760" s="1"/>
      <c r="J1760" s="1"/>
      <c r="K1760" s="1"/>
      <c r="L1760" s="1"/>
      <c r="M1760" s="1"/>
      <c r="N1760" s="1"/>
      <c r="O1760" s="1"/>
      <c r="P1760" s="1"/>
      <c r="Q1760" s="1"/>
      <c r="R1760" s="1"/>
    </row>
    <row r="1761" spans="1:18" x14ac:dyDescent="0.25">
      <c r="A1761" s="1"/>
      <c r="B1761" s="1"/>
      <c r="C1761" s="1"/>
      <c r="D1761" s="1"/>
      <c r="E1761" s="1"/>
      <c r="F1761" s="1"/>
      <c r="G1761" s="1"/>
      <c r="H1761" s="1"/>
      <c r="I1761" s="1"/>
      <c r="J1761" s="1"/>
      <c r="K1761" s="1"/>
      <c r="L1761" s="1"/>
      <c r="M1761" s="1"/>
      <c r="N1761" s="1"/>
      <c r="O1761" s="1"/>
      <c r="P1761" s="1"/>
      <c r="Q1761" s="1"/>
      <c r="R1761" s="1"/>
    </row>
    <row r="1762" spans="1:18" x14ac:dyDescent="0.25">
      <c r="A1762" s="1"/>
      <c r="B1762" s="1"/>
      <c r="C1762" s="1"/>
      <c r="D1762" s="1"/>
      <c r="E1762" s="1"/>
      <c r="F1762" s="1"/>
      <c r="G1762" s="1"/>
      <c r="H1762" s="1"/>
      <c r="I1762" s="1"/>
      <c r="J1762" s="1"/>
      <c r="K1762" s="1"/>
      <c r="L1762" s="1"/>
      <c r="M1762" s="1"/>
      <c r="N1762" s="1"/>
      <c r="O1762" s="1"/>
      <c r="P1762" s="1"/>
      <c r="Q1762" s="1"/>
      <c r="R1762" s="1"/>
    </row>
    <row r="1763" spans="1:18" x14ac:dyDescent="0.25">
      <c r="A1763" s="1"/>
      <c r="B1763" s="1"/>
      <c r="C1763" s="1"/>
      <c r="D1763" s="1"/>
      <c r="E1763" s="1"/>
      <c r="F1763" s="1"/>
      <c r="G1763" s="1"/>
      <c r="H1763" s="1"/>
      <c r="I1763" s="1"/>
      <c r="J1763" s="1"/>
      <c r="K1763" s="1"/>
      <c r="L1763" s="1"/>
      <c r="M1763" s="1"/>
      <c r="N1763" s="1"/>
      <c r="O1763" s="1"/>
      <c r="P1763" s="1"/>
      <c r="Q1763" s="1"/>
      <c r="R1763" s="1"/>
    </row>
    <row r="1764" spans="1:18" x14ac:dyDescent="0.25">
      <c r="A1764" s="1"/>
      <c r="B1764" s="1"/>
      <c r="C1764" s="1"/>
      <c r="D1764" s="1"/>
      <c r="E1764" s="1"/>
      <c r="F1764" s="1"/>
      <c r="G1764" s="1"/>
      <c r="H1764" s="1"/>
      <c r="I1764" s="1"/>
      <c r="J1764" s="1"/>
      <c r="K1764" s="1"/>
      <c r="L1764" s="1"/>
      <c r="M1764" s="1"/>
      <c r="N1764" s="1"/>
      <c r="O1764" s="1"/>
      <c r="P1764" s="1"/>
      <c r="Q1764" s="1"/>
      <c r="R1764" s="1"/>
    </row>
    <row r="1765" spans="1:18" x14ac:dyDescent="0.25">
      <c r="A1765" s="1"/>
      <c r="B1765" s="1"/>
      <c r="C1765" s="1"/>
      <c r="D1765" s="1"/>
      <c r="E1765" s="1"/>
      <c r="F1765" s="1"/>
      <c r="G1765" s="1"/>
      <c r="H1765" s="1"/>
      <c r="I1765" s="1"/>
      <c r="J1765" s="1"/>
      <c r="K1765" s="1"/>
      <c r="L1765" s="1"/>
      <c r="M1765" s="1"/>
      <c r="N1765" s="1"/>
      <c r="O1765" s="1"/>
      <c r="P1765" s="1"/>
      <c r="Q1765" s="1"/>
      <c r="R1765" s="1"/>
    </row>
    <row r="1766" spans="1:18" x14ac:dyDescent="0.25">
      <c r="A1766" s="1"/>
      <c r="B1766" s="1"/>
      <c r="C1766" s="1"/>
      <c r="D1766" s="1"/>
      <c r="E1766" s="1"/>
      <c r="F1766" s="1"/>
      <c r="G1766" s="1"/>
      <c r="H1766" s="1"/>
      <c r="I1766" s="1"/>
      <c r="J1766" s="1"/>
      <c r="K1766" s="1"/>
      <c r="L1766" s="1"/>
      <c r="M1766" s="1"/>
      <c r="N1766" s="1"/>
      <c r="O1766" s="1"/>
      <c r="P1766" s="1"/>
      <c r="Q1766" s="1"/>
      <c r="R1766" s="1"/>
    </row>
    <row r="1767" spans="1:18" x14ac:dyDescent="0.25">
      <c r="A1767" s="1"/>
      <c r="B1767" s="1"/>
      <c r="C1767" s="1"/>
      <c r="D1767" s="1"/>
      <c r="E1767" s="1"/>
      <c r="F1767" s="1"/>
      <c r="G1767" s="1"/>
      <c r="H1767" s="1"/>
      <c r="I1767" s="1"/>
      <c r="J1767" s="1"/>
      <c r="K1767" s="1"/>
      <c r="L1767" s="1"/>
      <c r="M1767" s="1"/>
      <c r="N1767" s="1"/>
      <c r="O1767" s="1"/>
      <c r="P1767" s="1"/>
      <c r="Q1767" s="1"/>
      <c r="R1767" s="1"/>
    </row>
    <row r="1768" spans="1:18" x14ac:dyDescent="0.25">
      <c r="A1768" s="1"/>
      <c r="B1768" s="1"/>
      <c r="C1768" s="1"/>
      <c r="D1768" s="1"/>
      <c r="E1768" s="1"/>
      <c r="F1768" s="1"/>
      <c r="G1768" s="1"/>
      <c r="H1768" s="1"/>
      <c r="I1768" s="1"/>
      <c r="J1768" s="1"/>
      <c r="K1768" s="1"/>
      <c r="L1768" s="1"/>
      <c r="M1768" s="1"/>
      <c r="N1768" s="1"/>
      <c r="O1768" s="1"/>
      <c r="P1768" s="1"/>
      <c r="Q1768" s="1"/>
      <c r="R1768" s="1"/>
    </row>
    <row r="1769" spans="1:18" x14ac:dyDescent="0.25">
      <c r="A1769" s="1"/>
      <c r="B1769" s="1"/>
      <c r="C1769" s="1"/>
      <c r="D1769" s="1"/>
      <c r="E1769" s="1"/>
      <c r="F1769" s="1"/>
      <c r="G1769" s="1"/>
      <c r="H1769" s="1"/>
      <c r="I1769" s="1"/>
      <c r="J1769" s="1"/>
      <c r="K1769" s="1"/>
      <c r="L1769" s="1"/>
      <c r="M1769" s="1"/>
      <c r="N1769" s="1"/>
      <c r="O1769" s="1"/>
      <c r="P1769" s="1"/>
      <c r="Q1769" s="1"/>
      <c r="R1769" s="1"/>
    </row>
    <row r="1770" spans="1:18" x14ac:dyDescent="0.25">
      <c r="A1770" s="1"/>
      <c r="B1770" s="1"/>
      <c r="C1770" s="1"/>
      <c r="D1770" s="1"/>
      <c r="E1770" s="1"/>
      <c r="F1770" s="1"/>
      <c r="G1770" s="1"/>
      <c r="H1770" s="1"/>
      <c r="I1770" s="1"/>
      <c r="J1770" s="1"/>
      <c r="K1770" s="1"/>
      <c r="L1770" s="1"/>
      <c r="M1770" s="1"/>
      <c r="N1770" s="1"/>
      <c r="O1770" s="1"/>
      <c r="P1770" s="1"/>
      <c r="Q1770" s="1"/>
      <c r="R1770" s="1"/>
    </row>
    <row r="1771" spans="1:18" x14ac:dyDescent="0.25">
      <c r="A1771" s="1"/>
      <c r="B1771" s="1"/>
      <c r="C1771" s="1"/>
      <c r="D1771" s="1"/>
      <c r="E1771" s="1"/>
      <c r="F1771" s="1"/>
      <c r="G1771" s="1"/>
      <c r="H1771" s="1"/>
      <c r="I1771" s="1"/>
      <c r="J1771" s="1"/>
      <c r="K1771" s="1"/>
      <c r="L1771" s="1"/>
      <c r="M1771" s="1"/>
      <c r="N1771" s="1"/>
      <c r="O1771" s="1"/>
      <c r="P1771" s="1"/>
      <c r="Q1771" s="1"/>
      <c r="R1771" s="1"/>
    </row>
    <row r="1772" spans="1:18" x14ac:dyDescent="0.25">
      <c r="A1772" s="1"/>
      <c r="B1772" s="1"/>
      <c r="C1772" s="1"/>
      <c r="D1772" s="1"/>
      <c r="E1772" s="1"/>
      <c r="F1772" s="1"/>
      <c r="G1772" s="1"/>
      <c r="H1772" s="1"/>
      <c r="I1772" s="1"/>
      <c r="J1772" s="1"/>
      <c r="K1772" s="1"/>
      <c r="L1772" s="1"/>
      <c r="M1772" s="1"/>
      <c r="N1772" s="1"/>
      <c r="O1772" s="1"/>
      <c r="P1772" s="1"/>
      <c r="Q1772" s="1"/>
      <c r="R1772" s="1"/>
    </row>
    <row r="1773" spans="1:18" x14ac:dyDescent="0.25">
      <c r="A1773" s="1"/>
      <c r="B1773" s="1"/>
      <c r="C1773" s="1"/>
      <c r="D1773" s="1"/>
      <c r="E1773" s="1"/>
      <c r="F1773" s="1"/>
      <c r="G1773" s="1"/>
      <c r="H1773" s="1"/>
      <c r="I1773" s="1"/>
      <c r="J1773" s="1"/>
      <c r="K1773" s="1"/>
      <c r="L1773" s="1"/>
      <c r="M1773" s="1"/>
      <c r="N1773" s="1"/>
      <c r="O1773" s="1"/>
      <c r="P1773" s="1"/>
      <c r="Q1773" s="1"/>
      <c r="R1773" s="1"/>
    </row>
    <row r="1774" spans="1:18" x14ac:dyDescent="0.25">
      <c r="A1774" s="1"/>
      <c r="B1774" s="1"/>
      <c r="C1774" s="1"/>
      <c r="D1774" s="1"/>
      <c r="E1774" s="1"/>
      <c r="F1774" s="1"/>
      <c r="G1774" s="1"/>
      <c r="H1774" s="1"/>
      <c r="I1774" s="1"/>
      <c r="J1774" s="1"/>
      <c r="K1774" s="1"/>
      <c r="L1774" s="1"/>
      <c r="M1774" s="1"/>
      <c r="N1774" s="1"/>
      <c r="O1774" s="1"/>
      <c r="P1774" s="1"/>
      <c r="Q1774" s="1"/>
      <c r="R1774" s="1"/>
    </row>
    <row r="1775" spans="1:18" x14ac:dyDescent="0.25">
      <c r="A1775" s="1"/>
      <c r="B1775" s="1"/>
      <c r="C1775" s="1"/>
      <c r="D1775" s="1"/>
      <c r="E1775" s="1"/>
      <c r="F1775" s="1"/>
      <c r="G1775" s="1"/>
      <c r="H1775" s="1"/>
      <c r="I1775" s="1"/>
      <c r="J1775" s="1"/>
      <c r="K1775" s="1"/>
      <c r="L1775" s="1"/>
      <c r="M1775" s="1"/>
      <c r="N1775" s="1"/>
      <c r="O1775" s="1"/>
      <c r="P1775" s="1"/>
      <c r="Q1775" s="1"/>
      <c r="R1775" s="1"/>
    </row>
    <row r="1776" spans="1:18" x14ac:dyDescent="0.25">
      <c r="A1776" s="1"/>
      <c r="B1776" s="1"/>
      <c r="C1776" s="1"/>
      <c r="D1776" s="1"/>
      <c r="E1776" s="1"/>
      <c r="F1776" s="1"/>
      <c r="G1776" s="1"/>
      <c r="H1776" s="1"/>
      <c r="I1776" s="1"/>
      <c r="J1776" s="1"/>
      <c r="K1776" s="1"/>
      <c r="L1776" s="1"/>
      <c r="M1776" s="1"/>
      <c r="N1776" s="1"/>
      <c r="O1776" s="1"/>
      <c r="P1776" s="1"/>
      <c r="Q1776" s="1"/>
      <c r="R1776" s="1"/>
    </row>
    <row r="1777" spans="1:18" x14ac:dyDescent="0.25">
      <c r="A1777" s="1"/>
      <c r="B1777" s="1"/>
      <c r="C1777" s="1"/>
      <c r="D1777" s="1"/>
      <c r="E1777" s="1"/>
      <c r="F1777" s="1"/>
      <c r="G1777" s="1"/>
      <c r="H1777" s="1"/>
      <c r="I1777" s="1"/>
      <c r="J1777" s="1"/>
      <c r="K1777" s="1"/>
      <c r="L1777" s="1"/>
      <c r="M1777" s="1"/>
      <c r="N1777" s="1"/>
      <c r="O1777" s="1"/>
      <c r="P1777" s="1"/>
      <c r="Q1777" s="1"/>
      <c r="R1777" s="1"/>
    </row>
    <row r="1778" spans="1:18" x14ac:dyDescent="0.25">
      <c r="A1778" s="1"/>
      <c r="B1778" s="1"/>
      <c r="C1778" s="1"/>
      <c r="D1778" s="1"/>
      <c r="E1778" s="1"/>
      <c r="F1778" s="1"/>
      <c r="G1778" s="1"/>
      <c r="H1778" s="1"/>
      <c r="I1778" s="1"/>
      <c r="J1778" s="1"/>
      <c r="K1778" s="1"/>
      <c r="L1778" s="1"/>
      <c r="M1778" s="1"/>
      <c r="N1778" s="1"/>
      <c r="O1778" s="1"/>
      <c r="P1778" s="1"/>
      <c r="Q1778" s="1"/>
      <c r="R1778" s="1"/>
    </row>
    <row r="1779" spans="1:18" x14ac:dyDescent="0.25">
      <c r="A1779" s="1"/>
      <c r="B1779" s="1"/>
      <c r="C1779" s="1"/>
      <c r="D1779" s="1"/>
      <c r="E1779" s="1"/>
      <c r="F1779" s="1"/>
      <c r="G1779" s="1"/>
      <c r="H1779" s="1"/>
      <c r="I1779" s="1"/>
      <c r="J1779" s="1"/>
      <c r="K1779" s="1"/>
      <c r="L1779" s="1"/>
      <c r="M1779" s="1"/>
      <c r="N1779" s="1"/>
      <c r="O1779" s="1"/>
      <c r="P1779" s="1"/>
      <c r="Q1779" s="1"/>
      <c r="R1779" s="1"/>
    </row>
    <row r="1780" spans="1:18" x14ac:dyDescent="0.25">
      <c r="A1780" s="1"/>
      <c r="B1780" s="1"/>
      <c r="C1780" s="1"/>
      <c r="D1780" s="1"/>
      <c r="E1780" s="1"/>
      <c r="F1780" s="1"/>
      <c r="G1780" s="1"/>
      <c r="H1780" s="1"/>
      <c r="I1780" s="1"/>
      <c r="J1780" s="1"/>
      <c r="K1780" s="1"/>
      <c r="L1780" s="1"/>
      <c r="M1780" s="1"/>
      <c r="N1780" s="1"/>
      <c r="O1780" s="1"/>
      <c r="P1780" s="1"/>
      <c r="Q1780" s="1"/>
      <c r="R1780" s="1"/>
    </row>
    <row r="1781" spans="1:18" x14ac:dyDescent="0.25">
      <c r="A1781" s="1"/>
      <c r="B1781" s="1"/>
      <c r="C1781" s="1"/>
      <c r="D1781" s="1"/>
      <c r="E1781" s="1"/>
      <c r="F1781" s="1"/>
      <c r="G1781" s="1"/>
      <c r="H1781" s="1"/>
      <c r="I1781" s="1"/>
      <c r="J1781" s="1"/>
      <c r="K1781" s="1"/>
      <c r="L1781" s="1"/>
      <c r="M1781" s="1"/>
      <c r="N1781" s="1"/>
      <c r="O1781" s="1"/>
      <c r="P1781" s="1"/>
      <c r="Q1781" s="1"/>
      <c r="R1781" s="1"/>
    </row>
    <row r="1782" spans="1:18" x14ac:dyDescent="0.25">
      <c r="A1782" s="1"/>
      <c r="B1782" s="1"/>
      <c r="C1782" s="1"/>
      <c r="D1782" s="1"/>
      <c r="E1782" s="1"/>
      <c r="F1782" s="1"/>
      <c r="G1782" s="1"/>
      <c r="H1782" s="1"/>
      <c r="I1782" s="1"/>
      <c r="J1782" s="1"/>
      <c r="K1782" s="1"/>
      <c r="L1782" s="1"/>
      <c r="M1782" s="1"/>
      <c r="N1782" s="1"/>
      <c r="O1782" s="1"/>
      <c r="P1782" s="1"/>
      <c r="Q1782" s="1"/>
      <c r="R1782" s="1"/>
    </row>
    <row r="1783" spans="1:18" x14ac:dyDescent="0.25">
      <c r="A1783" s="1"/>
      <c r="B1783" s="1"/>
      <c r="C1783" s="1"/>
      <c r="D1783" s="1"/>
      <c r="E1783" s="1"/>
      <c r="F1783" s="1"/>
      <c r="G1783" s="1"/>
      <c r="H1783" s="1"/>
      <c r="I1783" s="1"/>
      <c r="J1783" s="1"/>
      <c r="K1783" s="1"/>
      <c r="L1783" s="1"/>
      <c r="M1783" s="1"/>
      <c r="N1783" s="1"/>
      <c r="O1783" s="1"/>
      <c r="P1783" s="1"/>
      <c r="Q1783" s="1"/>
      <c r="R1783" s="1"/>
    </row>
    <row r="1784" spans="1:18" x14ac:dyDescent="0.25">
      <c r="A1784" s="1"/>
      <c r="B1784" s="1"/>
      <c r="C1784" s="1"/>
      <c r="D1784" s="1"/>
      <c r="E1784" s="1"/>
      <c r="F1784" s="1"/>
      <c r="G1784" s="1"/>
      <c r="H1784" s="1"/>
      <c r="I1784" s="1"/>
      <c r="J1784" s="1"/>
      <c r="K1784" s="1"/>
      <c r="L1784" s="1"/>
      <c r="M1784" s="1"/>
      <c r="N1784" s="1"/>
      <c r="O1784" s="1"/>
      <c r="P1784" s="1"/>
      <c r="Q1784" s="1"/>
      <c r="R1784" s="1"/>
    </row>
    <row r="1785" spans="1:18" x14ac:dyDescent="0.25">
      <c r="A1785" s="1"/>
      <c r="B1785" s="1"/>
      <c r="C1785" s="1"/>
      <c r="D1785" s="1"/>
      <c r="E1785" s="1"/>
      <c r="F1785" s="1"/>
      <c r="G1785" s="1"/>
      <c r="H1785" s="1"/>
      <c r="I1785" s="1"/>
      <c r="J1785" s="1"/>
      <c r="K1785" s="1"/>
      <c r="L1785" s="1"/>
      <c r="M1785" s="1"/>
      <c r="N1785" s="1"/>
      <c r="O1785" s="1"/>
      <c r="P1785" s="1"/>
      <c r="Q1785" s="1"/>
      <c r="R1785" s="1"/>
    </row>
    <row r="1786" spans="1:18" x14ac:dyDescent="0.25">
      <c r="A1786" s="1"/>
      <c r="B1786" s="1"/>
      <c r="C1786" s="1"/>
      <c r="D1786" s="1"/>
      <c r="E1786" s="1"/>
      <c r="F1786" s="1"/>
      <c r="G1786" s="1"/>
      <c r="H1786" s="1"/>
      <c r="I1786" s="1"/>
      <c r="J1786" s="1"/>
      <c r="K1786" s="1"/>
      <c r="L1786" s="1"/>
      <c r="M1786" s="1"/>
      <c r="N1786" s="1"/>
      <c r="O1786" s="1"/>
      <c r="P1786" s="1"/>
      <c r="Q1786" s="1"/>
      <c r="R1786" s="1"/>
    </row>
    <row r="1787" spans="1:18" x14ac:dyDescent="0.25">
      <c r="A1787" s="1"/>
      <c r="B1787" s="1"/>
      <c r="C1787" s="1"/>
      <c r="D1787" s="1"/>
      <c r="E1787" s="1"/>
      <c r="F1787" s="1"/>
      <c r="G1787" s="1"/>
      <c r="H1787" s="1"/>
      <c r="I1787" s="1"/>
      <c r="J1787" s="1"/>
      <c r="K1787" s="1"/>
      <c r="L1787" s="1"/>
      <c r="M1787" s="1"/>
      <c r="N1787" s="1"/>
      <c r="O1787" s="1"/>
      <c r="P1787" s="1"/>
      <c r="Q1787" s="1"/>
      <c r="R1787" s="1"/>
    </row>
    <row r="1788" spans="1:18" x14ac:dyDescent="0.25">
      <c r="A1788" s="1"/>
      <c r="B1788" s="1"/>
      <c r="C1788" s="1"/>
      <c r="D1788" s="1"/>
      <c r="E1788" s="1"/>
      <c r="F1788" s="1"/>
      <c r="G1788" s="1"/>
      <c r="H1788" s="1"/>
      <c r="I1788" s="1"/>
      <c r="J1788" s="1"/>
      <c r="K1788" s="1"/>
      <c r="L1788" s="1"/>
      <c r="M1788" s="1"/>
      <c r="N1788" s="1"/>
      <c r="O1788" s="1"/>
      <c r="P1788" s="1"/>
      <c r="Q1788" s="1"/>
      <c r="R1788" s="1"/>
    </row>
    <row r="1789" spans="1:18" x14ac:dyDescent="0.25">
      <c r="A1789" s="1"/>
      <c r="B1789" s="1"/>
      <c r="C1789" s="1"/>
      <c r="D1789" s="1"/>
      <c r="E1789" s="1"/>
      <c r="F1789" s="1"/>
      <c r="G1789" s="1"/>
      <c r="H1789" s="1"/>
      <c r="I1789" s="1"/>
      <c r="J1789" s="1"/>
      <c r="K1789" s="1"/>
      <c r="L1789" s="1"/>
      <c r="M1789" s="1"/>
      <c r="N1789" s="1"/>
      <c r="O1789" s="1"/>
      <c r="P1789" s="1"/>
      <c r="Q1789" s="1"/>
      <c r="R1789" s="1"/>
    </row>
    <row r="1790" spans="1:18" x14ac:dyDescent="0.25">
      <c r="A1790" s="1"/>
      <c r="B1790" s="1"/>
      <c r="C1790" s="1"/>
      <c r="D1790" s="1"/>
      <c r="E1790" s="1"/>
      <c r="F1790" s="1"/>
      <c r="G1790" s="1"/>
      <c r="H1790" s="1"/>
      <c r="I1790" s="1"/>
      <c r="J1790" s="1"/>
      <c r="K1790" s="1"/>
      <c r="L1790" s="1"/>
      <c r="M1790" s="1"/>
      <c r="N1790" s="1"/>
      <c r="O1790" s="1"/>
      <c r="P1790" s="1"/>
      <c r="Q1790" s="1"/>
      <c r="R1790" s="1"/>
    </row>
    <row r="1791" spans="1:18" x14ac:dyDescent="0.25">
      <c r="A1791" s="1"/>
      <c r="B1791" s="1"/>
      <c r="C1791" s="1"/>
      <c r="D1791" s="1"/>
      <c r="E1791" s="1"/>
      <c r="F1791" s="1"/>
      <c r="G1791" s="1"/>
      <c r="H1791" s="1"/>
      <c r="I1791" s="1"/>
      <c r="J1791" s="1"/>
      <c r="K1791" s="1"/>
      <c r="L1791" s="1"/>
      <c r="M1791" s="1"/>
      <c r="N1791" s="1"/>
      <c r="O1791" s="1"/>
      <c r="P1791" s="1"/>
      <c r="Q1791" s="1"/>
      <c r="R1791" s="1"/>
    </row>
    <row r="1792" spans="1:18" x14ac:dyDescent="0.25">
      <c r="A1792" s="1"/>
      <c r="B1792" s="1"/>
      <c r="C1792" s="1"/>
      <c r="D1792" s="1"/>
      <c r="E1792" s="1"/>
      <c r="F1792" s="1"/>
      <c r="G1792" s="1"/>
      <c r="H1792" s="1"/>
      <c r="I1792" s="1"/>
      <c r="J1792" s="1"/>
      <c r="K1792" s="1"/>
      <c r="L1792" s="1"/>
      <c r="M1792" s="1"/>
      <c r="N1792" s="1"/>
      <c r="O1792" s="1"/>
      <c r="P1792" s="1"/>
      <c r="Q1792" s="1"/>
      <c r="R1792" s="1"/>
    </row>
    <row r="1793" spans="1:18" x14ac:dyDescent="0.25">
      <c r="A1793" s="1"/>
      <c r="B1793" s="1"/>
      <c r="C1793" s="1"/>
      <c r="D1793" s="1"/>
      <c r="E1793" s="1"/>
      <c r="F1793" s="1"/>
      <c r="G1793" s="1"/>
      <c r="H1793" s="1"/>
      <c r="I1793" s="1"/>
      <c r="J1793" s="1"/>
      <c r="K1793" s="1"/>
      <c r="L1793" s="1"/>
      <c r="M1793" s="1"/>
      <c r="N1793" s="1"/>
      <c r="O1793" s="1"/>
      <c r="P1793" s="1"/>
      <c r="Q1793" s="1"/>
      <c r="R1793" s="1"/>
    </row>
    <row r="1794" spans="1:18" x14ac:dyDescent="0.25">
      <c r="A1794" s="1"/>
      <c r="B1794" s="1"/>
      <c r="C1794" s="1"/>
      <c r="D1794" s="1"/>
      <c r="E1794" s="1"/>
      <c r="F1794" s="1"/>
      <c r="G1794" s="1"/>
      <c r="H1794" s="1"/>
      <c r="I1794" s="1"/>
      <c r="J1794" s="1"/>
      <c r="K1794" s="1"/>
      <c r="L1794" s="1"/>
      <c r="M1794" s="1"/>
      <c r="N1794" s="1"/>
      <c r="O1794" s="1"/>
      <c r="P1794" s="1"/>
      <c r="Q1794" s="1"/>
      <c r="R1794" s="1"/>
    </row>
    <row r="1795" spans="1:18" x14ac:dyDescent="0.25">
      <c r="A1795" s="1"/>
      <c r="B1795" s="1"/>
      <c r="C1795" s="1"/>
      <c r="D1795" s="1"/>
      <c r="E1795" s="1"/>
      <c r="F1795" s="1"/>
      <c r="G1795" s="1"/>
      <c r="H1795" s="1"/>
      <c r="I1795" s="1"/>
      <c r="J1795" s="1"/>
      <c r="K1795" s="1"/>
      <c r="L1795" s="1"/>
      <c r="M1795" s="1"/>
      <c r="N1795" s="1"/>
      <c r="O1795" s="1"/>
      <c r="P1795" s="1"/>
      <c r="Q1795" s="1"/>
      <c r="R1795" s="1"/>
    </row>
    <row r="1796" spans="1:18" x14ac:dyDescent="0.25">
      <c r="A1796" s="1"/>
      <c r="B1796" s="1"/>
      <c r="C1796" s="1"/>
      <c r="D1796" s="1"/>
      <c r="E1796" s="1"/>
      <c r="F1796" s="1"/>
      <c r="G1796" s="1"/>
      <c r="H1796" s="1"/>
      <c r="I1796" s="1"/>
      <c r="J1796" s="1"/>
      <c r="K1796" s="1"/>
      <c r="L1796" s="1"/>
      <c r="M1796" s="1"/>
      <c r="N1796" s="1"/>
      <c r="O1796" s="1"/>
      <c r="P1796" s="1"/>
      <c r="Q1796" s="1"/>
      <c r="R1796" s="1"/>
    </row>
    <row r="1797" spans="1:18" x14ac:dyDescent="0.25">
      <c r="A1797" s="1"/>
      <c r="B1797" s="1"/>
      <c r="C1797" s="1"/>
      <c r="D1797" s="1"/>
      <c r="E1797" s="1"/>
      <c r="F1797" s="1"/>
      <c r="G1797" s="1"/>
      <c r="H1797" s="1"/>
      <c r="I1797" s="1"/>
      <c r="J1797" s="1"/>
      <c r="K1797" s="1"/>
      <c r="L1797" s="1"/>
      <c r="M1797" s="1"/>
      <c r="N1797" s="1"/>
      <c r="O1797" s="1"/>
      <c r="P1797" s="1"/>
      <c r="Q1797" s="1"/>
      <c r="R1797" s="1"/>
    </row>
    <row r="1798" spans="1:18" x14ac:dyDescent="0.25">
      <c r="A1798" s="1"/>
      <c r="B1798" s="1"/>
      <c r="C1798" s="1"/>
      <c r="D1798" s="1"/>
      <c r="E1798" s="1"/>
      <c r="F1798" s="1"/>
      <c r="G1798" s="1"/>
      <c r="H1798" s="1"/>
      <c r="I1798" s="1"/>
      <c r="J1798" s="1"/>
      <c r="K1798" s="1"/>
      <c r="L1798" s="1"/>
      <c r="M1798" s="1"/>
      <c r="N1798" s="1"/>
      <c r="O1798" s="1"/>
      <c r="P1798" s="1"/>
      <c r="Q1798" s="1"/>
      <c r="R1798" s="1"/>
    </row>
    <row r="1799" spans="1:18" x14ac:dyDescent="0.25">
      <c r="A1799" s="1"/>
      <c r="B1799" s="1"/>
      <c r="C1799" s="1"/>
      <c r="D1799" s="1"/>
      <c r="E1799" s="1"/>
      <c r="F1799" s="1"/>
      <c r="G1799" s="1"/>
      <c r="H1799" s="1"/>
      <c r="I1799" s="1"/>
      <c r="J1799" s="1"/>
      <c r="K1799" s="1"/>
      <c r="L1799" s="1"/>
      <c r="M1799" s="1"/>
      <c r="N1799" s="1"/>
      <c r="O1799" s="1"/>
      <c r="P1799" s="1"/>
      <c r="Q1799" s="1"/>
      <c r="R1799" s="1"/>
    </row>
    <row r="1800" spans="1:18" x14ac:dyDescent="0.25">
      <c r="A1800" s="1"/>
      <c r="B1800" s="1"/>
      <c r="C1800" s="1"/>
      <c r="D1800" s="1"/>
      <c r="E1800" s="1"/>
      <c r="F1800" s="1"/>
      <c r="G1800" s="1"/>
      <c r="H1800" s="1"/>
      <c r="I1800" s="1"/>
      <c r="J1800" s="1"/>
      <c r="K1800" s="1"/>
      <c r="L1800" s="1"/>
      <c r="M1800" s="1"/>
      <c r="N1800" s="1"/>
      <c r="O1800" s="1"/>
      <c r="P1800" s="1"/>
      <c r="Q1800" s="1"/>
      <c r="R1800" s="1"/>
    </row>
    <row r="1801" spans="1:18" x14ac:dyDescent="0.25">
      <c r="A1801" s="1"/>
      <c r="B1801" s="1"/>
      <c r="C1801" s="1"/>
      <c r="D1801" s="1"/>
      <c r="E1801" s="1"/>
      <c r="F1801" s="1"/>
      <c r="G1801" s="1"/>
      <c r="H1801" s="1"/>
      <c r="I1801" s="1"/>
      <c r="J1801" s="1"/>
      <c r="K1801" s="1"/>
      <c r="L1801" s="1"/>
      <c r="M1801" s="1"/>
      <c r="N1801" s="1"/>
      <c r="O1801" s="1"/>
      <c r="P1801" s="1"/>
      <c r="Q1801" s="1"/>
      <c r="R1801" s="1"/>
    </row>
    <row r="1802" spans="1:18" x14ac:dyDescent="0.25">
      <c r="A1802" s="1"/>
      <c r="B1802" s="1"/>
      <c r="C1802" s="1"/>
      <c r="D1802" s="1"/>
      <c r="E1802" s="1"/>
      <c r="F1802" s="1"/>
      <c r="G1802" s="1"/>
      <c r="H1802" s="1"/>
      <c r="I1802" s="1"/>
      <c r="J1802" s="1"/>
      <c r="K1802" s="1"/>
      <c r="L1802" s="1"/>
      <c r="M1802" s="1"/>
      <c r="N1802" s="1"/>
      <c r="O1802" s="1"/>
      <c r="P1802" s="1"/>
      <c r="Q1802" s="1"/>
      <c r="R1802" s="1"/>
    </row>
    <row r="1803" spans="1:18" x14ac:dyDescent="0.25">
      <c r="A1803" s="1"/>
      <c r="B1803" s="1"/>
      <c r="C1803" s="1"/>
      <c r="D1803" s="1"/>
      <c r="E1803" s="1"/>
      <c r="F1803" s="1"/>
      <c r="G1803" s="1"/>
      <c r="H1803" s="1"/>
      <c r="I1803" s="1"/>
      <c r="J1803" s="1"/>
      <c r="K1803" s="1"/>
      <c r="L1803" s="1"/>
      <c r="M1803" s="1"/>
      <c r="N1803" s="1"/>
      <c r="O1803" s="1"/>
      <c r="P1803" s="1"/>
      <c r="Q1803" s="1"/>
      <c r="R1803" s="1"/>
    </row>
    <row r="1804" spans="1:18" x14ac:dyDescent="0.25">
      <c r="A1804" s="1"/>
      <c r="B1804" s="1"/>
      <c r="C1804" s="1"/>
      <c r="D1804" s="1"/>
      <c r="E1804" s="1"/>
      <c r="F1804" s="1"/>
      <c r="G1804" s="1"/>
      <c r="H1804" s="1"/>
      <c r="I1804" s="1"/>
      <c r="J1804" s="1"/>
      <c r="K1804" s="1"/>
      <c r="L1804" s="1"/>
      <c r="M1804" s="1"/>
      <c r="N1804" s="1"/>
      <c r="O1804" s="1"/>
      <c r="P1804" s="1"/>
      <c r="Q1804" s="1"/>
      <c r="R1804" s="1"/>
    </row>
    <row r="1805" spans="1:18" x14ac:dyDescent="0.25">
      <c r="A1805" s="1"/>
      <c r="B1805" s="1"/>
      <c r="C1805" s="1"/>
      <c r="D1805" s="1"/>
      <c r="E1805" s="1"/>
      <c r="F1805" s="1"/>
      <c r="G1805" s="1"/>
      <c r="H1805" s="1"/>
      <c r="I1805" s="1"/>
      <c r="J1805" s="1"/>
      <c r="K1805" s="1"/>
      <c r="L1805" s="1"/>
      <c r="M1805" s="1"/>
      <c r="N1805" s="1"/>
      <c r="O1805" s="1"/>
      <c r="P1805" s="1"/>
      <c r="Q1805" s="1"/>
      <c r="R1805" s="1"/>
    </row>
    <row r="1806" spans="1:18" x14ac:dyDescent="0.25">
      <c r="A1806" s="1"/>
      <c r="B1806" s="1"/>
      <c r="C1806" s="1"/>
      <c r="D1806" s="1"/>
      <c r="E1806" s="1"/>
      <c r="F1806" s="1"/>
      <c r="G1806" s="1"/>
      <c r="H1806" s="1"/>
      <c r="I1806" s="1"/>
      <c r="J1806" s="1"/>
      <c r="K1806" s="1"/>
      <c r="L1806" s="1"/>
      <c r="M1806" s="1"/>
      <c r="N1806" s="1"/>
      <c r="O1806" s="1"/>
      <c r="P1806" s="1"/>
      <c r="Q1806" s="1"/>
      <c r="R1806" s="1"/>
    </row>
    <row r="1807" spans="1:18" x14ac:dyDescent="0.25">
      <c r="A1807" s="1"/>
      <c r="B1807" s="1"/>
      <c r="C1807" s="1"/>
      <c r="D1807" s="1"/>
      <c r="E1807" s="1"/>
      <c r="F1807" s="1"/>
      <c r="G1807" s="1"/>
      <c r="H1807" s="1"/>
      <c r="I1807" s="1"/>
      <c r="J1807" s="1"/>
      <c r="K1807" s="1"/>
      <c r="L1807" s="1"/>
      <c r="M1807" s="1"/>
      <c r="N1807" s="1"/>
      <c r="O1807" s="1"/>
      <c r="P1807" s="1"/>
      <c r="Q1807" s="1"/>
      <c r="R1807" s="1"/>
    </row>
    <row r="1808" spans="1:18" x14ac:dyDescent="0.25">
      <c r="A1808" s="1"/>
      <c r="B1808" s="1"/>
      <c r="C1808" s="1"/>
      <c r="D1808" s="1"/>
      <c r="E1808" s="1"/>
      <c r="F1808" s="1"/>
      <c r="G1808" s="1"/>
      <c r="H1808" s="1"/>
      <c r="I1808" s="1"/>
      <c r="J1808" s="1"/>
      <c r="K1808" s="1"/>
      <c r="L1808" s="1"/>
      <c r="M1808" s="1"/>
      <c r="N1808" s="1"/>
      <c r="O1808" s="1"/>
      <c r="P1808" s="1"/>
      <c r="Q1808" s="1"/>
      <c r="R1808" s="1"/>
    </row>
    <row r="1809" spans="1:18" x14ac:dyDescent="0.25">
      <c r="A1809" s="1"/>
      <c r="B1809" s="1"/>
      <c r="C1809" s="1"/>
      <c r="D1809" s="1"/>
      <c r="E1809" s="1"/>
      <c r="F1809" s="1"/>
      <c r="G1809" s="1"/>
      <c r="H1809" s="1"/>
      <c r="I1809" s="1"/>
      <c r="J1809" s="1"/>
      <c r="K1809" s="1"/>
      <c r="L1809" s="1"/>
      <c r="M1809" s="1"/>
      <c r="N1809" s="1"/>
      <c r="O1809" s="1"/>
      <c r="P1809" s="1"/>
      <c r="Q1809" s="1"/>
      <c r="R1809" s="1"/>
    </row>
    <row r="1810" spans="1:18" x14ac:dyDescent="0.25">
      <c r="A1810" s="1"/>
      <c r="B1810" s="1"/>
      <c r="C1810" s="1"/>
      <c r="D1810" s="1"/>
      <c r="E1810" s="1"/>
      <c r="F1810" s="1"/>
      <c r="G1810" s="1"/>
      <c r="H1810" s="1"/>
      <c r="I1810" s="1"/>
      <c r="J1810" s="1"/>
      <c r="K1810" s="1"/>
      <c r="L1810" s="1"/>
      <c r="M1810" s="1"/>
      <c r="N1810" s="1"/>
      <c r="O1810" s="1"/>
      <c r="P1810" s="1"/>
      <c r="Q1810" s="1"/>
      <c r="R1810" s="1"/>
    </row>
    <row r="1811" spans="1:18" x14ac:dyDescent="0.25">
      <c r="A1811" s="1"/>
      <c r="B1811" s="1"/>
      <c r="C1811" s="1"/>
      <c r="D1811" s="1"/>
      <c r="E1811" s="1"/>
      <c r="F1811" s="1"/>
      <c r="G1811" s="1"/>
      <c r="H1811" s="1"/>
      <c r="I1811" s="1"/>
      <c r="J1811" s="1"/>
      <c r="K1811" s="1"/>
      <c r="L1811" s="1"/>
      <c r="M1811" s="1"/>
      <c r="N1811" s="1"/>
      <c r="O1811" s="1"/>
      <c r="P1811" s="1"/>
      <c r="Q1811" s="1"/>
      <c r="R1811" s="1"/>
    </row>
    <row r="1812" spans="1:18" x14ac:dyDescent="0.25">
      <c r="A1812" s="1"/>
      <c r="B1812" s="1"/>
      <c r="C1812" s="1"/>
      <c r="D1812" s="1"/>
      <c r="E1812" s="1"/>
      <c r="F1812" s="1"/>
      <c r="G1812" s="1"/>
      <c r="H1812" s="1"/>
      <c r="I1812" s="1"/>
      <c r="J1812" s="1"/>
      <c r="K1812" s="1"/>
      <c r="L1812" s="1"/>
      <c r="M1812" s="1"/>
      <c r="N1812" s="1"/>
      <c r="O1812" s="1"/>
      <c r="P1812" s="1"/>
      <c r="Q1812" s="1"/>
      <c r="R1812" s="1"/>
    </row>
    <row r="1813" spans="1:18" x14ac:dyDescent="0.25">
      <c r="A1813" s="1"/>
      <c r="B1813" s="1"/>
      <c r="C1813" s="1"/>
      <c r="D1813" s="1"/>
      <c r="E1813" s="1"/>
      <c r="F1813" s="1"/>
      <c r="G1813" s="1"/>
      <c r="H1813" s="1"/>
      <c r="I1813" s="1"/>
      <c r="J1813" s="1"/>
      <c r="K1813" s="1"/>
      <c r="L1813" s="1"/>
      <c r="M1813" s="1"/>
      <c r="N1813" s="1"/>
      <c r="O1813" s="1"/>
      <c r="P1813" s="1"/>
      <c r="Q1813" s="1"/>
      <c r="R1813" s="1"/>
    </row>
    <row r="1814" spans="1:18" x14ac:dyDescent="0.25">
      <c r="A1814" s="1"/>
      <c r="B1814" s="1"/>
      <c r="C1814" s="1"/>
      <c r="D1814" s="1"/>
      <c r="E1814" s="1"/>
      <c r="F1814" s="1"/>
      <c r="G1814" s="1"/>
      <c r="H1814" s="1"/>
      <c r="I1814" s="1"/>
      <c r="J1814" s="1"/>
      <c r="K1814" s="1"/>
      <c r="L1814" s="1"/>
      <c r="M1814" s="1"/>
      <c r="N1814" s="1"/>
      <c r="O1814" s="1"/>
      <c r="P1814" s="1"/>
      <c r="Q1814" s="1"/>
      <c r="R1814" s="1"/>
    </row>
    <row r="1815" spans="1:18" x14ac:dyDescent="0.25">
      <c r="A1815" s="1"/>
      <c r="B1815" s="1"/>
      <c r="C1815" s="1"/>
      <c r="D1815" s="1"/>
      <c r="E1815" s="1"/>
      <c r="F1815" s="1"/>
      <c r="G1815" s="1"/>
      <c r="H1815" s="1"/>
      <c r="I1815" s="1"/>
      <c r="J1815" s="1"/>
      <c r="K1815" s="1"/>
      <c r="L1815" s="1"/>
      <c r="M1815" s="1"/>
      <c r="N1815" s="1"/>
      <c r="O1815" s="1"/>
      <c r="P1815" s="1"/>
      <c r="Q1815" s="1"/>
      <c r="R1815" s="1"/>
    </row>
    <row r="1816" spans="1:18" x14ac:dyDescent="0.25">
      <c r="A1816" s="1"/>
      <c r="B1816" s="1"/>
      <c r="C1816" s="1"/>
      <c r="D1816" s="1"/>
      <c r="E1816" s="1"/>
      <c r="F1816" s="1"/>
      <c r="G1816" s="1"/>
      <c r="H1816" s="1"/>
      <c r="I1816" s="1"/>
      <c r="J1816" s="1"/>
      <c r="K1816" s="1"/>
      <c r="L1816" s="1"/>
      <c r="M1816" s="1"/>
      <c r="N1816" s="1"/>
      <c r="O1816" s="1"/>
      <c r="P1816" s="1"/>
      <c r="Q1816" s="1"/>
      <c r="R1816" s="1"/>
    </row>
    <row r="1817" spans="1:18" x14ac:dyDescent="0.25">
      <c r="A1817" s="1"/>
      <c r="B1817" s="1"/>
      <c r="C1817" s="1"/>
      <c r="D1817" s="1"/>
      <c r="E1817" s="1"/>
      <c r="F1817" s="1"/>
      <c r="G1817" s="1"/>
      <c r="H1817" s="1"/>
      <c r="I1817" s="1"/>
      <c r="J1817" s="1"/>
      <c r="K1817" s="1"/>
      <c r="L1817" s="1"/>
      <c r="M1817" s="1"/>
      <c r="N1817" s="1"/>
      <c r="O1817" s="1"/>
      <c r="P1817" s="1"/>
      <c r="Q1817" s="1"/>
      <c r="R1817" s="1"/>
    </row>
    <row r="1818" spans="1:18" x14ac:dyDescent="0.25">
      <c r="A1818" s="1"/>
      <c r="B1818" s="1"/>
      <c r="C1818" s="1"/>
      <c r="D1818" s="1"/>
      <c r="E1818" s="1"/>
      <c r="F1818" s="1"/>
      <c r="G1818" s="1"/>
      <c r="H1818" s="1"/>
      <c r="I1818" s="1"/>
      <c r="J1818" s="1"/>
      <c r="K1818" s="1"/>
      <c r="L1818" s="1"/>
      <c r="M1818" s="1"/>
      <c r="N1818" s="1"/>
      <c r="O1818" s="1"/>
      <c r="P1818" s="1"/>
      <c r="Q1818" s="1"/>
      <c r="R1818" s="1"/>
    </row>
    <row r="1819" spans="1:18" x14ac:dyDescent="0.25">
      <c r="A1819" s="1"/>
      <c r="B1819" s="1"/>
      <c r="C1819" s="1"/>
      <c r="D1819" s="1"/>
      <c r="E1819" s="1"/>
      <c r="F1819" s="1"/>
      <c r="G1819" s="1"/>
      <c r="H1819" s="1"/>
      <c r="I1819" s="1"/>
      <c r="J1819" s="1"/>
      <c r="K1819" s="1"/>
      <c r="L1819" s="1"/>
      <c r="M1819" s="1"/>
      <c r="N1819" s="1"/>
      <c r="O1819" s="1"/>
      <c r="P1819" s="1"/>
      <c r="Q1819" s="1"/>
      <c r="R1819" s="1"/>
    </row>
    <row r="1820" spans="1:18" x14ac:dyDescent="0.25">
      <c r="A1820" s="1"/>
      <c r="B1820" s="1"/>
      <c r="C1820" s="1"/>
      <c r="D1820" s="1"/>
      <c r="E1820" s="1"/>
      <c r="F1820" s="1"/>
      <c r="G1820" s="1"/>
      <c r="H1820" s="1"/>
      <c r="I1820" s="1"/>
      <c r="J1820" s="1"/>
      <c r="K1820" s="1"/>
      <c r="L1820" s="1"/>
      <c r="M1820" s="1"/>
      <c r="N1820" s="1"/>
      <c r="O1820" s="1"/>
      <c r="P1820" s="1"/>
      <c r="Q1820" s="1"/>
      <c r="R1820" s="1"/>
    </row>
    <row r="1821" spans="1:18" x14ac:dyDescent="0.25">
      <c r="A1821" s="1"/>
      <c r="B1821" s="1"/>
      <c r="C1821" s="1"/>
      <c r="D1821" s="1"/>
      <c r="E1821" s="1"/>
      <c r="F1821" s="1"/>
      <c r="G1821" s="1"/>
      <c r="H1821" s="1"/>
      <c r="I1821" s="1"/>
      <c r="J1821" s="1"/>
      <c r="K1821" s="1"/>
      <c r="L1821" s="1"/>
      <c r="M1821" s="1"/>
      <c r="N1821" s="1"/>
      <c r="O1821" s="1"/>
      <c r="P1821" s="1"/>
      <c r="Q1821" s="1"/>
      <c r="R1821" s="1"/>
    </row>
    <row r="1822" spans="1:18" x14ac:dyDescent="0.25">
      <c r="A1822" s="1"/>
      <c r="B1822" s="1"/>
      <c r="C1822" s="1"/>
      <c r="D1822" s="1"/>
      <c r="E1822" s="1"/>
      <c r="F1822" s="1"/>
      <c r="G1822" s="1"/>
      <c r="H1822" s="1"/>
      <c r="I1822" s="1"/>
      <c r="J1822" s="1"/>
      <c r="K1822" s="1"/>
      <c r="L1822" s="1"/>
      <c r="M1822" s="1"/>
      <c r="N1822" s="1"/>
      <c r="O1822" s="1"/>
      <c r="P1822" s="1"/>
      <c r="Q1822" s="1"/>
      <c r="R1822" s="1"/>
    </row>
    <row r="1823" spans="1:18" x14ac:dyDescent="0.25">
      <c r="A1823" s="1"/>
      <c r="B1823" s="1"/>
      <c r="C1823" s="1"/>
      <c r="D1823" s="1"/>
      <c r="E1823" s="1"/>
      <c r="F1823" s="1"/>
      <c r="G1823" s="1"/>
      <c r="H1823" s="1"/>
      <c r="I1823" s="1"/>
      <c r="J1823" s="1"/>
      <c r="K1823" s="1"/>
      <c r="L1823" s="1"/>
      <c r="M1823" s="1"/>
      <c r="N1823" s="1"/>
      <c r="O1823" s="1"/>
      <c r="P1823" s="1"/>
      <c r="Q1823" s="1"/>
      <c r="R1823" s="1"/>
    </row>
    <row r="1824" spans="1:18" x14ac:dyDescent="0.25">
      <c r="A1824" s="1"/>
      <c r="B1824" s="1"/>
      <c r="C1824" s="1"/>
      <c r="D1824" s="1"/>
      <c r="E1824" s="1"/>
      <c r="F1824" s="1"/>
      <c r="G1824" s="1"/>
      <c r="H1824" s="1"/>
      <c r="I1824" s="1"/>
      <c r="J1824" s="1"/>
      <c r="K1824" s="1"/>
      <c r="L1824" s="1"/>
      <c r="M1824" s="1"/>
      <c r="N1824" s="1"/>
      <c r="O1824" s="1"/>
      <c r="P1824" s="1"/>
      <c r="Q1824" s="1"/>
      <c r="R1824" s="1"/>
    </row>
    <row r="1825" spans="1:18" x14ac:dyDescent="0.25">
      <c r="A1825" s="1"/>
      <c r="B1825" s="1"/>
      <c r="C1825" s="1"/>
      <c r="D1825" s="1"/>
      <c r="E1825" s="1"/>
      <c r="F1825" s="1"/>
      <c r="G1825" s="1"/>
      <c r="H1825" s="1"/>
      <c r="I1825" s="1"/>
      <c r="J1825" s="1"/>
      <c r="K1825" s="1"/>
      <c r="L1825" s="1"/>
      <c r="M1825" s="1"/>
      <c r="N1825" s="1"/>
      <c r="O1825" s="1"/>
      <c r="P1825" s="1"/>
      <c r="Q1825" s="1"/>
      <c r="R1825" s="1"/>
    </row>
    <row r="1826" spans="1:18" x14ac:dyDescent="0.25">
      <c r="A1826" s="1"/>
      <c r="B1826" s="1"/>
      <c r="C1826" s="1"/>
      <c r="D1826" s="1"/>
      <c r="E1826" s="1"/>
      <c r="F1826" s="1"/>
      <c r="G1826" s="1"/>
      <c r="H1826" s="1"/>
      <c r="I1826" s="1"/>
      <c r="J1826" s="1"/>
      <c r="K1826" s="1"/>
      <c r="L1826" s="1"/>
      <c r="M1826" s="1"/>
      <c r="N1826" s="1"/>
      <c r="O1826" s="1"/>
      <c r="P1826" s="1"/>
      <c r="Q1826" s="1"/>
      <c r="R1826" s="1"/>
    </row>
    <row r="1827" spans="1:18" x14ac:dyDescent="0.25">
      <c r="A1827" s="1"/>
      <c r="B1827" s="1"/>
      <c r="C1827" s="1"/>
      <c r="D1827" s="1"/>
      <c r="E1827" s="1"/>
      <c r="F1827" s="1"/>
      <c r="G1827" s="1"/>
      <c r="H1827" s="1"/>
      <c r="I1827" s="1"/>
      <c r="J1827" s="1"/>
      <c r="K1827" s="1"/>
      <c r="L1827" s="1"/>
      <c r="M1827" s="1"/>
      <c r="N1827" s="1"/>
      <c r="O1827" s="1"/>
      <c r="P1827" s="1"/>
      <c r="Q1827" s="1"/>
      <c r="R1827" s="1"/>
    </row>
    <row r="1828" spans="1:18" x14ac:dyDescent="0.25">
      <c r="A1828" s="1"/>
      <c r="B1828" s="1"/>
      <c r="C1828" s="1"/>
      <c r="D1828" s="1"/>
      <c r="E1828" s="1"/>
      <c r="F1828" s="1"/>
      <c r="G1828" s="1"/>
      <c r="H1828" s="1"/>
      <c r="I1828" s="1"/>
      <c r="J1828" s="1"/>
      <c r="K1828" s="1"/>
      <c r="L1828" s="1"/>
      <c r="M1828" s="1"/>
      <c r="N1828" s="1"/>
      <c r="O1828" s="1"/>
      <c r="P1828" s="1"/>
      <c r="Q1828" s="1"/>
      <c r="R1828" s="1"/>
    </row>
    <row r="1829" spans="1:18" x14ac:dyDescent="0.25">
      <c r="A1829" s="1"/>
      <c r="B1829" s="1"/>
      <c r="C1829" s="1"/>
      <c r="D1829" s="1"/>
      <c r="E1829" s="1"/>
      <c r="F1829" s="1"/>
      <c r="G1829" s="1"/>
      <c r="H1829" s="1"/>
      <c r="I1829" s="1"/>
      <c r="J1829" s="1"/>
      <c r="K1829" s="1"/>
      <c r="L1829" s="1"/>
      <c r="M1829" s="1"/>
      <c r="N1829" s="1"/>
      <c r="O1829" s="1"/>
      <c r="P1829" s="1"/>
      <c r="Q1829" s="1"/>
      <c r="R1829" s="1"/>
    </row>
    <row r="1830" spans="1:18" x14ac:dyDescent="0.25">
      <c r="A1830" s="1"/>
      <c r="B1830" s="1"/>
      <c r="C1830" s="1"/>
      <c r="D1830" s="1"/>
      <c r="E1830" s="1"/>
      <c r="F1830" s="1"/>
      <c r="G1830" s="1"/>
      <c r="H1830" s="1"/>
      <c r="I1830" s="1"/>
      <c r="J1830" s="1"/>
      <c r="K1830" s="1"/>
      <c r="L1830" s="1"/>
      <c r="M1830" s="1"/>
      <c r="N1830" s="1"/>
      <c r="O1830" s="1"/>
      <c r="P1830" s="1"/>
      <c r="Q1830" s="1"/>
      <c r="R1830" s="1"/>
    </row>
    <row r="1831" spans="1:18" x14ac:dyDescent="0.25">
      <c r="A1831" s="1"/>
      <c r="B1831" s="1"/>
      <c r="C1831" s="1"/>
      <c r="D1831" s="1"/>
      <c r="E1831" s="1"/>
      <c r="F1831" s="1"/>
      <c r="G1831" s="1"/>
      <c r="H1831" s="1"/>
      <c r="I1831" s="1"/>
      <c r="J1831" s="1"/>
      <c r="K1831" s="1"/>
      <c r="L1831" s="1"/>
      <c r="M1831" s="1"/>
      <c r="N1831" s="1"/>
      <c r="O1831" s="1"/>
      <c r="P1831" s="1"/>
      <c r="Q1831" s="1"/>
      <c r="R1831" s="1"/>
    </row>
    <row r="1832" spans="1:18" x14ac:dyDescent="0.25">
      <c r="A1832" s="1"/>
      <c r="B1832" s="1"/>
      <c r="C1832" s="1"/>
      <c r="D1832" s="1"/>
      <c r="E1832" s="1"/>
      <c r="F1832" s="1"/>
      <c r="G1832" s="1"/>
      <c r="H1832" s="1"/>
      <c r="I1832" s="1"/>
      <c r="J1832" s="1"/>
      <c r="K1832" s="1"/>
      <c r="L1832" s="1"/>
      <c r="M1832" s="1"/>
      <c r="N1832" s="1"/>
      <c r="O1832" s="1"/>
      <c r="P1832" s="1"/>
      <c r="Q1832" s="1"/>
      <c r="R1832" s="1"/>
    </row>
    <row r="1833" spans="1:18" x14ac:dyDescent="0.25">
      <c r="A1833" s="1"/>
      <c r="B1833" s="1"/>
      <c r="C1833" s="1"/>
      <c r="D1833" s="1"/>
      <c r="E1833" s="1"/>
      <c r="F1833" s="1"/>
      <c r="G1833" s="1"/>
      <c r="H1833" s="1"/>
      <c r="I1833" s="1"/>
      <c r="J1833" s="1"/>
      <c r="K1833" s="1"/>
      <c r="L1833" s="1"/>
      <c r="M1833" s="1"/>
      <c r="N1833" s="1"/>
      <c r="O1833" s="1"/>
      <c r="P1833" s="1"/>
      <c r="Q1833" s="1"/>
      <c r="R1833" s="1"/>
    </row>
    <row r="1834" spans="1:18" x14ac:dyDescent="0.25">
      <c r="A1834" s="1"/>
      <c r="B1834" s="1"/>
      <c r="C1834" s="1"/>
      <c r="D1834" s="1"/>
      <c r="E1834" s="1"/>
      <c r="F1834" s="1"/>
      <c r="G1834" s="1"/>
      <c r="H1834" s="1"/>
      <c r="I1834" s="1"/>
      <c r="J1834" s="1"/>
      <c r="K1834" s="1"/>
      <c r="L1834" s="1"/>
      <c r="M1834" s="1"/>
      <c r="N1834" s="1"/>
      <c r="O1834" s="1"/>
      <c r="P1834" s="1"/>
      <c r="Q1834" s="1"/>
      <c r="R1834" s="1"/>
    </row>
    <row r="1835" spans="1:18" x14ac:dyDescent="0.25">
      <c r="A1835" s="1"/>
      <c r="B1835" s="1"/>
      <c r="C1835" s="1"/>
      <c r="D1835" s="1"/>
      <c r="E1835" s="1"/>
      <c r="F1835" s="1"/>
      <c r="G1835" s="1"/>
      <c r="H1835" s="1"/>
      <c r="I1835" s="1"/>
      <c r="J1835" s="1"/>
      <c r="K1835" s="1"/>
      <c r="L1835" s="1"/>
      <c r="M1835" s="1"/>
      <c r="N1835" s="1"/>
      <c r="O1835" s="1"/>
      <c r="P1835" s="1"/>
      <c r="Q1835" s="1"/>
      <c r="R1835" s="1"/>
    </row>
    <row r="1836" spans="1:18" x14ac:dyDescent="0.25">
      <c r="A1836" s="1"/>
      <c r="B1836" s="1"/>
      <c r="C1836" s="1"/>
      <c r="D1836" s="1"/>
      <c r="E1836" s="1"/>
      <c r="F1836" s="1"/>
      <c r="G1836" s="1"/>
      <c r="H1836" s="1"/>
      <c r="I1836" s="1"/>
      <c r="J1836" s="1"/>
      <c r="K1836" s="1"/>
      <c r="L1836" s="1"/>
      <c r="M1836" s="1"/>
      <c r="N1836" s="1"/>
      <c r="O1836" s="1"/>
      <c r="P1836" s="1"/>
      <c r="Q1836" s="1"/>
      <c r="R1836" s="1"/>
    </row>
    <row r="1837" spans="1:18" x14ac:dyDescent="0.25">
      <c r="A1837" s="1"/>
      <c r="B1837" s="1"/>
      <c r="C1837" s="1"/>
      <c r="D1837" s="1"/>
      <c r="E1837" s="1"/>
      <c r="F1837" s="1"/>
      <c r="G1837" s="1"/>
      <c r="H1837" s="1"/>
      <c r="I1837" s="1"/>
      <c r="J1837" s="1"/>
      <c r="K1837" s="1"/>
      <c r="L1837" s="1"/>
      <c r="M1837" s="1"/>
      <c r="N1837" s="1"/>
      <c r="O1837" s="1"/>
      <c r="P1837" s="1"/>
      <c r="Q1837" s="1"/>
      <c r="R1837" s="1"/>
    </row>
    <row r="1838" spans="1:18" x14ac:dyDescent="0.25">
      <c r="A1838" s="1"/>
      <c r="B1838" s="1"/>
      <c r="C1838" s="1"/>
      <c r="D1838" s="1"/>
      <c r="E1838" s="1"/>
      <c r="F1838" s="1"/>
      <c r="G1838" s="1"/>
      <c r="H1838" s="1"/>
      <c r="I1838" s="1"/>
      <c r="J1838" s="1"/>
      <c r="K1838" s="1"/>
      <c r="L1838" s="1"/>
      <c r="M1838" s="1"/>
      <c r="N1838" s="1"/>
      <c r="O1838" s="1"/>
      <c r="P1838" s="1"/>
      <c r="Q1838" s="1"/>
      <c r="R1838" s="1"/>
    </row>
    <row r="1839" spans="1:18" x14ac:dyDescent="0.25">
      <c r="A1839" s="1"/>
      <c r="B1839" s="1"/>
      <c r="C1839" s="1"/>
      <c r="D1839" s="1"/>
      <c r="E1839" s="1"/>
      <c r="F1839" s="1"/>
      <c r="G1839" s="1"/>
      <c r="H1839" s="1"/>
      <c r="I1839" s="1"/>
      <c r="J1839" s="1"/>
      <c r="K1839" s="1"/>
      <c r="L1839" s="1"/>
      <c r="M1839" s="1"/>
      <c r="N1839" s="1"/>
      <c r="O1839" s="1"/>
      <c r="P1839" s="1"/>
      <c r="Q1839" s="1"/>
      <c r="R1839" s="1"/>
    </row>
    <row r="1840" spans="1:18" x14ac:dyDescent="0.25">
      <c r="A1840" s="1"/>
      <c r="B1840" s="1"/>
      <c r="C1840" s="1"/>
      <c r="D1840" s="1"/>
      <c r="E1840" s="1"/>
      <c r="F1840" s="1"/>
      <c r="G1840" s="1"/>
      <c r="H1840" s="1"/>
      <c r="I1840" s="1"/>
      <c r="J1840" s="1"/>
      <c r="K1840" s="1"/>
      <c r="L1840" s="1"/>
      <c r="M1840" s="1"/>
      <c r="N1840" s="1"/>
      <c r="O1840" s="1"/>
      <c r="P1840" s="1"/>
      <c r="Q1840" s="1"/>
      <c r="R1840" s="1"/>
    </row>
    <row r="1841" spans="1:18" x14ac:dyDescent="0.25">
      <c r="A1841" s="1"/>
      <c r="B1841" s="1"/>
      <c r="C1841" s="1"/>
      <c r="D1841" s="1"/>
      <c r="E1841" s="1"/>
      <c r="F1841" s="1"/>
      <c r="G1841" s="1"/>
      <c r="H1841" s="1"/>
      <c r="I1841" s="1"/>
      <c r="J1841" s="1"/>
      <c r="K1841" s="1"/>
      <c r="L1841" s="1"/>
      <c r="M1841" s="1"/>
      <c r="N1841" s="1"/>
      <c r="O1841" s="1"/>
      <c r="P1841" s="1"/>
      <c r="Q1841" s="1"/>
      <c r="R1841" s="1"/>
    </row>
    <row r="1842" spans="1:18" x14ac:dyDescent="0.25">
      <c r="A1842" s="1"/>
      <c r="B1842" s="1"/>
      <c r="C1842" s="1"/>
      <c r="D1842" s="1"/>
      <c r="E1842" s="1"/>
      <c r="F1842" s="1"/>
      <c r="G1842" s="1"/>
      <c r="H1842" s="1"/>
      <c r="I1842" s="1"/>
      <c r="J1842" s="1"/>
      <c r="K1842" s="1"/>
      <c r="L1842" s="1"/>
      <c r="M1842" s="1"/>
      <c r="N1842" s="1"/>
      <c r="O1842" s="1"/>
      <c r="P1842" s="1"/>
      <c r="Q1842" s="1"/>
      <c r="R1842" s="1"/>
    </row>
    <row r="1843" spans="1:18" x14ac:dyDescent="0.25">
      <c r="A1843" s="1"/>
      <c r="B1843" s="1"/>
      <c r="C1843" s="1"/>
      <c r="D1843" s="1"/>
      <c r="E1843" s="1"/>
      <c r="F1843" s="1"/>
      <c r="G1843" s="1"/>
      <c r="H1843" s="1"/>
      <c r="I1843" s="1"/>
      <c r="J1843" s="1"/>
      <c r="K1843" s="1"/>
      <c r="L1843" s="1"/>
      <c r="M1843" s="1"/>
      <c r="N1843" s="1"/>
      <c r="O1843" s="1"/>
      <c r="P1843" s="1"/>
      <c r="Q1843" s="1"/>
      <c r="R1843" s="1"/>
    </row>
    <row r="1844" spans="1:18" x14ac:dyDescent="0.25">
      <c r="A1844" s="1"/>
      <c r="B1844" s="1"/>
      <c r="C1844" s="1"/>
      <c r="D1844" s="1"/>
      <c r="E1844" s="1"/>
      <c r="F1844" s="1"/>
      <c r="G1844" s="1"/>
      <c r="H1844" s="1"/>
      <c r="I1844" s="1"/>
      <c r="J1844" s="1"/>
      <c r="K1844" s="1"/>
      <c r="L1844" s="1"/>
      <c r="M1844" s="1"/>
      <c r="N1844" s="1"/>
      <c r="O1844" s="1"/>
      <c r="P1844" s="1"/>
      <c r="Q1844" s="1"/>
      <c r="R1844" s="1"/>
    </row>
    <row r="1845" spans="1:18" x14ac:dyDescent="0.25">
      <c r="A1845" s="1"/>
      <c r="B1845" s="1"/>
      <c r="C1845" s="1"/>
      <c r="D1845" s="1"/>
      <c r="E1845" s="1"/>
      <c r="F1845" s="1"/>
      <c r="G1845" s="1"/>
      <c r="H1845" s="1"/>
      <c r="I1845" s="1"/>
      <c r="J1845" s="1"/>
      <c r="K1845" s="1"/>
      <c r="L1845" s="1"/>
      <c r="M1845" s="1"/>
      <c r="N1845" s="1"/>
      <c r="O1845" s="1"/>
      <c r="P1845" s="1"/>
      <c r="Q1845" s="1"/>
      <c r="R1845" s="1"/>
    </row>
    <row r="1846" spans="1:18" x14ac:dyDescent="0.25">
      <c r="A1846" s="1"/>
      <c r="B1846" s="1"/>
      <c r="C1846" s="1"/>
      <c r="D1846" s="1"/>
      <c r="E1846" s="1"/>
      <c r="F1846" s="1"/>
      <c r="G1846" s="1"/>
      <c r="H1846" s="1"/>
      <c r="I1846" s="1"/>
      <c r="J1846" s="1"/>
      <c r="K1846" s="1"/>
      <c r="L1846" s="1"/>
      <c r="M1846" s="1"/>
      <c r="N1846" s="1"/>
      <c r="O1846" s="1"/>
      <c r="P1846" s="1"/>
      <c r="Q1846" s="1"/>
      <c r="R1846" s="1"/>
    </row>
    <row r="1847" spans="1:18" x14ac:dyDescent="0.25">
      <c r="A1847" s="1"/>
      <c r="B1847" s="1"/>
      <c r="C1847" s="1"/>
      <c r="D1847" s="1"/>
      <c r="E1847" s="1"/>
      <c r="F1847" s="1"/>
      <c r="G1847" s="1"/>
      <c r="H1847" s="1"/>
      <c r="I1847" s="1"/>
      <c r="J1847" s="1"/>
      <c r="K1847" s="1"/>
      <c r="L1847" s="1"/>
      <c r="M1847" s="1"/>
      <c r="N1847" s="1"/>
      <c r="O1847" s="1"/>
      <c r="P1847" s="1"/>
      <c r="Q1847" s="1"/>
      <c r="R1847" s="1"/>
    </row>
    <row r="1848" spans="1:18" x14ac:dyDescent="0.25">
      <c r="A1848" s="1"/>
      <c r="B1848" s="1"/>
      <c r="C1848" s="1"/>
      <c r="D1848" s="1"/>
      <c r="E1848" s="1"/>
      <c r="F1848" s="1"/>
      <c r="G1848" s="1"/>
      <c r="H1848" s="1"/>
      <c r="I1848" s="1"/>
      <c r="J1848" s="1"/>
      <c r="K1848" s="1"/>
      <c r="L1848" s="1"/>
      <c r="M1848" s="1"/>
      <c r="N1848" s="1"/>
      <c r="O1848" s="1"/>
      <c r="P1848" s="1"/>
      <c r="Q1848" s="1"/>
      <c r="R1848" s="1"/>
    </row>
    <row r="1849" spans="1:18" x14ac:dyDescent="0.25">
      <c r="A1849" s="1"/>
      <c r="B1849" s="1"/>
      <c r="C1849" s="1"/>
      <c r="D1849" s="1"/>
      <c r="E1849" s="1"/>
      <c r="F1849" s="1"/>
      <c r="G1849" s="1"/>
      <c r="H1849" s="1"/>
      <c r="I1849" s="1"/>
      <c r="J1849" s="1"/>
      <c r="K1849" s="1"/>
      <c r="L1849" s="1"/>
      <c r="M1849" s="1"/>
      <c r="N1849" s="1"/>
      <c r="O1849" s="1"/>
      <c r="P1849" s="1"/>
      <c r="Q1849" s="1"/>
      <c r="R1849" s="1"/>
    </row>
    <row r="1850" spans="1:18" x14ac:dyDescent="0.25">
      <c r="A1850" s="1"/>
      <c r="B1850" s="1"/>
      <c r="C1850" s="1"/>
      <c r="D1850" s="1"/>
      <c r="E1850" s="1"/>
      <c r="F1850" s="1"/>
      <c r="G1850" s="1"/>
      <c r="H1850" s="1"/>
      <c r="I1850" s="1"/>
      <c r="J1850" s="1"/>
      <c r="K1850" s="1"/>
      <c r="L1850" s="1"/>
      <c r="M1850" s="1"/>
      <c r="N1850" s="1"/>
      <c r="O1850" s="1"/>
      <c r="P1850" s="1"/>
      <c r="Q1850" s="1"/>
      <c r="R1850" s="1"/>
    </row>
    <row r="1851" spans="1:18" x14ac:dyDescent="0.25">
      <c r="A1851" s="1"/>
      <c r="B1851" s="1"/>
      <c r="C1851" s="1"/>
      <c r="D1851" s="1"/>
      <c r="E1851" s="1"/>
      <c r="F1851" s="1"/>
      <c r="G1851" s="1"/>
      <c r="H1851" s="1"/>
      <c r="I1851" s="1"/>
      <c r="J1851" s="1"/>
      <c r="K1851" s="1"/>
      <c r="L1851" s="1"/>
      <c r="M1851" s="1"/>
      <c r="N1851" s="1"/>
      <c r="O1851" s="1"/>
      <c r="P1851" s="1"/>
      <c r="Q1851" s="1"/>
      <c r="R1851" s="1"/>
    </row>
    <row r="1852" spans="1:18" x14ac:dyDescent="0.25">
      <c r="A1852" s="1"/>
      <c r="B1852" s="1"/>
      <c r="C1852" s="1"/>
      <c r="D1852" s="1"/>
      <c r="E1852" s="1"/>
      <c r="F1852" s="1"/>
      <c r="G1852" s="1"/>
      <c r="H1852" s="1"/>
      <c r="I1852" s="1"/>
      <c r="J1852" s="1"/>
      <c r="K1852" s="1"/>
      <c r="L1852" s="1"/>
      <c r="M1852" s="1"/>
      <c r="N1852" s="1"/>
      <c r="O1852" s="1"/>
      <c r="P1852" s="1"/>
      <c r="Q1852" s="1"/>
      <c r="R1852" s="1"/>
    </row>
    <row r="1853" spans="1:18" x14ac:dyDescent="0.25">
      <c r="A1853" s="1"/>
      <c r="B1853" s="1"/>
      <c r="C1853" s="1"/>
      <c r="D1853" s="1"/>
      <c r="E1853" s="1"/>
      <c r="F1853" s="1"/>
      <c r="G1853" s="1"/>
      <c r="H1853" s="1"/>
      <c r="I1853" s="1"/>
      <c r="J1853" s="1"/>
      <c r="K1853" s="1"/>
      <c r="L1853" s="1"/>
      <c r="M1853" s="1"/>
      <c r="N1853" s="1"/>
      <c r="O1853" s="1"/>
      <c r="P1853" s="1"/>
      <c r="Q1853" s="1"/>
      <c r="R1853" s="1"/>
    </row>
    <row r="1854" spans="1:18" x14ac:dyDescent="0.25">
      <c r="A1854" s="1"/>
      <c r="B1854" s="1"/>
      <c r="C1854" s="1"/>
      <c r="D1854" s="1"/>
      <c r="E1854" s="1"/>
      <c r="F1854" s="1"/>
      <c r="G1854" s="1"/>
      <c r="H1854" s="1"/>
      <c r="I1854" s="1"/>
      <c r="J1854" s="1"/>
      <c r="K1854" s="1"/>
      <c r="L1854" s="1"/>
      <c r="M1854" s="1"/>
      <c r="N1854" s="1"/>
      <c r="O1854" s="1"/>
      <c r="P1854" s="1"/>
      <c r="Q1854" s="1"/>
      <c r="R1854" s="1"/>
    </row>
  </sheetData>
  <autoFilter ref="A1:Q175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86D1-9C86-4187-9392-DC1D2D020D4C}">
  <dimension ref="A1:W1854"/>
  <sheetViews>
    <sheetView topLeftCell="A203" zoomScale="95" zoomScaleNormal="95" workbookViewId="0">
      <selection activeCell="A257" sqref="A257"/>
    </sheetView>
  </sheetViews>
  <sheetFormatPr defaultRowHeight="13.2" x14ac:dyDescent="0.25"/>
  <cols>
    <col min="1" max="1" width="109.77734375" bestFit="1" customWidth="1"/>
    <col min="2" max="2" width="89.44140625" bestFit="1" customWidth="1"/>
    <col min="3" max="3" width="4.6640625" bestFit="1" customWidth="1"/>
    <col min="4" max="4" width="11.33203125" bestFit="1" customWidth="1"/>
    <col min="13" max="13" width="193.33203125" customWidth="1"/>
    <col min="14" max="14" width="12.6640625"/>
    <col min="16" max="16" width="146.6640625" bestFit="1" customWidth="1"/>
    <col min="17" max="17" width="12.6640625"/>
    <col min="18" max="18" width="48.33203125" bestFit="1" customWidth="1"/>
    <col min="19" max="19" width="45.21875" bestFit="1" customWidth="1"/>
    <col min="23" max="23" width="11" customWidth="1"/>
  </cols>
  <sheetData>
    <row r="1" spans="1:17" x14ac:dyDescent="0.25">
      <c r="M1" s="8" t="s">
        <v>60</v>
      </c>
      <c r="N1" s="5" t="str">
        <f ca="1">IFERROR(__xludf.DUMMYFUNCTION("""COMPUTED_VALUE"""),"Your Gender")</f>
        <v>Your Gender</v>
      </c>
      <c r="P1" s="5" t="str">
        <f ca="1">IFERROR(__xludf.DUMMYFUNCTION("""COMPUTED_VALUE"""),"Which of the following setup you would like to work ?")</f>
        <v>Which of the following setup you would like to work ?</v>
      </c>
      <c r="Q1" s="5" t="str">
        <f ca="1">IFERROR(__xludf.DUMMYFUNCTION("""COMPUTED_VALUE"""),"Your Gender")</f>
        <v>Your Gender</v>
      </c>
    </row>
    <row r="2" spans="1:17" x14ac:dyDescent="0.25">
      <c r="M2" s="4" t="s">
        <v>48</v>
      </c>
      <c r="N2" s="1" t="str">
        <f ca="1">IFERROR(__xludf.DUMMYFUNCTION("""COMPUTED_VALUE"""),"Male")</f>
        <v>Male</v>
      </c>
      <c r="P2" s="1" t="str">
        <f ca="1">IFERROR(__xludf.DUMMYFUNCTION("""COMPUTED_VALUE"""),"Work Alone, &lt;67 people in team")</f>
        <v>Work Alone, &lt;67 people in team</v>
      </c>
      <c r="Q2" s="1" t="str">
        <f ca="1">IFERROR(__xludf.DUMMYFUNCTION("""COMPUTED_VALUE"""),"Male")</f>
        <v>Male</v>
      </c>
    </row>
    <row r="3" spans="1:17" x14ac:dyDescent="0.25">
      <c r="A3" s="3" t="s">
        <v>0</v>
      </c>
      <c r="B3" t="s">
        <v>3</v>
      </c>
      <c r="M3" s="4" t="s">
        <v>49</v>
      </c>
      <c r="N3" s="1" t="str">
        <f ca="1">IFERROR(__xludf.DUMMYFUNCTION("""COMPUTED_VALUE"""),"Male")</f>
        <v>Male</v>
      </c>
      <c r="P3" s="1" t="str">
        <f ca="1">IFERROR(__xludf.DUMMYFUNCTION("""COMPUTED_VALUE"""),"Work &lt;=6 People in the Team")</f>
        <v>Work &lt;=6 People in the Team</v>
      </c>
      <c r="Q3" s="1" t="str">
        <f ca="1">IFERROR(__xludf.DUMMYFUNCTION("""COMPUTED_VALUE"""),"Male")</f>
        <v>Male</v>
      </c>
    </row>
    <row r="4" spans="1:17" x14ac:dyDescent="0.25">
      <c r="A4" s="4" t="s">
        <v>1</v>
      </c>
      <c r="B4" s="10">
        <v>711</v>
      </c>
      <c r="M4" s="4" t="s">
        <v>48</v>
      </c>
      <c r="N4" s="1" t="str">
        <f ca="1">IFERROR(__xludf.DUMMYFUNCTION("""COMPUTED_VALUE"""),"Female")</f>
        <v>Female</v>
      </c>
      <c r="P4" s="1" t="str">
        <f ca="1">IFERROR(__xludf.DUMMYFUNCTION("""COMPUTED_VALUE"""),"Work &lt;=6 People in the Team")</f>
        <v>Work &lt;=6 People in the Team</v>
      </c>
      <c r="Q4" s="1" t="str">
        <f ca="1">IFERROR(__xludf.DUMMYFUNCTION("""COMPUTED_VALUE"""),"Female")</f>
        <v>Female</v>
      </c>
    </row>
    <row r="5" spans="1:17" x14ac:dyDescent="0.25">
      <c r="A5" s="4" t="s">
        <v>87</v>
      </c>
      <c r="B5" s="10">
        <v>1041</v>
      </c>
      <c r="M5" s="4" t="s">
        <v>48</v>
      </c>
      <c r="N5" s="1" t="str">
        <f ca="1">IFERROR(__xludf.DUMMYFUNCTION("""COMPUTED_VALUE"""),"Male")</f>
        <v>Male</v>
      </c>
      <c r="P5" s="1" t="str">
        <f ca="1">IFERROR(__xludf.DUMMYFUNCTION("""COMPUTED_VALUE"""),"Work &lt;=6 People in the Team")</f>
        <v>Work &lt;=6 People in the Team</v>
      </c>
      <c r="Q5" s="1" t="str">
        <f ca="1">IFERROR(__xludf.DUMMYFUNCTION("""COMPUTED_VALUE"""),"Male")</f>
        <v>Male</v>
      </c>
    </row>
    <row r="6" spans="1:17" x14ac:dyDescent="0.25">
      <c r="A6" s="4" t="s">
        <v>88</v>
      </c>
      <c r="B6" s="10">
        <v>1</v>
      </c>
      <c r="M6" s="4" t="s">
        <v>48</v>
      </c>
      <c r="N6" s="1" t="str">
        <f ca="1">IFERROR(__xludf.DUMMYFUNCTION("""COMPUTED_VALUE"""),"Female")</f>
        <v>Female</v>
      </c>
      <c r="P6" s="1" t="str">
        <f ca="1">IFERROR(__xludf.DUMMYFUNCTION("""COMPUTED_VALUE"""),"Work &lt;=6 People in the Team")</f>
        <v>Work &lt;=6 People in the Team</v>
      </c>
      <c r="Q6" s="1" t="str">
        <f ca="1">IFERROR(__xludf.DUMMYFUNCTION("""COMPUTED_VALUE"""),"Female")</f>
        <v>Female</v>
      </c>
    </row>
    <row r="7" spans="1:17" x14ac:dyDescent="0.25">
      <c r="A7" s="4" t="s">
        <v>2</v>
      </c>
      <c r="B7" s="10">
        <v>1753</v>
      </c>
      <c r="M7" s="4" t="s">
        <v>49</v>
      </c>
      <c r="N7" s="1" t="str">
        <f ca="1">IFERROR(__xludf.DUMMYFUNCTION("""COMPUTED_VALUE"""),"Female")</f>
        <v>Female</v>
      </c>
      <c r="P7" s="1" t="str">
        <f ca="1">IFERROR(__xludf.DUMMYFUNCTION("""COMPUTED_VALUE"""),"Work &lt;=6 People in the Team")</f>
        <v>Work &lt;=6 People in the Team</v>
      </c>
      <c r="Q7" s="1" t="str">
        <f ca="1">IFERROR(__xludf.DUMMYFUNCTION("""COMPUTED_VALUE"""),"Female")</f>
        <v>Female</v>
      </c>
    </row>
    <row r="8" spans="1:17" x14ac:dyDescent="0.25">
      <c r="M8" s="4" t="s">
        <v>48</v>
      </c>
      <c r="N8" s="1" t="str">
        <f ca="1">IFERROR(__xludf.DUMMYFUNCTION("""COMPUTED_VALUE"""),"Male")</f>
        <v>Male</v>
      </c>
      <c r="P8" s="1" t="str">
        <f ca="1">IFERROR(__xludf.DUMMYFUNCTION("""COMPUTED_VALUE"""),"Work &lt;=6 People in the Team")</f>
        <v>Work &lt;=6 People in the Team</v>
      </c>
      <c r="Q8" s="1" t="str">
        <f ca="1">IFERROR(__xludf.DUMMYFUNCTION("""COMPUTED_VALUE"""),"Male")</f>
        <v>Male</v>
      </c>
    </row>
    <row r="9" spans="1:17" x14ac:dyDescent="0.25">
      <c r="M9" s="4" t="s">
        <v>48</v>
      </c>
      <c r="N9" s="1" t="str">
        <f ca="1">IFERROR(__xludf.DUMMYFUNCTION("""COMPUTED_VALUE"""),"Male")</f>
        <v>Male</v>
      </c>
      <c r="P9" s="1" t="str">
        <f ca="1">IFERROR(__xludf.DUMMYFUNCTION("""COMPUTED_VALUE"""),"Work &gt;=7 People in the Team")</f>
        <v>Work &gt;=7 People in the Team</v>
      </c>
      <c r="Q9" s="1" t="str">
        <f ca="1">IFERROR(__xludf.DUMMYFUNCTION("""COMPUTED_VALUE"""),"Male")</f>
        <v>Male</v>
      </c>
    </row>
    <row r="10" spans="1:17" x14ac:dyDescent="0.25">
      <c r="M10" s="4" t="s">
        <v>48</v>
      </c>
      <c r="N10" s="1" t="str">
        <f ca="1">IFERROR(__xludf.DUMMYFUNCTION("""COMPUTED_VALUE"""),"Male")</f>
        <v>Male</v>
      </c>
      <c r="P10" s="1" t="str">
        <f ca="1">IFERROR(__xludf.DUMMYFUNCTION("""COMPUTED_VALUE"""),"Work &lt;=6 People in the Team")</f>
        <v>Work &lt;=6 People in the Team</v>
      </c>
      <c r="Q10" s="1" t="str">
        <f ca="1">IFERROR(__xludf.DUMMYFUNCTION("""COMPUTED_VALUE"""),"Male")</f>
        <v>Male</v>
      </c>
    </row>
    <row r="11" spans="1:17" x14ac:dyDescent="0.25">
      <c r="A11" s="3" t="s">
        <v>10</v>
      </c>
      <c r="B11" t="s">
        <v>9</v>
      </c>
      <c r="M11" s="4" t="s">
        <v>49</v>
      </c>
      <c r="N11" s="1" t="str">
        <f ca="1">IFERROR(__xludf.DUMMYFUNCTION("""COMPUTED_VALUE"""),"Male")</f>
        <v>Male</v>
      </c>
      <c r="P11" s="1" t="str">
        <f ca="1">IFERROR(__xludf.DUMMYFUNCTION("""COMPUTED_VALUE"""),"Work Alone, &lt;=6 in team")</f>
        <v>Work Alone, &lt;=6 in team</v>
      </c>
      <c r="Q11" s="1" t="str">
        <f ca="1">IFERROR(__xludf.DUMMYFUNCTION("""COMPUTED_VALUE"""),"Male")</f>
        <v>Male</v>
      </c>
    </row>
    <row r="12" spans="1:17" x14ac:dyDescent="0.25">
      <c r="A12" s="4" t="s">
        <v>7</v>
      </c>
      <c r="B12" s="10">
        <v>315</v>
      </c>
      <c r="M12" s="4" t="s">
        <v>48</v>
      </c>
      <c r="N12" s="1" t="str">
        <f ca="1">IFERROR(__xludf.DUMMYFUNCTION("""COMPUTED_VALUE"""),"Male")</f>
        <v>Male</v>
      </c>
      <c r="P12" s="1" t="str">
        <f ca="1">IFERROR(__xludf.DUMMYFUNCTION("""COMPUTED_VALUE"""),"Work Alone, &lt;=6 in team")</f>
        <v>Work Alone, &lt;=6 in team</v>
      </c>
      <c r="Q12" s="1" t="str">
        <f ca="1">IFERROR(__xludf.DUMMYFUNCTION("""COMPUTED_VALUE"""),"Male")</f>
        <v>Male</v>
      </c>
    </row>
    <row r="13" spans="1:17" x14ac:dyDescent="0.25">
      <c r="A13" s="4" t="s">
        <v>8</v>
      </c>
      <c r="B13" s="10">
        <v>572</v>
      </c>
      <c r="M13" s="4" t="s">
        <v>49</v>
      </c>
      <c r="N13" s="1" t="str">
        <f ca="1">IFERROR(__xludf.DUMMYFUNCTION("""COMPUTED_VALUE"""),"Male")</f>
        <v>Male</v>
      </c>
      <c r="P13" s="1" t="str">
        <f ca="1">IFERROR(__xludf.DUMMYFUNCTION("""COMPUTED_VALUE"""),"Work alone")</f>
        <v>Work alone</v>
      </c>
      <c r="Q13" s="1" t="str">
        <f ca="1">IFERROR(__xludf.DUMMYFUNCTION("""COMPUTED_VALUE"""),"Male")</f>
        <v>Male</v>
      </c>
    </row>
    <row r="14" spans="1:17" x14ac:dyDescent="0.25">
      <c r="A14" s="4" t="s">
        <v>6</v>
      </c>
      <c r="B14" s="10">
        <v>288</v>
      </c>
      <c r="M14" s="4" t="s">
        <v>48</v>
      </c>
      <c r="N14" s="1" t="str">
        <f ca="1">IFERROR(__xludf.DUMMYFUNCTION("""COMPUTED_VALUE"""),"Male")</f>
        <v>Male</v>
      </c>
      <c r="P14" s="1" t="str">
        <f ca="1">IFERROR(__xludf.DUMMYFUNCTION("""COMPUTED_VALUE"""),"Work &lt;=6 People in the Team")</f>
        <v>Work &lt;=6 People in the Team</v>
      </c>
      <c r="Q14" s="1" t="str">
        <f ca="1">IFERROR(__xludf.DUMMYFUNCTION("""COMPUTED_VALUE"""),"Male")</f>
        <v>Male</v>
      </c>
    </row>
    <row r="15" spans="1:17" x14ac:dyDescent="0.25">
      <c r="A15" s="4" t="s">
        <v>4</v>
      </c>
      <c r="B15" s="10">
        <v>414</v>
      </c>
      <c r="M15" s="4" t="s">
        <v>48</v>
      </c>
      <c r="N15" s="1" t="str">
        <f ca="1">IFERROR(__xludf.DUMMYFUNCTION("""COMPUTED_VALUE"""),"Male")</f>
        <v>Male</v>
      </c>
      <c r="P15" s="1" t="str">
        <f ca="1">IFERROR(__xludf.DUMMYFUNCTION("""COMPUTED_VALUE"""),"Work &lt;=6 People in the Team")</f>
        <v>Work &lt;=6 People in the Team</v>
      </c>
      <c r="Q15" s="1" t="str">
        <f ca="1">IFERROR(__xludf.DUMMYFUNCTION("""COMPUTED_VALUE"""),"Male")</f>
        <v>Male</v>
      </c>
    </row>
    <row r="16" spans="1:17" x14ac:dyDescent="0.25">
      <c r="A16" s="4" t="s">
        <v>5</v>
      </c>
      <c r="B16" s="10">
        <v>164</v>
      </c>
      <c r="M16" s="4" t="s">
        <v>48</v>
      </c>
      <c r="N16" s="1" t="str">
        <f ca="1">IFERROR(__xludf.DUMMYFUNCTION("""COMPUTED_VALUE"""),"Female")</f>
        <v>Female</v>
      </c>
      <c r="P16" s="1" t="str">
        <f ca="1">IFERROR(__xludf.DUMMYFUNCTION("""COMPUTED_VALUE"""),"Work &gt;10 people in Team")</f>
        <v>Work &gt;10 people in Team</v>
      </c>
      <c r="Q16" s="1" t="str">
        <f ca="1">IFERROR(__xludf.DUMMYFUNCTION("""COMPUTED_VALUE"""),"Female")</f>
        <v>Female</v>
      </c>
    </row>
    <row r="17" spans="1:17" x14ac:dyDescent="0.25">
      <c r="M17" s="4" t="s">
        <v>48</v>
      </c>
      <c r="N17" s="1" t="str">
        <f ca="1">IFERROR(__xludf.DUMMYFUNCTION("""COMPUTED_VALUE"""),"Male")</f>
        <v>Male</v>
      </c>
      <c r="P17" s="1" t="str">
        <f ca="1">IFERROR(__xludf.DUMMYFUNCTION("""COMPUTED_VALUE"""),"Work &lt;67 People in the Team")</f>
        <v>Work &lt;67 People in the Team</v>
      </c>
      <c r="Q17" s="1" t="str">
        <f ca="1">IFERROR(__xludf.DUMMYFUNCTION("""COMPUTED_VALUE"""),"Male")</f>
        <v>Male</v>
      </c>
    </row>
    <row r="18" spans="1:17" x14ac:dyDescent="0.25">
      <c r="M18" s="4" t="s">
        <v>48</v>
      </c>
      <c r="N18" s="1" t="str">
        <f ca="1">IFERROR(__xludf.DUMMYFUNCTION("""COMPUTED_VALUE"""),"Male")</f>
        <v>Male</v>
      </c>
      <c r="P18" s="1" t="str">
        <f ca="1">IFERROR(__xludf.DUMMYFUNCTION("""COMPUTED_VALUE"""),"Work &lt;=6 People in the Team")</f>
        <v>Work &lt;=6 People in the Team</v>
      </c>
      <c r="Q18" s="1" t="str">
        <f ca="1">IFERROR(__xludf.DUMMYFUNCTION("""COMPUTED_VALUE"""),"Male")</f>
        <v>Male</v>
      </c>
    </row>
    <row r="19" spans="1:17" x14ac:dyDescent="0.25">
      <c r="M19" s="4" t="s">
        <v>49</v>
      </c>
      <c r="N19" s="1" t="str">
        <f ca="1">IFERROR(__xludf.DUMMYFUNCTION("""COMPUTED_VALUE"""),"Male")</f>
        <v>Male</v>
      </c>
      <c r="P19" s="1" t="str">
        <f ca="1">IFERROR(__xludf.DUMMYFUNCTION("""COMPUTED_VALUE"""),"Work &lt;=6 People in the Team")</f>
        <v>Work &lt;=6 People in the Team</v>
      </c>
      <c r="Q19" s="1" t="str">
        <f ca="1">IFERROR(__xludf.DUMMYFUNCTION("""COMPUTED_VALUE"""),"Male")</f>
        <v>Male</v>
      </c>
    </row>
    <row r="20" spans="1:17" x14ac:dyDescent="0.25">
      <c r="M20" s="4" t="s">
        <v>48</v>
      </c>
      <c r="N20" s="1" t="str">
        <f ca="1">IFERROR(__xludf.DUMMYFUNCTION("""COMPUTED_VALUE"""),"Male")</f>
        <v>Male</v>
      </c>
      <c r="P20" s="1" t="str">
        <f ca="1">IFERROR(__xludf.DUMMYFUNCTION("""COMPUTED_VALUE"""),"Work &gt;10 people in Team")</f>
        <v>Work &gt;10 people in Team</v>
      </c>
      <c r="Q20" s="1" t="str">
        <f ca="1">IFERROR(__xludf.DUMMYFUNCTION("""COMPUTED_VALUE"""),"Male")</f>
        <v>Male</v>
      </c>
    </row>
    <row r="21" spans="1:17" x14ac:dyDescent="0.25">
      <c r="M21" s="4" t="s">
        <v>48</v>
      </c>
      <c r="N21" s="1" t="str">
        <f ca="1">IFERROR(__xludf.DUMMYFUNCTION("""COMPUTED_VALUE"""),"Female")</f>
        <v>Female</v>
      </c>
      <c r="P21" s="1" t="str">
        <f ca="1">IFERROR(__xludf.DUMMYFUNCTION("""COMPUTED_VALUE"""),"Work Alone, &lt;=6 in team")</f>
        <v>Work Alone, &lt;=6 in team</v>
      </c>
      <c r="Q21" s="1" t="str">
        <f ca="1">IFERROR(__xludf.DUMMYFUNCTION("""COMPUTED_VALUE"""),"Female")</f>
        <v>Female</v>
      </c>
    </row>
    <row r="22" spans="1:17" x14ac:dyDescent="0.25">
      <c r="M22" s="4" t="s">
        <v>48</v>
      </c>
      <c r="N22" s="1" t="str">
        <f ca="1">IFERROR(__xludf.DUMMYFUNCTION("""COMPUTED_VALUE"""),"Female")</f>
        <v>Female</v>
      </c>
      <c r="P22" s="1" t="str">
        <f ca="1">IFERROR(__xludf.DUMMYFUNCTION("""COMPUTED_VALUE"""),"Work &lt;=6 People in the Team")</f>
        <v>Work &lt;=6 People in the Team</v>
      </c>
      <c r="Q22" s="1" t="str">
        <f ca="1">IFERROR(__xludf.DUMMYFUNCTION("""COMPUTED_VALUE"""),"Female")</f>
        <v>Female</v>
      </c>
    </row>
    <row r="23" spans="1:17" x14ac:dyDescent="0.25">
      <c r="M23" s="4" t="s">
        <v>48</v>
      </c>
      <c r="N23" s="1" t="str">
        <f ca="1">IFERROR(__xludf.DUMMYFUNCTION("""COMPUTED_VALUE"""),"Male")</f>
        <v>Male</v>
      </c>
      <c r="P23" s="1" t="str">
        <f ca="1">IFERROR(__xludf.DUMMYFUNCTION("""COMPUTED_VALUE"""),"Work &lt;=6 People in the Team")</f>
        <v>Work &lt;=6 People in the Team</v>
      </c>
      <c r="Q23" s="1" t="str">
        <f ca="1">IFERROR(__xludf.DUMMYFUNCTION("""COMPUTED_VALUE"""),"Male")</f>
        <v>Male</v>
      </c>
    </row>
    <row r="24" spans="1:17" x14ac:dyDescent="0.25">
      <c r="M24" s="4" t="s">
        <v>48</v>
      </c>
      <c r="N24" s="1" t="str">
        <f ca="1">IFERROR(__xludf.DUMMYFUNCTION("""COMPUTED_VALUE"""),"Female")</f>
        <v>Female</v>
      </c>
      <c r="P24" s="1" t="str">
        <f ca="1">IFERROR(__xludf.DUMMYFUNCTION("""COMPUTED_VALUE"""),"Work Alone, &lt;67 people in team")</f>
        <v>Work Alone, &lt;67 people in team</v>
      </c>
      <c r="Q24" s="1" t="str">
        <f ca="1">IFERROR(__xludf.DUMMYFUNCTION("""COMPUTED_VALUE"""),"Female")</f>
        <v>Female</v>
      </c>
    </row>
    <row r="25" spans="1:17" x14ac:dyDescent="0.25">
      <c r="M25" s="4" t="s">
        <v>49</v>
      </c>
      <c r="N25" s="1" t="str">
        <f ca="1">IFERROR(__xludf.DUMMYFUNCTION("""COMPUTED_VALUE"""),"Male")</f>
        <v>Male</v>
      </c>
      <c r="P25" s="1" t="str">
        <f ca="1">IFERROR(__xludf.DUMMYFUNCTION("""COMPUTED_VALUE"""),"Work &gt;=7 People in the Team")</f>
        <v>Work &gt;=7 People in the Team</v>
      </c>
      <c r="Q25" s="1" t="str">
        <f ca="1">IFERROR(__xludf.DUMMYFUNCTION("""COMPUTED_VALUE"""),"Male")</f>
        <v>Male</v>
      </c>
    </row>
    <row r="26" spans="1:17" x14ac:dyDescent="0.25">
      <c r="M26" s="4" t="s">
        <v>48</v>
      </c>
      <c r="N26" s="1" t="str">
        <f ca="1">IFERROR(__xludf.DUMMYFUNCTION("""COMPUTED_VALUE"""),"Male")</f>
        <v>Male</v>
      </c>
      <c r="P26" s="1" t="str">
        <f ca="1">IFERROR(__xludf.DUMMYFUNCTION("""COMPUTED_VALUE"""),"Work &lt;=6 People in the Team")</f>
        <v>Work &lt;=6 People in the Team</v>
      </c>
      <c r="Q26" s="1" t="str">
        <f ca="1">IFERROR(__xludf.DUMMYFUNCTION("""COMPUTED_VALUE"""),"Male")</f>
        <v>Male</v>
      </c>
    </row>
    <row r="27" spans="1:17" x14ac:dyDescent="0.25">
      <c r="M27" s="4" t="s">
        <v>48</v>
      </c>
      <c r="N27" s="1" t="str">
        <f ca="1">IFERROR(__xludf.DUMMYFUNCTION("""COMPUTED_VALUE"""),"Male")</f>
        <v>Male</v>
      </c>
      <c r="P27" s="1" t="str">
        <f ca="1">IFERROR(__xludf.DUMMYFUNCTION("""COMPUTED_VALUE"""),"Work &gt;10 people in Team")</f>
        <v>Work &gt;10 people in Team</v>
      </c>
      <c r="Q27" s="1" t="str">
        <f ca="1">IFERROR(__xludf.DUMMYFUNCTION("""COMPUTED_VALUE"""),"Male")</f>
        <v>Male</v>
      </c>
    </row>
    <row r="28" spans="1:17" x14ac:dyDescent="0.25">
      <c r="M28" s="4" t="s">
        <v>48</v>
      </c>
      <c r="N28" s="1" t="str">
        <f ca="1">IFERROR(__xludf.DUMMYFUNCTION("""COMPUTED_VALUE"""),"Female")</f>
        <v>Female</v>
      </c>
      <c r="P28" s="1" t="str">
        <f ca="1">IFERROR(__xludf.DUMMYFUNCTION("""COMPUTED_VALUE"""),"Work &lt;=6 People in the Team")</f>
        <v>Work &lt;=6 People in the Team</v>
      </c>
      <c r="Q28" s="1" t="str">
        <f ca="1">IFERROR(__xludf.DUMMYFUNCTION("""COMPUTED_VALUE"""),"Female")</f>
        <v>Female</v>
      </c>
    </row>
    <row r="29" spans="1:17" x14ac:dyDescent="0.25">
      <c r="A29" s="3" t="s">
        <v>11</v>
      </c>
      <c r="B29" t="s">
        <v>9</v>
      </c>
      <c r="M29" s="4" t="s">
        <v>48</v>
      </c>
      <c r="N29" s="1" t="str">
        <f ca="1">IFERROR(__xludf.DUMMYFUNCTION("""COMPUTED_VALUE"""),"Female")</f>
        <v>Female</v>
      </c>
      <c r="P29" s="1" t="str">
        <f ca="1">IFERROR(__xludf.DUMMYFUNCTION("""COMPUTED_VALUE"""),"Work &lt;=6 People in the Team")</f>
        <v>Work &lt;=6 People in the Team</v>
      </c>
      <c r="Q29" s="1" t="str">
        <f ca="1">IFERROR(__xludf.DUMMYFUNCTION("""COMPUTED_VALUE"""),"Female")</f>
        <v>Female</v>
      </c>
    </row>
    <row r="30" spans="1:17" x14ac:dyDescent="0.25">
      <c r="A30" s="4" t="s">
        <v>32</v>
      </c>
      <c r="B30" s="10">
        <v>391</v>
      </c>
      <c r="M30" s="4" t="s">
        <v>48</v>
      </c>
      <c r="N30" s="1" t="str">
        <f ca="1">IFERROR(__xludf.DUMMYFUNCTION("""COMPUTED_VALUE"""),"Male")</f>
        <v>Male</v>
      </c>
      <c r="P30" s="1" t="str">
        <f ca="1">IFERROR(__xludf.DUMMYFUNCTION("""COMPUTED_VALUE"""),"Work Alone, &lt;=6 in team")</f>
        <v>Work Alone, &lt;=6 in team</v>
      </c>
      <c r="Q30" s="1" t="str">
        <f ca="1">IFERROR(__xludf.DUMMYFUNCTION("""COMPUTED_VALUE"""),"Male")</f>
        <v>Male</v>
      </c>
    </row>
    <row r="31" spans="1:17" x14ac:dyDescent="0.25">
      <c r="A31" s="4" t="s">
        <v>13</v>
      </c>
      <c r="B31" s="10">
        <v>561</v>
      </c>
      <c r="M31" s="4" t="s">
        <v>48</v>
      </c>
      <c r="N31" s="1" t="str">
        <f ca="1">IFERROR(__xludf.DUMMYFUNCTION("""COMPUTED_VALUE"""),"Male")</f>
        <v>Male</v>
      </c>
      <c r="P31" s="1" t="str">
        <f ca="1">IFERROR(__xludf.DUMMYFUNCTION("""COMPUTED_VALUE"""),"Work &gt;10 people in Team")</f>
        <v>Work &gt;10 people in Team</v>
      </c>
      <c r="Q31" s="1" t="str">
        <f ca="1">IFERROR(__xludf.DUMMYFUNCTION("""COMPUTED_VALUE"""),"Male")</f>
        <v>Male</v>
      </c>
    </row>
    <row r="32" spans="1:17" x14ac:dyDescent="0.25">
      <c r="A32" s="4" t="s">
        <v>31</v>
      </c>
      <c r="B32" s="10">
        <v>801</v>
      </c>
      <c r="M32" s="4" t="s">
        <v>49</v>
      </c>
      <c r="N32" s="1" t="str">
        <f ca="1">IFERROR(__xludf.DUMMYFUNCTION("""COMPUTED_VALUE"""),"Male")</f>
        <v>Male</v>
      </c>
      <c r="P32" s="1" t="str">
        <f ca="1">IFERROR(__xludf.DUMMYFUNCTION("""COMPUTED_VALUE"""),"Work Alone, &lt;=6 in team")</f>
        <v>Work Alone, &lt;=6 in team</v>
      </c>
      <c r="Q32" s="1" t="str">
        <f ca="1">IFERROR(__xludf.DUMMYFUNCTION("""COMPUTED_VALUE"""),"Male")</f>
        <v>Male</v>
      </c>
    </row>
    <row r="33" spans="1:17" x14ac:dyDescent="0.25">
      <c r="M33" s="4" t="s">
        <v>48</v>
      </c>
      <c r="N33" s="1" t="str">
        <f ca="1">IFERROR(__xludf.DUMMYFUNCTION("""COMPUTED_VALUE"""),"Male")</f>
        <v>Male</v>
      </c>
      <c r="P33" s="1" t="str">
        <f ca="1">IFERROR(__xludf.DUMMYFUNCTION("""COMPUTED_VALUE"""),"Work &lt;=6 People in the Team")</f>
        <v>Work &lt;=6 People in the Team</v>
      </c>
      <c r="Q33" s="1" t="str">
        <f ca="1">IFERROR(__xludf.DUMMYFUNCTION("""COMPUTED_VALUE"""),"Male")</f>
        <v>Male</v>
      </c>
    </row>
    <row r="34" spans="1:17" x14ac:dyDescent="0.25">
      <c r="M34" s="4" t="s">
        <v>48</v>
      </c>
      <c r="N34" s="1" t="str">
        <f ca="1">IFERROR(__xludf.DUMMYFUNCTION("""COMPUTED_VALUE"""),"Male")</f>
        <v>Male</v>
      </c>
      <c r="P34" s="1" t="str">
        <f ca="1">IFERROR(__xludf.DUMMYFUNCTION("""COMPUTED_VALUE"""),"Work &lt;=6 People in the Team")</f>
        <v>Work &lt;=6 People in the Team</v>
      </c>
      <c r="Q34" s="1" t="str">
        <f ca="1">IFERROR(__xludf.DUMMYFUNCTION("""COMPUTED_VALUE"""),"Male")</f>
        <v>Male</v>
      </c>
    </row>
    <row r="35" spans="1:17" x14ac:dyDescent="0.25">
      <c r="M35" s="4" t="s">
        <v>50</v>
      </c>
      <c r="N35" s="1" t="str">
        <f ca="1">IFERROR(__xludf.DUMMYFUNCTION("""COMPUTED_VALUE"""),"Female")</f>
        <v>Female</v>
      </c>
      <c r="P35" s="1" t="str">
        <f ca="1">IFERROR(__xludf.DUMMYFUNCTION("""COMPUTED_VALUE"""),"Work Alone, &lt;=6 in team")</f>
        <v>Work Alone, &lt;=6 in team</v>
      </c>
      <c r="Q35" s="1" t="str">
        <f ca="1">IFERROR(__xludf.DUMMYFUNCTION("""COMPUTED_VALUE"""),"Female")</f>
        <v>Female</v>
      </c>
    </row>
    <row r="36" spans="1:17" x14ac:dyDescent="0.25">
      <c r="M36" s="4" t="s">
        <v>48</v>
      </c>
      <c r="N36" s="1" t="str">
        <f ca="1">IFERROR(__xludf.DUMMYFUNCTION("""COMPUTED_VALUE"""),"Female")</f>
        <v>Female</v>
      </c>
      <c r="P36" s="1" t="str">
        <f ca="1">IFERROR(__xludf.DUMMYFUNCTION("""COMPUTED_VALUE"""),"Work &lt;=6 People in the Team")</f>
        <v>Work &lt;=6 People in the Team</v>
      </c>
      <c r="Q36" s="1" t="str">
        <f ca="1">IFERROR(__xludf.DUMMYFUNCTION("""COMPUTED_VALUE"""),"Female")</f>
        <v>Female</v>
      </c>
    </row>
    <row r="37" spans="1:17" x14ac:dyDescent="0.25">
      <c r="M37" s="4" t="s">
        <v>48</v>
      </c>
      <c r="N37" s="1" t="str">
        <f ca="1">IFERROR(__xludf.DUMMYFUNCTION("""COMPUTED_VALUE"""),"Male")</f>
        <v>Male</v>
      </c>
      <c r="P37" s="1" t="str">
        <f ca="1">IFERROR(__xludf.DUMMYFUNCTION("""COMPUTED_VALUE"""),"Work &lt;=6 People in the Team")</f>
        <v>Work &lt;=6 People in the Team</v>
      </c>
      <c r="Q37" s="1" t="str">
        <f ca="1">IFERROR(__xludf.DUMMYFUNCTION("""COMPUTED_VALUE"""),"Male")</f>
        <v>Male</v>
      </c>
    </row>
    <row r="38" spans="1:17" x14ac:dyDescent="0.25">
      <c r="M38" s="4" t="s">
        <v>49</v>
      </c>
      <c r="N38" s="1" t="str">
        <f ca="1">IFERROR(__xludf.DUMMYFUNCTION("""COMPUTED_VALUE"""),"Female")</f>
        <v>Female</v>
      </c>
      <c r="P38" s="1" t="str">
        <f ca="1">IFERROR(__xludf.DUMMYFUNCTION("""COMPUTED_VALUE"""),"Work &lt;=6 People in the Team")</f>
        <v>Work &lt;=6 People in the Team</v>
      </c>
      <c r="Q38" s="1" t="str">
        <f ca="1">IFERROR(__xludf.DUMMYFUNCTION("""COMPUTED_VALUE"""),"Female")</f>
        <v>Female</v>
      </c>
    </row>
    <row r="39" spans="1:17" x14ac:dyDescent="0.25">
      <c r="M39" s="4" t="s">
        <v>49</v>
      </c>
      <c r="N39" s="1" t="str">
        <f ca="1">IFERROR(__xludf.DUMMYFUNCTION("""COMPUTED_VALUE"""),"Male")</f>
        <v>Male</v>
      </c>
      <c r="P39" s="1" t="str">
        <f ca="1">IFERROR(__xludf.DUMMYFUNCTION("""COMPUTED_VALUE"""),"Work &lt;=6 People in the Team")</f>
        <v>Work &lt;=6 People in the Team</v>
      </c>
      <c r="Q39" s="1" t="str">
        <f ca="1">IFERROR(__xludf.DUMMYFUNCTION("""COMPUTED_VALUE"""),"Male")</f>
        <v>Male</v>
      </c>
    </row>
    <row r="40" spans="1:17" x14ac:dyDescent="0.25">
      <c r="M40" s="4" t="s">
        <v>48</v>
      </c>
      <c r="N40" s="1" t="str">
        <f ca="1">IFERROR(__xludf.DUMMYFUNCTION("""COMPUTED_VALUE"""),"Male")</f>
        <v>Male</v>
      </c>
      <c r="P40" s="1" t="str">
        <f ca="1">IFERROR(__xludf.DUMMYFUNCTION("""COMPUTED_VALUE"""),"Work Alone, &lt;=6 in team")</f>
        <v>Work Alone, &lt;=6 in team</v>
      </c>
      <c r="Q40" s="1" t="str">
        <f ca="1">IFERROR(__xludf.DUMMYFUNCTION("""COMPUTED_VALUE"""),"Male")</f>
        <v>Male</v>
      </c>
    </row>
    <row r="41" spans="1:17" x14ac:dyDescent="0.25">
      <c r="M41" s="4" t="s">
        <v>48</v>
      </c>
      <c r="N41" s="1" t="str">
        <f ca="1">IFERROR(__xludf.DUMMYFUNCTION("""COMPUTED_VALUE"""),"Male")</f>
        <v>Male</v>
      </c>
      <c r="P41" s="1" t="str">
        <f ca="1">IFERROR(__xludf.DUMMYFUNCTION("""COMPUTED_VALUE"""),"Work &lt;=6 People in the Team")</f>
        <v>Work &lt;=6 People in the Team</v>
      </c>
      <c r="Q41" s="1" t="str">
        <f ca="1">IFERROR(__xludf.DUMMYFUNCTION("""COMPUTED_VALUE"""),"Male")</f>
        <v>Male</v>
      </c>
    </row>
    <row r="42" spans="1:17" x14ac:dyDescent="0.25">
      <c r="M42" s="4" t="s">
        <v>50</v>
      </c>
      <c r="N42" s="1" t="str">
        <f ca="1">IFERROR(__xludf.DUMMYFUNCTION("""COMPUTED_VALUE"""),"Male")</f>
        <v>Male</v>
      </c>
      <c r="P42" s="1" t="str">
        <f ca="1">IFERROR(__xludf.DUMMYFUNCTION("""COMPUTED_VALUE"""),"Work &lt;=6 People in the Team")</f>
        <v>Work &lt;=6 People in the Team</v>
      </c>
      <c r="Q42" s="1" t="str">
        <f ca="1">IFERROR(__xludf.DUMMYFUNCTION("""COMPUTED_VALUE"""),"Male")</f>
        <v>Male</v>
      </c>
    </row>
    <row r="43" spans="1:17" x14ac:dyDescent="0.25">
      <c r="M43" s="4" t="s">
        <v>51</v>
      </c>
      <c r="N43" s="1" t="str">
        <f ca="1">IFERROR(__xludf.DUMMYFUNCTION("""COMPUTED_VALUE"""),"Male")</f>
        <v>Male</v>
      </c>
      <c r="P43" s="1" t="str">
        <f ca="1">IFERROR(__xludf.DUMMYFUNCTION("""COMPUTED_VALUE"""),"Work &lt;67 People in the Team")</f>
        <v>Work &lt;67 People in the Team</v>
      </c>
      <c r="Q43" s="1" t="str">
        <f ca="1">IFERROR(__xludf.DUMMYFUNCTION("""COMPUTED_VALUE"""),"Male")</f>
        <v>Male</v>
      </c>
    </row>
    <row r="44" spans="1:17" x14ac:dyDescent="0.25">
      <c r="M44" s="4" t="s">
        <v>51</v>
      </c>
      <c r="N44" s="1" t="str">
        <f ca="1">IFERROR(__xludf.DUMMYFUNCTION("""COMPUTED_VALUE"""),"Male")</f>
        <v>Male</v>
      </c>
      <c r="P44" s="1" t="str">
        <f ca="1">IFERROR(__xludf.DUMMYFUNCTION("""COMPUTED_VALUE"""),"Work Alone, &lt;67 people in team")</f>
        <v>Work Alone, &lt;67 people in team</v>
      </c>
      <c r="Q44" s="1" t="str">
        <f ca="1">IFERROR(__xludf.DUMMYFUNCTION("""COMPUTED_VALUE"""),"Male")</f>
        <v>Male</v>
      </c>
    </row>
    <row r="45" spans="1:17" x14ac:dyDescent="0.25">
      <c r="M45" s="4" t="s">
        <v>48</v>
      </c>
      <c r="N45" s="1" t="str">
        <f ca="1">IFERROR(__xludf.DUMMYFUNCTION("""COMPUTED_VALUE"""),"Male")</f>
        <v>Male</v>
      </c>
      <c r="P45" s="1" t="str">
        <f ca="1">IFERROR(__xludf.DUMMYFUNCTION("""COMPUTED_VALUE"""),"Work Alone, &lt;=6 in team")</f>
        <v>Work Alone, &lt;=6 in team</v>
      </c>
      <c r="Q45" s="1" t="str">
        <f ca="1">IFERROR(__xludf.DUMMYFUNCTION("""COMPUTED_VALUE"""),"Male")</f>
        <v>Male</v>
      </c>
    </row>
    <row r="46" spans="1:17" x14ac:dyDescent="0.25">
      <c r="A46" s="3" t="s">
        <v>17</v>
      </c>
      <c r="B46" t="s">
        <v>3</v>
      </c>
      <c r="M46" s="4" t="s">
        <v>48</v>
      </c>
      <c r="N46" s="1" t="str">
        <f ca="1">IFERROR(__xludf.DUMMYFUNCTION("""COMPUTED_VALUE"""),"Male")</f>
        <v>Male</v>
      </c>
      <c r="P46" s="1" t="str">
        <f ca="1">IFERROR(__xludf.DUMMYFUNCTION("""COMPUTED_VALUE"""),"Work &gt;10 people in Team")</f>
        <v>Work &gt;10 people in Team</v>
      </c>
      <c r="Q46" s="1" t="str">
        <f ca="1">IFERROR(__xludf.DUMMYFUNCTION("""COMPUTED_VALUE"""),"Male")</f>
        <v>Male</v>
      </c>
    </row>
    <row r="47" spans="1:17" x14ac:dyDescent="0.25">
      <c r="A47" s="4" t="s">
        <v>12</v>
      </c>
      <c r="B47" s="10">
        <v>68</v>
      </c>
      <c r="M47" s="4" t="s">
        <v>48</v>
      </c>
      <c r="N47" s="1" t="str">
        <f ca="1">IFERROR(__xludf.DUMMYFUNCTION("""COMPUTED_VALUE"""),"Female")</f>
        <v>Female</v>
      </c>
      <c r="P47" s="1" t="str">
        <f ca="1">IFERROR(__xludf.DUMMYFUNCTION("""COMPUTED_VALUE"""),"Work &lt;=6 People in the Team")</f>
        <v>Work &lt;=6 People in the Team</v>
      </c>
      <c r="Q47" s="1" t="str">
        <f ca="1">IFERROR(__xludf.DUMMYFUNCTION("""COMPUTED_VALUE"""),"Female")</f>
        <v>Female</v>
      </c>
    </row>
    <row r="48" spans="1:17" x14ac:dyDescent="0.25">
      <c r="A48" s="4" t="s">
        <v>33</v>
      </c>
      <c r="B48" s="10">
        <v>1023</v>
      </c>
      <c r="M48" s="4" t="s">
        <v>48</v>
      </c>
      <c r="N48" s="1" t="str">
        <f ca="1">IFERROR(__xludf.DUMMYFUNCTION("""COMPUTED_VALUE"""),"Male")</f>
        <v>Male</v>
      </c>
      <c r="P48" s="1" t="str">
        <f ca="1">IFERROR(__xludf.DUMMYFUNCTION("""COMPUTED_VALUE"""),"Work  &lt;67 people in team")</f>
        <v>Work  &lt;67 people in team</v>
      </c>
      <c r="Q48" s="1" t="str">
        <f ca="1">IFERROR(__xludf.DUMMYFUNCTION("""COMPUTED_VALUE"""),"Male")</f>
        <v>Male</v>
      </c>
    </row>
    <row r="49" spans="1:23" x14ac:dyDescent="0.25">
      <c r="A49" s="4" t="s">
        <v>14</v>
      </c>
      <c r="B49" s="10">
        <v>639</v>
      </c>
      <c r="M49" s="4" t="s">
        <v>48</v>
      </c>
      <c r="N49" s="1" t="str">
        <f ca="1">IFERROR(__xludf.DUMMYFUNCTION("""COMPUTED_VALUE"""),"Male")</f>
        <v>Male</v>
      </c>
      <c r="P49" s="1" t="str">
        <f ca="1">IFERROR(__xludf.DUMMYFUNCTION("""COMPUTED_VALUE"""),"Work alone, Work &gt;10 people in Team")</f>
        <v>Work alone, Work &gt;10 people in Team</v>
      </c>
      <c r="Q49" s="1" t="str">
        <f ca="1">IFERROR(__xludf.DUMMYFUNCTION("""COMPUTED_VALUE"""),"Male")</f>
        <v>Male</v>
      </c>
    </row>
    <row r="50" spans="1:23" x14ac:dyDescent="0.25">
      <c r="M50" s="4" t="s">
        <v>51</v>
      </c>
      <c r="N50" s="1" t="str">
        <f ca="1">IFERROR(__xludf.DUMMYFUNCTION("""COMPUTED_VALUE"""),"Female")</f>
        <v>Female</v>
      </c>
      <c r="P50" s="1" t="str">
        <f ca="1">IFERROR(__xludf.DUMMYFUNCTION("""COMPUTED_VALUE"""),"Work &lt;=6 People in the Team")</f>
        <v>Work &lt;=6 People in the Team</v>
      </c>
      <c r="Q50" s="1" t="str">
        <f ca="1">IFERROR(__xludf.DUMMYFUNCTION("""COMPUTED_VALUE"""),"Female")</f>
        <v>Female</v>
      </c>
    </row>
    <row r="51" spans="1:23" x14ac:dyDescent="0.25">
      <c r="M51" s="4" t="s">
        <v>52</v>
      </c>
      <c r="N51" s="1" t="str">
        <f ca="1">IFERROR(__xludf.DUMMYFUNCTION("""COMPUTED_VALUE"""),"Female")</f>
        <v>Female</v>
      </c>
      <c r="P51" s="1" t="str">
        <f ca="1">IFERROR(__xludf.DUMMYFUNCTION("""COMPUTED_VALUE"""),"Work &lt;=6 People in the Team")</f>
        <v>Work &lt;=6 People in the Team</v>
      </c>
      <c r="Q51" s="1" t="str">
        <f ca="1">IFERROR(__xludf.DUMMYFUNCTION("""COMPUTED_VALUE"""),"Female")</f>
        <v>Female</v>
      </c>
      <c r="W51" t="s">
        <v>79</v>
      </c>
    </row>
    <row r="52" spans="1:23" x14ac:dyDescent="0.25">
      <c r="M52" s="4" t="s">
        <v>48</v>
      </c>
      <c r="N52" s="1" t="str">
        <f ca="1">IFERROR(__xludf.DUMMYFUNCTION("""COMPUTED_VALUE"""),"Male")</f>
        <v>Male</v>
      </c>
      <c r="P52" s="1" t="str">
        <f ca="1">IFERROR(__xludf.DUMMYFUNCTION("""COMPUTED_VALUE"""),"Work &gt;10 people in Team")</f>
        <v>Work &gt;10 people in Team</v>
      </c>
      <c r="Q52" s="1" t="str">
        <f ca="1">IFERROR(__xludf.DUMMYFUNCTION("""COMPUTED_VALUE"""),"Male")</f>
        <v>Male</v>
      </c>
    </row>
    <row r="53" spans="1:23" x14ac:dyDescent="0.25">
      <c r="M53" s="4" t="s">
        <v>50</v>
      </c>
      <c r="N53" s="1" t="str">
        <f ca="1">IFERROR(__xludf.DUMMYFUNCTION("""COMPUTED_VALUE"""),"Male")</f>
        <v>Male</v>
      </c>
      <c r="P53" s="1" t="str">
        <f ca="1">IFERROR(__xludf.DUMMYFUNCTION("""COMPUTED_VALUE"""),"Work &lt;=6 People in the Team")</f>
        <v>Work &lt;=6 People in the Team</v>
      </c>
      <c r="Q53" s="1" t="str">
        <f ca="1">IFERROR(__xludf.DUMMYFUNCTION("""COMPUTED_VALUE"""),"Male")</f>
        <v>Male</v>
      </c>
    </row>
    <row r="54" spans="1:23" x14ac:dyDescent="0.25">
      <c r="M54" s="4" t="s">
        <v>48</v>
      </c>
      <c r="N54" s="1" t="str">
        <f ca="1">IFERROR(__xludf.DUMMYFUNCTION("""COMPUTED_VALUE"""),"Male")</f>
        <v>Male</v>
      </c>
      <c r="P54" s="1" t="str">
        <f ca="1">IFERROR(__xludf.DUMMYFUNCTION("""COMPUTED_VALUE"""),"Work Alone, &lt;=6 in team")</f>
        <v>Work Alone, &lt;=6 in team</v>
      </c>
      <c r="Q54" s="1" t="str">
        <f ca="1">IFERROR(__xludf.DUMMYFUNCTION("""COMPUTED_VALUE"""),"Male")</f>
        <v>Male</v>
      </c>
    </row>
    <row r="55" spans="1:23" x14ac:dyDescent="0.25">
      <c r="M55" s="4" t="s">
        <v>53</v>
      </c>
      <c r="N55" s="1" t="str">
        <f ca="1">IFERROR(__xludf.DUMMYFUNCTION("""COMPUTED_VALUE"""),"Male")</f>
        <v>Male</v>
      </c>
      <c r="P55" s="1" t="str">
        <f ca="1">IFERROR(__xludf.DUMMYFUNCTION("""COMPUTED_VALUE"""),"Work Alone, &lt;67 people in team")</f>
        <v>Work Alone, &lt;67 people in team</v>
      </c>
      <c r="Q55" s="1" t="str">
        <f ca="1">IFERROR(__xludf.DUMMYFUNCTION("""COMPUTED_VALUE"""),"Male")</f>
        <v>Male</v>
      </c>
    </row>
    <row r="56" spans="1:23" x14ac:dyDescent="0.25">
      <c r="M56" s="4" t="s">
        <v>48</v>
      </c>
      <c r="N56" s="1" t="str">
        <f ca="1">IFERROR(__xludf.DUMMYFUNCTION("""COMPUTED_VALUE"""),"Male")</f>
        <v>Male</v>
      </c>
      <c r="P56" s="1" t="str">
        <f ca="1">IFERROR(__xludf.DUMMYFUNCTION("""COMPUTED_VALUE"""),"Work &gt;=7 People in the Team")</f>
        <v>Work &gt;=7 People in the Team</v>
      </c>
      <c r="Q56" s="1" t="str">
        <f ca="1">IFERROR(__xludf.DUMMYFUNCTION("""COMPUTED_VALUE"""),"Male")</f>
        <v>Male</v>
      </c>
    </row>
    <row r="57" spans="1:23" x14ac:dyDescent="0.25">
      <c r="M57" s="4" t="s">
        <v>49</v>
      </c>
      <c r="N57" s="1" t="str">
        <f ca="1">IFERROR(__xludf.DUMMYFUNCTION("""COMPUTED_VALUE"""),"Male")</f>
        <v>Male</v>
      </c>
      <c r="P57" s="1" t="str">
        <f ca="1">IFERROR(__xludf.DUMMYFUNCTION("""COMPUTED_VALUE"""),"Work Alone, &lt;=6 in team")</f>
        <v>Work Alone, &lt;=6 in team</v>
      </c>
      <c r="Q57" s="1" t="str">
        <f ca="1">IFERROR(__xludf.DUMMYFUNCTION("""COMPUTED_VALUE"""),"Male")</f>
        <v>Male</v>
      </c>
    </row>
    <row r="58" spans="1:23" x14ac:dyDescent="0.25">
      <c r="M58" s="4" t="s">
        <v>49</v>
      </c>
      <c r="N58" s="1" t="str">
        <f ca="1">IFERROR(__xludf.DUMMYFUNCTION("""COMPUTED_VALUE"""),"Male")</f>
        <v>Male</v>
      </c>
      <c r="P58" s="1" t="str">
        <f ca="1">IFERROR(__xludf.DUMMYFUNCTION("""COMPUTED_VALUE"""),"Work &lt;=6 People in the Team")</f>
        <v>Work &lt;=6 People in the Team</v>
      </c>
      <c r="Q58" s="1" t="str">
        <f ca="1">IFERROR(__xludf.DUMMYFUNCTION("""COMPUTED_VALUE"""),"Male")</f>
        <v>Male</v>
      </c>
    </row>
    <row r="59" spans="1:23" x14ac:dyDescent="0.25">
      <c r="M59" s="4" t="s">
        <v>48</v>
      </c>
      <c r="N59" s="1" t="str">
        <f ca="1">IFERROR(__xludf.DUMMYFUNCTION("""COMPUTED_VALUE"""),"Male")</f>
        <v>Male</v>
      </c>
      <c r="P59" s="1" t="str">
        <f ca="1">IFERROR(__xludf.DUMMYFUNCTION("""COMPUTED_VALUE"""),"Work alone")</f>
        <v>Work alone</v>
      </c>
      <c r="Q59" s="1" t="str">
        <f ca="1">IFERROR(__xludf.DUMMYFUNCTION("""COMPUTED_VALUE"""),"Male")</f>
        <v>Male</v>
      </c>
    </row>
    <row r="60" spans="1:23" x14ac:dyDescent="0.25">
      <c r="M60" s="4" t="s">
        <v>49</v>
      </c>
      <c r="N60" s="1" t="str">
        <f ca="1">IFERROR(__xludf.DUMMYFUNCTION("""COMPUTED_VALUE"""),"Female")</f>
        <v>Female</v>
      </c>
      <c r="P60" s="1" t="str">
        <f ca="1">IFERROR(__xludf.DUMMYFUNCTION("""COMPUTED_VALUE"""),"Work &lt;=6 People in the Team")</f>
        <v>Work &lt;=6 People in the Team</v>
      </c>
      <c r="Q60" s="1" t="str">
        <f ca="1">IFERROR(__xludf.DUMMYFUNCTION("""COMPUTED_VALUE"""),"Female")</f>
        <v>Female</v>
      </c>
    </row>
    <row r="61" spans="1:23" x14ac:dyDescent="0.25">
      <c r="M61" s="4" t="s">
        <v>49</v>
      </c>
      <c r="N61" s="1" t="str">
        <f ca="1">IFERROR(__xludf.DUMMYFUNCTION("""COMPUTED_VALUE"""),"Male")</f>
        <v>Male</v>
      </c>
      <c r="P61" s="1" t="str">
        <f ca="1">IFERROR(__xludf.DUMMYFUNCTION("""COMPUTED_VALUE"""),"Work &lt;=6 People in the Team")</f>
        <v>Work &lt;=6 People in the Team</v>
      </c>
      <c r="Q61" s="1" t="str">
        <f ca="1">IFERROR(__xludf.DUMMYFUNCTION("""COMPUTED_VALUE"""),"Male")</f>
        <v>Male</v>
      </c>
    </row>
    <row r="62" spans="1:23" x14ac:dyDescent="0.25">
      <c r="M62" s="4" t="s">
        <v>49</v>
      </c>
      <c r="N62" s="1" t="str">
        <f ca="1">IFERROR(__xludf.DUMMYFUNCTION("""COMPUTED_VALUE"""),"Male")</f>
        <v>Male</v>
      </c>
      <c r="P62" s="1" t="str">
        <f ca="1">IFERROR(__xludf.DUMMYFUNCTION("""COMPUTED_VALUE"""),"Work &lt;=6 People in the Team")</f>
        <v>Work &lt;=6 People in the Team</v>
      </c>
      <c r="Q62" s="1" t="str">
        <f ca="1">IFERROR(__xludf.DUMMYFUNCTION("""COMPUTED_VALUE"""),"Male")</f>
        <v>Male</v>
      </c>
    </row>
    <row r="63" spans="1:23" x14ac:dyDescent="0.25">
      <c r="M63" s="4" t="s">
        <v>49</v>
      </c>
      <c r="N63" s="1" t="str">
        <f ca="1">IFERROR(__xludf.DUMMYFUNCTION("""COMPUTED_VALUE"""),"Male")</f>
        <v>Male</v>
      </c>
      <c r="P63" s="1" t="str">
        <f ca="1">IFERROR(__xludf.DUMMYFUNCTION("""COMPUTED_VALUE"""),"Work Alone, &lt;=6 in team")</f>
        <v>Work Alone, &lt;=6 in team</v>
      </c>
      <c r="Q63" s="1" t="str">
        <f ca="1">IFERROR(__xludf.DUMMYFUNCTION("""COMPUTED_VALUE"""),"Male")</f>
        <v>Male</v>
      </c>
    </row>
    <row r="64" spans="1:23" x14ac:dyDescent="0.25">
      <c r="M64" s="4" t="s">
        <v>50</v>
      </c>
      <c r="N64" s="1" t="str">
        <f ca="1">IFERROR(__xludf.DUMMYFUNCTION("""COMPUTED_VALUE"""),"Female")</f>
        <v>Female</v>
      </c>
      <c r="P64" s="1" t="str">
        <f ca="1">IFERROR(__xludf.DUMMYFUNCTION("""COMPUTED_VALUE"""),"Work &gt;10 people in Team")</f>
        <v>Work &gt;10 people in Team</v>
      </c>
      <c r="Q64" s="1" t="str">
        <f ca="1">IFERROR(__xludf.DUMMYFUNCTION("""COMPUTED_VALUE"""),"Female")</f>
        <v>Female</v>
      </c>
    </row>
    <row r="65" spans="1:17" x14ac:dyDescent="0.25">
      <c r="M65" s="4" t="s">
        <v>51</v>
      </c>
      <c r="N65" s="1" t="str">
        <f ca="1">IFERROR(__xludf.DUMMYFUNCTION("""COMPUTED_VALUE"""),"Male")</f>
        <v>Male</v>
      </c>
      <c r="P65" s="1" t="str">
        <f ca="1">IFERROR(__xludf.DUMMYFUNCTION("""COMPUTED_VALUE"""),"Work &gt;10 people in Team")</f>
        <v>Work &gt;10 people in Team</v>
      </c>
      <c r="Q65" s="1" t="str">
        <f ca="1">IFERROR(__xludf.DUMMYFUNCTION("""COMPUTED_VALUE"""),"Male")</f>
        <v>Male</v>
      </c>
    </row>
    <row r="66" spans="1:17" x14ac:dyDescent="0.25">
      <c r="M66" s="4" t="s">
        <v>51</v>
      </c>
      <c r="N66" s="1" t="str">
        <f ca="1">IFERROR(__xludf.DUMMYFUNCTION("""COMPUTED_VALUE"""),"Female")</f>
        <v>Female</v>
      </c>
      <c r="P66" s="1" t="str">
        <f ca="1">IFERROR(__xludf.DUMMYFUNCTION("""COMPUTED_VALUE"""),"Work  &lt;67 people in team")</f>
        <v>Work  &lt;67 people in team</v>
      </c>
      <c r="Q66" s="1" t="str">
        <f ca="1">IFERROR(__xludf.DUMMYFUNCTION("""COMPUTED_VALUE"""),"Female")</f>
        <v>Female</v>
      </c>
    </row>
    <row r="67" spans="1:17" x14ac:dyDescent="0.25">
      <c r="A67" s="3" t="s">
        <v>18</v>
      </c>
      <c r="B67" t="s">
        <v>3</v>
      </c>
      <c r="C67" s="7" t="s">
        <v>19</v>
      </c>
      <c r="M67" s="4" t="s">
        <v>51</v>
      </c>
      <c r="N67" s="1" t="str">
        <f ca="1">IFERROR(__xludf.DUMMYFUNCTION("""COMPUTED_VALUE"""),"Male")</f>
        <v>Male</v>
      </c>
      <c r="P67" s="1" t="str">
        <f ca="1">IFERROR(__xludf.DUMMYFUNCTION("""COMPUTED_VALUE"""),"Work &lt;=6 People in the Team")</f>
        <v>Work &lt;=6 People in the Team</v>
      </c>
      <c r="Q67" s="1" t="str">
        <f ca="1">IFERROR(__xludf.DUMMYFUNCTION("""COMPUTED_VALUE"""),"Male")</f>
        <v>Male</v>
      </c>
    </row>
    <row r="68" spans="1:17" x14ac:dyDescent="0.25">
      <c r="A68" s="4" t="s">
        <v>13</v>
      </c>
      <c r="B68" s="10">
        <v>1260</v>
      </c>
      <c r="C68" s="6">
        <f>GETPIVOTDATA("Your Gender",$A$67,"Would you work for a company whose mission is not clearly defined and publicly posted.","No")/B70</f>
        <v>0.71876782658300054</v>
      </c>
      <c r="M68" s="4" t="s">
        <v>51</v>
      </c>
      <c r="N68" s="1" t="str">
        <f ca="1">IFERROR(__xludf.DUMMYFUNCTION("""COMPUTED_VALUE"""),"Male")</f>
        <v>Male</v>
      </c>
      <c r="P68" s="1" t="str">
        <f ca="1">IFERROR(__xludf.DUMMYFUNCTION("""COMPUTED_VALUE"""),"Work Alone, &lt;=6 in team")</f>
        <v>Work Alone, &lt;=6 in team</v>
      </c>
      <c r="Q68" s="1" t="str">
        <f ca="1">IFERROR(__xludf.DUMMYFUNCTION("""COMPUTED_VALUE"""),"Male")</f>
        <v>Male</v>
      </c>
    </row>
    <row r="69" spans="1:17" x14ac:dyDescent="0.25">
      <c r="A69" s="4" t="s">
        <v>14</v>
      </c>
      <c r="B69" s="10">
        <v>493</v>
      </c>
      <c r="C69" s="6">
        <f>GETPIVOTDATA("Your Gender",$A$67,"Would you work for a company whose mission is not clearly defined and publicly posted.","Yes")/B70</f>
        <v>0.28123217341699941</v>
      </c>
      <c r="M69" s="4" t="s">
        <v>50</v>
      </c>
      <c r="N69" s="1" t="str">
        <f ca="1">IFERROR(__xludf.DUMMYFUNCTION("""COMPUTED_VALUE"""),"Female")</f>
        <v>Female</v>
      </c>
      <c r="P69" s="1" t="str">
        <f ca="1">IFERROR(__xludf.DUMMYFUNCTION("""COMPUTED_VALUE"""),"Work &gt;10 people in Team")</f>
        <v>Work &gt;10 people in Team</v>
      </c>
      <c r="Q69" s="1" t="str">
        <f ca="1">IFERROR(__xludf.DUMMYFUNCTION("""COMPUTED_VALUE"""),"Female")</f>
        <v>Female</v>
      </c>
    </row>
    <row r="70" spans="1:17" x14ac:dyDescent="0.25">
      <c r="B70">
        <f>SUM(GETPIVOTDATA("Your Gender",$A$67,"Would you work for a company whose mission is not clearly defined and publicly posted.","Yes"),GETPIVOTDATA("Your Gender",$A$67,"Would you work for a company whose mission is not clearly defined and publicly posted.","No"))</f>
        <v>1753</v>
      </c>
      <c r="C70" s="6"/>
      <c r="M70" s="4" t="s">
        <v>48</v>
      </c>
      <c r="N70" s="1" t="str">
        <f ca="1">IFERROR(__xludf.DUMMYFUNCTION("""COMPUTED_VALUE"""),"Female")</f>
        <v>Female</v>
      </c>
      <c r="P70" s="1" t="str">
        <f ca="1">IFERROR(__xludf.DUMMYFUNCTION("""COMPUTED_VALUE"""),"Work alone")</f>
        <v>Work alone</v>
      </c>
      <c r="Q70" s="1" t="str">
        <f ca="1">IFERROR(__xludf.DUMMYFUNCTION("""COMPUTED_VALUE"""),"Female")</f>
        <v>Female</v>
      </c>
    </row>
    <row r="71" spans="1:17" x14ac:dyDescent="0.25">
      <c r="M71" s="4" t="s">
        <v>54</v>
      </c>
      <c r="N71" s="1" t="str">
        <f ca="1">IFERROR(__xludf.DUMMYFUNCTION("""COMPUTED_VALUE"""),"Female")</f>
        <v>Female</v>
      </c>
      <c r="P71" s="1" t="str">
        <f ca="1">IFERROR(__xludf.DUMMYFUNCTION("""COMPUTED_VALUE"""),"Work &gt;=7 People in the Team")</f>
        <v>Work &gt;=7 People in the Team</v>
      </c>
      <c r="Q71" s="1" t="str">
        <f ca="1">IFERROR(__xludf.DUMMYFUNCTION("""COMPUTED_VALUE"""),"Female")</f>
        <v>Female</v>
      </c>
    </row>
    <row r="72" spans="1:17" x14ac:dyDescent="0.25">
      <c r="M72" s="4" t="s">
        <v>48</v>
      </c>
      <c r="N72" s="1" t="str">
        <f ca="1">IFERROR(__xludf.DUMMYFUNCTION("""COMPUTED_VALUE"""),"Female")</f>
        <v>Female</v>
      </c>
      <c r="P72" s="1" t="str">
        <f ca="1">IFERROR(__xludf.DUMMYFUNCTION("""COMPUTED_VALUE"""),"Work &lt;=6 People in the Team")</f>
        <v>Work &lt;=6 People in the Team</v>
      </c>
      <c r="Q72" s="1" t="str">
        <f ca="1">IFERROR(__xludf.DUMMYFUNCTION("""COMPUTED_VALUE"""),"Female")</f>
        <v>Female</v>
      </c>
    </row>
    <row r="73" spans="1:17" x14ac:dyDescent="0.25">
      <c r="M73" s="4" t="s">
        <v>48</v>
      </c>
      <c r="N73" s="1" t="str">
        <f ca="1">IFERROR(__xludf.DUMMYFUNCTION("""COMPUTED_VALUE"""),"Male")</f>
        <v>Male</v>
      </c>
      <c r="P73" s="1" t="str">
        <f ca="1">IFERROR(__xludf.DUMMYFUNCTION("""COMPUTED_VALUE"""),"Work &gt;10 people in Team")</f>
        <v>Work &gt;10 people in Team</v>
      </c>
      <c r="Q73" s="1" t="str">
        <f ca="1">IFERROR(__xludf.DUMMYFUNCTION("""COMPUTED_VALUE"""),"Male")</f>
        <v>Male</v>
      </c>
    </row>
    <row r="74" spans="1:17" x14ac:dyDescent="0.25">
      <c r="M74" s="4" t="s">
        <v>48</v>
      </c>
      <c r="N74" s="1" t="str">
        <f ca="1">IFERROR(__xludf.DUMMYFUNCTION("""COMPUTED_VALUE"""),"Female")</f>
        <v>Female</v>
      </c>
      <c r="P74" s="1" t="str">
        <f ca="1">IFERROR(__xludf.DUMMYFUNCTION("""COMPUTED_VALUE"""),"Work &lt;=6 People in the Team")</f>
        <v>Work &lt;=6 People in the Team</v>
      </c>
      <c r="Q74" s="1" t="str">
        <f ca="1">IFERROR(__xludf.DUMMYFUNCTION("""COMPUTED_VALUE"""),"Female")</f>
        <v>Female</v>
      </c>
    </row>
    <row r="75" spans="1:17" x14ac:dyDescent="0.25">
      <c r="M75" s="4" t="s">
        <v>48</v>
      </c>
      <c r="N75" s="1" t="str">
        <f ca="1">IFERROR(__xludf.DUMMYFUNCTION("""COMPUTED_VALUE"""),"Male")</f>
        <v>Male</v>
      </c>
      <c r="P75" s="1" t="str">
        <f ca="1">IFERROR(__xludf.DUMMYFUNCTION("""COMPUTED_VALUE"""),"Work &lt;=6 People in the Team")</f>
        <v>Work &lt;=6 People in the Team</v>
      </c>
      <c r="Q75" s="1" t="str">
        <f ca="1">IFERROR(__xludf.DUMMYFUNCTION("""COMPUTED_VALUE"""),"Male")</f>
        <v>Male</v>
      </c>
    </row>
    <row r="76" spans="1:17" x14ac:dyDescent="0.25">
      <c r="M76" s="4" t="s">
        <v>48</v>
      </c>
      <c r="N76" s="1" t="str">
        <f ca="1">IFERROR(__xludf.DUMMYFUNCTION("""COMPUTED_VALUE"""),"Female")</f>
        <v>Female</v>
      </c>
      <c r="P76" s="1" t="str">
        <f ca="1">IFERROR(__xludf.DUMMYFUNCTION("""COMPUTED_VALUE"""),"Work alone")</f>
        <v>Work alone</v>
      </c>
      <c r="Q76" s="1" t="str">
        <f ca="1">IFERROR(__xludf.DUMMYFUNCTION("""COMPUTED_VALUE"""),"Female")</f>
        <v>Female</v>
      </c>
    </row>
    <row r="77" spans="1:17" x14ac:dyDescent="0.25">
      <c r="M77" s="4" t="s">
        <v>55</v>
      </c>
      <c r="N77" s="1" t="str">
        <f ca="1">IFERROR(__xludf.DUMMYFUNCTION("""COMPUTED_VALUE"""),"Male")</f>
        <v>Male</v>
      </c>
      <c r="P77" s="1" t="str">
        <f ca="1">IFERROR(__xludf.DUMMYFUNCTION("""COMPUTED_VALUE"""),"Work &lt;=6 People in the Team")</f>
        <v>Work &lt;=6 People in the Team</v>
      </c>
      <c r="Q77" s="1" t="str">
        <f ca="1">IFERROR(__xludf.DUMMYFUNCTION("""COMPUTED_VALUE"""),"Male")</f>
        <v>Male</v>
      </c>
    </row>
    <row r="78" spans="1:17" x14ac:dyDescent="0.25">
      <c r="M78" s="4" t="s">
        <v>48</v>
      </c>
      <c r="N78" s="1" t="str">
        <f ca="1">IFERROR(__xludf.DUMMYFUNCTION("""COMPUTED_VALUE"""),"Female")</f>
        <v>Female</v>
      </c>
      <c r="P78" s="1" t="str">
        <f ca="1">IFERROR(__xludf.DUMMYFUNCTION("""COMPUTED_VALUE"""),"Work &lt;=6 People in the Team")</f>
        <v>Work &lt;=6 People in the Team</v>
      </c>
      <c r="Q78" s="1" t="str">
        <f ca="1">IFERROR(__xludf.DUMMYFUNCTION("""COMPUTED_VALUE"""),"Female")</f>
        <v>Female</v>
      </c>
    </row>
    <row r="79" spans="1:17" x14ac:dyDescent="0.25">
      <c r="M79" s="4" t="s">
        <v>50</v>
      </c>
      <c r="N79" s="1" t="str">
        <f ca="1">IFERROR(__xludf.DUMMYFUNCTION("""COMPUTED_VALUE"""),"Female")</f>
        <v>Female</v>
      </c>
      <c r="P79" s="1" t="str">
        <f ca="1">IFERROR(__xludf.DUMMYFUNCTION("""COMPUTED_VALUE"""),"Work &lt;=6 People in the Team")</f>
        <v>Work &lt;=6 People in the Team</v>
      </c>
      <c r="Q79" s="1" t="str">
        <f ca="1">IFERROR(__xludf.DUMMYFUNCTION("""COMPUTED_VALUE"""),"Female")</f>
        <v>Female</v>
      </c>
    </row>
    <row r="80" spans="1:17" x14ac:dyDescent="0.25">
      <c r="M80" s="4" t="s">
        <v>48</v>
      </c>
      <c r="N80" s="1" t="str">
        <f ca="1">IFERROR(__xludf.DUMMYFUNCTION("""COMPUTED_VALUE"""),"Male")</f>
        <v>Male</v>
      </c>
      <c r="P80" s="1" t="str">
        <f ca="1">IFERROR(__xludf.DUMMYFUNCTION("""COMPUTED_VALUE"""),"Work &gt;=7 People in the Team")</f>
        <v>Work &gt;=7 People in the Team</v>
      </c>
      <c r="Q80" s="1" t="str">
        <f ca="1">IFERROR(__xludf.DUMMYFUNCTION("""COMPUTED_VALUE"""),"Male")</f>
        <v>Male</v>
      </c>
    </row>
    <row r="81" spans="1:17" x14ac:dyDescent="0.25">
      <c r="M81" s="4" t="s">
        <v>48</v>
      </c>
      <c r="N81" s="1" t="str">
        <f ca="1">IFERROR(__xludf.DUMMYFUNCTION("""COMPUTED_VALUE"""),"Male")</f>
        <v>Male</v>
      </c>
      <c r="P81" s="1" t="str">
        <f ca="1">IFERROR(__xludf.DUMMYFUNCTION("""COMPUTED_VALUE"""),"Work &lt;=6 People in the Team")</f>
        <v>Work &lt;=6 People in the Team</v>
      </c>
      <c r="Q81" s="1" t="str">
        <f ca="1">IFERROR(__xludf.DUMMYFUNCTION("""COMPUTED_VALUE"""),"Male")</f>
        <v>Male</v>
      </c>
    </row>
    <row r="82" spans="1:17" x14ac:dyDescent="0.25">
      <c r="M82" s="4" t="s">
        <v>48</v>
      </c>
      <c r="N82" s="1" t="str">
        <f ca="1">IFERROR(__xludf.DUMMYFUNCTION("""COMPUTED_VALUE"""),"Male")</f>
        <v>Male</v>
      </c>
      <c r="P82" s="1" t="str">
        <f ca="1">IFERROR(__xludf.DUMMYFUNCTION("""COMPUTED_VALUE"""),"Work &lt;=6 People in the Team")</f>
        <v>Work &lt;=6 People in the Team</v>
      </c>
      <c r="Q82" s="1" t="str">
        <f ca="1">IFERROR(__xludf.DUMMYFUNCTION("""COMPUTED_VALUE"""),"Male")</f>
        <v>Male</v>
      </c>
    </row>
    <row r="83" spans="1:17" x14ac:dyDescent="0.25">
      <c r="M83" s="4" t="s">
        <v>55</v>
      </c>
      <c r="N83" s="1" t="str">
        <f ca="1">IFERROR(__xludf.DUMMYFUNCTION("""COMPUTED_VALUE"""),"Female")</f>
        <v>Female</v>
      </c>
      <c r="P83" s="1" t="str">
        <f ca="1">IFERROR(__xludf.DUMMYFUNCTION("""COMPUTED_VALUE"""),"Work &lt;=6 People in the Team")</f>
        <v>Work &lt;=6 People in the Team</v>
      </c>
      <c r="Q83" s="1" t="str">
        <f ca="1">IFERROR(__xludf.DUMMYFUNCTION("""COMPUTED_VALUE"""),"Female")</f>
        <v>Female</v>
      </c>
    </row>
    <row r="84" spans="1:17" x14ac:dyDescent="0.25">
      <c r="M84" s="4" t="s">
        <v>48</v>
      </c>
      <c r="N84" s="1" t="str">
        <f ca="1">IFERROR(__xludf.DUMMYFUNCTION("""COMPUTED_VALUE"""),"Male")</f>
        <v>Male</v>
      </c>
      <c r="P84" s="1" t="str">
        <f ca="1">IFERROR(__xludf.DUMMYFUNCTION("""COMPUTED_VALUE"""),"Work &gt;10 people in Team")</f>
        <v>Work &gt;10 people in Team</v>
      </c>
      <c r="Q84" s="1" t="str">
        <f ca="1">IFERROR(__xludf.DUMMYFUNCTION("""COMPUTED_VALUE"""),"Male")</f>
        <v>Male</v>
      </c>
    </row>
    <row r="85" spans="1:17" x14ac:dyDescent="0.25">
      <c r="A85" s="3" t="s">
        <v>21</v>
      </c>
      <c r="B85" t="s">
        <v>20</v>
      </c>
      <c r="M85" s="4" t="s">
        <v>50</v>
      </c>
      <c r="N85" s="1" t="str">
        <f ca="1">IFERROR(__xludf.DUMMYFUNCTION("""COMPUTED_VALUE"""),"Male")</f>
        <v>Male</v>
      </c>
      <c r="P85" s="1" t="str">
        <f ca="1">IFERROR(__xludf.DUMMYFUNCTION("""COMPUTED_VALUE"""),"Work &lt;=6 People in the Team")</f>
        <v>Work &lt;=6 People in the Team</v>
      </c>
      <c r="Q85" s="1" t="str">
        <f ca="1">IFERROR(__xludf.DUMMYFUNCTION("""COMPUTED_VALUE"""),"Male")</f>
        <v>Male</v>
      </c>
    </row>
    <row r="86" spans="1:17" x14ac:dyDescent="0.25">
      <c r="A86" s="4" t="s">
        <v>15</v>
      </c>
      <c r="B86" s="10">
        <v>1331</v>
      </c>
      <c r="C86" s="6">
        <f>1331/1753</f>
        <v>0.75926982316029668</v>
      </c>
      <c r="M86" s="4" t="s">
        <v>56</v>
      </c>
      <c r="N86" s="1" t="str">
        <f ca="1">IFERROR(__xludf.DUMMYFUNCTION("""COMPUTED_VALUE"""),"Female")</f>
        <v>Female</v>
      </c>
      <c r="P86" s="1" t="str">
        <f ca="1">IFERROR(__xludf.DUMMYFUNCTION("""COMPUTED_VALUE"""),"Work &gt;=7 People in the Team")</f>
        <v>Work &gt;=7 People in the Team</v>
      </c>
      <c r="Q86" s="1" t="str">
        <f ca="1">IFERROR(__xludf.DUMMYFUNCTION("""COMPUTED_VALUE"""),"Female")</f>
        <v>Female</v>
      </c>
    </row>
    <row r="87" spans="1:17" x14ac:dyDescent="0.25">
      <c r="A87" s="4" t="s">
        <v>16</v>
      </c>
      <c r="B87" s="10">
        <v>422</v>
      </c>
      <c r="C87" s="6">
        <f>422/1753</f>
        <v>0.24073017683970335</v>
      </c>
      <c r="M87" s="4" t="s">
        <v>48</v>
      </c>
      <c r="N87" s="1" t="str">
        <f ca="1">IFERROR(__xludf.DUMMYFUNCTION("""COMPUTED_VALUE"""),"Female")</f>
        <v>Female</v>
      </c>
      <c r="P87" s="1" t="str">
        <f ca="1">IFERROR(__xludf.DUMMYFUNCTION("""COMPUTED_VALUE"""),"Work &gt;10 people in Team")</f>
        <v>Work &gt;10 people in Team</v>
      </c>
      <c r="Q87" s="1" t="str">
        <f ca="1">IFERROR(__xludf.DUMMYFUNCTION("""COMPUTED_VALUE"""),"Female")</f>
        <v>Female</v>
      </c>
    </row>
    <row r="88" spans="1:17" x14ac:dyDescent="0.25">
      <c r="B88">
        <f>1331+422</f>
        <v>1753</v>
      </c>
      <c r="M88" s="4" t="s">
        <v>55</v>
      </c>
      <c r="N88" s="1" t="str">
        <f ca="1">IFERROR(__xludf.DUMMYFUNCTION("""COMPUTED_VALUE"""),"Male")</f>
        <v>Male</v>
      </c>
      <c r="P88" s="1" t="str">
        <f ca="1">IFERROR(__xludf.DUMMYFUNCTION("""COMPUTED_VALUE"""),"Work Alone, &lt;67 people in team")</f>
        <v>Work Alone, &lt;67 people in team</v>
      </c>
      <c r="Q88" s="1" t="str">
        <f ca="1">IFERROR(__xludf.DUMMYFUNCTION("""COMPUTED_VALUE"""),"Male")</f>
        <v>Male</v>
      </c>
    </row>
    <row r="89" spans="1:17" x14ac:dyDescent="0.25">
      <c r="M89" s="4" t="s">
        <v>50</v>
      </c>
      <c r="N89" s="1" t="str">
        <f ca="1">IFERROR(__xludf.DUMMYFUNCTION("""COMPUTED_VALUE"""),"Female")</f>
        <v>Female</v>
      </c>
      <c r="P89" s="1" t="str">
        <f ca="1">IFERROR(__xludf.DUMMYFUNCTION("""COMPUTED_VALUE"""),"Work Alone, &lt;=6 in team")</f>
        <v>Work Alone, &lt;=6 in team</v>
      </c>
      <c r="Q89" s="1" t="str">
        <f ca="1">IFERROR(__xludf.DUMMYFUNCTION("""COMPUTED_VALUE"""),"Female")</f>
        <v>Female</v>
      </c>
    </row>
    <row r="90" spans="1:17" x14ac:dyDescent="0.25">
      <c r="M90" s="4" t="s">
        <v>48</v>
      </c>
      <c r="N90" s="1" t="str">
        <f ca="1">IFERROR(__xludf.DUMMYFUNCTION("""COMPUTED_VALUE"""),"Female")</f>
        <v>Female</v>
      </c>
      <c r="P90" s="1" t="str">
        <f ca="1">IFERROR(__xludf.DUMMYFUNCTION("""COMPUTED_VALUE"""),"Work Alone, &lt;=6 in team")</f>
        <v>Work Alone, &lt;=6 in team</v>
      </c>
      <c r="Q90" s="1" t="str">
        <f ca="1">IFERROR(__xludf.DUMMYFUNCTION("""COMPUTED_VALUE"""),"Female")</f>
        <v>Female</v>
      </c>
    </row>
    <row r="91" spans="1:17" x14ac:dyDescent="0.25">
      <c r="M91" s="4" t="s">
        <v>48</v>
      </c>
      <c r="N91" s="1" t="str">
        <f ca="1">IFERROR(__xludf.DUMMYFUNCTION("""COMPUTED_VALUE"""),"Female")</f>
        <v>Female</v>
      </c>
      <c r="P91" s="1" t="str">
        <f ca="1">IFERROR(__xludf.DUMMYFUNCTION("""COMPUTED_VALUE"""),"Work &lt;=6 People in the Team")</f>
        <v>Work &lt;=6 People in the Team</v>
      </c>
      <c r="Q91" s="1" t="str">
        <f ca="1">IFERROR(__xludf.DUMMYFUNCTION("""COMPUTED_VALUE"""),"Female")</f>
        <v>Female</v>
      </c>
    </row>
    <row r="92" spans="1:17" x14ac:dyDescent="0.25">
      <c r="M92" s="4" t="s">
        <v>48</v>
      </c>
      <c r="N92" s="1" t="str">
        <f ca="1">IFERROR(__xludf.DUMMYFUNCTION("""COMPUTED_VALUE"""),"Female")</f>
        <v>Female</v>
      </c>
      <c r="P92" s="1" t="str">
        <f ca="1">IFERROR(__xludf.DUMMYFUNCTION("""COMPUTED_VALUE"""),"Work &gt;=7 People in the Team")</f>
        <v>Work &gt;=7 People in the Team</v>
      </c>
      <c r="Q92" s="1" t="str">
        <f ca="1">IFERROR(__xludf.DUMMYFUNCTION("""COMPUTED_VALUE"""),"Female")</f>
        <v>Female</v>
      </c>
    </row>
    <row r="93" spans="1:17" x14ac:dyDescent="0.25">
      <c r="M93" s="4" t="s">
        <v>48</v>
      </c>
      <c r="N93" s="1" t="str">
        <f ca="1">IFERROR(__xludf.DUMMYFUNCTION("""COMPUTED_VALUE"""),"Male")</f>
        <v>Male</v>
      </c>
      <c r="P93" s="1" t="str">
        <f ca="1">IFERROR(__xludf.DUMMYFUNCTION("""COMPUTED_VALUE"""),"Work &lt;=6 People in the Team")</f>
        <v>Work &lt;=6 People in the Team</v>
      </c>
      <c r="Q93" s="1" t="str">
        <f ca="1">IFERROR(__xludf.DUMMYFUNCTION("""COMPUTED_VALUE"""),"Male")</f>
        <v>Male</v>
      </c>
    </row>
    <row r="94" spans="1:17" x14ac:dyDescent="0.25">
      <c r="A94" s="3" t="s">
        <v>22</v>
      </c>
      <c r="B94" t="s">
        <v>23</v>
      </c>
      <c r="M94" s="4" t="s">
        <v>53</v>
      </c>
      <c r="N94" s="1" t="str">
        <f ca="1">IFERROR(__xludf.DUMMYFUNCTION("""COMPUTED_VALUE"""),"Male")</f>
        <v>Male</v>
      </c>
      <c r="P94" s="1" t="str">
        <f ca="1">IFERROR(__xludf.DUMMYFUNCTION("""COMPUTED_VALUE"""),"Work &lt;=6 People in the Team")</f>
        <v>Work &lt;=6 People in the Team</v>
      </c>
      <c r="Q94" s="1" t="str">
        <f ca="1">IFERROR(__xludf.DUMMYFUNCTION("""COMPUTED_VALUE"""),"Male")</f>
        <v>Male</v>
      </c>
    </row>
    <row r="95" spans="1:17" x14ac:dyDescent="0.25">
      <c r="A95" s="4" t="s">
        <v>34</v>
      </c>
      <c r="B95">
        <v>340</v>
      </c>
      <c r="M95" s="4" t="s">
        <v>48</v>
      </c>
      <c r="N95" s="1" t="str">
        <f ca="1">IFERROR(__xludf.DUMMYFUNCTION("""COMPUTED_VALUE"""),"Male")</f>
        <v>Male</v>
      </c>
      <c r="P95" s="1" t="str">
        <f ca="1">IFERROR(__xludf.DUMMYFUNCTION("""COMPUTED_VALUE"""),"Work &gt;10 people in Team")</f>
        <v>Work &gt;10 people in Team</v>
      </c>
      <c r="Q95" s="1" t="str">
        <f ca="1">IFERROR(__xludf.DUMMYFUNCTION("""COMPUTED_VALUE"""),"Male")</f>
        <v>Male</v>
      </c>
    </row>
    <row r="96" spans="1:17" x14ac:dyDescent="0.25">
      <c r="A96" s="4" t="s">
        <v>35</v>
      </c>
      <c r="B96">
        <v>101</v>
      </c>
      <c r="M96" s="4" t="s">
        <v>48</v>
      </c>
      <c r="N96" s="1" t="str">
        <f ca="1">IFERROR(__xludf.DUMMYFUNCTION("""COMPUTED_VALUE"""),"Male")</f>
        <v>Male</v>
      </c>
      <c r="P96" s="1" t="str">
        <f ca="1">IFERROR(__xludf.DUMMYFUNCTION("""COMPUTED_VALUE"""),"Work Alone, &lt;=6 in team")</f>
        <v>Work Alone, &lt;=6 in team</v>
      </c>
      <c r="Q96" s="1" t="str">
        <f ca="1">IFERROR(__xludf.DUMMYFUNCTION("""COMPUTED_VALUE"""),"Male")</f>
        <v>Male</v>
      </c>
    </row>
    <row r="97" spans="1:17" x14ac:dyDescent="0.25">
      <c r="A97" s="4" t="s">
        <v>36</v>
      </c>
      <c r="B97">
        <v>502</v>
      </c>
      <c r="M97" s="4" t="s">
        <v>49</v>
      </c>
      <c r="N97" s="1" t="str">
        <f ca="1">IFERROR(__xludf.DUMMYFUNCTION("""COMPUTED_VALUE"""),"Male")</f>
        <v>Male</v>
      </c>
      <c r="P97" s="1" t="str">
        <f ca="1">IFERROR(__xludf.DUMMYFUNCTION("""COMPUTED_VALUE"""),"Work &gt;10 people in Team")</f>
        <v>Work &gt;10 people in Team</v>
      </c>
      <c r="Q97" s="1" t="str">
        <f ca="1">IFERROR(__xludf.DUMMYFUNCTION("""COMPUTED_VALUE"""),"Male")</f>
        <v>Male</v>
      </c>
    </row>
    <row r="98" spans="1:17" x14ac:dyDescent="0.25">
      <c r="A98" s="4" t="s">
        <v>37</v>
      </c>
      <c r="B98">
        <v>257</v>
      </c>
      <c r="M98" s="4" t="s">
        <v>49</v>
      </c>
      <c r="N98" s="1" t="str">
        <f ca="1">IFERROR(__xludf.DUMMYFUNCTION("""COMPUTED_VALUE"""),"Male")</f>
        <v>Male</v>
      </c>
      <c r="P98" s="1" t="str">
        <f ca="1">IFERROR(__xludf.DUMMYFUNCTION("""COMPUTED_VALUE"""),"Work &lt;=6 People in the Team")</f>
        <v>Work &lt;=6 People in the Team</v>
      </c>
      <c r="Q98" s="1" t="str">
        <f ca="1">IFERROR(__xludf.DUMMYFUNCTION("""COMPUTED_VALUE"""),"Male")</f>
        <v>Male</v>
      </c>
    </row>
    <row r="99" spans="1:17" x14ac:dyDescent="0.25">
      <c r="A99" s="4" t="s">
        <v>38</v>
      </c>
      <c r="B99">
        <v>407</v>
      </c>
      <c r="M99" s="4" t="s">
        <v>48</v>
      </c>
      <c r="N99" s="1" t="str">
        <f ca="1">IFERROR(__xludf.DUMMYFUNCTION("""COMPUTED_VALUE"""),"Male")</f>
        <v>Male</v>
      </c>
      <c r="P99" s="1" t="str">
        <f ca="1">IFERROR(__xludf.DUMMYFUNCTION("""COMPUTED_VALUE"""),"Work &lt;=6 People in the Team")</f>
        <v>Work &lt;=6 People in the Team</v>
      </c>
      <c r="Q99" s="1" t="str">
        <f ca="1">IFERROR(__xludf.DUMMYFUNCTION("""COMPUTED_VALUE"""),"Male")</f>
        <v>Male</v>
      </c>
    </row>
    <row r="100" spans="1:17" x14ac:dyDescent="0.25">
      <c r="M100" s="4" t="s">
        <v>48</v>
      </c>
      <c r="N100" s="1" t="str">
        <f ca="1">IFERROR(__xludf.DUMMYFUNCTION("""COMPUTED_VALUE"""),"Male")</f>
        <v>Male</v>
      </c>
      <c r="P100" s="1" t="str">
        <f ca="1">IFERROR(__xludf.DUMMYFUNCTION("""COMPUTED_VALUE"""),"Work &lt;=6 People in the Team")</f>
        <v>Work &lt;=6 People in the Team</v>
      </c>
      <c r="Q100" s="1" t="str">
        <f ca="1">IFERROR(__xludf.DUMMYFUNCTION("""COMPUTED_VALUE"""),"Male")</f>
        <v>Male</v>
      </c>
    </row>
    <row r="101" spans="1:17" x14ac:dyDescent="0.25">
      <c r="M101" s="4" t="s">
        <v>48</v>
      </c>
      <c r="N101" s="1" t="str">
        <f ca="1">IFERROR(__xludf.DUMMYFUNCTION("""COMPUTED_VALUE"""),"Female")</f>
        <v>Female</v>
      </c>
      <c r="P101" s="1" t="str">
        <f ca="1">IFERROR(__xludf.DUMMYFUNCTION("""COMPUTED_VALUE"""),"Work &lt;=6 People in the Team")</f>
        <v>Work &lt;=6 People in the Team</v>
      </c>
      <c r="Q101" s="1" t="str">
        <f ca="1">IFERROR(__xludf.DUMMYFUNCTION("""COMPUTED_VALUE"""),"Female")</f>
        <v>Female</v>
      </c>
    </row>
    <row r="102" spans="1:17" x14ac:dyDescent="0.25">
      <c r="M102" s="4" t="s">
        <v>49</v>
      </c>
      <c r="N102" s="1" t="str">
        <f ca="1">IFERROR(__xludf.DUMMYFUNCTION("""COMPUTED_VALUE"""),"Male")</f>
        <v>Male</v>
      </c>
      <c r="P102" s="1" t="str">
        <f ca="1">IFERROR(__xludf.DUMMYFUNCTION("""COMPUTED_VALUE"""),"Work Alone, &lt;=6 in team")</f>
        <v>Work Alone, &lt;=6 in team</v>
      </c>
      <c r="Q102" s="1" t="str">
        <f ca="1">IFERROR(__xludf.DUMMYFUNCTION("""COMPUTED_VALUE"""),"Male")</f>
        <v>Male</v>
      </c>
    </row>
    <row r="103" spans="1:17" x14ac:dyDescent="0.25">
      <c r="M103" s="4" t="s">
        <v>53</v>
      </c>
      <c r="N103" s="1" t="str">
        <f ca="1">IFERROR(__xludf.DUMMYFUNCTION("""COMPUTED_VALUE"""),"Male")</f>
        <v>Male</v>
      </c>
      <c r="P103" s="1" t="str">
        <f ca="1">IFERROR(__xludf.DUMMYFUNCTION("""COMPUTED_VALUE"""),"Work &lt;=6 People in the Team")</f>
        <v>Work &lt;=6 People in the Team</v>
      </c>
      <c r="Q103" s="1" t="str">
        <f ca="1">IFERROR(__xludf.DUMMYFUNCTION("""COMPUTED_VALUE"""),"Male")</f>
        <v>Male</v>
      </c>
    </row>
    <row r="104" spans="1:17" x14ac:dyDescent="0.25">
      <c r="M104" s="4" t="s">
        <v>49</v>
      </c>
      <c r="N104" s="1" t="str">
        <f ca="1">IFERROR(__xludf.DUMMYFUNCTION("""COMPUTED_VALUE"""),"Male")</f>
        <v>Male</v>
      </c>
      <c r="P104" s="1" t="str">
        <f ca="1">IFERROR(__xludf.DUMMYFUNCTION("""COMPUTED_VALUE"""),"Work &lt;=6 People in the Team")</f>
        <v>Work &lt;=6 People in the Team</v>
      </c>
      <c r="Q104" s="1" t="str">
        <f ca="1">IFERROR(__xludf.DUMMYFUNCTION("""COMPUTED_VALUE"""),"Male")</f>
        <v>Male</v>
      </c>
    </row>
    <row r="105" spans="1:17" x14ac:dyDescent="0.25">
      <c r="M105" s="4" t="s">
        <v>49</v>
      </c>
      <c r="N105" s="1" t="str">
        <f ca="1">IFERROR(__xludf.DUMMYFUNCTION("""COMPUTED_VALUE"""),"Male")</f>
        <v>Male</v>
      </c>
      <c r="P105" s="1" t="str">
        <f ca="1">IFERROR(__xludf.DUMMYFUNCTION("""COMPUTED_VALUE"""),"Work &lt;=6 People in the Team")</f>
        <v>Work &lt;=6 People in the Team</v>
      </c>
      <c r="Q105" s="1" t="str">
        <f ca="1">IFERROR(__xludf.DUMMYFUNCTION("""COMPUTED_VALUE"""),"Male")</f>
        <v>Male</v>
      </c>
    </row>
    <row r="106" spans="1:17" x14ac:dyDescent="0.25">
      <c r="M106" s="4" t="s">
        <v>49</v>
      </c>
      <c r="N106" s="1" t="str">
        <f ca="1">IFERROR(__xludf.DUMMYFUNCTION("""COMPUTED_VALUE"""),"Male")</f>
        <v>Male</v>
      </c>
      <c r="P106" s="1" t="str">
        <f ca="1">IFERROR(__xludf.DUMMYFUNCTION("""COMPUTED_VALUE"""),"Work &lt;=6 People in the Team")</f>
        <v>Work &lt;=6 People in the Team</v>
      </c>
      <c r="Q106" s="1" t="str">
        <f ca="1">IFERROR(__xludf.DUMMYFUNCTION("""COMPUTED_VALUE"""),"Male")</f>
        <v>Male</v>
      </c>
    </row>
    <row r="107" spans="1:17" x14ac:dyDescent="0.25">
      <c r="M107" s="4" t="s">
        <v>50</v>
      </c>
      <c r="N107" s="1" t="str">
        <f ca="1">IFERROR(__xludf.DUMMYFUNCTION("""COMPUTED_VALUE"""),"Male")</f>
        <v>Male</v>
      </c>
      <c r="P107" s="1" t="str">
        <f ca="1">IFERROR(__xludf.DUMMYFUNCTION("""COMPUTED_VALUE"""),"Work &lt;=6 People in the Team")</f>
        <v>Work &lt;=6 People in the Team</v>
      </c>
      <c r="Q107" s="1" t="str">
        <f ca="1">IFERROR(__xludf.DUMMYFUNCTION("""COMPUTED_VALUE"""),"Male")</f>
        <v>Male</v>
      </c>
    </row>
    <row r="108" spans="1:17" x14ac:dyDescent="0.25">
      <c r="M108" s="4" t="s">
        <v>48</v>
      </c>
      <c r="N108" s="1" t="str">
        <f ca="1">IFERROR(__xludf.DUMMYFUNCTION("""COMPUTED_VALUE"""),"Male")</f>
        <v>Male</v>
      </c>
      <c r="P108" s="1" t="str">
        <f ca="1">IFERROR(__xludf.DUMMYFUNCTION("""COMPUTED_VALUE"""),"Work &gt;10 people in Team")</f>
        <v>Work &gt;10 people in Team</v>
      </c>
      <c r="Q108" s="1" t="str">
        <f ca="1">IFERROR(__xludf.DUMMYFUNCTION("""COMPUTED_VALUE"""),"Male")</f>
        <v>Male</v>
      </c>
    </row>
    <row r="109" spans="1:17" x14ac:dyDescent="0.25">
      <c r="M109" s="4" t="s">
        <v>51</v>
      </c>
      <c r="N109" s="1" t="str">
        <f ca="1">IFERROR(__xludf.DUMMYFUNCTION("""COMPUTED_VALUE"""),"Male")</f>
        <v>Male</v>
      </c>
      <c r="P109" s="1" t="str">
        <f ca="1">IFERROR(__xludf.DUMMYFUNCTION("""COMPUTED_VALUE"""),"Work &lt;=6 People in the Team")</f>
        <v>Work &lt;=6 People in the Team</v>
      </c>
      <c r="Q109" s="1" t="str">
        <f ca="1">IFERROR(__xludf.DUMMYFUNCTION("""COMPUTED_VALUE"""),"Male")</f>
        <v>Male</v>
      </c>
    </row>
    <row r="110" spans="1:17" x14ac:dyDescent="0.25">
      <c r="M110" s="4" t="s">
        <v>54</v>
      </c>
      <c r="N110" s="1" t="str">
        <f ca="1">IFERROR(__xludf.DUMMYFUNCTION("""COMPUTED_VALUE"""),"Male")</f>
        <v>Male</v>
      </c>
      <c r="P110" s="1" t="str">
        <f ca="1">IFERROR(__xludf.DUMMYFUNCTION("""COMPUTED_VALUE"""),"Work Alone, &lt;67 people in team")</f>
        <v>Work Alone, &lt;67 people in team</v>
      </c>
      <c r="Q110" s="1" t="str">
        <f ca="1">IFERROR(__xludf.DUMMYFUNCTION("""COMPUTED_VALUE"""),"Male")</f>
        <v>Male</v>
      </c>
    </row>
    <row r="111" spans="1:17" x14ac:dyDescent="0.25">
      <c r="M111" s="4" t="s">
        <v>52</v>
      </c>
      <c r="N111" s="1" t="str">
        <f ca="1">IFERROR(__xludf.DUMMYFUNCTION("""COMPUTED_VALUE"""),"Male")</f>
        <v>Male</v>
      </c>
      <c r="P111" s="1" t="str">
        <f ca="1">IFERROR(__xludf.DUMMYFUNCTION("""COMPUTED_VALUE"""),"Work &lt;=6 People in the Team")</f>
        <v>Work &lt;=6 People in the Team</v>
      </c>
      <c r="Q111" s="1" t="str">
        <f ca="1">IFERROR(__xludf.DUMMYFUNCTION("""COMPUTED_VALUE"""),"Male")</f>
        <v>Male</v>
      </c>
    </row>
    <row r="112" spans="1:17" x14ac:dyDescent="0.25">
      <c r="M112" s="4" t="s">
        <v>54</v>
      </c>
      <c r="N112" s="1" t="str">
        <f ca="1">IFERROR(__xludf.DUMMYFUNCTION("""COMPUTED_VALUE"""),"Female")</f>
        <v>Female</v>
      </c>
      <c r="P112" s="1" t="str">
        <f ca="1">IFERROR(__xludf.DUMMYFUNCTION("""COMPUTED_VALUE"""),"Work Alone, &lt;=6 in team")</f>
        <v>Work Alone, &lt;=6 in team</v>
      </c>
      <c r="Q112" s="1" t="str">
        <f ca="1">IFERROR(__xludf.DUMMYFUNCTION("""COMPUTED_VALUE"""),"Female")</f>
        <v>Female</v>
      </c>
    </row>
    <row r="113" spans="1:17" x14ac:dyDescent="0.25">
      <c r="M113" s="4" t="s">
        <v>51</v>
      </c>
      <c r="N113" s="1" t="str">
        <f ca="1">IFERROR(__xludf.DUMMYFUNCTION("""COMPUTED_VALUE"""),"Female")</f>
        <v>Female</v>
      </c>
      <c r="P113" s="1" t="str">
        <f ca="1">IFERROR(__xludf.DUMMYFUNCTION("""COMPUTED_VALUE"""),"Work &lt;=6 People in the Team")</f>
        <v>Work &lt;=6 People in the Team</v>
      </c>
      <c r="Q113" s="1" t="str">
        <f ca="1">IFERROR(__xludf.DUMMYFUNCTION("""COMPUTED_VALUE"""),"Female")</f>
        <v>Female</v>
      </c>
    </row>
    <row r="114" spans="1:17" x14ac:dyDescent="0.25">
      <c r="A114" s="3" t="s">
        <v>22</v>
      </c>
      <c r="B114" t="s">
        <v>23</v>
      </c>
      <c r="M114" s="4" t="s">
        <v>48</v>
      </c>
      <c r="N114" s="1" t="str">
        <f ca="1">IFERROR(__xludf.DUMMYFUNCTION("""COMPUTED_VALUE"""),"Male")</f>
        <v>Male</v>
      </c>
      <c r="P114" s="1" t="str">
        <f ca="1">IFERROR(__xludf.DUMMYFUNCTION("""COMPUTED_VALUE"""),"Work &lt;=6 People in the Team")</f>
        <v>Work &lt;=6 People in the Team</v>
      </c>
      <c r="Q114" s="1" t="str">
        <f ca="1">IFERROR(__xludf.DUMMYFUNCTION("""COMPUTED_VALUE"""),"Male")</f>
        <v>Male</v>
      </c>
    </row>
    <row r="115" spans="1:17" x14ac:dyDescent="0.25">
      <c r="A115" s="4" t="s">
        <v>24</v>
      </c>
      <c r="B115">
        <v>534</v>
      </c>
      <c r="M115" s="4" t="s">
        <v>51</v>
      </c>
      <c r="N115" s="1" t="str">
        <f ca="1">IFERROR(__xludf.DUMMYFUNCTION("""COMPUTED_VALUE"""),"Male")</f>
        <v>Male</v>
      </c>
      <c r="P115" s="1" t="str">
        <f ca="1">IFERROR(__xludf.DUMMYFUNCTION("""COMPUTED_VALUE"""),"Work Alone, &lt;67 people in team")</f>
        <v>Work Alone, &lt;67 people in team</v>
      </c>
      <c r="Q115" s="1" t="str">
        <f ca="1">IFERROR(__xludf.DUMMYFUNCTION("""COMPUTED_VALUE"""),"Male")</f>
        <v>Male</v>
      </c>
    </row>
    <row r="116" spans="1:17" x14ac:dyDescent="0.25">
      <c r="A116" s="4" t="s">
        <v>25</v>
      </c>
      <c r="B116">
        <v>36</v>
      </c>
      <c r="M116" s="4" t="s">
        <v>48</v>
      </c>
      <c r="N116" s="1" t="str">
        <f ca="1">IFERROR(__xludf.DUMMYFUNCTION("""COMPUTED_VALUE"""),"Female")</f>
        <v>Female</v>
      </c>
      <c r="P116" s="1" t="str">
        <f ca="1">IFERROR(__xludf.DUMMYFUNCTION("""COMPUTED_VALUE"""),"Work &lt;=6 People in the Team")</f>
        <v>Work &lt;=6 People in the Team</v>
      </c>
      <c r="Q116" s="1" t="str">
        <f ca="1">IFERROR(__xludf.DUMMYFUNCTION("""COMPUTED_VALUE"""),"Female")</f>
        <v>Female</v>
      </c>
    </row>
    <row r="117" spans="1:17" x14ac:dyDescent="0.25">
      <c r="A117" s="4" t="s">
        <v>26</v>
      </c>
      <c r="B117">
        <v>908</v>
      </c>
      <c r="M117" s="4" t="s">
        <v>51</v>
      </c>
      <c r="N117" s="1" t="str">
        <f ca="1">IFERROR(__xludf.DUMMYFUNCTION("""COMPUTED_VALUE"""),"Male")</f>
        <v>Male</v>
      </c>
      <c r="P117" s="1" t="str">
        <f ca="1">IFERROR(__xludf.DUMMYFUNCTION("""COMPUTED_VALUE"""),"Work &lt;=6 People in the Team")</f>
        <v>Work &lt;=6 People in the Team</v>
      </c>
      <c r="Q117" s="1" t="str">
        <f ca="1">IFERROR(__xludf.DUMMYFUNCTION("""COMPUTED_VALUE"""),"Male")</f>
        <v>Male</v>
      </c>
    </row>
    <row r="118" spans="1:17" x14ac:dyDescent="0.25">
      <c r="A118" s="4" t="s">
        <v>27</v>
      </c>
      <c r="B118">
        <v>257</v>
      </c>
      <c r="M118" s="4" t="s">
        <v>50</v>
      </c>
      <c r="N118" s="1" t="str">
        <f ca="1">IFERROR(__xludf.DUMMYFUNCTION("""COMPUTED_VALUE"""),"Male")</f>
        <v>Male</v>
      </c>
      <c r="P118" s="1" t="str">
        <f ca="1">IFERROR(__xludf.DUMMYFUNCTION("""COMPUTED_VALUE"""),"Work &lt;=6 People in the Team")</f>
        <v>Work &lt;=6 People in the Team</v>
      </c>
      <c r="Q118" s="1" t="str">
        <f ca="1">IFERROR(__xludf.DUMMYFUNCTION("""COMPUTED_VALUE"""),"Male")</f>
        <v>Male</v>
      </c>
    </row>
    <row r="119" spans="1:17" x14ac:dyDescent="0.25">
      <c r="A119" s="4" t="s">
        <v>28</v>
      </c>
      <c r="B119">
        <v>18</v>
      </c>
      <c r="M119" s="4" t="s">
        <v>48</v>
      </c>
      <c r="N119" s="1" t="str">
        <f ca="1">IFERROR(__xludf.DUMMYFUNCTION("""COMPUTED_VALUE"""),"Male")</f>
        <v>Male</v>
      </c>
      <c r="P119" s="1" t="str">
        <f ca="1">IFERROR(__xludf.DUMMYFUNCTION("""COMPUTED_VALUE"""),"Work &lt;=6 People in the Team")</f>
        <v>Work &lt;=6 People in the Team</v>
      </c>
      <c r="Q119" s="1" t="str">
        <f ca="1">IFERROR(__xludf.DUMMYFUNCTION("""COMPUTED_VALUE"""),"Male")</f>
        <v>Male</v>
      </c>
    </row>
    <row r="120" spans="1:17" x14ac:dyDescent="0.25">
      <c r="M120" s="4" t="s">
        <v>48</v>
      </c>
      <c r="N120" s="1" t="str">
        <f ca="1">IFERROR(__xludf.DUMMYFUNCTION("""COMPUTED_VALUE"""),"Male")</f>
        <v>Male</v>
      </c>
      <c r="P120" s="1" t="str">
        <f ca="1">IFERROR(__xludf.DUMMYFUNCTION("""COMPUTED_VALUE"""),"Work alone")</f>
        <v>Work alone</v>
      </c>
      <c r="Q120" s="1" t="str">
        <f ca="1">IFERROR(__xludf.DUMMYFUNCTION("""COMPUTED_VALUE"""),"Male")</f>
        <v>Male</v>
      </c>
    </row>
    <row r="121" spans="1:17" x14ac:dyDescent="0.25">
      <c r="M121" s="4" t="s">
        <v>55</v>
      </c>
      <c r="N121" s="1" t="str">
        <f ca="1">IFERROR(__xludf.DUMMYFUNCTION("""COMPUTED_VALUE"""),"Female")</f>
        <v>Female</v>
      </c>
      <c r="P121" s="1" t="str">
        <f ca="1">IFERROR(__xludf.DUMMYFUNCTION("""COMPUTED_VALUE"""),"Work &gt;10 people in Team")</f>
        <v>Work &gt;10 people in Team</v>
      </c>
      <c r="Q121" s="1" t="str">
        <f ca="1">IFERROR(__xludf.DUMMYFUNCTION("""COMPUTED_VALUE"""),"Female")</f>
        <v>Female</v>
      </c>
    </row>
    <row r="122" spans="1:17" x14ac:dyDescent="0.25">
      <c r="M122" s="4" t="s">
        <v>50</v>
      </c>
      <c r="N122" s="1" t="str">
        <f ca="1">IFERROR(__xludf.DUMMYFUNCTION("""COMPUTED_VALUE"""),"Female")</f>
        <v>Female</v>
      </c>
      <c r="P122" s="1" t="str">
        <f ca="1">IFERROR(__xludf.DUMMYFUNCTION("""COMPUTED_VALUE"""),"Work &lt;=6 People in the Team")</f>
        <v>Work &lt;=6 People in the Team</v>
      </c>
      <c r="Q122" s="1" t="str">
        <f ca="1">IFERROR(__xludf.DUMMYFUNCTION("""COMPUTED_VALUE"""),"Female")</f>
        <v>Female</v>
      </c>
    </row>
    <row r="123" spans="1:17" x14ac:dyDescent="0.25">
      <c r="M123" s="4" t="s">
        <v>50</v>
      </c>
      <c r="N123" s="1" t="str">
        <f ca="1">IFERROR(__xludf.DUMMYFUNCTION("""COMPUTED_VALUE"""),"Male")</f>
        <v>Male</v>
      </c>
      <c r="P123" s="1" t="str">
        <f ca="1">IFERROR(__xludf.DUMMYFUNCTION("""COMPUTED_VALUE"""),"Work &gt;10 people in Team")</f>
        <v>Work &gt;10 people in Team</v>
      </c>
      <c r="Q123" s="1" t="str">
        <f ca="1">IFERROR(__xludf.DUMMYFUNCTION("""COMPUTED_VALUE"""),"Male")</f>
        <v>Male</v>
      </c>
    </row>
    <row r="124" spans="1:17" x14ac:dyDescent="0.25">
      <c r="M124" s="4" t="s">
        <v>50</v>
      </c>
      <c r="N124" s="1" t="str">
        <f ca="1">IFERROR(__xludf.DUMMYFUNCTION("""COMPUTED_VALUE"""),"Female")</f>
        <v>Female</v>
      </c>
      <c r="P124" s="1" t="str">
        <f ca="1">IFERROR(__xludf.DUMMYFUNCTION("""COMPUTED_VALUE"""),"Work &lt;=6 People in the Team")</f>
        <v>Work &lt;=6 People in the Team</v>
      </c>
      <c r="Q124" s="1" t="str">
        <f ca="1">IFERROR(__xludf.DUMMYFUNCTION("""COMPUTED_VALUE"""),"Female")</f>
        <v>Female</v>
      </c>
    </row>
    <row r="125" spans="1:17" x14ac:dyDescent="0.25">
      <c r="M125" s="4" t="s">
        <v>49</v>
      </c>
      <c r="N125" s="1" t="str">
        <f ca="1">IFERROR(__xludf.DUMMYFUNCTION("""COMPUTED_VALUE"""),"Female")</f>
        <v>Female</v>
      </c>
      <c r="P125" s="1" t="str">
        <f ca="1">IFERROR(__xludf.DUMMYFUNCTION("""COMPUTED_VALUE"""),"Work &lt;=6 People in the Team")</f>
        <v>Work &lt;=6 People in the Team</v>
      </c>
      <c r="Q125" s="1" t="str">
        <f ca="1">IFERROR(__xludf.DUMMYFUNCTION("""COMPUTED_VALUE"""),"Female")</f>
        <v>Female</v>
      </c>
    </row>
    <row r="126" spans="1:17" x14ac:dyDescent="0.25">
      <c r="M126" s="4" t="s">
        <v>53</v>
      </c>
      <c r="N126" s="1" t="str">
        <f ca="1">IFERROR(__xludf.DUMMYFUNCTION("""COMPUTED_VALUE"""),"Male")</f>
        <v>Male</v>
      </c>
      <c r="P126" s="1" t="str">
        <f ca="1">IFERROR(__xludf.DUMMYFUNCTION("""COMPUTED_VALUE"""),"Work &lt;=6 People in the Team")</f>
        <v>Work &lt;=6 People in the Team</v>
      </c>
      <c r="Q126" s="1" t="str">
        <f ca="1">IFERROR(__xludf.DUMMYFUNCTION("""COMPUTED_VALUE"""),"Male")</f>
        <v>Male</v>
      </c>
    </row>
    <row r="127" spans="1:17" x14ac:dyDescent="0.25">
      <c r="M127" s="4" t="s">
        <v>48</v>
      </c>
      <c r="N127" s="1" t="str">
        <f ca="1">IFERROR(__xludf.DUMMYFUNCTION("""COMPUTED_VALUE"""),"Male")</f>
        <v>Male</v>
      </c>
      <c r="P127" s="1" t="str">
        <f ca="1">IFERROR(__xludf.DUMMYFUNCTION("""COMPUTED_VALUE"""),"Work &lt;=6 People in the Team")</f>
        <v>Work &lt;=6 People in the Team</v>
      </c>
      <c r="Q127" s="1" t="str">
        <f ca="1">IFERROR(__xludf.DUMMYFUNCTION("""COMPUTED_VALUE"""),"Male")</f>
        <v>Male</v>
      </c>
    </row>
    <row r="128" spans="1:17" x14ac:dyDescent="0.25">
      <c r="M128" s="4" t="s">
        <v>48</v>
      </c>
      <c r="N128" s="1" t="str">
        <f ca="1">IFERROR(__xludf.DUMMYFUNCTION("""COMPUTED_VALUE"""),"Male")</f>
        <v>Male</v>
      </c>
      <c r="P128" s="1" t="str">
        <f ca="1">IFERROR(__xludf.DUMMYFUNCTION("""COMPUTED_VALUE"""),"Work &lt;=6 People in the Team")</f>
        <v>Work &lt;=6 People in the Team</v>
      </c>
      <c r="Q128" s="1" t="str">
        <f ca="1">IFERROR(__xludf.DUMMYFUNCTION("""COMPUTED_VALUE"""),"Male")</f>
        <v>Male</v>
      </c>
    </row>
    <row r="129" spans="13:17" x14ac:dyDescent="0.25">
      <c r="M129" s="4" t="s">
        <v>48</v>
      </c>
      <c r="N129" s="1" t="str">
        <f ca="1">IFERROR(__xludf.DUMMYFUNCTION("""COMPUTED_VALUE"""),"Male")</f>
        <v>Male</v>
      </c>
      <c r="P129" s="1" t="str">
        <f ca="1">IFERROR(__xludf.DUMMYFUNCTION("""COMPUTED_VALUE"""),"Work &gt;=7 People in the Team")</f>
        <v>Work &gt;=7 People in the Team</v>
      </c>
      <c r="Q129" s="1" t="str">
        <f ca="1">IFERROR(__xludf.DUMMYFUNCTION("""COMPUTED_VALUE"""),"Male")</f>
        <v>Male</v>
      </c>
    </row>
    <row r="130" spans="13:17" x14ac:dyDescent="0.25">
      <c r="M130" s="4" t="s">
        <v>48</v>
      </c>
      <c r="N130" s="1" t="str">
        <f ca="1">IFERROR(__xludf.DUMMYFUNCTION("""COMPUTED_VALUE"""),"Male")</f>
        <v>Male</v>
      </c>
      <c r="P130" s="1" t="str">
        <f ca="1">IFERROR(__xludf.DUMMYFUNCTION("""COMPUTED_VALUE"""),"Work Alone, &lt;=6 in team")</f>
        <v>Work Alone, &lt;=6 in team</v>
      </c>
      <c r="Q130" s="1" t="str">
        <f ca="1">IFERROR(__xludf.DUMMYFUNCTION("""COMPUTED_VALUE"""),"Male")</f>
        <v>Male</v>
      </c>
    </row>
    <row r="131" spans="13:17" x14ac:dyDescent="0.25">
      <c r="M131" s="4" t="s">
        <v>48</v>
      </c>
      <c r="N131" s="1" t="str">
        <f ca="1">IFERROR(__xludf.DUMMYFUNCTION("""COMPUTED_VALUE"""),"Male")</f>
        <v>Male</v>
      </c>
      <c r="P131" s="1" t="str">
        <f ca="1">IFERROR(__xludf.DUMMYFUNCTION("""COMPUTED_VALUE"""),"Work &lt;=6 People in the Team")</f>
        <v>Work &lt;=6 People in the Team</v>
      </c>
      <c r="Q131" s="1" t="str">
        <f ca="1">IFERROR(__xludf.DUMMYFUNCTION("""COMPUTED_VALUE"""),"Male")</f>
        <v>Male</v>
      </c>
    </row>
    <row r="132" spans="13:17" x14ac:dyDescent="0.25">
      <c r="M132" s="4" t="s">
        <v>49</v>
      </c>
      <c r="N132" s="1" t="str">
        <f ca="1">IFERROR(__xludf.DUMMYFUNCTION("""COMPUTED_VALUE"""),"Male")</f>
        <v>Male</v>
      </c>
      <c r="P132" s="1" t="str">
        <f ca="1">IFERROR(__xludf.DUMMYFUNCTION("""COMPUTED_VALUE"""),"Work &lt;=6 People in the Team")</f>
        <v>Work &lt;=6 People in the Team</v>
      </c>
      <c r="Q132" s="1" t="str">
        <f ca="1">IFERROR(__xludf.DUMMYFUNCTION("""COMPUTED_VALUE"""),"Male")</f>
        <v>Male</v>
      </c>
    </row>
    <row r="133" spans="13:17" x14ac:dyDescent="0.25">
      <c r="M133" s="4" t="s">
        <v>48</v>
      </c>
      <c r="N133" s="1" t="str">
        <f ca="1">IFERROR(__xludf.DUMMYFUNCTION("""COMPUTED_VALUE"""),"Male")</f>
        <v>Male</v>
      </c>
      <c r="P133" s="1" t="str">
        <f ca="1">IFERROR(__xludf.DUMMYFUNCTION("""COMPUTED_VALUE"""),"Work Alone, &lt;=6 in team")</f>
        <v>Work Alone, &lt;=6 in team</v>
      </c>
      <c r="Q133" s="1" t="str">
        <f ca="1">IFERROR(__xludf.DUMMYFUNCTION("""COMPUTED_VALUE"""),"Male")</f>
        <v>Male</v>
      </c>
    </row>
    <row r="134" spans="13:17" x14ac:dyDescent="0.25">
      <c r="M134" s="4" t="s">
        <v>48</v>
      </c>
      <c r="N134" s="1" t="str">
        <f ca="1">IFERROR(__xludf.DUMMYFUNCTION("""COMPUTED_VALUE"""),"Male")</f>
        <v>Male</v>
      </c>
      <c r="P134" s="1" t="str">
        <f ca="1">IFERROR(__xludf.DUMMYFUNCTION("""COMPUTED_VALUE"""),"Work &lt;=6 People in the Team")</f>
        <v>Work &lt;=6 People in the Team</v>
      </c>
      <c r="Q134" s="1" t="str">
        <f ca="1">IFERROR(__xludf.DUMMYFUNCTION("""COMPUTED_VALUE"""),"Male")</f>
        <v>Male</v>
      </c>
    </row>
    <row r="135" spans="13:17" x14ac:dyDescent="0.25">
      <c r="M135" s="4" t="s">
        <v>48</v>
      </c>
      <c r="N135" s="1" t="str">
        <f ca="1">IFERROR(__xludf.DUMMYFUNCTION("""COMPUTED_VALUE"""),"Male")</f>
        <v>Male</v>
      </c>
      <c r="P135" s="1" t="str">
        <f ca="1">IFERROR(__xludf.DUMMYFUNCTION("""COMPUTED_VALUE"""),"Work &lt;=6 People in the Team")</f>
        <v>Work &lt;=6 People in the Team</v>
      </c>
      <c r="Q135" s="1" t="str">
        <f ca="1">IFERROR(__xludf.DUMMYFUNCTION("""COMPUTED_VALUE"""),"Male")</f>
        <v>Male</v>
      </c>
    </row>
    <row r="136" spans="13:17" x14ac:dyDescent="0.25">
      <c r="M136" s="4" t="s">
        <v>48</v>
      </c>
      <c r="N136" s="1" t="str">
        <f ca="1">IFERROR(__xludf.DUMMYFUNCTION("""COMPUTED_VALUE"""),"Male")</f>
        <v>Male</v>
      </c>
      <c r="P136" s="1" t="str">
        <f ca="1">IFERROR(__xludf.DUMMYFUNCTION("""COMPUTED_VALUE"""),"Work &lt;=6 People in the Team")</f>
        <v>Work &lt;=6 People in the Team</v>
      </c>
      <c r="Q136" s="1" t="str">
        <f ca="1">IFERROR(__xludf.DUMMYFUNCTION("""COMPUTED_VALUE"""),"Male")</f>
        <v>Male</v>
      </c>
    </row>
    <row r="137" spans="13:17" x14ac:dyDescent="0.25">
      <c r="M137" s="4" t="s">
        <v>53</v>
      </c>
      <c r="N137" s="1" t="str">
        <f ca="1">IFERROR(__xludf.DUMMYFUNCTION("""COMPUTED_VALUE"""),"Male")</f>
        <v>Male</v>
      </c>
      <c r="P137" s="1" t="str">
        <f ca="1">IFERROR(__xludf.DUMMYFUNCTION("""COMPUTED_VALUE"""),"Work &lt;=6 People in the Team")</f>
        <v>Work &lt;=6 People in the Team</v>
      </c>
      <c r="Q137" s="1" t="str">
        <f ca="1">IFERROR(__xludf.DUMMYFUNCTION("""COMPUTED_VALUE"""),"Male")</f>
        <v>Male</v>
      </c>
    </row>
    <row r="138" spans="13:17" x14ac:dyDescent="0.25">
      <c r="M138" s="4" t="s">
        <v>48</v>
      </c>
      <c r="N138" s="1" t="str">
        <f ca="1">IFERROR(__xludf.DUMMYFUNCTION("""COMPUTED_VALUE"""),"Male")</f>
        <v>Male</v>
      </c>
      <c r="P138" s="1" t="str">
        <f ca="1">IFERROR(__xludf.DUMMYFUNCTION("""COMPUTED_VALUE"""),"Work &lt;=6 People in the Team")</f>
        <v>Work &lt;=6 People in the Team</v>
      </c>
      <c r="Q138" s="1" t="str">
        <f ca="1">IFERROR(__xludf.DUMMYFUNCTION("""COMPUTED_VALUE"""),"Male")</f>
        <v>Male</v>
      </c>
    </row>
    <row r="139" spans="13:17" x14ac:dyDescent="0.25">
      <c r="M139" s="4" t="s">
        <v>53</v>
      </c>
      <c r="N139" s="1" t="str">
        <f ca="1">IFERROR(__xludf.DUMMYFUNCTION("""COMPUTED_VALUE"""),"Female")</f>
        <v>Female</v>
      </c>
      <c r="P139" s="1" t="str">
        <f ca="1">IFERROR(__xludf.DUMMYFUNCTION("""COMPUTED_VALUE"""),"Work &lt;=6 People in the Team")</f>
        <v>Work &lt;=6 People in the Team</v>
      </c>
      <c r="Q139" s="1" t="str">
        <f ca="1">IFERROR(__xludf.DUMMYFUNCTION("""COMPUTED_VALUE"""),"Female")</f>
        <v>Female</v>
      </c>
    </row>
    <row r="140" spans="13:17" x14ac:dyDescent="0.25">
      <c r="M140" s="4" t="s">
        <v>48</v>
      </c>
      <c r="N140" s="1" t="str">
        <f ca="1">IFERROR(__xludf.DUMMYFUNCTION("""COMPUTED_VALUE"""),"Male")</f>
        <v>Male</v>
      </c>
      <c r="P140" s="1" t="str">
        <f ca="1">IFERROR(__xludf.DUMMYFUNCTION("""COMPUTED_VALUE"""),"Work &lt;=6 People in the Team")</f>
        <v>Work &lt;=6 People in the Team</v>
      </c>
      <c r="Q140" s="1" t="str">
        <f ca="1">IFERROR(__xludf.DUMMYFUNCTION("""COMPUTED_VALUE"""),"Male")</f>
        <v>Male</v>
      </c>
    </row>
    <row r="141" spans="13:17" x14ac:dyDescent="0.25">
      <c r="M141" s="4" t="s">
        <v>48</v>
      </c>
      <c r="N141" s="1" t="str">
        <f ca="1">IFERROR(__xludf.DUMMYFUNCTION("""COMPUTED_VALUE"""),"Male")</f>
        <v>Male</v>
      </c>
      <c r="P141" s="1" t="str">
        <f ca="1">IFERROR(__xludf.DUMMYFUNCTION("""COMPUTED_VALUE"""),"Work &lt;=6 People in the Team")</f>
        <v>Work &lt;=6 People in the Team</v>
      </c>
      <c r="Q141" s="1" t="str">
        <f ca="1">IFERROR(__xludf.DUMMYFUNCTION("""COMPUTED_VALUE"""),"Male")</f>
        <v>Male</v>
      </c>
    </row>
    <row r="142" spans="13:17" x14ac:dyDescent="0.25">
      <c r="M142" s="4" t="s">
        <v>49</v>
      </c>
      <c r="N142" s="1" t="str">
        <f ca="1">IFERROR(__xludf.DUMMYFUNCTION("""COMPUTED_VALUE"""),"Male")</f>
        <v>Male</v>
      </c>
      <c r="P142" s="1" t="str">
        <f ca="1">IFERROR(__xludf.DUMMYFUNCTION("""COMPUTED_VALUE"""),"Work &lt;=6 People in the Team")</f>
        <v>Work &lt;=6 People in the Team</v>
      </c>
      <c r="Q142" s="1" t="str">
        <f ca="1">IFERROR(__xludf.DUMMYFUNCTION("""COMPUTED_VALUE"""),"Male")</f>
        <v>Male</v>
      </c>
    </row>
    <row r="143" spans="13:17" x14ac:dyDescent="0.25">
      <c r="M143" s="4" t="s">
        <v>50</v>
      </c>
      <c r="N143" s="1" t="str">
        <f ca="1">IFERROR(__xludf.DUMMYFUNCTION("""COMPUTED_VALUE"""),"Female")</f>
        <v>Female</v>
      </c>
      <c r="P143" s="1" t="str">
        <f ca="1">IFERROR(__xludf.DUMMYFUNCTION("""COMPUTED_VALUE"""),"Work  &lt;67 people in team")</f>
        <v>Work  &lt;67 people in team</v>
      </c>
      <c r="Q143" s="1" t="str">
        <f ca="1">IFERROR(__xludf.DUMMYFUNCTION("""COMPUTED_VALUE"""),"Female")</f>
        <v>Female</v>
      </c>
    </row>
    <row r="144" spans="13:17" x14ac:dyDescent="0.25">
      <c r="M144" s="4" t="s">
        <v>48</v>
      </c>
      <c r="N144" s="1" t="str">
        <f ca="1">IFERROR(__xludf.DUMMYFUNCTION("""COMPUTED_VALUE"""),"Male")</f>
        <v>Male</v>
      </c>
      <c r="P144" s="1" t="str">
        <f ca="1">IFERROR(__xludf.DUMMYFUNCTION("""COMPUTED_VALUE"""),"Work Alone, &lt;=6 in team")</f>
        <v>Work Alone, &lt;=6 in team</v>
      </c>
      <c r="Q144" s="1" t="str">
        <f ca="1">IFERROR(__xludf.DUMMYFUNCTION("""COMPUTED_VALUE"""),"Male")</f>
        <v>Male</v>
      </c>
    </row>
    <row r="145" spans="13:17" x14ac:dyDescent="0.25">
      <c r="M145" s="4" t="s">
        <v>55</v>
      </c>
      <c r="N145" s="1" t="str">
        <f ca="1">IFERROR(__xludf.DUMMYFUNCTION("""COMPUTED_VALUE"""),"Male")</f>
        <v>Male</v>
      </c>
      <c r="P145" s="1" t="str">
        <f ca="1">IFERROR(__xludf.DUMMYFUNCTION("""COMPUTED_VALUE"""),"Work  &lt;67 people in team")</f>
        <v>Work  &lt;67 people in team</v>
      </c>
      <c r="Q145" s="1" t="str">
        <f ca="1">IFERROR(__xludf.DUMMYFUNCTION("""COMPUTED_VALUE"""),"Male")</f>
        <v>Male</v>
      </c>
    </row>
    <row r="146" spans="13:17" x14ac:dyDescent="0.25">
      <c r="M146" s="4" t="s">
        <v>48</v>
      </c>
      <c r="N146" s="1" t="str">
        <f ca="1">IFERROR(__xludf.DUMMYFUNCTION("""COMPUTED_VALUE"""),"Male")</f>
        <v>Male</v>
      </c>
      <c r="P146" s="1" t="str">
        <f ca="1">IFERROR(__xludf.DUMMYFUNCTION("""COMPUTED_VALUE"""),"Work &lt;=6 People in the Team")</f>
        <v>Work &lt;=6 People in the Team</v>
      </c>
      <c r="Q146" s="1" t="str">
        <f ca="1">IFERROR(__xludf.DUMMYFUNCTION("""COMPUTED_VALUE"""),"Male")</f>
        <v>Male</v>
      </c>
    </row>
    <row r="147" spans="13:17" x14ac:dyDescent="0.25">
      <c r="M147" s="4" t="s">
        <v>48</v>
      </c>
      <c r="N147" s="1" t="str">
        <f ca="1">IFERROR(__xludf.DUMMYFUNCTION("""COMPUTED_VALUE"""),"Male")</f>
        <v>Male</v>
      </c>
      <c r="P147" s="1" t="str">
        <f ca="1">IFERROR(__xludf.DUMMYFUNCTION("""COMPUTED_VALUE"""),"Work alone")</f>
        <v>Work alone</v>
      </c>
      <c r="Q147" s="1" t="str">
        <f ca="1">IFERROR(__xludf.DUMMYFUNCTION("""COMPUTED_VALUE"""),"Male")</f>
        <v>Male</v>
      </c>
    </row>
    <row r="148" spans="13:17" x14ac:dyDescent="0.25">
      <c r="M148" s="4" t="s">
        <v>51</v>
      </c>
      <c r="N148" s="1" t="str">
        <f ca="1">IFERROR(__xludf.DUMMYFUNCTION("""COMPUTED_VALUE"""),"Female")</f>
        <v>Female</v>
      </c>
      <c r="P148" s="1" t="str">
        <f ca="1">IFERROR(__xludf.DUMMYFUNCTION("""COMPUTED_VALUE"""),"Work &lt;=6 People in the Team")</f>
        <v>Work &lt;=6 People in the Team</v>
      </c>
      <c r="Q148" s="1" t="str">
        <f ca="1">IFERROR(__xludf.DUMMYFUNCTION("""COMPUTED_VALUE"""),"Female")</f>
        <v>Female</v>
      </c>
    </row>
    <row r="149" spans="13:17" x14ac:dyDescent="0.25">
      <c r="M149" s="4" t="s">
        <v>55</v>
      </c>
      <c r="N149" s="1" t="str">
        <f ca="1">IFERROR(__xludf.DUMMYFUNCTION("""COMPUTED_VALUE"""),"Male")</f>
        <v>Male</v>
      </c>
      <c r="P149" s="1" t="str">
        <f ca="1">IFERROR(__xludf.DUMMYFUNCTION("""COMPUTED_VALUE"""),"Work &lt;=6 People in the Team")</f>
        <v>Work &lt;=6 People in the Team</v>
      </c>
      <c r="Q149" s="1" t="str">
        <f ca="1">IFERROR(__xludf.DUMMYFUNCTION("""COMPUTED_VALUE"""),"Male")</f>
        <v>Male</v>
      </c>
    </row>
    <row r="150" spans="13:17" x14ac:dyDescent="0.25">
      <c r="M150" s="4" t="s">
        <v>48</v>
      </c>
      <c r="N150" s="1" t="str">
        <f ca="1">IFERROR(__xludf.DUMMYFUNCTION("""COMPUTED_VALUE"""),"Male")</f>
        <v>Male</v>
      </c>
      <c r="P150" s="1" t="str">
        <f ca="1">IFERROR(__xludf.DUMMYFUNCTION("""COMPUTED_VALUE"""),"Work &lt;=6 People in the Team")</f>
        <v>Work &lt;=6 People in the Team</v>
      </c>
      <c r="Q150" s="1" t="str">
        <f ca="1">IFERROR(__xludf.DUMMYFUNCTION("""COMPUTED_VALUE"""),"Male")</f>
        <v>Male</v>
      </c>
    </row>
    <row r="151" spans="13:17" x14ac:dyDescent="0.25">
      <c r="M151" s="4" t="s">
        <v>51</v>
      </c>
      <c r="N151" s="1" t="str">
        <f ca="1">IFERROR(__xludf.DUMMYFUNCTION("""COMPUTED_VALUE"""),"Female")</f>
        <v>Female</v>
      </c>
      <c r="P151" s="1" t="str">
        <f ca="1">IFERROR(__xludf.DUMMYFUNCTION("""COMPUTED_VALUE"""),"Work &lt;=6 People in the Team")</f>
        <v>Work &lt;=6 People in the Team</v>
      </c>
      <c r="Q151" s="1" t="str">
        <f ca="1">IFERROR(__xludf.DUMMYFUNCTION("""COMPUTED_VALUE"""),"Female")</f>
        <v>Female</v>
      </c>
    </row>
    <row r="152" spans="13:17" x14ac:dyDescent="0.25">
      <c r="M152" s="4" t="s">
        <v>48</v>
      </c>
      <c r="N152" s="1" t="str">
        <f ca="1">IFERROR(__xludf.DUMMYFUNCTION("""COMPUTED_VALUE"""),"Female")</f>
        <v>Female</v>
      </c>
      <c r="P152" s="1" t="str">
        <f ca="1">IFERROR(__xludf.DUMMYFUNCTION("""COMPUTED_VALUE"""),"Work &lt;=6 People in the Team")</f>
        <v>Work &lt;=6 People in the Team</v>
      </c>
      <c r="Q152" s="1" t="str">
        <f ca="1">IFERROR(__xludf.DUMMYFUNCTION("""COMPUTED_VALUE"""),"Female")</f>
        <v>Female</v>
      </c>
    </row>
    <row r="153" spans="13:17" x14ac:dyDescent="0.25">
      <c r="M153" s="4" t="s">
        <v>48</v>
      </c>
      <c r="N153" s="1" t="str">
        <f ca="1">IFERROR(__xludf.DUMMYFUNCTION("""COMPUTED_VALUE"""),"Male")</f>
        <v>Male</v>
      </c>
      <c r="P153" s="1" t="str">
        <f ca="1">IFERROR(__xludf.DUMMYFUNCTION("""COMPUTED_VALUE"""),"Work &lt;=6 People in the Team")</f>
        <v>Work &lt;=6 People in the Team</v>
      </c>
      <c r="Q153" s="1" t="str">
        <f ca="1">IFERROR(__xludf.DUMMYFUNCTION("""COMPUTED_VALUE"""),"Male")</f>
        <v>Male</v>
      </c>
    </row>
    <row r="154" spans="13:17" x14ac:dyDescent="0.25">
      <c r="M154" s="4" t="s">
        <v>50</v>
      </c>
      <c r="N154" s="1" t="str">
        <f ca="1">IFERROR(__xludf.DUMMYFUNCTION("""COMPUTED_VALUE"""),"Female")</f>
        <v>Female</v>
      </c>
      <c r="P154" s="1" t="str">
        <f ca="1">IFERROR(__xludf.DUMMYFUNCTION("""COMPUTED_VALUE"""),"Work &lt;67 People in the Team")</f>
        <v>Work &lt;67 People in the Team</v>
      </c>
      <c r="Q154" s="1" t="str">
        <f ca="1">IFERROR(__xludf.DUMMYFUNCTION("""COMPUTED_VALUE"""),"Female")</f>
        <v>Female</v>
      </c>
    </row>
    <row r="155" spans="13:17" x14ac:dyDescent="0.25">
      <c r="M155" s="4" t="s">
        <v>55</v>
      </c>
      <c r="N155" s="1" t="str">
        <f ca="1">IFERROR(__xludf.DUMMYFUNCTION("""COMPUTED_VALUE"""),"Male")</f>
        <v>Male</v>
      </c>
      <c r="P155" s="1" t="str">
        <f ca="1">IFERROR(__xludf.DUMMYFUNCTION("""COMPUTED_VALUE"""),"Work &lt;=6 People in the Team")</f>
        <v>Work &lt;=6 People in the Team</v>
      </c>
      <c r="Q155" s="1" t="str">
        <f ca="1">IFERROR(__xludf.DUMMYFUNCTION("""COMPUTED_VALUE"""),"Male")</f>
        <v>Male</v>
      </c>
    </row>
    <row r="156" spans="13:17" x14ac:dyDescent="0.25">
      <c r="M156" s="4" t="s">
        <v>51</v>
      </c>
      <c r="N156" s="1" t="str">
        <f ca="1">IFERROR(__xludf.DUMMYFUNCTION("""COMPUTED_VALUE"""),"Female")</f>
        <v>Female</v>
      </c>
      <c r="P156" s="1" t="str">
        <f ca="1">IFERROR(__xludf.DUMMYFUNCTION("""COMPUTED_VALUE"""),"Work alone, Work &gt;10 people in Team")</f>
        <v>Work alone, Work &gt;10 people in Team</v>
      </c>
      <c r="Q156" s="1" t="str">
        <f ca="1">IFERROR(__xludf.DUMMYFUNCTION("""COMPUTED_VALUE"""),"Female")</f>
        <v>Female</v>
      </c>
    </row>
    <row r="157" spans="13:17" x14ac:dyDescent="0.25">
      <c r="M157" s="4" t="s">
        <v>48</v>
      </c>
      <c r="N157" s="1" t="str">
        <f ca="1">IFERROR(__xludf.DUMMYFUNCTION("""COMPUTED_VALUE"""),"Male")</f>
        <v>Male</v>
      </c>
      <c r="P157" s="1" t="str">
        <f ca="1">IFERROR(__xludf.DUMMYFUNCTION("""COMPUTED_VALUE"""),"Work &lt;67 People in the Team")</f>
        <v>Work &lt;67 People in the Team</v>
      </c>
      <c r="Q157" s="1" t="str">
        <f ca="1">IFERROR(__xludf.DUMMYFUNCTION("""COMPUTED_VALUE"""),"Male")</f>
        <v>Male</v>
      </c>
    </row>
    <row r="158" spans="13:17" x14ac:dyDescent="0.25">
      <c r="M158" s="4" t="s">
        <v>51</v>
      </c>
      <c r="N158" s="1" t="str">
        <f ca="1">IFERROR(__xludf.DUMMYFUNCTION("""COMPUTED_VALUE"""),"Male")</f>
        <v>Male</v>
      </c>
      <c r="P158" s="1" t="str">
        <f ca="1">IFERROR(__xludf.DUMMYFUNCTION("""COMPUTED_VALUE"""),"Work &lt;=6 People in the Team")</f>
        <v>Work &lt;=6 People in the Team</v>
      </c>
      <c r="Q158" s="1" t="str">
        <f ca="1">IFERROR(__xludf.DUMMYFUNCTION("""COMPUTED_VALUE"""),"Male")</f>
        <v>Male</v>
      </c>
    </row>
    <row r="159" spans="13:17" x14ac:dyDescent="0.25">
      <c r="M159" s="4" t="s">
        <v>51</v>
      </c>
      <c r="N159" s="1" t="str">
        <f ca="1">IFERROR(__xludf.DUMMYFUNCTION("""COMPUTED_VALUE"""),"Male")</f>
        <v>Male</v>
      </c>
      <c r="P159" s="1" t="str">
        <f ca="1">IFERROR(__xludf.DUMMYFUNCTION("""COMPUTED_VALUE"""),"Work &lt;=6 People in the Team")</f>
        <v>Work &lt;=6 People in the Team</v>
      </c>
      <c r="Q159" s="1" t="str">
        <f ca="1">IFERROR(__xludf.DUMMYFUNCTION("""COMPUTED_VALUE"""),"Male")</f>
        <v>Male</v>
      </c>
    </row>
    <row r="160" spans="13:17" x14ac:dyDescent="0.25">
      <c r="M160" s="4" t="s">
        <v>50</v>
      </c>
      <c r="N160" s="1" t="str">
        <f ca="1">IFERROR(__xludf.DUMMYFUNCTION("""COMPUTED_VALUE"""),"Female")</f>
        <v>Female</v>
      </c>
      <c r="P160" s="1" t="str">
        <f ca="1">IFERROR(__xludf.DUMMYFUNCTION("""COMPUTED_VALUE"""),"Work &lt;=6 People in the Team")</f>
        <v>Work &lt;=6 People in the Team</v>
      </c>
      <c r="Q160" s="1" t="str">
        <f ca="1">IFERROR(__xludf.DUMMYFUNCTION("""COMPUTED_VALUE"""),"Female")</f>
        <v>Female</v>
      </c>
    </row>
    <row r="161" spans="1:17" x14ac:dyDescent="0.25">
      <c r="M161" s="4" t="s">
        <v>48</v>
      </c>
      <c r="N161" s="1" t="str">
        <f ca="1">IFERROR(__xludf.DUMMYFUNCTION("""COMPUTED_VALUE"""),"Female")</f>
        <v>Female</v>
      </c>
      <c r="P161" s="1" t="str">
        <f ca="1">IFERROR(__xludf.DUMMYFUNCTION("""COMPUTED_VALUE"""),"Work &gt;=7 People in the Team")</f>
        <v>Work &gt;=7 People in the Team</v>
      </c>
      <c r="Q161" s="1" t="str">
        <f ca="1">IFERROR(__xludf.DUMMYFUNCTION("""COMPUTED_VALUE"""),"Female")</f>
        <v>Female</v>
      </c>
    </row>
    <row r="162" spans="1:17" x14ac:dyDescent="0.25">
      <c r="M162" s="4" t="s">
        <v>52</v>
      </c>
      <c r="N162" s="1" t="str">
        <f ca="1">IFERROR(__xludf.DUMMYFUNCTION("""COMPUTED_VALUE"""),"Male")</f>
        <v>Male</v>
      </c>
      <c r="P162" s="1" t="str">
        <f ca="1">IFERROR(__xludf.DUMMYFUNCTION("""COMPUTED_VALUE"""),"Work &lt;=6 People in the Team")</f>
        <v>Work &lt;=6 People in the Team</v>
      </c>
      <c r="Q162" s="1" t="str">
        <f ca="1">IFERROR(__xludf.DUMMYFUNCTION("""COMPUTED_VALUE"""),"Male")</f>
        <v>Male</v>
      </c>
    </row>
    <row r="163" spans="1:17" x14ac:dyDescent="0.25">
      <c r="M163" s="4" t="s">
        <v>50</v>
      </c>
      <c r="N163" s="1" t="str">
        <f ca="1">IFERROR(__xludf.DUMMYFUNCTION("""COMPUTED_VALUE"""),"Female")</f>
        <v>Female</v>
      </c>
      <c r="P163" s="1" t="str">
        <f ca="1">IFERROR(__xludf.DUMMYFUNCTION("""COMPUTED_VALUE"""),"Work &lt;=6 People in the Team")</f>
        <v>Work &lt;=6 People in the Team</v>
      </c>
      <c r="Q163" s="1" t="str">
        <f ca="1">IFERROR(__xludf.DUMMYFUNCTION("""COMPUTED_VALUE"""),"Female")</f>
        <v>Female</v>
      </c>
    </row>
    <row r="164" spans="1:17" x14ac:dyDescent="0.25">
      <c r="M164" s="4" t="s">
        <v>49</v>
      </c>
      <c r="N164" s="1" t="str">
        <f ca="1">IFERROR(__xludf.DUMMYFUNCTION("""COMPUTED_VALUE"""),"Male")</f>
        <v>Male</v>
      </c>
      <c r="P164" s="1" t="str">
        <f ca="1">IFERROR(__xludf.DUMMYFUNCTION("""COMPUTED_VALUE"""),"Work &lt;=6 People in the Team")</f>
        <v>Work &lt;=6 People in the Team</v>
      </c>
      <c r="Q164" s="1" t="str">
        <f ca="1">IFERROR(__xludf.DUMMYFUNCTION("""COMPUTED_VALUE"""),"Male")</f>
        <v>Male</v>
      </c>
    </row>
    <row r="165" spans="1:17" x14ac:dyDescent="0.25">
      <c r="M165" s="4" t="s">
        <v>48</v>
      </c>
      <c r="N165" s="1" t="str">
        <f ca="1">IFERROR(__xludf.DUMMYFUNCTION("""COMPUTED_VALUE"""),"Male")</f>
        <v>Male</v>
      </c>
      <c r="P165" s="1" t="str">
        <f ca="1">IFERROR(__xludf.DUMMYFUNCTION("""COMPUTED_VALUE"""),"Work &lt;=6 People in the Team")</f>
        <v>Work &lt;=6 People in the Team</v>
      </c>
      <c r="Q165" s="1" t="str">
        <f ca="1">IFERROR(__xludf.DUMMYFUNCTION("""COMPUTED_VALUE"""),"Male")</f>
        <v>Male</v>
      </c>
    </row>
    <row r="166" spans="1:17" x14ac:dyDescent="0.25">
      <c r="A166" s="3" t="s">
        <v>45</v>
      </c>
      <c r="B166" t="s">
        <v>3</v>
      </c>
      <c r="M166" s="4" t="s">
        <v>53</v>
      </c>
      <c r="N166" s="1" t="str">
        <f ca="1">IFERROR(__xludf.DUMMYFUNCTION("""COMPUTED_VALUE"""),"Male")</f>
        <v>Male</v>
      </c>
      <c r="P166" s="1" t="str">
        <f ca="1">IFERROR(__xludf.DUMMYFUNCTION("""COMPUTED_VALUE"""),"Work &gt;10 people in Team")</f>
        <v>Work &gt;10 people in Team</v>
      </c>
      <c r="Q166" s="1" t="str">
        <f ca="1">IFERROR(__xludf.DUMMYFUNCTION("""COMPUTED_VALUE"""),"Male")</f>
        <v>Male</v>
      </c>
    </row>
    <row r="167" spans="1:17" x14ac:dyDescent="0.25">
      <c r="A167" s="4" t="s">
        <v>46</v>
      </c>
      <c r="B167">
        <v>544</v>
      </c>
      <c r="M167" s="4" t="s">
        <v>49</v>
      </c>
      <c r="N167" s="1" t="str">
        <f ca="1">IFERROR(__xludf.DUMMYFUNCTION("""COMPUTED_VALUE"""),"Male")</f>
        <v>Male</v>
      </c>
      <c r="P167" s="1" t="str">
        <f ca="1">IFERROR(__xludf.DUMMYFUNCTION("""COMPUTED_VALUE"""),"Work alone")</f>
        <v>Work alone</v>
      </c>
      <c r="Q167" s="1" t="str">
        <f ca="1">IFERROR(__xludf.DUMMYFUNCTION("""COMPUTED_VALUE"""),"Male")</f>
        <v>Male</v>
      </c>
    </row>
    <row r="168" spans="1:17" x14ac:dyDescent="0.25">
      <c r="A168" s="4" t="s">
        <v>42</v>
      </c>
      <c r="B168">
        <v>134</v>
      </c>
      <c r="M168" s="4" t="s">
        <v>48</v>
      </c>
      <c r="N168" s="1" t="str">
        <f ca="1">IFERROR(__xludf.DUMMYFUNCTION("""COMPUTED_VALUE"""),"Male")</f>
        <v>Male</v>
      </c>
      <c r="P168" s="1" t="str">
        <f ca="1">IFERROR(__xludf.DUMMYFUNCTION("""COMPUTED_VALUE"""),"Work Alone, &lt;67 people in team")</f>
        <v>Work Alone, &lt;67 people in team</v>
      </c>
      <c r="Q168" s="1" t="str">
        <f ca="1">IFERROR(__xludf.DUMMYFUNCTION("""COMPUTED_VALUE"""),"Male")</f>
        <v>Male</v>
      </c>
    </row>
    <row r="169" spans="1:17" x14ac:dyDescent="0.25">
      <c r="A169" s="4" t="s">
        <v>41</v>
      </c>
      <c r="B169">
        <v>189</v>
      </c>
      <c r="M169" s="4" t="s">
        <v>49</v>
      </c>
      <c r="N169" s="1" t="str">
        <f ca="1">IFERROR(__xludf.DUMMYFUNCTION("""COMPUTED_VALUE"""),"Female")</f>
        <v>Female</v>
      </c>
      <c r="P169" s="1" t="str">
        <f ca="1">IFERROR(__xludf.DUMMYFUNCTION("""COMPUTED_VALUE"""),"Work &lt;=6 People in the Team")</f>
        <v>Work &lt;=6 People in the Team</v>
      </c>
      <c r="Q169" s="1" t="str">
        <f ca="1">IFERROR(__xludf.DUMMYFUNCTION("""COMPUTED_VALUE"""),"Female")</f>
        <v>Female</v>
      </c>
    </row>
    <row r="170" spans="1:17" x14ac:dyDescent="0.25">
      <c r="A170" s="4" t="s">
        <v>43</v>
      </c>
      <c r="B170">
        <v>874</v>
      </c>
      <c r="M170" s="4" t="s">
        <v>49</v>
      </c>
      <c r="N170" s="1" t="str">
        <f ca="1">IFERROR(__xludf.DUMMYFUNCTION("""COMPUTED_VALUE"""),"Female")</f>
        <v>Female</v>
      </c>
      <c r="P170" s="1" t="str">
        <f ca="1">IFERROR(__xludf.DUMMYFUNCTION("""COMPUTED_VALUE"""),"Work &lt;=6 People in the Team")</f>
        <v>Work &lt;=6 People in the Team</v>
      </c>
      <c r="Q170" s="1" t="str">
        <f ca="1">IFERROR(__xludf.DUMMYFUNCTION("""COMPUTED_VALUE"""),"Female")</f>
        <v>Female</v>
      </c>
    </row>
    <row r="171" spans="1:17" x14ac:dyDescent="0.25">
      <c r="A171" s="4" t="s">
        <v>44</v>
      </c>
      <c r="B171">
        <v>12</v>
      </c>
      <c r="M171" s="4" t="s">
        <v>48</v>
      </c>
      <c r="N171" s="1" t="str">
        <f ca="1">IFERROR(__xludf.DUMMYFUNCTION("""COMPUTED_VALUE"""),"Male")</f>
        <v>Male</v>
      </c>
      <c r="P171" s="1" t="str">
        <f ca="1">IFERROR(__xludf.DUMMYFUNCTION("""COMPUTED_VALUE"""),"Work Alone, &lt;=6 in team")</f>
        <v>Work Alone, &lt;=6 in team</v>
      </c>
      <c r="Q171" s="1" t="str">
        <f ca="1">IFERROR(__xludf.DUMMYFUNCTION("""COMPUTED_VALUE"""),"Male")</f>
        <v>Male</v>
      </c>
    </row>
    <row r="172" spans="1:17" x14ac:dyDescent="0.25">
      <c r="A172" s="4" t="s">
        <v>2</v>
      </c>
      <c r="B172">
        <v>1753</v>
      </c>
      <c r="M172" s="4" t="s">
        <v>48</v>
      </c>
      <c r="N172" s="1" t="str">
        <f ca="1">IFERROR(__xludf.DUMMYFUNCTION("""COMPUTED_VALUE"""),"Female")</f>
        <v>Female</v>
      </c>
      <c r="P172" s="1" t="str">
        <f ca="1">IFERROR(__xludf.DUMMYFUNCTION("""COMPUTED_VALUE"""),"Work &lt;=6 People in the Team")</f>
        <v>Work &lt;=6 People in the Team</v>
      </c>
      <c r="Q172" s="1" t="str">
        <f ca="1">IFERROR(__xludf.DUMMYFUNCTION("""COMPUTED_VALUE"""),"Female")</f>
        <v>Female</v>
      </c>
    </row>
    <row r="173" spans="1:17" x14ac:dyDescent="0.25">
      <c r="M173" s="4" t="s">
        <v>48</v>
      </c>
      <c r="N173" s="1" t="str">
        <f ca="1">IFERROR(__xludf.DUMMYFUNCTION("""COMPUTED_VALUE"""),"Female")</f>
        <v>Female</v>
      </c>
      <c r="P173" s="1" t="str">
        <f ca="1">IFERROR(__xludf.DUMMYFUNCTION("""COMPUTED_VALUE"""),"Work  &lt;67 people in team")</f>
        <v>Work  &lt;67 people in team</v>
      </c>
      <c r="Q173" s="1" t="str">
        <f ca="1">IFERROR(__xludf.DUMMYFUNCTION("""COMPUTED_VALUE"""),"Female")</f>
        <v>Female</v>
      </c>
    </row>
    <row r="174" spans="1:17" x14ac:dyDescent="0.25">
      <c r="M174" s="4" t="s">
        <v>53</v>
      </c>
      <c r="N174" s="1" t="str">
        <f ca="1">IFERROR(__xludf.DUMMYFUNCTION("""COMPUTED_VALUE"""),"Female")</f>
        <v>Female</v>
      </c>
      <c r="P174" s="1" t="str">
        <f ca="1">IFERROR(__xludf.DUMMYFUNCTION("""COMPUTED_VALUE"""),"Work &lt;=6 People in the Team")</f>
        <v>Work &lt;=6 People in the Team</v>
      </c>
      <c r="Q174" s="1" t="str">
        <f ca="1">IFERROR(__xludf.DUMMYFUNCTION("""COMPUTED_VALUE"""),"Female")</f>
        <v>Female</v>
      </c>
    </row>
    <row r="175" spans="1:17" x14ac:dyDescent="0.25">
      <c r="M175" s="4" t="s">
        <v>49</v>
      </c>
      <c r="N175" s="1" t="str">
        <f ca="1">IFERROR(__xludf.DUMMYFUNCTION("""COMPUTED_VALUE"""),"Male")</f>
        <v>Male</v>
      </c>
      <c r="P175" s="1" t="str">
        <f ca="1">IFERROR(__xludf.DUMMYFUNCTION("""COMPUTED_VALUE"""),"Work &lt;=6 People in the Team")</f>
        <v>Work &lt;=6 People in the Team</v>
      </c>
      <c r="Q175" s="1" t="str">
        <f ca="1">IFERROR(__xludf.DUMMYFUNCTION("""COMPUTED_VALUE"""),"Male")</f>
        <v>Male</v>
      </c>
    </row>
    <row r="176" spans="1:17" x14ac:dyDescent="0.25">
      <c r="M176" s="4" t="s">
        <v>48</v>
      </c>
      <c r="N176" s="1" t="str">
        <f ca="1">IFERROR(__xludf.DUMMYFUNCTION("""COMPUTED_VALUE"""),"Male")</f>
        <v>Male</v>
      </c>
      <c r="P176" s="1" t="str">
        <f ca="1">IFERROR(__xludf.DUMMYFUNCTION("""COMPUTED_VALUE"""),"Work &lt;=6 People in the Team")</f>
        <v>Work &lt;=6 People in the Team</v>
      </c>
      <c r="Q176" s="1" t="str">
        <f ca="1">IFERROR(__xludf.DUMMYFUNCTION("""COMPUTED_VALUE"""),"Male")</f>
        <v>Male</v>
      </c>
    </row>
    <row r="177" spans="1:17" x14ac:dyDescent="0.25">
      <c r="M177" s="4" t="s">
        <v>49</v>
      </c>
      <c r="N177" s="1" t="str">
        <f ca="1">IFERROR(__xludf.DUMMYFUNCTION("""COMPUTED_VALUE"""),"Female")</f>
        <v>Female</v>
      </c>
      <c r="P177" s="1" t="str">
        <f ca="1">IFERROR(__xludf.DUMMYFUNCTION("""COMPUTED_VALUE"""),"Work &lt;=6 People in the Team")</f>
        <v>Work &lt;=6 People in the Team</v>
      </c>
      <c r="Q177" s="1" t="str">
        <f ca="1">IFERROR(__xludf.DUMMYFUNCTION("""COMPUTED_VALUE"""),"Female")</f>
        <v>Female</v>
      </c>
    </row>
    <row r="178" spans="1:17" x14ac:dyDescent="0.25">
      <c r="A178" s="3" t="s">
        <v>61</v>
      </c>
      <c r="B178" t="s">
        <v>3</v>
      </c>
      <c r="M178" s="4" t="s">
        <v>48</v>
      </c>
      <c r="N178" s="1" t="str">
        <f ca="1">IFERROR(__xludf.DUMMYFUNCTION("""COMPUTED_VALUE"""),"Male")</f>
        <v>Male</v>
      </c>
      <c r="P178" s="1" t="str">
        <f ca="1">IFERROR(__xludf.DUMMYFUNCTION("""COMPUTED_VALUE"""),"Work &lt;=6 People in the Team")</f>
        <v>Work &lt;=6 People in the Team</v>
      </c>
      <c r="Q178" s="1" t="str">
        <f ca="1">IFERROR(__xludf.DUMMYFUNCTION("""COMPUTED_VALUE"""),"Male")</f>
        <v>Male</v>
      </c>
    </row>
    <row r="179" spans="1:17" x14ac:dyDescent="0.25">
      <c r="A179" s="4" t="s">
        <v>66</v>
      </c>
      <c r="B179">
        <v>12</v>
      </c>
      <c r="C179" s="6">
        <f>12/1753</f>
        <v>6.8454078722190535E-3</v>
      </c>
      <c r="M179" s="4" t="s">
        <v>48</v>
      </c>
      <c r="N179" s="1" t="str">
        <f ca="1">IFERROR(__xludf.DUMMYFUNCTION("""COMPUTED_VALUE"""),"Male")</f>
        <v>Male</v>
      </c>
      <c r="P179" s="1" t="str">
        <f ca="1">IFERROR(__xludf.DUMMYFUNCTION("""COMPUTED_VALUE"""),"Work &lt;=6 People in the Team")</f>
        <v>Work &lt;=6 People in the Team</v>
      </c>
      <c r="Q179" s="1" t="str">
        <f ca="1">IFERROR(__xludf.DUMMYFUNCTION("""COMPUTED_VALUE"""),"Male")</f>
        <v>Male</v>
      </c>
    </row>
    <row r="180" spans="1:17" x14ac:dyDescent="0.25">
      <c r="A180" s="4" t="s">
        <v>65</v>
      </c>
      <c r="B180">
        <v>134</v>
      </c>
      <c r="C180" s="6"/>
      <c r="M180" s="4" t="s">
        <v>49</v>
      </c>
      <c r="N180" s="1" t="str">
        <f ca="1">IFERROR(__xludf.DUMMYFUNCTION("""COMPUTED_VALUE"""),"Female")</f>
        <v>Female</v>
      </c>
      <c r="P180" s="1" t="str">
        <f ca="1">IFERROR(__xludf.DUMMYFUNCTION("""COMPUTED_VALUE"""),"Work alone")</f>
        <v>Work alone</v>
      </c>
      <c r="Q180" s="1" t="str">
        <f ca="1">IFERROR(__xludf.DUMMYFUNCTION("""COMPUTED_VALUE"""),"Female")</f>
        <v>Female</v>
      </c>
    </row>
    <row r="181" spans="1:17" x14ac:dyDescent="0.25">
      <c r="A181" s="4" t="s">
        <v>62</v>
      </c>
      <c r="B181">
        <v>189</v>
      </c>
      <c r="C181" s="6"/>
      <c r="M181" s="4" t="s">
        <v>48</v>
      </c>
      <c r="N181" s="1" t="str">
        <f ca="1">IFERROR(__xludf.DUMMYFUNCTION("""COMPUTED_VALUE"""),"Male")</f>
        <v>Male</v>
      </c>
      <c r="P181" s="1" t="str">
        <f ca="1">IFERROR(__xludf.DUMMYFUNCTION("""COMPUTED_VALUE"""),"Work &gt;=7 People in the Team")</f>
        <v>Work &gt;=7 People in the Team</v>
      </c>
      <c r="Q181" s="1" t="str">
        <f ca="1">IFERROR(__xludf.DUMMYFUNCTION("""COMPUTED_VALUE"""),"Male")</f>
        <v>Male</v>
      </c>
    </row>
    <row r="182" spans="1:17" x14ac:dyDescent="0.25">
      <c r="A182" s="4" t="s">
        <v>63</v>
      </c>
      <c r="B182">
        <v>544</v>
      </c>
      <c r="C182" s="6"/>
      <c r="M182" s="4" t="s">
        <v>49</v>
      </c>
      <c r="N182" s="1" t="str">
        <f ca="1">IFERROR(__xludf.DUMMYFUNCTION("""COMPUTED_VALUE"""),"Male")</f>
        <v>Male</v>
      </c>
      <c r="P182" s="1" t="str">
        <f ca="1">IFERROR(__xludf.DUMMYFUNCTION("""COMPUTED_VALUE"""),"Work alone")</f>
        <v>Work alone</v>
      </c>
      <c r="Q182" s="1" t="str">
        <f ca="1">IFERROR(__xludf.DUMMYFUNCTION("""COMPUTED_VALUE"""),"Male")</f>
        <v>Male</v>
      </c>
    </row>
    <row r="183" spans="1:17" x14ac:dyDescent="0.25">
      <c r="A183" s="4" t="s">
        <v>64</v>
      </c>
      <c r="B183">
        <v>874</v>
      </c>
      <c r="C183" s="6">
        <f>874/1753</f>
        <v>0.49857387335995434</v>
      </c>
      <c r="M183" s="4" t="s">
        <v>49</v>
      </c>
      <c r="N183" s="1" t="str">
        <f ca="1">IFERROR(__xludf.DUMMYFUNCTION("""COMPUTED_VALUE"""),"Male")</f>
        <v>Male</v>
      </c>
      <c r="P183" s="1" t="str">
        <f ca="1">IFERROR(__xludf.DUMMYFUNCTION("""COMPUTED_VALUE"""),"Work &gt;10 people in Team")</f>
        <v>Work &gt;10 people in Team</v>
      </c>
      <c r="Q183" s="1" t="str">
        <f ca="1">IFERROR(__xludf.DUMMYFUNCTION("""COMPUTED_VALUE"""),"Male")</f>
        <v>Male</v>
      </c>
    </row>
    <row r="184" spans="1:17" x14ac:dyDescent="0.25">
      <c r="B184">
        <f>SUM(B179:B183)</f>
        <v>1753</v>
      </c>
      <c r="M184" s="4" t="s">
        <v>49</v>
      </c>
      <c r="N184" s="1" t="str">
        <f ca="1">IFERROR(__xludf.DUMMYFUNCTION("""COMPUTED_VALUE"""),"Male")</f>
        <v>Male</v>
      </c>
      <c r="P184" s="1" t="str">
        <f ca="1">IFERROR(__xludf.DUMMYFUNCTION("""COMPUTED_VALUE"""),"Work Alone, &lt;=6 in team")</f>
        <v>Work Alone, &lt;=6 in team</v>
      </c>
      <c r="Q184" s="1" t="str">
        <f ca="1">IFERROR(__xludf.DUMMYFUNCTION("""COMPUTED_VALUE"""),"Male")</f>
        <v>Male</v>
      </c>
    </row>
    <row r="185" spans="1:17" x14ac:dyDescent="0.25">
      <c r="M185" s="4" t="s">
        <v>48</v>
      </c>
      <c r="N185" s="1" t="str">
        <f ca="1">IFERROR(__xludf.DUMMYFUNCTION("""COMPUTED_VALUE"""),"Female")</f>
        <v>Female</v>
      </c>
      <c r="P185" s="1" t="str">
        <f ca="1">IFERROR(__xludf.DUMMYFUNCTION("""COMPUTED_VALUE"""),"Work &lt;=6 People in the Team")</f>
        <v>Work &lt;=6 People in the Team</v>
      </c>
      <c r="Q185" s="1" t="str">
        <f ca="1">IFERROR(__xludf.DUMMYFUNCTION("""COMPUTED_VALUE"""),"Female")</f>
        <v>Female</v>
      </c>
    </row>
    <row r="186" spans="1:17" x14ac:dyDescent="0.25">
      <c r="M186" s="4" t="s">
        <v>48</v>
      </c>
      <c r="N186" s="1" t="str">
        <f ca="1">IFERROR(__xludf.DUMMYFUNCTION("""COMPUTED_VALUE"""),"Male")</f>
        <v>Male</v>
      </c>
      <c r="P186" s="1" t="str">
        <f ca="1">IFERROR(__xludf.DUMMYFUNCTION("""COMPUTED_VALUE"""),"Work &gt;10 people in Team")</f>
        <v>Work &gt;10 people in Team</v>
      </c>
      <c r="Q186" s="1" t="str">
        <f ca="1">IFERROR(__xludf.DUMMYFUNCTION("""COMPUTED_VALUE"""),"Male")</f>
        <v>Male</v>
      </c>
    </row>
    <row r="187" spans="1:17" x14ac:dyDescent="0.25">
      <c r="M187" s="4" t="s">
        <v>48</v>
      </c>
      <c r="N187" s="1" t="str">
        <f ca="1">IFERROR(__xludf.DUMMYFUNCTION("""COMPUTED_VALUE"""),"Female")</f>
        <v>Female</v>
      </c>
      <c r="P187" s="1" t="str">
        <f ca="1">IFERROR(__xludf.DUMMYFUNCTION("""COMPUTED_VALUE"""),"Work &lt;=6 People in the Team")</f>
        <v>Work &lt;=6 People in the Team</v>
      </c>
      <c r="Q187" s="1" t="str">
        <f ca="1">IFERROR(__xludf.DUMMYFUNCTION("""COMPUTED_VALUE"""),"Female")</f>
        <v>Female</v>
      </c>
    </row>
    <row r="188" spans="1:17" x14ac:dyDescent="0.25">
      <c r="M188" s="4" t="s">
        <v>48</v>
      </c>
      <c r="N188" s="1" t="str">
        <f ca="1">IFERROR(__xludf.DUMMYFUNCTION("""COMPUTED_VALUE"""),"Female")</f>
        <v>Female</v>
      </c>
      <c r="P188" s="1" t="str">
        <f ca="1">IFERROR(__xludf.DUMMYFUNCTION("""COMPUTED_VALUE"""),"Work &lt;=6 People in the Team")</f>
        <v>Work &lt;=6 People in the Team</v>
      </c>
      <c r="Q188" s="1" t="str">
        <f ca="1">IFERROR(__xludf.DUMMYFUNCTION("""COMPUTED_VALUE"""),"Female")</f>
        <v>Female</v>
      </c>
    </row>
    <row r="189" spans="1:17" x14ac:dyDescent="0.25">
      <c r="M189" s="4" t="s">
        <v>53</v>
      </c>
      <c r="N189" s="1" t="str">
        <f ca="1">IFERROR(__xludf.DUMMYFUNCTION("""COMPUTED_VALUE"""),"Female")</f>
        <v>Female</v>
      </c>
      <c r="P189" s="1" t="str">
        <f ca="1">IFERROR(__xludf.DUMMYFUNCTION("""COMPUTED_VALUE"""),"Work &lt;=6 People in the Team")</f>
        <v>Work &lt;=6 People in the Team</v>
      </c>
      <c r="Q189" s="1" t="str">
        <f ca="1">IFERROR(__xludf.DUMMYFUNCTION("""COMPUTED_VALUE"""),"Female")</f>
        <v>Female</v>
      </c>
    </row>
    <row r="190" spans="1:17" x14ac:dyDescent="0.25">
      <c r="M190" s="4" t="s">
        <v>48</v>
      </c>
      <c r="N190" s="1" t="str">
        <f ca="1">IFERROR(__xludf.DUMMYFUNCTION("""COMPUTED_VALUE"""),"Female")</f>
        <v>Female</v>
      </c>
      <c r="P190" s="1" t="str">
        <f ca="1">IFERROR(__xludf.DUMMYFUNCTION("""COMPUTED_VALUE"""),"Work &lt;=6 People in the Team")</f>
        <v>Work &lt;=6 People in the Team</v>
      </c>
      <c r="Q190" s="1" t="str">
        <f ca="1">IFERROR(__xludf.DUMMYFUNCTION("""COMPUTED_VALUE"""),"Female")</f>
        <v>Female</v>
      </c>
    </row>
    <row r="191" spans="1:17" x14ac:dyDescent="0.25">
      <c r="M191" s="4" t="s">
        <v>48</v>
      </c>
      <c r="N191" s="1" t="str">
        <f ca="1">IFERROR(__xludf.DUMMYFUNCTION("""COMPUTED_VALUE"""),"Female")</f>
        <v>Female</v>
      </c>
      <c r="P191" s="1" t="str">
        <f ca="1">IFERROR(__xludf.DUMMYFUNCTION("""COMPUTED_VALUE"""),"Work &lt;=6 People in the Team")</f>
        <v>Work &lt;=6 People in the Team</v>
      </c>
      <c r="Q191" s="1" t="str">
        <f ca="1">IFERROR(__xludf.DUMMYFUNCTION("""COMPUTED_VALUE"""),"Female")</f>
        <v>Female</v>
      </c>
    </row>
    <row r="192" spans="1:17" x14ac:dyDescent="0.25">
      <c r="M192" s="4" t="s">
        <v>55</v>
      </c>
      <c r="N192" s="1" t="str">
        <f ca="1">IFERROR(__xludf.DUMMYFUNCTION("""COMPUTED_VALUE"""),"Male")</f>
        <v>Male</v>
      </c>
      <c r="P192" s="1" t="str">
        <f ca="1">IFERROR(__xludf.DUMMYFUNCTION("""COMPUTED_VALUE"""),"Work &lt;=6 People in the Team")</f>
        <v>Work &lt;=6 People in the Team</v>
      </c>
      <c r="Q192" s="1" t="str">
        <f ca="1">IFERROR(__xludf.DUMMYFUNCTION("""COMPUTED_VALUE"""),"Male")</f>
        <v>Male</v>
      </c>
    </row>
    <row r="193" spans="1:17" x14ac:dyDescent="0.25">
      <c r="M193" s="4" t="s">
        <v>48</v>
      </c>
      <c r="N193" s="1" t="str">
        <f ca="1">IFERROR(__xludf.DUMMYFUNCTION("""COMPUTED_VALUE"""),"Male")</f>
        <v>Male</v>
      </c>
      <c r="P193" s="1" t="str">
        <f ca="1">IFERROR(__xludf.DUMMYFUNCTION("""COMPUTED_VALUE"""),"Work alone")</f>
        <v>Work alone</v>
      </c>
      <c r="Q193" s="1" t="str">
        <f ca="1">IFERROR(__xludf.DUMMYFUNCTION("""COMPUTED_VALUE"""),"Male")</f>
        <v>Male</v>
      </c>
    </row>
    <row r="194" spans="1:17" x14ac:dyDescent="0.25">
      <c r="M194" s="4" t="s">
        <v>51</v>
      </c>
      <c r="N194" s="1" t="str">
        <f ca="1">IFERROR(__xludf.DUMMYFUNCTION("""COMPUTED_VALUE"""),"Female")</f>
        <v>Female</v>
      </c>
      <c r="P194" s="1" t="str">
        <f ca="1">IFERROR(__xludf.DUMMYFUNCTION("""COMPUTED_VALUE"""),"Work &gt;10 people in Team")</f>
        <v>Work &gt;10 people in Team</v>
      </c>
      <c r="Q194" s="1" t="str">
        <f ca="1">IFERROR(__xludf.DUMMYFUNCTION("""COMPUTED_VALUE"""),"Female")</f>
        <v>Female</v>
      </c>
    </row>
    <row r="195" spans="1:17" x14ac:dyDescent="0.25">
      <c r="M195" s="4" t="s">
        <v>48</v>
      </c>
      <c r="N195" s="1" t="str">
        <f ca="1">IFERROR(__xludf.DUMMYFUNCTION("""COMPUTED_VALUE"""),"Male")</f>
        <v>Male</v>
      </c>
      <c r="P195" s="1" t="str">
        <f ca="1">IFERROR(__xludf.DUMMYFUNCTION("""COMPUTED_VALUE"""),"Work Alone, &lt;=6 in team")</f>
        <v>Work Alone, &lt;=6 in team</v>
      </c>
      <c r="Q195" s="1" t="str">
        <f ca="1">IFERROR(__xludf.DUMMYFUNCTION("""COMPUTED_VALUE"""),"Male")</f>
        <v>Male</v>
      </c>
    </row>
    <row r="196" spans="1:17" x14ac:dyDescent="0.25">
      <c r="A196" s="3" t="s">
        <v>67</v>
      </c>
      <c r="B196" t="s">
        <v>3</v>
      </c>
      <c r="M196" s="4" t="s">
        <v>51</v>
      </c>
      <c r="N196" s="1" t="str">
        <f ca="1">IFERROR(__xludf.DUMMYFUNCTION("""COMPUTED_VALUE"""),"Male")</f>
        <v>Male</v>
      </c>
      <c r="P196" s="1" t="str">
        <f ca="1">IFERROR(__xludf.DUMMYFUNCTION("""COMPUTED_VALUE"""),"Work Alone, &lt;67 people in team")</f>
        <v>Work Alone, &lt;67 people in team</v>
      </c>
      <c r="Q196" s="1" t="str">
        <f ca="1">IFERROR(__xludf.DUMMYFUNCTION("""COMPUTED_VALUE"""),"Male")</f>
        <v>Male</v>
      </c>
    </row>
    <row r="197" spans="1:17" x14ac:dyDescent="0.25">
      <c r="A197" s="4" t="s">
        <v>73</v>
      </c>
      <c r="B197">
        <v>1</v>
      </c>
      <c r="C197" s="6">
        <f>1/545</f>
        <v>1.834862385321101E-3</v>
      </c>
      <c r="M197" s="4" t="s">
        <v>52</v>
      </c>
      <c r="N197" s="1" t="str">
        <f ca="1">IFERROR(__xludf.DUMMYFUNCTION("""COMPUTED_VALUE"""),"Male")</f>
        <v>Male</v>
      </c>
      <c r="P197" s="1" t="str">
        <f ca="1">IFERROR(__xludf.DUMMYFUNCTION("""COMPUTED_VALUE"""),"Work &lt;=6 People in the Team")</f>
        <v>Work &lt;=6 People in the Team</v>
      </c>
      <c r="Q197" s="1" t="str">
        <f ca="1">IFERROR(__xludf.DUMMYFUNCTION("""COMPUTED_VALUE"""),"Male")</f>
        <v>Male</v>
      </c>
    </row>
    <row r="198" spans="1:17" x14ac:dyDescent="0.25">
      <c r="A198" s="4" t="s">
        <v>68</v>
      </c>
      <c r="B198">
        <v>3</v>
      </c>
      <c r="C198" s="6">
        <f>3/545</f>
        <v>5.5045871559633031E-3</v>
      </c>
      <c r="M198" s="4" t="s">
        <v>51</v>
      </c>
      <c r="N198" s="1" t="str">
        <f ca="1">IFERROR(__xludf.DUMMYFUNCTION("""COMPUTED_VALUE"""),"Female")</f>
        <v>Female</v>
      </c>
      <c r="P198" s="1" t="str">
        <f ca="1">IFERROR(__xludf.DUMMYFUNCTION("""COMPUTED_VALUE"""),"Work Alone, &lt;=6 in team")</f>
        <v>Work Alone, &lt;=6 in team</v>
      </c>
      <c r="Q198" s="1" t="str">
        <f ca="1">IFERROR(__xludf.DUMMYFUNCTION("""COMPUTED_VALUE"""),"Female")</f>
        <v>Female</v>
      </c>
    </row>
    <row r="199" spans="1:17" x14ac:dyDescent="0.25">
      <c r="A199" s="4" t="s">
        <v>78</v>
      </c>
      <c r="B199">
        <v>3</v>
      </c>
      <c r="C199" s="6"/>
      <c r="M199" s="4" t="s">
        <v>52</v>
      </c>
      <c r="N199" s="1" t="str">
        <f ca="1">IFERROR(__xludf.DUMMYFUNCTION("""COMPUTED_VALUE"""),"Female")</f>
        <v>Female</v>
      </c>
      <c r="P199" s="1" t="str">
        <f ca="1">IFERROR(__xludf.DUMMYFUNCTION("""COMPUTED_VALUE"""),"Work &lt;=6 People in the Team")</f>
        <v>Work &lt;=6 People in the Team</v>
      </c>
      <c r="Q199" s="1" t="str">
        <f ca="1">IFERROR(__xludf.DUMMYFUNCTION("""COMPUTED_VALUE"""),"Female")</f>
        <v>Female</v>
      </c>
    </row>
    <row r="200" spans="1:17" x14ac:dyDescent="0.25">
      <c r="A200" s="4" t="s">
        <v>77</v>
      </c>
      <c r="B200">
        <v>5</v>
      </c>
      <c r="C200" s="6"/>
      <c r="M200" s="4" t="s">
        <v>51</v>
      </c>
      <c r="N200" s="1" t="str">
        <f ca="1">IFERROR(__xludf.DUMMYFUNCTION("""COMPUTED_VALUE"""),"Male")</f>
        <v>Male</v>
      </c>
      <c r="P200" s="1" t="str">
        <f ca="1">IFERROR(__xludf.DUMMYFUNCTION("""COMPUTED_VALUE"""),"Work Alone, &lt;67 people in team")</f>
        <v>Work Alone, &lt;67 people in team</v>
      </c>
      <c r="Q200" s="1" t="str">
        <f ca="1">IFERROR(__xludf.DUMMYFUNCTION("""COMPUTED_VALUE"""),"Male")</f>
        <v>Male</v>
      </c>
    </row>
    <row r="201" spans="1:17" x14ac:dyDescent="0.25">
      <c r="A201" s="4" t="s">
        <v>74</v>
      </c>
      <c r="B201">
        <v>10</v>
      </c>
      <c r="C201" s="6"/>
      <c r="M201" s="4" t="s">
        <v>52</v>
      </c>
      <c r="N201" s="1" t="str">
        <f ca="1">IFERROR(__xludf.DUMMYFUNCTION("""COMPUTED_VALUE"""),"Male")</f>
        <v>Male</v>
      </c>
      <c r="P201" s="1" t="str">
        <f ca="1">IFERROR(__xludf.DUMMYFUNCTION("""COMPUTED_VALUE"""),"Work &lt;=6 People in the Team")</f>
        <v>Work &lt;=6 People in the Team</v>
      </c>
      <c r="Q201" s="1" t="str">
        <f ca="1">IFERROR(__xludf.DUMMYFUNCTION("""COMPUTED_VALUE"""),"Male")</f>
        <v>Male</v>
      </c>
    </row>
    <row r="202" spans="1:17" x14ac:dyDescent="0.25">
      <c r="A202" s="4" t="s">
        <v>72</v>
      </c>
      <c r="B202">
        <v>17</v>
      </c>
      <c r="C202" s="6"/>
      <c r="M202" s="4" t="s">
        <v>48</v>
      </c>
      <c r="N202" s="1" t="str">
        <f ca="1">IFERROR(__xludf.DUMMYFUNCTION("""COMPUTED_VALUE"""),"Male")</f>
        <v>Male</v>
      </c>
      <c r="P202" s="1" t="str">
        <f ca="1">IFERROR(__xludf.DUMMYFUNCTION("""COMPUTED_VALUE"""),"Work alone")</f>
        <v>Work alone</v>
      </c>
      <c r="Q202" s="1" t="str">
        <f ca="1">IFERROR(__xludf.DUMMYFUNCTION("""COMPUTED_VALUE"""),"Male")</f>
        <v>Male</v>
      </c>
    </row>
    <row r="203" spans="1:17" x14ac:dyDescent="0.25">
      <c r="A203" s="4" t="s">
        <v>69</v>
      </c>
      <c r="B203">
        <v>36</v>
      </c>
      <c r="C203" s="6"/>
      <c r="M203" s="4" t="s">
        <v>48</v>
      </c>
      <c r="N203" s="1" t="str">
        <f ca="1">IFERROR(__xludf.DUMMYFUNCTION("""COMPUTED_VALUE"""),"Male")</f>
        <v>Male</v>
      </c>
      <c r="P203" s="1" t="str">
        <f ca="1">IFERROR(__xludf.DUMMYFUNCTION("""COMPUTED_VALUE"""),"Work &lt;=6 People in the Team")</f>
        <v>Work &lt;=6 People in the Team</v>
      </c>
      <c r="Q203" s="1" t="str">
        <f ca="1">IFERROR(__xludf.DUMMYFUNCTION("""COMPUTED_VALUE"""),"Male")</f>
        <v>Male</v>
      </c>
    </row>
    <row r="204" spans="1:17" x14ac:dyDescent="0.25">
      <c r="A204" s="4" t="s">
        <v>75</v>
      </c>
      <c r="B204">
        <v>55</v>
      </c>
      <c r="C204" s="6"/>
      <c r="M204" s="4" t="s">
        <v>51</v>
      </c>
      <c r="N204" s="1" t="str">
        <f ca="1">IFERROR(__xludf.DUMMYFUNCTION("""COMPUTED_VALUE"""),"Male")</f>
        <v>Male</v>
      </c>
      <c r="P204" s="1" t="str">
        <f ca="1">IFERROR(__xludf.DUMMYFUNCTION("""COMPUTED_VALUE"""),"Work &lt;=6 People in the Team")</f>
        <v>Work &lt;=6 People in the Team</v>
      </c>
      <c r="Q204" s="1" t="str">
        <f ca="1">IFERROR(__xludf.DUMMYFUNCTION("""COMPUTED_VALUE"""),"Male")</f>
        <v>Male</v>
      </c>
    </row>
    <row r="205" spans="1:17" x14ac:dyDescent="0.25">
      <c r="A205" s="4" t="s">
        <v>76</v>
      </c>
      <c r="B205">
        <v>83</v>
      </c>
      <c r="C205" s="6"/>
      <c r="M205" s="4" t="s">
        <v>48</v>
      </c>
      <c r="N205" s="1" t="str">
        <f ca="1">IFERROR(__xludf.DUMMYFUNCTION("""COMPUTED_VALUE"""),"Female")</f>
        <v>Female</v>
      </c>
      <c r="P205" s="1" t="str">
        <f ca="1">IFERROR(__xludf.DUMMYFUNCTION("""COMPUTED_VALUE"""),"Work &gt;=7 People in the Team")</f>
        <v>Work &gt;=7 People in the Team</v>
      </c>
      <c r="Q205" s="1" t="str">
        <f ca="1">IFERROR(__xludf.DUMMYFUNCTION("""COMPUTED_VALUE"""),"Female")</f>
        <v>Female</v>
      </c>
    </row>
    <row r="206" spans="1:17" x14ac:dyDescent="0.25">
      <c r="A206" s="4" t="s">
        <v>70</v>
      </c>
      <c r="B206">
        <v>106</v>
      </c>
      <c r="C206" s="6"/>
      <c r="M206" s="4" t="s">
        <v>48</v>
      </c>
      <c r="N206" s="1" t="str">
        <f ca="1">IFERROR(__xludf.DUMMYFUNCTION("""COMPUTED_VALUE"""),"Female")</f>
        <v>Female</v>
      </c>
      <c r="P206" s="1" t="str">
        <f ca="1">IFERROR(__xludf.DUMMYFUNCTION("""COMPUTED_VALUE"""),"Work &lt;=6 People in the Team")</f>
        <v>Work &lt;=6 People in the Team</v>
      </c>
      <c r="Q206" s="1" t="str">
        <f ca="1">IFERROR(__xludf.DUMMYFUNCTION("""COMPUTED_VALUE"""),"Female")</f>
        <v>Female</v>
      </c>
    </row>
    <row r="207" spans="1:17" x14ac:dyDescent="0.25">
      <c r="A207" s="4" t="s">
        <v>71</v>
      </c>
      <c r="B207">
        <v>226</v>
      </c>
      <c r="C207" s="6">
        <f>226/545</f>
        <v>0.41467889908256883</v>
      </c>
      <c r="M207" s="4" t="s">
        <v>50</v>
      </c>
      <c r="N207" s="1" t="str">
        <f ca="1">IFERROR(__xludf.DUMMYFUNCTION("""COMPUTED_VALUE"""),"Male")</f>
        <v>Male</v>
      </c>
      <c r="P207" s="1" t="str">
        <f ca="1">IFERROR(__xludf.DUMMYFUNCTION("""COMPUTED_VALUE"""),"Work &lt;=6 People in the Team")</f>
        <v>Work &lt;=6 People in the Team</v>
      </c>
      <c r="Q207" s="1" t="str">
        <f ca="1">IFERROR(__xludf.DUMMYFUNCTION("""COMPUTED_VALUE"""),"Male")</f>
        <v>Male</v>
      </c>
    </row>
    <row r="208" spans="1:17" x14ac:dyDescent="0.25">
      <c r="B208">
        <f>SUM(B197:B207)</f>
        <v>545</v>
      </c>
      <c r="M208" s="4" t="s">
        <v>51</v>
      </c>
      <c r="N208" s="1" t="str">
        <f ca="1">IFERROR(__xludf.DUMMYFUNCTION("""COMPUTED_VALUE"""),"Male")</f>
        <v>Male</v>
      </c>
      <c r="P208" s="1" t="str">
        <f ca="1">IFERROR(__xludf.DUMMYFUNCTION("""COMPUTED_VALUE"""),"Work &gt;10 people in Team")</f>
        <v>Work &gt;10 people in Team</v>
      </c>
      <c r="Q208" s="1" t="str">
        <f ca="1">IFERROR(__xludf.DUMMYFUNCTION("""COMPUTED_VALUE"""),"Male")</f>
        <v>Male</v>
      </c>
    </row>
    <row r="209" spans="13:17" x14ac:dyDescent="0.25">
      <c r="M209" s="4" t="s">
        <v>48</v>
      </c>
      <c r="N209" s="1" t="str">
        <f ca="1">IFERROR(__xludf.DUMMYFUNCTION("""COMPUTED_VALUE"""),"Male")</f>
        <v>Male</v>
      </c>
      <c r="P209" s="1" t="str">
        <f ca="1">IFERROR(__xludf.DUMMYFUNCTION("""COMPUTED_VALUE"""),"Work &gt;10 people in Team")</f>
        <v>Work &gt;10 people in Team</v>
      </c>
      <c r="Q209" s="1" t="str">
        <f ca="1">IFERROR(__xludf.DUMMYFUNCTION("""COMPUTED_VALUE"""),"Male")</f>
        <v>Male</v>
      </c>
    </row>
    <row r="210" spans="13:17" x14ac:dyDescent="0.25">
      <c r="M210" s="4" t="s">
        <v>51</v>
      </c>
      <c r="N210" s="1" t="str">
        <f ca="1">IFERROR(__xludf.DUMMYFUNCTION("""COMPUTED_VALUE"""),"Female")</f>
        <v>Female</v>
      </c>
      <c r="P210" s="1" t="str">
        <f ca="1">IFERROR(__xludf.DUMMYFUNCTION("""COMPUTED_VALUE"""),"Work &lt;=6 People in the Team")</f>
        <v>Work &lt;=6 People in the Team</v>
      </c>
      <c r="Q210" s="1" t="str">
        <f ca="1">IFERROR(__xludf.DUMMYFUNCTION("""COMPUTED_VALUE"""),"Female")</f>
        <v>Female</v>
      </c>
    </row>
    <row r="211" spans="13:17" x14ac:dyDescent="0.25">
      <c r="M211" s="4" t="s">
        <v>48</v>
      </c>
      <c r="N211" s="1" t="str">
        <f ca="1">IFERROR(__xludf.DUMMYFUNCTION("""COMPUTED_VALUE"""),"Male")</f>
        <v>Male</v>
      </c>
      <c r="P211" s="1" t="str">
        <f ca="1">IFERROR(__xludf.DUMMYFUNCTION("""COMPUTED_VALUE"""),"Work &lt;=6 People in the Team")</f>
        <v>Work &lt;=6 People in the Team</v>
      </c>
      <c r="Q211" s="1" t="str">
        <f ca="1">IFERROR(__xludf.DUMMYFUNCTION("""COMPUTED_VALUE"""),"Male")</f>
        <v>Male</v>
      </c>
    </row>
    <row r="212" spans="13:17" x14ac:dyDescent="0.25">
      <c r="M212" s="4" t="s">
        <v>51</v>
      </c>
      <c r="N212" s="1" t="str">
        <f ca="1">IFERROR(__xludf.DUMMYFUNCTION("""COMPUTED_VALUE"""),"Male")</f>
        <v>Male</v>
      </c>
      <c r="P212" s="1" t="str">
        <f ca="1">IFERROR(__xludf.DUMMYFUNCTION("""COMPUTED_VALUE"""),"Work &gt;10 people in Team")</f>
        <v>Work &gt;10 people in Team</v>
      </c>
      <c r="Q212" s="1" t="str">
        <f ca="1">IFERROR(__xludf.DUMMYFUNCTION("""COMPUTED_VALUE"""),"Male")</f>
        <v>Male</v>
      </c>
    </row>
    <row r="213" spans="13:17" x14ac:dyDescent="0.25">
      <c r="M213" s="4" t="s">
        <v>50</v>
      </c>
      <c r="N213" s="1" t="str">
        <f ca="1">IFERROR(__xludf.DUMMYFUNCTION("""COMPUTED_VALUE"""),"Male")</f>
        <v>Male</v>
      </c>
      <c r="P213" s="1" t="str">
        <f ca="1">IFERROR(__xludf.DUMMYFUNCTION("""COMPUTED_VALUE"""),"Work &gt;=7 People in the Team")</f>
        <v>Work &gt;=7 People in the Team</v>
      </c>
      <c r="Q213" s="1" t="str">
        <f ca="1">IFERROR(__xludf.DUMMYFUNCTION("""COMPUTED_VALUE"""),"Male")</f>
        <v>Male</v>
      </c>
    </row>
    <row r="214" spans="13:17" x14ac:dyDescent="0.25">
      <c r="M214" s="4" t="s">
        <v>51</v>
      </c>
      <c r="N214" s="1" t="str">
        <f ca="1">IFERROR(__xludf.DUMMYFUNCTION("""COMPUTED_VALUE"""),"Male")</f>
        <v>Male</v>
      </c>
      <c r="P214" s="1" t="str">
        <f ca="1">IFERROR(__xludf.DUMMYFUNCTION("""COMPUTED_VALUE"""),"Work &lt;=6 People in the Team")</f>
        <v>Work &lt;=6 People in the Team</v>
      </c>
      <c r="Q214" s="1" t="str">
        <f ca="1">IFERROR(__xludf.DUMMYFUNCTION("""COMPUTED_VALUE"""),"Male")</f>
        <v>Male</v>
      </c>
    </row>
    <row r="215" spans="13:17" x14ac:dyDescent="0.25">
      <c r="M215" s="4" t="s">
        <v>48</v>
      </c>
      <c r="N215" s="1" t="str">
        <f ca="1">IFERROR(__xludf.DUMMYFUNCTION("""COMPUTED_VALUE"""),"Female")</f>
        <v>Female</v>
      </c>
      <c r="P215" s="1" t="str">
        <f ca="1">IFERROR(__xludf.DUMMYFUNCTION("""COMPUTED_VALUE"""),"Work &gt;10 people in Team")</f>
        <v>Work &gt;10 people in Team</v>
      </c>
      <c r="Q215" s="1" t="str">
        <f ca="1">IFERROR(__xludf.DUMMYFUNCTION("""COMPUTED_VALUE"""),"Female")</f>
        <v>Female</v>
      </c>
    </row>
    <row r="216" spans="13:17" x14ac:dyDescent="0.25">
      <c r="M216" s="4" t="s">
        <v>51</v>
      </c>
      <c r="N216" s="1" t="str">
        <f ca="1">IFERROR(__xludf.DUMMYFUNCTION("""COMPUTED_VALUE"""),"Male")</f>
        <v>Male</v>
      </c>
      <c r="P216" s="1" t="str">
        <f ca="1">IFERROR(__xludf.DUMMYFUNCTION("""COMPUTED_VALUE"""),"Work &gt;=7 People in the Team")</f>
        <v>Work &gt;=7 People in the Team</v>
      </c>
      <c r="Q216" s="1" t="str">
        <f ca="1">IFERROR(__xludf.DUMMYFUNCTION("""COMPUTED_VALUE"""),"Male")</f>
        <v>Male</v>
      </c>
    </row>
    <row r="217" spans="13:17" x14ac:dyDescent="0.25">
      <c r="M217" s="4" t="s">
        <v>50</v>
      </c>
      <c r="N217" s="1" t="str">
        <f ca="1">IFERROR(__xludf.DUMMYFUNCTION("""COMPUTED_VALUE"""),"Female")</f>
        <v>Female</v>
      </c>
      <c r="P217" s="1" t="str">
        <f ca="1">IFERROR(__xludf.DUMMYFUNCTION("""COMPUTED_VALUE"""),"Work &lt;=6 People in the Team")</f>
        <v>Work &lt;=6 People in the Team</v>
      </c>
      <c r="Q217" s="1" t="str">
        <f ca="1">IFERROR(__xludf.DUMMYFUNCTION("""COMPUTED_VALUE"""),"Female")</f>
        <v>Female</v>
      </c>
    </row>
    <row r="218" spans="13:17" x14ac:dyDescent="0.25">
      <c r="M218" s="4" t="s">
        <v>51</v>
      </c>
      <c r="N218" s="1" t="str">
        <f ca="1">IFERROR(__xludf.DUMMYFUNCTION("""COMPUTED_VALUE"""),"Male")</f>
        <v>Male</v>
      </c>
      <c r="P218" s="1" t="str">
        <f ca="1">IFERROR(__xludf.DUMMYFUNCTION("""COMPUTED_VALUE"""),"Work &lt;=6 People in the Team")</f>
        <v>Work &lt;=6 People in the Team</v>
      </c>
      <c r="Q218" s="1" t="str">
        <f ca="1">IFERROR(__xludf.DUMMYFUNCTION("""COMPUTED_VALUE"""),"Male")</f>
        <v>Male</v>
      </c>
    </row>
    <row r="219" spans="13:17" x14ac:dyDescent="0.25">
      <c r="M219" s="4" t="s">
        <v>48</v>
      </c>
      <c r="N219" s="1" t="str">
        <f ca="1">IFERROR(__xludf.DUMMYFUNCTION("""COMPUTED_VALUE"""),"Male")</f>
        <v>Male</v>
      </c>
      <c r="P219" s="1" t="str">
        <f ca="1">IFERROR(__xludf.DUMMYFUNCTION("""COMPUTED_VALUE"""),"Work &lt;=6 People in the Team")</f>
        <v>Work &lt;=6 People in the Team</v>
      </c>
      <c r="Q219" s="1" t="str">
        <f ca="1">IFERROR(__xludf.DUMMYFUNCTION("""COMPUTED_VALUE"""),"Male")</f>
        <v>Male</v>
      </c>
    </row>
    <row r="220" spans="13:17" x14ac:dyDescent="0.25">
      <c r="M220" s="4" t="s">
        <v>55</v>
      </c>
      <c r="N220" s="1" t="str">
        <f ca="1">IFERROR(__xludf.DUMMYFUNCTION("""COMPUTED_VALUE"""),"Male")</f>
        <v>Male</v>
      </c>
      <c r="P220" s="1" t="str">
        <f ca="1">IFERROR(__xludf.DUMMYFUNCTION("""COMPUTED_VALUE"""),"Work &gt;10 people in Team")</f>
        <v>Work &gt;10 people in Team</v>
      </c>
      <c r="Q220" s="1" t="str">
        <f ca="1">IFERROR(__xludf.DUMMYFUNCTION("""COMPUTED_VALUE"""),"Male")</f>
        <v>Male</v>
      </c>
    </row>
    <row r="221" spans="13:17" x14ac:dyDescent="0.25">
      <c r="M221" s="4" t="s">
        <v>50</v>
      </c>
      <c r="N221" s="1" t="str">
        <f ca="1">IFERROR(__xludf.DUMMYFUNCTION("""COMPUTED_VALUE"""),"Female")</f>
        <v>Female</v>
      </c>
      <c r="P221" s="1" t="str">
        <f ca="1">IFERROR(__xludf.DUMMYFUNCTION("""COMPUTED_VALUE"""),"Work &lt;=6 People in the Team")</f>
        <v>Work &lt;=6 People in the Team</v>
      </c>
      <c r="Q221" s="1" t="str">
        <f ca="1">IFERROR(__xludf.DUMMYFUNCTION("""COMPUTED_VALUE"""),"Female")</f>
        <v>Female</v>
      </c>
    </row>
    <row r="222" spans="13:17" x14ac:dyDescent="0.25">
      <c r="M222" s="4" t="s">
        <v>55</v>
      </c>
      <c r="N222" s="1" t="str">
        <f ca="1">IFERROR(__xludf.DUMMYFUNCTION("""COMPUTED_VALUE"""),"Male")</f>
        <v>Male</v>
      </c>
      <c r="P222" s="1" t="str">
        <f ca="1">IFERROR(__xludf.DUMMYFUNCTION("""COMPUTED_VALUE"""),"Work &lt;=6 People in the Team")</f>
        <v>Work &lt;=6 People in the Team</v>
      </c>
      <c r="Q222" s="1" t="str">
        <f ca="1">IFERROR(__xludf.DUMMYFUNCTION("""COMPUTED_VALUE"""),"Male")</f>
        <v>Male</v>
      </c>
    </row>
    <row r="223" spans="13:17" x14ac:dyDescent="0.25">
      <c r="M223" s="4" t="s">
        <v>50</v>
      </c>
      <c r="N223" s="1" t="str">
        <f ca="1">IFERROR(__xludf.DUMMYFUNCTION("""COMPUTED_VALUE"""),"Female")</f>
        <v>Female</v>
      </c>
      <c r="P223" s="1" t="str">
        <f ca="1">IFERROR(__xludf.DUMMYFUNCTION("""COMPUTED_VALUE"""),"Work alone")</f>
        <v>Work alone</v>
      </c>
      <c r="Q223" s="1" t="str">
        <f ca="1">IFERROR(__xludf.DUMMYFUNCTION("""COMPUTED_VALUE"""),"Female")</f>
        <v>Female</v>
      </c>
    </row>
    <row r="224" spans="13:17" x14ac:dyDescent="0.25">
      <c r="M224" s="4" t="s">
        <v>51</v>
      </c>
      <c r="N224" s="1" t="str">
        <f ca="1">IFERROR(__xludf.DUMMYFUNCTION("""COMPUTED_VALUE"""),"Male")</f>
        <v>Male</v>
      </c>
      <c r="P224" s="1" t="str">
        <f ca="1">IFERROR(__xludf.DUMMYFUNCTION("""COMPUTED_VALUE"""),"Work alone")</f>
        <v>Work alone</v>
      </c>
      <c r="Q224" s="1" t="str">
        <f ca="1">IFERROR(__xludf.DUMMYFUNCTION("""COMPUTED_VALUE"""),"Male")</f>
        <v>Male</v>
      </c>
    </row>
    <row r="225" spans="1:17" x14ac:dyDescent="0.25">
      <c r="M225" s="4" t="s">
        <v>50</v>
      </c>
      <c r="N225" s="1" t="str">
        <f ca="1">IFERROR(__xludf.DUMMYFUNCTION("""COMPUTED_VALUE"""),"Male")</f>
        <v>Male</v>
      </c>
      <c r="P225" s="1" t="str">
        <f ca="1">IFERROR(__xludf.DUMMYFUNCTION("""COMPUTED_VALUE"""),"Work &gt;10 people in Team")</f>
        <v>Work &gt;10 people in Team</v>
      </c>
      <c r="Q225" s="1" t="str">
        <f ca="1">IFERROR(__xludf.DUMMYFUNCTION("""COMPUTED_VALUE"""),"Male")</f>
        <v>Male</v>
      </c>
    </row>
    <row r="226" spans="1:17" x14ac:dyDescent="0.25">
      <c r="M226" s="4" t="s">
        <v>48</v>
      </c>
      <c r="N226" s="1" t="str">
        <f ca="1">IFERROR(__xludf.DUMMYFUNCTION("""COMPUTED_VALUE"""),"Male")</f>
        <v>Male</v>
      </c>
      <c r="P226" s="1" t="str">
        <f ca="1">IFERROR(__xludf.DUMMYFUNCTION("""COMPUTED_VALUE"""),"Work alone")</f>
        <v>Work alone</v>
      </c>
      <c r="Q226" s="1" t="str">
        <f ca="1">IFERROR(__xludf.DUMMYFUNCTION("""COMPUTED_VALUE"""),"Male")</f>
        <v>Male</v>
      </c>
    </row>
    <row r="227" spans="1:17" x14ac:dyDescent="0.25">
      <c r="A227" s="3" t="s">
        <v>86</v>
      </c>
      <c r="B227" t="s">
        <v>3</v>
      </c>
      <c r="M227" s="4" t="s">
        <v>48</v>
      </c>
      <c r="N227" s="1" t="str">
        <f ca="1">IFERROR(__xludf.DUMMYFUNCTION("""COMPUTED_VALUE"""),"Female")</f>
        <v>Female</v>
      </c>
      <c r="P227" s="1" t="str">
        <f ca="1">IFERROR(__xludf.DUMMYFUNCTION("""COMPUTED_VALUE"""),"Work &gt;=7 People in the Team")</f>
        <v>Work &gt;=7 People in the Team</v>
      </c>
      <c r="Q227" s="1" t="str">
        <f ca="1">IFERROR(__xludf.DUMMYFUNCTION("""COMPUTED_VALUE"""),"Female")</f>
        <v>Female</v>
      </c>
    </row>
    <row r="228" spans="1:17" x14ac:dyDescent="0.25">
      <c r="A228" s="4" t="s">
        <v>85</v>
      </c>
      <c r="B228">
        <v>10</v>
      </c>
      <c r="M228" s="4" t="s">
        <v>48</v>
      </c>
      <c r="N228" s="1" t="str">
        <f ca="1">IFERROR(__xludf.DUMMYFUNCTION("""COMPUTED_VALUE"""),"Female")</f>
        <v>Female</v>
      </c>
      <c r="P228" s="1" t="str">
        <f ca="1">IFERROR(__xludf.DUMMYFUNCTION("""COMPUTED_VALUE"""),"Work alone")</f>
        <v>Work alone</v>
      </c>
      <c r="Q228" s="1" t="str">
        <f ca="1">IFERROR(__xludf.DUMMYFUNCTION("""COMPUTED_VALUE"""),"Female")</f>
        <v>Female</v>
      </c>
    </row>
    <row r="229" spans="1:17" x14ac:dyDescent="0.25">
      <c r="A229" s="4" t="s">
        <v>80</v>
      </c>
      <c r="B229">
        <v>41</v>
      </c>
      <c r="M229" s="4" t="s">
        <v>50</v>
      </c>
      <c r="N229" s="1" t="str">
        <f ca="1">IFERROR(__xludf.DUMMYFUNCTION("""COMPUTED_VALUE"""),"Female")</f>
        <v>Female</v>
      </c>
      <c r="P229" s="1" t="str">
        <f ca="1">IFERROR(__xludf.DUMMYFUNCTION("""COMPUTED_VALUE"""),"Work alone")</f>
        <v>Work alone</v>
      </c>
      <c r="Q229" s="1" t="str">
        <f ca="1">IFERROR(__xludf.DUMMYFUNCTION("""COMPUTED_VALUE"""),"Female")</f>
        <v>Female</v>
      </c>
    </row>
    <row r="230" spans="1:17" x14ac:dyDescent="0.25">
      <c r="A230" s="4" t="s">
        <v>30</v>
      </c>
      <c r="B230">
        <v>88</v>
      </c>
      <c r="M230" s="4" t="s">
        <v>51</v>
      </c>
      <c r="N230" s="1" t="str">
        <f ca="1">IFERROR(__xludf.DUMMYFUNCTION("""COMPUTED_VALUE"""),"Male")</f>
        <v>Male</v>
      </c>
      <c r="P230" s="1" t="str">
        <f ca="1">IFERROR(__xludf.DUMMYFUNCTION("""COMPUTED_VALUE"""),"Work &lt;=6 People in the Team")</f>
        <v>Work &lt;=6 People in the Team</v>
      </c>
      <c r="Q230" s="1" t="str">
        <f ca="1">IFERROR(__xludf.DUMMYFUNCTION("""COMPUTED_VALUE"""),"Male")</f>
        <v>Male</v>
      </c>
    </row>
    <row r="231" spans="1:17" x14ac:dyDescent="0.25">
      <c r="A231" s="4" t="s">
        <v>84</v>
      </c>
      <c r="B231">
        <v>124</v>
      </c>
      <c r="M231" s="4" t="s">
        <v>48</v>
      </c>
      <c r="N231" s="1" t="str">
        <f ca="1">IFERROR(__xludf.DUMMYFUNCTION("""COMPUTED_VALUE"""),"Male")</f>
        <v>Male</v>
      </c>
      <c r="P231" s="1" t="str">
        <f ca="1">IFERROR(__xludf.DUMMYFUNCTION("""COMPUTED_VALUE"""),"Work &lt;=6 People in the Team")</f>
        <v>Work &lt;=6 People in the Team</v>
      </c>
      <c r="Q231" s="1" t="str">
        <f ca="1">IFERROR(__xludf.DUMMYFUNCTION("""COMPUTED_VALUE"""),"Male")</f>
        <v>Male</v>
      </c>
    </row>
    <row r="232" spans="1:17" x14ac:dyDescent="0.25">
      <c r="A232" s="4" t="s">
        <v>82</v>
      </c>
      <c r="B232">
        <v>148</v>
      </c>
      <c r="M232" s="4" t="s">
        <v>51</v>
      </c>
      <c r="N232" s="1" t="str">
        <f ca="1">IFERROR(__xludf.DUMMYFUNCTION("""COMPUTED_VALUE"""),"Male")</f>
        <v>Male</v>
      </c>
      <c r="P232" s="1" t="str">
        <f ca="1">IFERROR(__xludf.DUMMYFUNCTION("""COMPUTED_VALUE"""),"Work &gt;10 people in Team")</f>
        <v>Work &gt;10 people in Team</v>
      </c>
      <c r="Q232" s="1" t="str">
        <f ca="1">IFERROR(__xludf.DUMMYFUNCTION("""COMPUTED_VALUE"""),"Male")</f>
        <v>Male</v>
      </c>
    </row>
    <row r="233" spans="1:17" x14ac:dyDescent="0.25">
      <c r="A233" s="4" t="s">
        <v>83</v>
      </c>
      <c r="B233">
        <v>266</v>
      </c>
      <c r="M233" s="4" t="s">
        <v>48</v>
      </c>
      <c r="N233" s="1" t="str">
        <f ca="1">IFERROR(__xludf.DUMMYFUNCTION("""COMPUTED_VALUE"""),"Male")</f>
        <v>Male</v>
      </c>
      <c r="P233" s="1" t="str">
        <f ca="1">IFERROR(__xludf.DUMMYFUNCTION("""COMPUTED_VALUE"""),"Work &lt;=6 People in the Team")</f>
        <v>Work &lt;=6 People in the Team</v>
      </c>
      <c r="Q233" s="1" t="str">
        <f ca="1">IFERROR(__xludf.DUMMYFUNCTION("""COMPUTED_VALUE"""),"Male")</f>
        <v>Male</v>
      </c>
    </row>
    <row r="234" spans="1:17" x14ac:dyDescent="0.25">
      <c r="A234" s="4" t="s">
        <v>81</v>
      </c>
      <c r="B234">
        <v>967</v>
      </c>
      <c r="M234" s="4" t="s">
        <v>51</v>
      </c>
      <c r="N234" s="1" t="str">
        <f ca="1">IFERROR(__xludf.DUMMYFUNCTION("""COMPUTED_VALUE"""),"Female")</f>
        <v>Female</v>
      </c>
      <c r="P234" s="1" t="str">
        <f ca="1">IFERROR(__xludf.DUMMYFUNCTION("""COMPUTED_VALUE"""),"Work &gt;10 people in Team")</f>
        <v>Work &gt;10 people in Team</v>
      </c>
      <c r="Q234" s="1" t="str">
        <f ca="1">IFERROR(__xludf.DUMMYFUNCTION("""COMPUTED_VALUE"""),"Female")</f>
        <v>Female</v>
      </c>
    </row>
    <row r="235" spans="1:17" x14ac:dyDescent="0.25">
      <c r="M235" s="4" t="s">
        <v>48</v>
      </c>
      <c r="N235" s="1" t="str">
        <f ca="1">IFERROR(__xludf.DUMMYFUNCTION("""COMPUTED_VALUE"""),"Male")</f>
        <v>Male</v>
      </c>
      <c r="P235" s="1" t="str">
        <f ca="1">IFERROR(__xludf.DUMMYFUNCTION("""COMPUTED_VALUE"""),"Work &lt;=6 People in the Team")</f>
        <v>Work &lt;=6 People in the Team</v>
      </c>
      <c r="Q235" s="1" t="str">
        <f ca="1">IFERROR(__xludf.DUMMYFUNCTION("""COMPUTED_VALUE"""),"Male")</f>
        <v>Male</v>
      </c>
    </row>
    <row r="236" spans="1:17" x14ac:dyDescent="0.25">
      <c r="M236" s="4" t="s">
        <v>51</v>
      </c>
      <c r="N236" s="1" t="str">
        <f ca="1">IFERROR(__xludf.DUMMYFUNCTION("""COMPUTED_VALUE"""),"Female")</f>
        <v>Female</v>
      </c>
      <c r="P236" s="1" t="str">
        <f ca="1">IFERROR(__xludf.DUMMYFUNCTION("""COMPUTED_VALUE"""),"Work &gt;=7 People in the Team")</f>
        <v>Work &gt;=7 People in the Team</v>
      </c>
      <c r="Q236" s="1" t="str">
        <f ca="1">IFERROR(__xludf.DUMMYFUNCTION("""COMPUTED_VALUE"""),"Female")</f>
        <v>Female</v>
      </c>
    </row>
    <row r="237" spans="1:17" x14ac:dyDescent="0.25">
      <c r="M237" s="4" t="s">
        <v>50</v>
      </c>
      <c r="N237" s="1" t="str">
        <f ca="1">IFERROR(__xludf.DUMMYFUNCTION("""COMPUTED_VALUE"""),"Male")</f>
        <v>Male</v>
      </c>
      <c r="P237" s="1" t="str">
        <f ca="1">IFERROR(__xludf.DUMMYFUNCTION("""COMPUTED_VALUE"""),"Work &lt;=6 People in the Team")</f>
        <v>Work &lt;=6 People in the Team</v>
      </c>
      <c r="Q237" s="1" t="str">
        <f ca="1">IFERROR(__xludf.DUMMYFUNCTION("""COMPUTED_VALUE"""),"Male")</f>
        <v>Male</v>
      </c>
    </row>
    <row r="238" spans="1:17" x14ac:dyDescent="0.25">
      <c r="M238" s="4" t="s">
        <v>51</v>
      </c>
      <c r="N238" s="1" t="str">
        <f ca="1">IFERROR(__xludf.DUMMYFUNCTION("""COMPUTED_VALUE"""),"Female")</f>
        <v>Female</v>
      </c>
      <c r="P238" s="1" t="str">
        <f ca="1">IFERROR(__xludf.DUMMYFUNCTION("""COMPUTED_VALUE"""),"Work &gt;=7 People in the Team")</f>
        <v>Work &gt;=7 People in the Team</v>
      </c>
      <c r="Q238" s="1" t="str">
        <f ca="1">IFERROR(__xludf.DUMMYFUNCTION("""COMPUTED_VALUE"""),"Female")</f>
        <v>Female</v>
      </c>
    </row>
    <row r="239" spans="1:17" x14ac:dyDescent="0.25">
      <c r="M239" s="4" t="s">
        <v>48</v>
      </c>
      <c r="N239" s="1" t="str">
        <f ca="1">IFERROR(__xludf.DUMMYFUNCTION("""COMPUTED_VALUE"""),"Female")</f>
        <v>Female</v>
      </c>
      <c r="P239" s="1" t="str">
        <f ca="1">IFERROR(__xludf.DUMMYFUNCTION("""COMPUTED_VALUE"""),"Work &lt;=6 People in the Team")</f>
        <v>Work &lt;=6 People in the Team</v>
      </c>
      <c r="Q239" s="1" t="str">
        <f ca="1">IFERROR(__xludf.DUMMYFUNCTION("""COMPUTED_VALUE"""),"Female")</f>
        <v>Female</v>
      </c>
    </row>
    <row r="240" spans="1:17" x14ac:dyDescent="0.25">
      <c r="M240" s="4" t="s">
        <v>48</v>
      </c>
      <c r="N240" s="1" t="str">
        <f ca="1">IFERROR(__xludf.DUMMYFUNCTION("""COMPUTED_VALUE"""),"Female")</f>
        <v>Female</v>
      </c>
      <c r="P240" s="1" t="str">
        <f ca="1">IFERROR(__xludf.DUMMYFUNCTION("""COMPUTED_VALUE"""),"Work &gt;=7 People in the Team")</f>
        <v>Work &gt;=7 People in the Team</v>
      </c>
      <c r="Q240" s="1" t="str">
        <f ca="1">IFERROR(__xludf.DUMMYFUNCTION("""COMPUTED_VALUE"""),"Female")</f>
        <v>Female</v>
      </c>
    </row>
    <row r="241" spans="13:17" x14ac:dyDescent="0.25">
      <c r="M241" s="4" t="s">
        <v>50</v>
      </c>
      <c r="N241" s="1" t="str">
        <f ca="1">IFERROR(__xludf.DUMMYFUNCTION("""COMPUTED_VALUE"""),"Female")</f>
        <v>Female</v>
      </c>
      <c r="P241" s="1" t="str">
        <f ca="1">IFERROR(__xludf.DUMMYFUNCTION("""COMPUTED_VALUE"""),"Work Alone, &lt;=6 in team")</f>
        <v>Work Alone, &lt;=6 in team</v>
      </c>
      <c r="Q241" s="1" t="str">
        <f ca="1">IFERROR(__xludf.DUMMYFUNCTION("""COMPUTED_VALUE"""),"Female")</f>
        <v>Female</v>
      </c>
    </row>
    <row r="242" spans="13:17" x14ac:dyDescent="0.25">
      <c r="M242" s="4" t="s">
        <v>51</v>
      </c>
      <c r="N242" s="1" t="str">
        <f ca="1">IFERROR(__xludf.DUMMYFUNCTION("""COMPUTED_VALUE"""),"Male")</f>
        <v>Male</v>
      </c>
      <c r="P242" s="1" t="str">
        <f ca="1">IFERROR(__xludf.DUMMYFUNCTION("""COMPUTED_VALUE"""),"Work &gt;=7 People in the Team")</f>
        <v>Work &gt;=7 People in the Team</v>
      </c>
      <c r="Q242" s="1" t="str">
        <f ca="1">IFERROR(__xludf.DUMMYFUNCTION("""COMPUTED_VALUE"""),"Male")</f>
        <v>Male</v>
      </c>
    </row>
    <row r="243" spans="13:17" x14ac:dyDescent="0.25">
      <c r="M243" s="4" t="s">
        <v>50</v>
      </c>
      <c r="N243" s="1" t="str">
        <f ca="1">IFERROR(__xludf.DUMMYFUNCTION("""COMPUTED_VALUE"""),"Male")</f>
        <v>Male</v>
      </c>
      <c r="P243" s="1" t="str">
        <f ca="1">IFERROR(__xludf.DUMMYFUNCTION("""COMPUTED_VALUE"""),"Work Alone, &lt;=6 in team")</f>
        <v>Work Alone, &lt;=6 in team</v>
      </c>
      <c r="Q243" s="1" t="str">
        <f ca="1">IFERROR(__xludf.DUMMYFUNCTION("""COMPUTED_VALUE"""),"Male")</f>
        <v>Male</v>
      </c>
    </row>
    <row r="244" spans="13:17" x14ac:dyDescent="0.25">
      <c r="M244" s="4" t="s">
        <v>51</v>
      </c>
      <c r="N244" s="1" t="str">
        <f ca="1">IFERROR(__xludf.DUMMYFUNCTION("""COMPUTED_VALUE"""),"Male")</f>
        <v>Male</v>
      </c>
      <c r="P244" s="1" t="str">
        <f ca="1">IFERROR(__xludf.DUMMYFUNCTION("""COMPUTED_VALUE"""),"Work &lt;=6 People in the Team")</f>
        <v>Work &lt;=6 People in the Team</v>
      </c>
      <c r="Q244" s="1" t="str">
        <f ca="1">IFERROR(__xludf.DUMMYFUNCTION("""COMPUTED_VALUE"""),"Male")</f>
        <v>Male</v>
      </c>
    </row>
    <row r="245" spans="13:17" x14ac:dyDescent="0.25">
      <c r="M245" s="4" t="s">
        <v>51</v>
      </c>
      <c r="N245" s="1" t="str">
        <f ca="1">IFERROR(__xludf.DUMMYFUNCTION("""COMPUTED_VALUE"""),"Female")</f>
        <v>Female</v>
      </c>
      <c r="P245" s="1" t="str">
        <f ca="1">IFERROR(__xludf.DUMMYFUNCTION("""COMPUTED_VALUE"""),"Work Alone, &lt;=6 in team")</f>
        <v>Work Alone, &lt;=6 in team</v>
      </c>
      <c r="Q245" s="1" t="str">
        <f ca="1">IFERROR(__xludf.DUMMYFUNCTION("""COMPUTED_VALUE"""),"Female")</f>
        <v>Female</v>
      </c>
    </row>
    <row r="246" spans="13:17" x14ac:dyDescent="0.25">
      <c r="M246" s="4" t="s">
        <v>51</v>
      </c>
      <c r="N246" s="1" t="str">
        <f ca="1">IFERROR(__xludf.DUMMYFUNCTION("""COMPUTED_VALUE"""),"Male")</f>
        <v>Male</v>
      </c>
      <c r="P246" s="1" t="str">
        <f ca="1">IFERROR(__xludf.DUMMYFUNCTION("""COMPUTED_VALUE"""),"Work &lt;=6 People in the Team")</f>
        <v>Work &lt;=6 People in the Team</v>
      </c>
      <c r="Q246" s="1" t="str">
        <f ca="1">IFERROR(__xludf.DUMMYFUNCTION("""COMPUTED_VALUE"""),"Male")</f>
        <v>Male</v>
      </c>
    </row>
    <row r="247" spans="13:17" x14ac:dyDescent="0.25">
      <c r="M247" s="4" t="s">
        <v>48</v>
      </c>
      <c r="N247" s="1" t="str">
        <f ca="1">IFERROR(__xludf.DUMMYFUNCTION("""COMPUTED_VALUE"""),"Female")</f>
        <v>Female</v>
      </c>
      <c r="P247" s="1" t="str">
        <f ca="1">IFERROR(__xludf.DUMMYFUNCTION("""COMPUTED_VALUE"""),"Work &lt;=6 People in the Team")</f>
        <v>Work &lt;=6 People in the Team</v>
      </c>
      <c r="Q247" s="1" t="str">
        <f ca="1">IFERROR(__xludf.DUMMYFUNCTION("""COMPUTED_VALUE"""),"Female")</f>
        <v>Female</v>
      </c>
    </row>
    <row r="248" spans="13:17" x14ac:dyDescent="0.25">
      <c r="M248" s="4" t="s">
        <v>51</v>
      </c>
      <c r="N248" s="1" t="str">
        <f ca="1">IFERROR(__xludf.DUMMYFUNCTION("""COMPUTED_VALUE"""),"Female")</f>
        <v>Female</v>
      </c>
      <c r="P248" s="1" t="str">
        <f ca="1">IFERROR(__xludf.DUMMYFUNCTION("""COMPUTED_VALUE"""),"Work &lt;=6 People in the Team")</f>
        <v>Work &lt;=6 People in the Team</v>
      </c>
      <c r="Q248" s="1" t="str">
        <f ca="1">IFERROR(__xludf.DUMMYFUNCTION("""COMPUTED_VALUE"""),"Female")</f>
        <v>Female</v>
      </c>
    </row>
    <row r="249" spans="13:17" x14ac:dyDescent="0.25">
      <c r="M249" s="4" t="s">
        <v>51</v>
      </c>
      <c r="N249" s="1" t="str">
        <f ca="1">IFERROR(__xludf.DUMMYFUNCTION("""COMPUTED_VALUE"""),"Male")</f>
        <v>Male</v>
      </c>
      <c r="P249" s="1" t="str">
        <f ca="1">IFERROR(__xludf.DUMMYFUNCTION("""COMPUTED_VALUE"""),"Work &lt;=6 People in the Team")</f>
        <v>Work &lt;=6 People in the Team</v>
      </c>
      <c r="Q249" s="1" t="str">
        <f ca="1">IFERROR(__xludf.DUMMYFUNCTION("""COMPUTED_VALUE"""),"Male")</f>
        <v>Male</v>
      </c>
    </row>
    <row r="250" spans="13:17" x14ac:dyDescent="0.25">
      <c r="M250" s="4" t="s">
        <v>55</v>
      </c>
      <c r="N250" s="1" t="str">
        <f ca="1">IFERROR(__xludf.DUMMYFUNCTION("""COMPUTED_VALUE"""),"Male")</f>
        <v>Male</v>
      </c>
      <c r="P250" s="1" t="str">
        <f ca="1">IFERROR(__xludf.DUMMYFUNCTION("""COMPUTED_VALUE"""),"Work &lt;=6 People in the Team")</f>
        <v>Work &lt;=6 People in the Team</v>
      </c>
      <c r="Q250" s="1" t="str">
        <f ca="1">IFERROR(__xludf.DUMMYFUNCTION("""COMPUTED_VALUE"""),"Male")</f>
        <v>Male</v>
      </c>
    </row>
    <row r="251" spans="13:17" x14ac:dyDescent="0.25">
      <c r="M251" s="4" t="s">
        <v>51</v>
      </c>
      <c r="N251" s="1" t="str">
        <f ca="1">IFERROR(__xludf.DUMMYFUNCTION("""COMPUTED_VALUE"""),"Male")</f>
        <v>Male</v>
      </c>
      <c r="P251" s="1" t="str">
        <f ca="1">IFERROR(__xludf.DUMMYFUNCTION("""COMPUTED_VALUE"""),"Work &gt;10 people in Team")</f>
        <v>Work &gt;10 people in Team</v>
      </c>
      <c r="Q251" s="1" t="str">
        <f ca="1">IFERROR(__xludf.DUMMYFUNCTION("""COMPUTED_VALUE"""),"Male")</f>
        <v>Male</v>
      </c>
    </row>
    <row r="252" spans="13:17" x14ac:dyDescent="0.25">
      <c r="M252" s="4" t="s">
        <v>48</v>
      </c>
      <c r="N252" s="1" t="str">
        <f ca="1">IFERROR(__xludf.DUMMYFUNCTION("""COMPUTED_VALUE"""),"Male")</f>
        <v>Male</v>
      </c>
      <c r="P252" s="1" t="str">
        <f ca="1">IFERROR(__xludf.DUMMYFUNCTION("""COMPUTED_VALUE"""),"Work &lt;=6 People in the Team")</f>
        <v>Work &lt;=6 People in the Team</v>
      </c>
      <c r="Q252" s="1" t="str">
        <f ca="1">IFERROR(__xludf.DUMMYFUNCTION("""COMPUTED_VALUE"""),"Male")</f>
        <v>Male</v>
      </c>
    </row>
    <row r="253" spans="13:17" x14ac:dyDescent="0.25">
      <c r="M253" s="4" t="s">
        <v>51</v>
      </c>
      <c r="N253" s="1" t="str">
        <f ca="1">IFERROR(__xludf.DUMMYFUNCTION("""COMPUTED_VALUE"""),"Male")</f>
        <v>Male</v>
      </c>
      <c r="P253" s="1" t="str">
        <f ca="1">IFERROR(__xludf.DUMMYFUNCTION("""COMPUTED_VALUE"""),"Work &lt;=6 People in the Team")</f>
        <v>Work &lt;=6 People in the Team</v>
      </c>
      <c r="Q253" s="1" t="str">
        <f ca="1">IFERROR(__xludf.DUMMYFUNCTION("""COMPUTED_VALUE"""),"Male")</f>
        <v>Male</v>
      </c>
    </row>
    <row r="254" spans="13:17" x14ac:dyDescent="0.25">
      <c r="M254" s="4" t="s">
        <v>55</v>
      </c>
      <c r="N254" s="1" t="str">
        <f ca="1">IFERROR(__xludf.DUMMYFUNCTION("""COMPUTED_VALUE"""),"Male")</f>
        <v>Male</v>
      </c>
      <c r="P254" s="1" t="str">
        <f ca="1">IFERROR(__xludf.DUMMYFUNCTION("""COMPUTED_VALUE"""),"Work &lt;=6 People in the Team")</f>
        <v>Work &lt;=6 People in the Team</v>
      </c>
      <c r="Q254" s="1" t="str">
        <f ca="1">IFERROR(__xludf.DUMMYFUNCTION("""COMPUTED_VALUE"""),"Male")</f>
        <v>Male</v>
      </c>
    </row>
    <row r="255" spans="13:17" x14ac:dyDescent="0.25">
      <c r="M255" s="4" t="s">
        <v>51</v>
      </c>
      <c r="N255" s="1" t="str">
        <f ca="1">IFERROR(__xludf.DUMMYFUNCTION("""COMPUTED_VALUE"""),"Female")</f>
        <v>Female</v>
      </c>
      <c r="P255" s="1" t="str">
        <f ca="1">IFERROR(__xludf.DUMMYFUNCTION("""COMPUTED_VALUE"""),"Work alone")</f>
        <v>Work alone</v>
      </c>
      <c r="Q255" s="1" t="str">
        <f ca="1">IFERROR(__xludf.DUMMYFUNCTION("""COMPUTED_VALUE"""),"Female")</f>
        <v>Female</v>
      </c>
    </row>
    <row r="256" spans="13:17" x14ac:dyDescent="0.25">
      <c r="M256" s="4" t="s">
        <v>57</v>
      </c>
      <c r="N256" s="1" t="str">
        <f ca="1">IFERROR(__xludf.DUMMYFUNCTION("""COMPUTED_VALUE"""),"Female")</f>
        <v>Female</v>
      </c>
      <c r="P256" s="1" t="str">
        <f ca="1">IFERROR(__xludf.DUMMYFUNCTION("""COMPUTED_VALUE"""),"Work &lt;=6 People in the Team")</f>
        <v>Work &lt;=6 People in the Team</v>
      </c>
      <c r="Q256" s="1" t="str">
        <f ca="1">IFERROR(__xludf.DUMMYFUNCTION("""COMPUTED_VALUE"""),"Female")</f>
        <v>Female</v>
      </c>
    </row>
    <row r="257" spans="13:17" x14ac:dyDescent="0.25">
      <c r="M257" s="4" t="s">
        <v>51</v>
      </c>
      <c r="N257" s="1" t="str">
        <f ca="1">IFERROR(__xludf.DUMMYFUNCTION("""COMPUTED_VALUE"""),"Female")</f>
        <v>Female</v>
      </c>
      <c r="P257" s="1" t="str">
        <f ca="1">IFERROR(__xludf.DUMMYFUNCTION("""COMPUTED_VALUE"""),"Work &lt;=6 People in the Team")</f>
        <v>Work &lt;=6 People in the Team</v>
      </c>
      <c r="Q257" s="1" t="str">
        <f ca="1">IFERROR(__xludf.DUMMYFUNCTION("""COMPUTED_VALUE"""),"Female")</f>
        <v>Female</v>
      </c>
    </row>
    <row r="258" spans="13:17" x14ac:dyDescent="0.25">
      <c r="M258" s="4" t="s">
        <v>51</v>
      </c>
      <c r="N258" s="1" t="str">
        <f ca="1">IFERROR(__xludf.DUMMYFUNCTION("""COMPUTED_VALUE"""),"Male")</f>
        <v>Male</v>
      </c>
      <c r="P258" s="1" t="str">
        <f ca="1">IFERROR(__xludf.DUMMYFUNCTION("""COMPUTED_VALUE"""),"Work &lt;=6 People in the Team")</f>
        <v>Work &lt;=6 People in the Team</v>
      </c>
      <c r="Q258" s="1" t="str">
        <f ca="1">IFERROR(__xludf.DUMMYFUNCTION("""COMPUTED_VALUE"""),"Male")</f>
        <v>Male</v>
      </c>
    </row>
    <row r="259" spans="13:17" x14ac:dyDescent="0.25">
      <c r="M259" s="4" t="s">
        <v>49</v>
      </c>
      <c r="N259" s="1" t="str">
        <f ca="1">IFERROR(__xludf.DUMMYFUNCTION("""COMPUTED_VALUE"""),"Female")</f>
        <v>Female</v>
      </c>
      <c r="P259" s="1" t="str">
        <f ca="1">IFERROR(__xludf.DUMMYFUNCTION("""COMPUTED_VALUE"""),"Work &gt;=7 People in the Team")</f>
        <v>Work &gt;=7 People in the Team</v>
      </c>
      <c r="Q259" s="1" t="str">
        <f ca="1">IFERROR(__xludf.DUMMYFUNCTION("""COMPUTED_VALUE"""),"Female")</f>
        <v>Female</v>
      </c>
    </row>
    <row r="260" spans="13:17" x14ac:dyDescent="0.25">
      <c r="M260" s="4" t="s">
        <v>49</v>
      </c>
      <c r="N260" s="1" t="str">
        <f ca="1">IFERROR(__xludf.DUMMYFUNCTION("""COMPUTED_VALUE"""),"Male")</f>
        <v>Male</v>
      </c>
      <c r="P260" s="1" t="str">
        <f ca="1">IFERROR(__xludf.DUMMYFUNCTION("""COMPUTED_VALUE"""),"Work &lt;=6 People in the Team")</f>
        <v>Work &lt;=6 People in the Team</v>
      </c>
      <c r="Q260" s="1" t="str">
        <f ca="1">IFERROR(__xludf.DUMMYFUNCTION("""COMPUTED_VALUE"""),"Male")</f>
        <v>Male</v>
      </c>
    </row>
    <row r="261" spans="13:17" x14ac:dyDescent="0.25">
      <c r="M261" s="4" t="s">
        <v>48</v>
      </c>
      <c r="N261" s="1" t="str">
        <f ca="1">IFERROR(__xludf.DUMMYFUNCTION("""COMPUTED_VALUE"""),"Female")</f>
        <v>Female</v>
      </c>
      <c r="P261" s="1" t="str">
        <f ca="1">IFERROR(__xludf.DUMMYFUNCTION("""COMPUTED_VALUE"""),"Work &lt;=6 People in the Team")</f>
        <v>Work &lt;=6 People in the Team</v>
      </c>
      <c r="Q261" s="1" t="str">
        <f ca="1">IFERROR(__xludf.DUMMYFUNCTION("""COMPUTED_VALUE"""),"Female")</f>
        <v>Female</v>
      </c>
    </row>
    <row r="262" spans="13:17" x14ac:dyDescent="0.25">
      <c r="M262" s="4" t="s">
        <v>49</v>
      </c>
      <c r="N262" s="1" t="str">
        <f ca="1">IFERROR(__xludf.DUMMYFUNCTION("""COMPUTED_VALUE"""),"Female")</f>
        <v>Female</v>
      </c>
      <c r="P262" s="1" t="str">
        <f ca="1">IFERROR(__xludf.DUMMYFUNCTION("""COMPUTED_VALUE"""),"Work &gt;10 people in Team")</f>
        <v>Work &gt;10 people in Team</v>
      </c>
      <c r="Q262" s="1" t="str">
        <f ca="1">IFERROR(__xludf.DUMMYFUNCTION("""COMPUTED_VALUE"""),"Female")</f>
        <v>Female</v>
      </c>
    </row>
    <row r="263" spans="13:17" x14ac:dyDescent="0.25">
      <c r="M263" s="4" t="s">
        <v>49</v>
      </c>
      <c r="N263" s="1" t="str">
        <f ca="1">IFERROR(__xludf.DUMMYFUNCTION("""COMPUTED_VALUE"""),"Female")</f>
        <v>Female</v>
      </c>
      <c r="P263" s="1" t="str">
        <f ca="1">IFERROR(__xludf.DUMMYFUNCTION("""COMPUTED_VALUE"""),"Work &lt;=6 People in the Team")</f>
        <v>Work &lt;=6 People in the Team</v>
      </c>
      <c r="Q263" s="1" t="str">
        <f ca="1">IFERROR(__xludf.DUMMYFUNCTION("""COMPUTED_VALUE"""),"Female")</f>
        <v>Female</v>
      </c>
    </row>
    <row r="264" spans="13:17" x14ac:dyDescent="0.25">
      <c r="M264" s="4" t="s">
        <v>48</v>
      </c>
      <c r="N264" s="1" t="str">
        <f ca="1">IFERROR(__xludf.DUMMYFUNCTION("""COMPUTED_VALUE"""),"Male")</f>
        <v>Male</v>
      </c>
      <c r="P264" s="1" t="str">
        <f ca="1">IFERROR(__xludf.DUMMYFUNCTION("""COMPUTED_VALUE"""),"Work Alone, &lt;67 people in team")</f>
        <v>Work Alone, &lt;67 people in team</v>
      </c>
      <c r="Q264" s="1" t="str">
        <f ca="1">IFERROR(__xludf.DUMMYFUNCTION("""COMPUTED_VALUE"""),"Male")</f>
        <v>Male</v>
      </c>
    </row>
    <row r="265" spans="13:17" x14ac:dyDescent="0.25">
      <c r="M265" s="4" t="s">
        <v>48</v>
      </c>
      <c r="N265" s="1" t="str">
        <f ca="1">IFERROR(__xludf.DUMMYFUNCTION("""COMPUTED_VALUE"""),"Female")</f>
        <v>Female</v>
      </c>
      <c r="P265" s="1" t="str">
        <f ca="1">IFERROR(__xludf.DUMMYFUNCTION("""COMPUTED_VALUE"""),"Work &gt;=7 People in the Team")</f>
        <v>Work &gt;=7 People in the Team</v>
      </c>
      <c r="Q265" s="1" t="str">
        <f ca="1">IFERROR(__xludf.DUMMYFUNCTION("""COMPUTED_VALUE"""),"Female")</f>
        <v>Female</v>
      </c>
    </row>
    <row r="266" spans="13:17" x14ac:dyDescent="0.25">
      <c r="M266" s="4" t="s">
        <v>48</v>
      </c>
      <c r="N266" s="1" t="str">
        <f ca="1">IFERROR(__xludf.DUMMYFUNCTION("""COMPUTED_VALUE"""),"Male")</f>
        <v>Male</v>
      </c>
      <c r="P266" s="1" t="str">
        <f ca="1">IFERROR(__xludf.DUMMYFUNCTION("""COMPUTED_VALUE"""),"Work &lt;=6 People in the Team")</f>
        <v>Work &lt;=6 People in the Team</v>
      </c>
      <c r="Q266" s="1" t="str">
        <f ca="1">IFERROR(__xludf.DUMMYFUNCTION("""COMPUTED_VALUE"""),"Male")</f>
        <v>Male</v>
      </c>
    </row>
    <row r="267" spans="13:17" x14ac:dyDescent="0.25">
      <c r="M267" s="4" t="s">
        <v>48</v>
      </c>
      <c r="N267" s="1" t="str">
        <f ca="1">IFERROR(__xludf.DUMMYFUNCTION("""COMPUTED_VALUE"""),"Male")</f>
        <v>Male</v>
      </c>
      <c r="P267" s="1" t="str">
        <f ca="1">IFERROR(__xludf.DUMMYFUNCTION("""COMPUTED_VALUE"""),"Work &lt;67 People in the Team")</f>
        <v>Work &lt;67 People in the Team</v>
      </c>
      <c r="Q267" s="1" t="str">
        <f ca="1">IFERROR(__xludf.DUMMYFUNCTION("""COMPUTED_VALUE"""),"Male")</f>
        <v>Male</v>
      </c>
    </row>
    <row r="268" spans="13:17" x14ac:dyDescent="0.25">
      <c r="M268" s="4" t="s">
        <v>48</v>
      </c>
      <c r="N268" s="1" t="str">
        <f ca="1">IFERROR(__xludf.DUMMYFUNCTION("""COMPUTED_VALUE"""),"Female")</f>
        <v>Female</v>
      </c>
      <c r="P268" s="1" t="str">
        <f ca="1">IFERROR(__xludf.DUMMYFUNCTION("""COMPUTED_VALUE"""),"Work &lt;=6 People in the Team")</f>
        <v>Work &lt;=6 People in the Team</v>
      </c>
      <c r="Q268" s="1" t="str">
        <f ca="1">IFERROR(__xludf.DUMMYFUNCTION("""COMPUTED_VALUE"""),"Female")</f>
        <v>Female</v>
      </c>
    </row>
    <row r="269" spans="13:17" x14ac:dyDescent="0.25">
      <c r="M269" s="4" t="s">
        <v>49</v>
      </c>
      <c r="N269" s="1" t="str">
        <f ca="1">IFERROR(__xludf.DUMMYFUNCTION("""COMPUTED_VALUE"""),"Male")</f>
        <v>Male</v>
      </c>
      <c r="P269" s="1" t="str">
        <f ca="1">IFERROR(__xludf.DUMMYFUNCTION("""COMPUTED_VALUE"""),"Work &gt;10 people in Team")</f>
        <v>Work &gt;10 people in Team</v>
      </c>
      <c r="Q269" s="1" t="str">
        <f ca="1">IFERROR(__xludf.DUMMYFUNCTION("""COMPUTED_VALUE"""),"Male")</f>
        <v>Male</v>
      </c>
    </row>
    <row r="270" spans="13:17" x14ac:dyDescent="0.25">
      <c r="M270" s="4" t="s">
        <v>48</v>
      </c>
      <c r="N270" s="1" t="str">
        <f ca="1">IFERROR(__xludf.DUMMYFUNCTION("""COMPUTED_VALUE"""),"Female")</f>
        <v>Female</v>
      </c>
      <c r="P270" s="1" t="str">
        <f ca="1">IFERROR(__xludf.DUMMYFUNCTION("""COMPUTED_VALUE"""),"Work alone")</f>
        <v>Work alone</v>
      </c>
      <c r="Q270" s="1" t="str">
        <f ca="1">IFERROR(__xludf.DUMMYFUNCTION("""COMPUTED_VALUE"""),"Female")</f>
        <v>Female</v>
      </c>
    </row>
    <row r="271" spans="13:17" x14ac:dyDescent="0.25">
      <c r="M271" s="4" t="s">
        <v>48</v>
      </c>
      <c r="N271" s="1" t="str">
        <f ca="1">IFERROR(__xludf.DUMMYFUNCTION("""COMPUTED_VALUE"""),"Female")</f>
        <v>Female</v>
      </c>
      <c r="P271" s="1" t="str">
        <f ca="1">IFERROR(__xludf.DUMMYFUNCTION("""COMPUTED_VALUE"""),"Work &gt;=7 People in the Team")</f>
        <v>Work &gt;=7 People in the Team</v>
      </c>
      <c r="Q271" s="1" t="str">
        <f ca="1">IFERROR(__xludf.DUMMYFUNCTION("""COMPUTED_VALUE"""),"Female")</f>
        <v>Female</v>
      </c>
    </row>
    <row r="272" spans="13:17" x14ac:dyDescent="0.25">
      <c r="M272" s="4" t="s">
        <v>49</v>
      </c>
      <c r="N272" s="1" t="str">
        <f ca="1">IFERROR(__xludf.DUMMYFUNCTION("""COMPUTED_VALUE"""),"Female")</f>
        <v>Female</v>
      </c>
      <c r="P272" s="1" t="str">
        <f ca="1">IFERROR(__xludf.DUMMYFUNCTION("""COMPUTED_VALUE"""),"Work &gt;10 people in Team")</f>
        <v>Work &gt;10 people in Team</v>
      </c>
      <c r="Q272" s="1" t="str">
        <f ca="1">IFERROR(__xludf.DUMMYFUNCTION("""COMPUTED_VALUE"""),"Female")</f>
        <v>Female</v>
      </c>
    </row>
    <row r="273" spans="13:17" x14ac:dyDescent="0.25">
      <c r="M273" s="4" t="s">
        <v>48</v>
      </c>
      <c r="N273" s="1" t="str">
        <f ca="1">IFERROR(__xludf.DUMMYFUNCTION("""COMPUTED_VALUE"""),"Female")</f>
        <v>Female</v>
      </c>
      <c r="P273" s="1" t="str">
        <f ca="1">IFERROR(__xludf.DUMMYFUNCTION("""COMPUTED_VALUE"""),"Work &gt;10 people in Team")</f>
        <v>Work &gt;10 people in Team</v>
      </c>
      <c r="Q273" s="1" t="str">
        <f ca="1">IFERROR(__xludf.DUMMYFUNCTION("""COMPUTED_VALUE"""),"Female")</f>
        <v>Female</v>
      </c>
    </row>
    <row r="274" spans="13:17" x14ac:dyDescent="0.25">
      <c r="M274" s="4" t="s">
        <v>49</v>
      </c>
      <c r="N274" s="1" t="str">
        <f ca="1">IFERROR(__xludf.DUMMYFUNCTION("""COMPUTED_VALUE"""),"Female")</f>
        <v>Female</v>
      </c>
      <c r="P274" s="1" t="str">
        <f ca="1">IFERROR(__xludf.DUMMYFUNCTION("""COMPUTED_VALUE"""),"Work &gt;=7 People in the Team")</f>
        <v>Work &gt;=7 People in the Team</v>
      </c>
      <c r="Q274" s="1" t="str">
        <f ca="1">IFERROR(__xludf.DUMMYFUNCTION("""COMPUTED_VALUE"""),"Female")</f>
        <v>Female</v>
      </c>
    </row>
    <row r="275" spans="13:17" x14ac:dyDescent="0.25">
      <c r="M275" s="4" t="s">
        <v>49</v>
      </c>
      <c r="N275" s="1" t="str">
        <f ca="1">IFERROR(__xludf.DUMMYFUNCTION("""COMPUTED_VALUE"""),"Male")</f>
        <v>Male</v>
      </c>
      <c r="P275" s="1" t="str">
        <f ca="1">IFERROR(__xludf.DUMMYFUNCTION("""COMPUTED_VALUE"""),"Work &lt;=6 People in the Team")</f>
        <v>Work &lt;=6 People in the Team</v>
      </c>
      <c r="Q275" s="1" t="str">
        <f ca="1">IFERROR(__xludf.DUMMYFUNCTION("""COMPUTED_VALUE"""),"Male")</f>
        <v>Male</v>
      </c>
    </row>
    <row r="276" spans="13:17" x14ac:dyDescent="0.25">
      <c r="M276" s="4" t="s">
        <v>49</v>
      </c>
      <c r="N276" s="1" t="str">
        <f ca="1">IFERROR(__xludf.DUMMYFUNCTION("""COMPUTED_VALUE"""),"Female")</f>
        <v>Female</v>
      </c>
      <c r="P276" s="1" t="str">
        <f ca="1">IFERROR(__xludf.DUMMYFUNCTION("""COMPUTED_VALUE"""),"Work &lt;=6 People in the Team")</f>
        <v>Work &lt;=6 People in the Team</v>
      </c>
      <c r="Q276" s="1" t="str">
        <f ca="1">IFERROR(__xludf.DUMMYFUNCTION("""COMPUTED_VALUE"""),"Female")</f>
        <v>Female</v>
      </c>
    </row>
    <row r="277" spans="13:17" x14ac:dyDescent="0.25">
      <c r="M277" s="4" t="s">
        <v>48</v>
      </c>
      <c r="N277" s="1" t="str">
        <f ca="1">IFERROR(__xludf.DUMMYFUNCTION("""COMPUTED_VALUE"""),"Female")</f>
        <v>Female</v>
      </c>
      <c r="P277" s="1" t="str">
        <f ca="1">IFERROR(__xludf.DUMMYFUNCTION("""COMPUTED_VALUE"""),"Work &lt;=6 People in the Team")</f>
        <v>Work &lt;=6 People in the Team</v>
      </c>
      <c r="Q277" s="1" t="str">
        <f ca="1">IFERROR(__xludf.DUMMYFUNCTION("""COMPUTED_VALUE"""),"Female")</f>
        <v>Female</v>
      </c>
    </row>
    <row r="278" spans="13:17" x14ac:dyDescent="0.25">
      <c r="M278" s="4" t="s">
        <v>48</v>
      </c>
      <c r="N278" s="1" t="str">
        <f ca="1">IFERROR(__xludf.DUMMYFUNCTION("""COMPUTED_VALUE"""),"Male")</f>
        <v>Male</v>
      </c>
      <c r="P278" s="1" t="str">
        <f ca="1">IFERROR(__xludf.DUMMYFUNCTION("""COMPUTED_VALUE"""),"Work &lt;=6 People in the Team")</f>
        <v>Work &lt;=6 People in the Team</v>
      </c>
      <c r="Q278" s="1" t="str">
        <f ca="1">IFERROR(__xludf.DUMMYFUNCTION("""COMPUTED_VALUE"""),"Male")</f>
        <v>Male</v>
      </c>
    </row>
    <row r="279" spans="13:17" x14ac:dyDescent="0.25">
      <c r="M279" s="4" t="s">
        <v>48</v>
      </c>
      <c r="N279" s="1" t="str">
        <f ca="1">IFERROR(__xludf.DUMMYFUNCTION("""COMPUTED_VALUE"""),"Male")</f>
        <v>Male</v>
      </c>
      <c r="P279" s="1" t="str">
        <f ca="1">IFERROR(__xludf.DUMMYFUNCTION("""COMPUTED_VALUE"""),"Work alone")</f>
        <v>Work alone</v>
      </c>
      <c r="Q279" s="1" t="str">
        <f ca="1">IFERROR(__xludf.DUMMYFUNCTION("""COMPUTED_VALUE"""),"Male")</f>
        <v>Male</v>
      </c>
    </row>
    <row r="280" spans="13:17" x14ac:dyDescent="0.25">
      <c r="M280" s="4" t="s">
        <v>49</v>
      </c>
      <c r="N280" s="1" t="str">
        <f ca="1">IFERROR(__xludf.DUMMYFUNCTION("""COMPUTED_VALUE"""),"Female")</f>
        <v>Female</v>
      </c>
      <c r="P280" s="1" t="str">
        <f ca="1">IFERROR(__xludf.DUMMYFUNCTION("""COMPUTED_VALUE"""),"Work &lt;=6 People in the Team")</f>
        <v>Work &lt;=6 People in the Team</v>
      </c>
      <c r="Q280" s="1" t="str">
        <f ca="1">IFERROR(__xludf.DUMMYFUNCTION("""COMPUTED_VALUE"""),"Female")</f>
        <v>Female</v>
      </c>
    </row>
    <row r="281" spans="13:17" x14ac:dyDescent="0.25">
      <c r="M281" s="4" t="s">
        <v>48</v>
      </c>
      <c r="N281" s="1" t="str">
        <f ca="1">IFERROR(__xludf.DUMMYFUNCTION("""COMPUTED_VALUE"""),"Male")</f>
        <v>Male</v>
      </c>
      <c r="P281" s="1" t="str">
        <f ca="1">IFERROR(__xludf.DUMMYFUNCTION("""COMPUTED_VALUE"""),"Work alone")</f>
        <v>Work alone</v>
      </c>
      <c r="Q281" s="1" t="str">
        <f ca="1">IFERROR(__xludf.DUMMYFUNCTION("""COMPUTED_VALUE"""),"Male")</f>
        <v>Male</v>
      </c>
    </row>
    <row r="282" spans="13:17" x14ac:dyDescent="0.25">
      <c r="M282" s="4" t="s">
        <v>48</v>
      </c>
      <c r="N282" s="1" t="str">
        <f ca="1">IFERROR(__xludf.DUMMYFUNCTION("""COMPUTED_VALUE"""),"Female")</f>
        <v>Female</v>
      </c>
      <c r="P282" s="1" t="str">
        <f ca="1">IFERROR(__xludf.DUMMYFUNCTION("""COMPUTED_VALUE"""),"Work &lt;=6 People in the Team")</f>
        <v>Work &lt;=6 People in the Team</v>
      </c>
      <c r="Q282" s="1" t="str">
        <f ca="1">IFERROR(__xludf.DUMMYFUNCTION("""COMPUTED_VALUE"""),"Female")</f>
        <v>Female</v>
      </c>
    </row>
    <row r="283" spans="13:17" x14ac:dyDescent="0.25">
      <c r="M283" s="4" t="s">
        <v>49</v>
      </c>
      <c r="N283" s="1" t="str">
        <f ca="1">IFERROR(__xludf.DUMMYFUNCTION("""COMPUTED_VALUE"""),"Male")</f>
        <v>Male</v>
      </c>
      <c r="P283" s="1" t="str">
        <f ca="1">IFERROR(__xludf.DUMMYFUNCTION("""COMPUTED_VALUE"""),"Work &gt;10 people in Team")</f>
        <v>Work &gt;10 people in Team</v>
      </c>
      <c r="Q283" s="1" t="str">
        <f ca="1">IFERROR(__xludf.DUMMYFUNCTION("""COMPUTED_VALUE"""),"Male")</f>
        <v>Male</v>
      </c>
    </row>
    <row r="284" spans="13:17" x14ac:dyDescent="0.25">
      <c r="M284" s="4" t="s">
        <v>48</v>
      </c>
      <c r="N284" s="1" t="str">
        <f ca="1">IFERROR(__xludf.DUMMYFUNCTION("""COMPUTED_VALUE"""),"Female")</f>
        <v>Female</v>
      </c>
      <c r="P284" s="1" t="str">
        <f ca="1">IFERROR(__xludf.DUMMYFUNCTION("""COMPUTED_VALUE"""),"Work &lt;=6 People in the Team")</f>
        <v>Work &lt;=6 People in the Team</v>
      </c>
      <c r="Q284" s="1" t="str">
        <f ca="1">IFERROR(__xludf.DUMMYFUNCTION("""COMPUTED_VALUE"""),"Female")</f>
        <v>Female</v>
      </c>
    </row>
    <row r="285" spans="13:17" x14ac:dyDescent="0.25">
      <c r="M285" s="4" t="s">
        <v>49</v>
      </c>
      <c r="N285" s="1" t="str">
        <f ca="1">IFERROR(__xludf.DUMMYFUNCTION("""COMPUTED_VALUE"""),"Male")</f>
        <v>Male</v>
      </c>
      <c r="P285" s="1" t="str">
        <f ca="1">IFERROR(__xludf.DUMMYFUNCTION("""COMPUTED_VALUE"""),"Work alone")</f>
        <v>Work alone</v>
      </c>
      <c r="Q285" s="1" t="str">
        <f ca="1">IFERROR(__xludf.DUMMYFUNCTION("""COMPUTED_VALUE"""),"Male")</f>
        <v>Male</v>
      </c>
    </row>
    <row r="286" spans="13:17" x14ac:dyDescent="0.25">
      <c r="M286" s="4" t="s">
        <v>48</v>
      </c>
      <c r="N286" s="1" t="str">
        <f ca="1">IFERROR(__xludf.DUMMYFUNCTION("""COMPUTED_VALUE"""),"Female")</f>
        <v>Female</v>
      </c>
      <c r="P286" s="1" t="str">
        <f ca="1">IFERROR(__xludf.DUMMYFUNCTION("""COMPUTED_VALUE"""),"Work &lt;=6 People in the Team")</f>
        <v>Work &lt;=6 People in the Team</v>
      </c>
      <c r="Q286" s="1" t="str">
        <f ca="1">IFERROR(__xludf.DUMMYFUNCTION("""COMPUTED_VALUE"""),"Female")</f>
        <v>Female</v>
      </c>
    </row>
    <row r="287" spans="13:17" x14ac:dyDescent="0.25">
      <c r="M287" s="4" t="s">
        <v>48</v>
      </c>
      <c r="N287" s="1" t="str">
        <f ca="1">IFERROR(__xludf.DUMMYFUNCTION("""COMPUTED_VALUE"""),"Male")</f>
        <v>Male</v>
      </c>
      <c r="P287" s="1" t="str">
        <f ca="1">IFERROR(__xludf.DUMMYFUNCTION("""COMPUTED_VALUE"""),"Work &lt;67 People in the Team")</f>
        <v>Work &lt;67 People in the Team</v>
      </c>
      <c r="Q287" s="1" t="str">
        <f ca="1">IFERROR(__xludf.DUMMYFUNCTION("""COMPUTED_VALUE"""),"Male")</f>
        <v>Male</v>
      </c>
    </row>
    <row r="288" spans="13:17" x14ac:dyDescent="0.25">
      <c r="M288" s="4" t="s">
        <v>49</v>
      </c>
      <c r="N288" s="1" t="str">
        <f ca="1">IFERROR(__xludf.DUMMYFUNCTION("""COMPUTED_VALUE"""),"Female")</f>
        <v>Female</v>
      </c>
      <c r="P288" s="1" t="str">
        <f ca="1">IFERROR(__xludf.DUMMYFUNCTION("""COMPUTED_VALUE"""),"Work Alone, &lt;=6 in team")</f>
        <v>Work Alone, &lt;=6 in team</v>
      </c>
      <c r="Q288" s="1" t="str">
        <f ca="1">IFERROR(__xludf.DUMMYFUNCTION("""COMPUTED_VALUE"""),"Female")</f>
        <v>Female</v>
      </c>
    </row>
    <row r="289" spans="13:17" x14ac:dyDescent="0.25">
      <c r="M289" s="4" t="s">
        <v>48</v>
      </c>
      <c r="N289" s="1" t="str">
        <f ca="1">IFERROR(__xludf.DUMMYFUNCTION("""COMPUTED_VALUE"""),"Male")</f>
        <v>Male</v>
      </c>
      <c r="P289" s="1" t="str">
        <f ca="1">IFERROR(__xludf.DUMMYFUNCTION("""COMPUTED_VALUE"""),"Work &lt;=6 People in the Team")</f>
        <v>Work &lt;=6 People in the Team</v>
      </c>
      <c r="Q289" s="1" t="str">
        <f ca="1">IFERROR(__xludf.DUMMYFUNCTION("""COMPUTED_VALUE"""),"Male")</f>
        <v>Male</v>
      </c>
    </row>
    <row r="290" spans="13:17" x14ac:dyDescent="0.25">
      <c r="M290" s="4" t="s">
        <v>48</v>
      </c>
      <c r="N290" s="1" t="str">
        <f ca="1">IFERROR(__xludf.DUMMYFUNCTION("""COMPUTED_VALUE"""),"Female")</f>
        <v>Female</v>
      </c>
      <c r="P290" s="1" t="str">
        <f ca="1">IFERROR(__xludf.DUMMYFUNCTION("""COMPUTED_VALUE"""),"Work &lt;=6 People in the Team")</f>
        <v>Work &lt;=6 People in the Team</v>
      </c>
      <c r="Q290" s="1" t="str">
        <f ca="1">IFERROR(__xludf.DUMMYFUNCTION("""COMPUTED_VALUE"""),"Female")</f>
        <v>Female</v>
      </c>
    </row>
    <row r="291" spans="13:17" x14ac:dyDescent="0.25">
      <c r="M291" s="4" t="s">
        <v>48</v>
      </c>
      <c r="N291" s="1" t="str">
        <f ca="1">IFERROR(__xludf.DUMMYFUNCTION("""COMPUTED_VALUE"""),"Female")</f>
        <v>Female</v>
      </c>
      <c r="P291" s="1" t="str">
        <f ca="1">IFERROR(__xludf.DUMMYFUNCTION("""COMPUTED_VALUE"""),"Work &lt;=6 People in the Team")</f>
        <v>Work &lt;=6 People in the Team</v>
      </c>
      <c r="Q291" s="1" t="str">
        <f ca="1">IFERROR(__xludf.DUMMYFUNCTION("""COMPUTED_VALUE"""),"Female")</f>
        <v>Female</v>
      </c>
    </row>
    <row r="292" spans="13:17" x14ac:dyDescent="0.25">
      <c r="M292" s="4" t="s">
        <v>53</v>
      </c>
      <c r="N292" s="1" t="str">
        <f ca="1">IFERROR(__xludf.DUMMYFUNCTION("""COMPUTED_VALUE"""),"Male")</f>
        <v>Male</v>
      </c>
      <c r="P292" s="1" t="str">
        <f ca="1">IFERROR(__xludf.DUMMYFUNCTION("""COMPUTED_VALUE"""),"Work &lt;=6 People in the Team")</f>
        <v>Work &lt;=6 People in the Team</v>
      </c>
      <c r="Q292" s="1" t="str">
        <f ca="1">IFERROR(__xludf.DUMMYFUNCTION("""COMPUTED_VALUE"""),"Male")</f>
        <v>Male</v>
      </c>
    </row>
    <row r="293" spans="13:17" x14ac:dyDescent="0.25">
      <c r="M293" s="4" t="s">
        <v>48</v>
      </c>
      <c r="N293" s="1" t="str">
        <f ca="1">IFERROR(__xludf.DUMMYFUNCTION("""COMPUTED_VALUE"""),"Female")</f>
        <v>Female</v>
      </c>
      <c r="P293" s="1" t="str">
        <f ca="1">IFERROR(__xludf.DUMMYFUNCTION("""COMPUTED_VALUE"""),"Work &lt;=6 People in the Team")</f>
        <v>Work &lt;=6 People in the Team</v>
      </c>
      <c r="Q293" s="1" t="str">
        <f ca="1">IFERROR(__xludf.DUMMYFUNCTION("""COMPUTED_VALUE"""),"Female")</f>
        <v>Female</v>
      </c>
    </row>
    <row r="294" spans="13:17" x14ac:dyDescent="0.25">
      <c r="M294" s="4" t="s">
        <v>49</v>
      </c>
      <c r="N294" s="1" t="str">
        <f ca="1">IFERROR(__xludf.DUMMYFUNCTION("""COMPUTED_VALUE"""),"Female")</f>
        <v>Female</v>
      </c>
      <c r="P294" s="1" t="str">
        <f ca="1">IFERROR(__xludf.DUMMYFUNCTION("""COMPUTED_VALUE"""),"Work Alone, &lt;67 people in team")</f>
        <v>Work Alone, &lt;67 people in team</v>
      </c>
      <c r="Q294" s="1" t="str">
        <f ca="1">IFERROR(__xludf.DUMMYFUNCTION("""COMPUTED_VALUE"""),"Female")</f>
        <v>Female</v>
      </c>
    </row>
    <row r="295" spans="13:17" x14ac:dyDescent="0.25">
      <c r="M295" s="4" t="s">
        <v>48</v>
      </c>
      <c r="N295" s="1" t="str">
        <f ca="1">IFERROR(__xludf.DUMMYFUNCTION("""COMPUTED_VALUE"""),"Male")</f>
        <v>Male</v>
      </c>
      <c r="P295" s="1" t="str">
        <f ca="1">IFERROR(__xludf.DUMMYFUNCTION("""COMPUTED_VALUE"""),"Work Alone, &lt;=6 in team")</f>
        <v>Work Alone, &lt;=6 in team</v>
      </c>
      <c r="Q295" s="1" t="str">
        <f ca="1">IFERROR(__xludf.DUMMYFUNCTION("""COMPUTED_VALUE"""),"Male")</f>
        <v>Male</v>
      </c>
    </row>
    <row r="296" spans="13:17" x14ac:dyDescent="0.25">
      <c r="M296" s="4" t="s">
        <v>49</v>
      </c>
      <c r="N296" s="1" t="str">
        <f ca="1">IFERROR(__xludf.DUMMYFUNCTION("""COMPUTED_VALUE"""),"Male")</f>
        <v>Male</v>
      </c>
      <c r="P296" s="1" t="str">
        <f ca="1">IFERROR(__xludf.DUMMYFUNCTION("""COMPUTED_VALUE"""),"Work alone")</f>
        <v>Work alone</v>
      </c>
      <c r="Q296" s="1" t="str">
        <f ca="1">IFERROR(__xludf.DUMMYFUNCTION("""COMPUTED_VALUE"""),"Male")</f>
        <v>Male</v>
      </c>
    </row>
    <row r="297" spans="13:17" x14ac:dyDescent="0.25">
      <c r="M297" s="4" t="s">
        <v>48</v>
      </c>
      <c r="N297" s="1" t="str">
        <f ca="1">IFERROR(__xludf.DUMMYFUNCTION("""COMPUTED_VALUE"""),"Female")</f>
        <v>Female</v>
      </c>
      <c r="P297" s="1" t="str">
        <f ca="1">IFERROR(__xludf.DUMMYFUNCTION("""COMPUTED_VALUE"""),"Work &lt;=6 People in the Team")</f>
        <v>Work &lt;=6 People in the Team</v>
      </c>
      <c r="Q297" s="1" t="str">
        <f ca="1">IFERROR(__xludf.DUMMYFUNCTION("""COMPUTED_VALUE"""),"Female")</f>
        <v>Female</v>
      </c>
    </row>
    <row r="298" spans="13:17" x14ac:dyDescent="0.25">
      <c r="M298" s="4" t="s">
        <v>49</v>
      </c>
      <c r="N298" s="1" t="str">
        <f ca="1">IFERROR(__xludf.DUMMYFUNCTION("""COMPUTED_VALUE"""),"Female")</f>
        <v>Female</v>
      </c>
      <c r="P298" s="1" t="str">
        <f ca="1">IFERROR(__xludf.DUMMYFUNCTION("""COMPUTED_VALUE"""),"Work &gt;=7 People in the Team")</f>
        <v>Work &gt;=7 People in the Team</v>
      </c>
      <c r="Q298" s="1" t="str">
        <f ca="1">IFERROR(__xludf.DUMMYFUNCTION("""COMPUTED_VALUE"""),"Female")</f>
        <v>Female</v>
      </c>
    </row>
    <row r="299" spans="13:17" x14ac:dyDescent="0.25">
      <c r="M299" s="4" t="s">
        <v>53</v>
      </c>
      <c r="N299" s="1" t="str">
        <f ca="1">IFERROR(__xludf.DUMMYFUNCTION("""COMPUTED_VALUE"""),"Male")</f>
        <v>Male</v>
      </c>
      <c r="P299" s="1" t="str">
        <f ca="1">IFERROR(__xludf.DUMMYFUNCTION("""COMPUTED_VALUE"""),"Work alone")</f>
        <v>Work alone</v>
      </c>
      <c r="Q299" s="1" t="str">
        <f ca="1">IFERROR(__xludf.DUMMYFUNCTION("""COMPUTED_VALUE"""),"Male")</f>
        <v>Male</v>
      </c>
    </row>
    <row r="300" spans="13:17" x14ac:dyDescent="0.25">
      <c r="M300" s="4" t="s">
        <v>58</v>
      </c>
      <c r="N300" s="1" t="str">
        <f ca="1">IFERROR(__xludf.DUMMYFUNCTION("""COMPUTED_VALUE"""),"Female")</f>
        <v>Female</v>
      </c>
      <c r="P300" s="1" t="str">
        <f ca="1">IFERROR(__xludf.DUMMYFUNCTION("""COMPUTED_VALUE"""),"Work alone")</f>
        <v>Work alone</v>
      </c>
      <c r="Q300" s="1" t="str">
        <f ca="1">IFERROR(__xludf.DUMMYFUNCTION("""COMPUTED_VALUE"""),"Female")</f>
        <v>Female</v>
      </c>
    </row>
    <row r="301" spans="13:17" x14ac:dyDescent="0.25">
      <c r="M301" s="4" t="s">
        <v>48</v>
      </c>
      <c r="N301" s="1" t="str">
        <f ca="1">IFERROR(__xludf.DUMMYFUNCTION("""COMPUTED_VALUE"""),"Female")</f>
        <v>Female</v>
      </c>
      <c r="P301" s="1" t="str">
        <f ca="1">IFERROR(__xludf.DUMMYFUNCTION("""COMPUTED_VALUE"""),"Work &lt;=6 People in the Team")</f>
        <v>Work &lt;=6 People in the Team</v>
      </c>
      <c r="Q301" s="1" t="str">
        <f ca="1">IFERROR(__xludf.DUMMYFUNCTION("""COMPUTED_VALUE"""),"Female")</f>
        <v>Female</v>
      </c>
    </row>
    <row r="302" spans="13:17" x14ac:dyDescent="0.25">
      <c r="M302" s="4" t="s">
        <v>53</v>
      </c>
      <c r="N302" s="1" t="str">
        <f ca="1">IFERROR(__xludf.DUMMYFUNCTION("""COMPUTED_VALUE"""),"Female")</f>
        <v>Female</v>
      </c>
      <c r="P302" s="1" t="str">
        <f ca="1">IFERROR(__xludf.DUMMYFUNCTION("""COMPUTED_VALUE"""),"Work Alone, &lt;=6 in team")</f>
        <v>Work Alone, &lt;=6 in team</v>
      </c>
      <c r="Q302" s="1" t="str">
        <f ca="1">IFERROR(__xludf.DUMMYFUNCTION("""COMPUTED_VALUE"""),"Female")</f>
        <v>Female</v>
      </c>
    </row>
    <row r="303" spans="13:17" x14ac:dyDescent="0.25">
      <c r="M303" s="4" t="s">
        <v>48</v>
      </c>
      <c r="N303" s="1" t="str">
        <f ca="1">IFERROR(__xludf.DUMMYFUNCTION("""COMPUTED_VALUE"""),"Female")</f>
        <v>Female</v>
      </c>
      <c r="P303" s="1" t="str">
        <f ca="1">IFERROR(__xludf.DUMMYFUNCTION("""COMPUTED_VALUE"""),"Work &gt;10 people in Team")</f>
        <v>Work &gt;10 people in Team</v>
      </c>
      <c r="Q303" s="1" t="str">
        <f ca="1">IFERROR(__xludf.DUMMYFUNCTION("""COMPUTED_VALUE"""),"Female")</f>
        <v>Female</v>
      </c>
    </row>
    <row r="304" spans="13:17" x14ac:dyDescent="0.25">
      <c r="M304" s="4" t="s">
        <v>53</v>
      </c>
      <c r="N304" s="1" t="str">
        <f ca="1">IFERROR(__xludf.DUMMYFUNCTION("""COMPUTED_VALUE"""),"Female")</f>
        <v>Female</v>
      </c>
      <c r="P304" s="1" t="str">
        <f ca="1">IFERROR(__xludf.DUMMYFUNCTION("""COMPUTED_VALUE"""),"Work &gt;=7 People in the Team")</f>
        <v>Work &gt;=7 People in the Team</v>
      </c>
      <c r="Q304" s="1" t="str">
        <f ca="1">IFERROR(__xludf.DUMMYFUNCTION("""COMPUTED_VALUE"""),"Female")</f>
        <v>Female</v>
      </c>
    </row>
    <row r="305" spans="13:17" x14ac:dyDescent="0.25">
      <c r="M305" s="4" t="s">
        <v>49</v>
      </c>
      <c r="N305" s="1" t="str">
        <f ca="1">IFERROR(__xludf.DUMMYFUNCTION("""COMPUTED_VALUE"""),"Male")</f>
        <v>Male</v>
      </c>
      <c r="P305" s="1" t="str">
        <f ca="1">IFERROR(__xludf.DUMMYFUNCTION("""COMPUTED_VALUE"""),"Work &lt;=6 People in the Team")</f>
        <v>Work &lt;=6 People in the Team</v>
      </c>
      <c r="Q305" s="1" t="str">
        <f ca="1">IFERROR(__xludf.DUMMYFUNCTION("""COMPUTED_VALUE"""),"Male")</f>
        <v>Male</v>
      </c>
    </row>
    <row r="306" spans="13:17" x14ac:dyDescent="0.25">
      <c r="M306" s="4" t="s">
        <v>49</v>
      </c>
      <c r="N306" s="1" t="str">
        <f ca="1">IFERROR(__xludf.DUMMYFUNCTION("""COMPUTED_VALUE"""),"Female")</f>
        <v>Female</v>
      </c>
      <c r="P306" s="1" t="str">
        <f ca="1">IFERROR(__xludf.DUMMYFUNCTION("""COMPUTED_VALUE"""),"Work &lt;=6 People in the Team")</f>
        <v>Work &lt;=6 People in the Team</v>
      </c>
      <c r="Q306" s="1" t="str">
        <f ca="1">IFERROR(__xludf.DUMMYFUNCTION("""COMPUTED_VALUE"""),"Female")</f>
        <v>Female</v>
      </c>
    </row>
    <row r="307" spans="13:17" x14ac:dyDescent="0.25">
      <c r="M307" s="4" t="s">
        <v>49</v>
      </c>
      <c r="N307" s="1" t="str">
        <f ca="1">IFERROR(__xludf.DUMMYFUNCTION("""COMPUTED_VALUE"""),"Male")</f>
        <v>Male</v>
      </c>
      <c r="P307" s="1" t="str">
        <f ca="1">IFERROR(__xludf.DUMMYFUNCTION("""COMPUTED_VALUE"""),"Work alone")</f>
        <v>Work alone</v>
      </c>
      <c r="Q307" s="1" t="str">
        <f ca="1">IFERROR(__xludf.DUMMYFUNCTION("""COMPUTED_VALUE"""),"Male")</f>
        <v>Male</v>
      </c>
    </row>
    <row r="308" spans="13:17" x14ac:dyDescent="0.25">
      <c r="M308" s="4" t="s">
        <v>48</v>
      </c>
      <c r="N308" s="1" t="str">
        <f ca="1">IFERROR(__xludf.DUMMYFUNCTION("""COMPUTED_VALUE"""),"Male")</f>
        <v>Male</v>
      </c>
      <c r="P308" s="1" t="str">
        <f ca="1">IFERROR(__xludf.DUMMYFUNCTION("""COMPUTED_VALUE"""),"Work alone")</f>
        <v>Work alone</v>
      </c>
      <c r="Q308" s="1" t="str">
        <f ca="1">IFERROR(__xludf.DUMMYFUNCTION("""COMPUTED_VALUE"""),"Male")</f>
        <v>Male</v>
      </c>
    </row>
    <row r="309" spans="13:17" x14ac:dyDescent="0.25">
      <c r="M309" s="4" t="s">
        <v>49</v>
      </c>
      <c r="N309" s="1" t="str">
        <f ca="1">IFERROR(__xludf.DUMMYFUNCTION("""COMPUTED_VALUE"""),"Female")</f>
        <v>Female</v>
      </c>
      <c r="P309" s="1" t="str">
        <f ca="1">IFERROR(__xludf.DUMMYFUNCTION("""COMPUTED_VALUE"""),"Work &lt;=6 People in the Team")</f>
        <v>Work &lt;=6 People in the Team</v>
      </c>
      <c r="Q309" s="1" t="str">
        <f ca="1">IFERROR(__xludf.DUMMYFUNCTION("""COMPUTED_VALUE"""),"Female")</f>
        <v>Female</v>
      </c>
    </row>
    <row r="310" spans="13:17" x14ac:dyDescent="0.25">
      <c r="M310" s="4" t="s">
        <v>49</v>
      </c>
      <c r="N310" s="1" t="str">
        <f ca="1">IFERROR(__xludf.DUMMYFUNCTION("""COMPUTED_VALUE"""),"Male")</f>
        <v>Male</v>
      </c>
      <c r="P310" s="1" t="str">
        <f ca="1">IFERROR(__xludf.DUMMYFUNCTION("""COMPUTED_VALUE"""),"Work &gt;10 people in Team")</f>
        <v>Work &gt;10 people in Team</v>
      </c>
      <c r="Q310" s="1" t="str">
        <f ca="1">IFERROR(__xludf.DUMMYFUNCTION("""COMPUTED_VALUE"""),"Male")</f>
        <v>Male</v>
      </c>
    </row>
    <row r="311" spans="13:17" x14ac:dyDescent="0.25">
      <c r="M311" s="4" t="s">
        <v>49</v>
      </c>
      <c r="N311" s="1" t="str">
        <f ca="1">IFERROR(__xludf.DUMMYFUNCTION("""COMPUTED_VALUE"""),"Male")</f>
        <v>Male</v>
      </c>
      <c r="P311" s="1" t="str">
        <f ca="1">IFERROR(__xludf.DUMMYFUNCTION("""COMPUTED_VALUE"""),"Work &gt;10 people in Team")</f>
        <v>Work &gt;10 people in Team</v>
      </c>
      <c r="Q311" s="1" t="str">
        <f ca="1">IFERROR(__xludf.DUMMYFUNCTION("""COMPUTED_VALUE"""),"Male")</f>
        <v>Male</v>
      </c>
    </row>
    <row r="312" spans="13:17" x14ac:dyDescent="0.25">
      <c r="M312" s="4" t="s">
        <v>48</v>
      </c>
      <c r="N312" s="1" t="str">
        <f ca="1">IFERROR(__xludf.DUMMYFUNCTION("""COMPUTED_VALUE"""),"Female")</f>
        <v>Female</v>
      </c>
      <c r="P312" s="1" t="str">
        <f ca="1">IFERROR(__xludf.DUMMYFUNCTION("""COMPUTED_VALUE"""),"Work &lt;=6 People in the Team")</f>
        <v>Work &lt;=6 People in the Team</v>
      </c>
      <c r="Q312" s="1" t="str">
        <f ca="1">IFERROR(__xludf.DUMMYFUNCTION("""COMPUTED_VALUE"""),"Female")</f>
        <v>Female</v>
      </c>
    </row>
    <row r="313" spans="13:17" x14ac:dyDescent="0.25">
      <c r="M313" s="4" t="s">
        <v>48</v>
      </c>
      <c r="N313" s="1" t="str">
        <f ca="1">IFERROR(__xludf.DUMMYFUNCTION("""COMPUTED_VALUE"""),"Male")</f>
        <v>Male</v>
      </c>
      <c r="P313" s="1" t="str">
        <f ca="1">IFERROR(__xludf.DUMMYFUNCTION("""COMPUTED_VALUE"""),"Work &lt;=6 People in the Team")</f>
        <v>Work &lt;=6 People in the Team</v>
      </c>
      <c r="Q313" s="1" t="str">
        <f ca="1">IFERROR(__xludf.DUMMYFUNCTION("""COMPUTED_VALUE"""),"Male")</f>
        <v>Male</v>
      </c>
    </row>
    <row r="314" spans="13:17" x14ac:dyDescent="0.25">
      <c r="M314" s="4" t="s">
        <v>48</v>
      </c>
      <c r="N314" s="1" t="str">
        <f ca="1">IFERROR(__xludf.DUMMYFUNCTION("""COMPUTED_VALUE"""),"Female")</f>
        <v>Female</v>
      </c>
      <c r="P314" s="1" t="str">
        <f ca="1">IFERROR(__xludf.DUMMYFUNCTION("""COMPUTED_VALUE"""),"Work &lt;=6 People in the Team")</f>
        <v>Work &lt;=6 People in the Team</v>
      </c>
      <c r="Q314" s="1" t="str">
        <f ca="1">IFERROR(__xludf.DUMMYFUNCTION("""COMPUTED_VALUE"""),"Female")</f>
        <v>Female</v>
      </c>
    </row>
    <row r="315" spans="13:17" x14ac:dyDescent="0.25">
      <c r="M315" s="4" t="s">
        <v>48</v>
      </c>
      <c r="N315" s="1" t="str">
        <f ca="1">IFERROR(__xludf.DUMMYFUNCTION("""COMPUTED_VALUE"""),"Female")</f>
        <v>Female</v>
      </c>
      <c r="P315" s="1" t="str">
        <f ca="1">IFERROR(__xludf.DUMMYFUNCTION("""COMPUTED_VALUE"""),"Work &gt;10 people in Team")</f>
        <v>Work &gt;10 people in Team</v>
      </c>
      <c r="Q315" s="1" t="str">
        <f ca="1">IFERROR(__xludf.DUMMYFUNCTION("""COMPUTED_VALUE"""),"Female")</f>
        <v>Female</v>
      </c>
    </row>
    <row r="316" spans="13:17" x14ac:dyDescent="0.25">
      <c r="M316" s="4" t="s">
        <v>49</v>
      </c>
      <c r="N316" s="1" t="str">
        <f ca="1">IFERROR(__xludf.DUMMYFUNCTION("""COMPUTED_VALUE"""),"Male")</f>
        <v>Male</v>
      </c>
      <c r="P316" s="1" t="str">
        <f ca="1">IFERROR(__xludf.DUMMYFUNCTION("""COMPUTED_VALUE"""),"Work &lt;=6 People in the Team")</f>
        <v>Work &lt;=6 People in the Team</v>
      </c>
      <c r="Q316" s="1" t="str">
        <f ca="1">IFERROR(__xludf.DUMMYFUNCTION("""COMPUTED_VALUE"""),"Male")</f>
        <v>Male</v>
      </c>
    </row>
    <row r="317" spans="13:17" x14ac:dyDescent="0.25">
      <c r="M317" s="4" t="s">
        <v>49</v>
      </c>
      <c r="N317" s="1" t="str">
        <f ca="1">IFERROR(__xludf.DUMMYFUNCTION("""COMPUTED_VALUE"""),"Female")</f>
        <v>Female</v>
      </c>
      <c r="P317" s="1" t="str">
        <f ca="1">IFERROR(__xludf.DUMMYFUNCTION("""COMPUTED_VALUE"""),"Work &lt;=6 People in the Team")</f>
        <v>Work &lt;=6 People in the Team</v>
      </c>
      <c r="Q317" s="1" t="str">
        <f ca="1">IFERROR(__xludf.DUMMYFUNCTION("""COMPUTED_VALUE"""),"Female")</f>
        <v>Female</v>
      </c>
    </row>
    <row r="318" spans="13:17" x14ac:dyDescent="0.25">
      <c r="M318" s="4" t="s">
        <v>48</v>
      </c>
      <c r="N318" s="1" t="str">
        <f ca="1">IFERROR(__xludf.DUMMYFUNCTION("""COMPUTED_VALUE"""),"Male")</f>
        <v>Male</v>
      </c>
      <c r="P318" s="1" t="str">
        <f ca="1">IFERROR(__xludf.DUMMYFUNCTION("""COMPUTED_VALUE"""),"Work &lt;=6 People in the Team")</f>
        <v>Work &lt;=6 People in the Team</v>
      </c>
      <c r="Q318" s="1" t="str">
        <f ca="1">IFERROR(__xludf.DUMMYFUNCTION("""COMPUTED_VALUE"""),"Male")</f>
        <v>Male</v>
      </c>
    </row>
    <row r="319" spans="13:17" x14ac:dyDescent="0.25">
      <c r="M319" s="4" t="s">
        <v>58</v>
      </c>
      <c r="N319" s="1" t="str">
        <f ca="1">IFERROR(__xludf.DUMMYFUNCTION("""COMPUTED_VALUE"""),"Male")</f>
        <v>Male</v>
      </c>
      <c r="P319" s="1" t="str">
        <f ca="1">IFERROR(__xludf.DUMMYFUNCTION("""COMPUTED_VALUE"""),"Work &lt;=6 People in the Team")</f>
        <v>Work &lt;=6 People in the Team</v>
      </c>
      <c r="Q319" s="1" t="str">
        <f ca="1">IFERROR(__xludf.DUMMYFUNCTION("""COMPUTED_VALUE"""),"Male")</f>
        <v>Male</v>
      </c>
    </row>
    <row r="320" spans="13:17" x14ac:dyDescent="0.25">
      <c r="M320" s="4" t="s">
        <v>57</v>
      </c>
      <c r="N320" s="1" t="str">
        <f ca="1">IFERROR(__xludf.DUMMYFUNCTION("""COMPUTED_VALUE"""),"Female")</f>
        <v>Female</v>
      </c>
      <c r="P320" s="1" t="str">
        <f ca="1">IFERROR(__xludf.DUMMYFUNCTION("""COMPUTED_VALUE"""),"Work &lt;=6 People in the Team")</f>
        <v>Work &lt;=6 People in the Team</v>
      </c>
      <c r="Q320" s="1" t="str">
        <f ca="1">IFERROR(__xludf.DUMMYFUNCTION("""COMPUTED_VALUE"""),"Female")</f>
        <v>Female</v>
      </c>
    </row>
    <row r="321" spans="13:17" x14ac:dyDescent="0.25">
      <c r="M321" s="4" t="s">
        <v>51</v>
      </c>
      <c r="N321" s="1" t="str">
        <f ca="1">IFERROR(__xludf.DUMMYFUNCTION("""COMPUTED_VALUE"""),"Male")</f>
        <v>Male</v>
      </c>
      <c r="P321" s="1" t="str">
        <f ca="1">IFERROR(__xludf.DUMMYFUNCTION("""COMPUTED_VALUE"""),"Work &lt;=6 People in the Team")</f>
        <v>Work &lt;=6 People in the Team</v>
      </c>
      <c r="Q321" s="1" t="str">
        <f ca="1">IFERROR(__xludf.DUMMYFUNCTION("""COMPUTED_VALUE"""),"Male")</f>
        <v>Male</v>
      </c>
    </row>
    <row r="322" spans="13:17" x14ac:dyDescent="0.25">
      <c r="M322" s="4" t="s">
        <v>48</v>
      </c>
      <c r="N322" s="1" t="str">
        <f ca="1">IFERROR(__xludf.DUMMYFUNCTION("""COMPUTED_VALUE"""),"Male")</f>
        <v>Male</v>
      </c>
      <c r="P322" s="1" t="str">
        <f ca="1">IFERROR(__xludf.DUMMYFUNCTION("""COMPUTED_VALUE"""),"Work &lt;=6 People in the Team")</f>
        <v>Work &lt;=6 People in the Team</v>
      </c>
      <c r="Q322" s="1" t="str">
        <f ca="1">IFERROR(__xludf.DUMMYFUNCTION("""COMPUTED_VALUE"""),"Male")</f>
        <v>Male</v>
      </c>
    </row>
    <row r="323" spans="13:17" x14ac:dyDescent="0.25">
      <c r="M323" s="4" t="s">
        <v>50</v>
      </c>
      <c r="N323" s="1" t="str">
        <f ca="1">IFERROR(__xludf.DUMMYFUNCTION("""COMPUTED_VALUE"""),"Male")</f>
        <v>Male</v>
      </c>
      <c r="P323" s="1" t="str">
        <f ca="1">IFERROR(__xludf.DUMMYFUNCTION("""COMPUTED_VALUE"""),"Work &lt;=6 People in the Team")</f>
        <v>Work &lt;=6 People in the Team</v>
      </c>
      <c r="Q323" s="1" t="str">
        <f ca="1">IFERROR(__xludf.DUMMYFUNCTION("""COMPUTED_VALUE"""),"Male")</f>
        <v>Male</v>
      </c>
    </row>
    <row r="324" spans="13:17" x14ac:dyDescent="0.25">
      <c r="M324" s="4" t="s">
        <v>55</v>
      </c>
      <c r="N324" s="1" t="str">
        <f ca="1">IFERROR(__xludf.DUMMYFUNCTION("""COMPUTED_VALUE"""),"Male")</f>
        <v>Male</v>
      </c>
      <c r="P324" s="1" t="str">
        <f ca="1">IFERROR(__xludf.DUMMYFUNCTION("""COMPUTED_VALUE"""),"Work &lt;=6 People in the Team")</f>
        <v>Work &lt;=6 People in the Team</v>
      </c>
      <c r="Q324" s="1" t="str">
        <f ca="1">IFERROR(__xludf.DUMMYFUNCTION("""COMPUTED_VALUE"""),"Male")</f>
        <v>Male</v>
      </c>
    </row>
    <row r="325" spans="13:17" x14ac:dyDescent="0.25">
      <c r="M325" s="4" t="s">
        <v>50</v>
      </c>
      <c r="N325" s="1" t="str">
        <f ca="1">IFERROR(__xludf.DUMMYFUNCTION("""COMPUTED_VALUE"""),"Male")</f>
        <v>Male</v>
      </c>
      <c r="P325" s="1" t="str">
        <f ca="1">IFERROR(__xludf.DUMMYFUNCTION("""COMPUTED_VALUE"""),"Work &lt;=6 People in the Team")</f>
        <v>Work &lt;=6 People in the Team</v>
      </c>
      <c r="Q325" s="1" t="str">
        <f ca="1">IFERROR(__xludf.DUMMYFUNCTION("""COMPUTED_VALUE"""),"Male")</f>
        <v>Male</v>
      </c>
    </row>
    <row r="326" spans="13:17" x14ac:dyDescent="0.25">
      <c r="M326" s="4" t="s">
        <v>50</v>
      </c>
      <c r="N326" s="1" t="str">
        <f ca="1">IFERROR(__xludf.DUMMYFUNCTION("""COMPUTED_VALUE"""),"Male")</f>
        <v>Male</v>
      </c>
      <c r="P326" s="1" t="str">
        <f ca="1">IFERROR(__xludf.DUMMYFUNCTION("""COMPUTED_VALUE"""),"Work alone, Work &gt;10 people in Team")</f>
        <v>Work alone, Work &gt;10 people in Team</v>
      </c>
      <c r="Q326" s="1" t="str">
        <f ca="1">IFERROR(__xludf.DUMMYFUNCTION("""COMPUTED_VALUE"""),"Male")</f>
        <v>Male</v>
      </c>
    </row>
    <row r="327" spans="13:17" x14ac:dyDescent="0.25">
      <c r="M327" s="4" t="s">
        <v>48</v>
      </c>
      <c r="N327" s="1" t="str">
        <f ca="1">IFERROR(__xludf.DUMMYFUNCTION("""COMPUTED_VALUE"""),"Male")</f>
        <v>Male</v>
      </c>
      <c r="P327" s="1" t="str">
        <f ca="1">IFERROR(__xludf.DUMMYFUNCTION("""COMPUTED_VALUE"""),"Work &gt;=7 People in the Team")</f>
        <v>Work &gt;=7 People in the Team</v>
      </c>
      <c r="Q327" s="1" t="str">
        <f ca="1">IFERROR(__xludf.DUMMYFUNCTION("""COMPUTED_VALUE"""),"Male")</f>
        <v>Male</v>
      </c>
    </row>
    <row r="328" spans="13:17" x14ac:dyDescent="0.25">
      <c r="M328" s="4" t="s">
        <v>51</v>
      </c>
      <c r="N328" s="1" t="str">
        <f ca="1">IFERROR(__xludf.DUMMYFUNCTION("""COMPUTED_VALUE"""),"Male")</f>
        <v>Male</v>
      </c>
      <c r="P328" s="1" t="str">
        <f ca="1">IFERROR(__xludf.DUMMYFUNCTION("""COMPUTED_VALUE"""),"Work &lt;=6 People in the Team")</f>
        <v>Work &lt;=6 People in the Team</v>
      </c>
      <c r="Q328" s="1" t="str">
        <f ca="1">IFERROR(__xludf.DUMMYFUNCTION("""COMPUTED_VALUE"""),"Male")</f>
        <v>Male</v>
      </c>
    </row>
    <row r="329" spans="13:17" x14ac:dyDescent="0.25">
      <c r="M329" s="4" t="s">
        <v>50</v>
      </c>
      <c r="N329" s="1" t="str">
        <f ca="1">IFERROR(__xludf.DUMMYFUNCTION("""COMPUTED_VALUE"""),"Female")</f>
        <v>Female</v>
      </c>
      <c r="P329" s="1" t="str">
        <f ca="1">IFERROR(__xludf.DUMMYFUNCTION("""COMPUTED_VALUE"""),"Work &lt;=6 People in the Team")</f>
        <v>Work &lt;=6 People in the Team</v>
      </c>
      <c r="Q329" s="1" t="str">
        <f ca="1">IFERROR(__xludf.DUMMYFUNCTION("""COMPUTED_VALUE"""),"Female")</f>
        <v>Female</v>
      </c>
    </row>
    <row r="330" spans="13:17" x14ac:dyDescent="0.25">
      <c r="M330" s="4" t="s">
        <v>48</v>
      </c>
      <c r="N330" s="1" t="str">
        <f ca="1">IFERROR(__xludf.DUMMYFUNCTION("""COMPUTED_VALUE"""),"Female")</f>
        <v>Female</v>
      </c>
      <c r="P330" s="1" t="str">
        <f ca="1">IFERROR(__xludf.DUMMYFUNCTION("""COMPUTED_VALUE"""),"Work &lt;=6 People in the Team")</f>
        <v>Work &lt;=6 People in the Team</v>
      </c>
      <c r="Q330" s="1" t="str">
        <f ca="1">IFERROR(__xludf.DUMMYFUNCTION("""COMPUTED_VALUE"""),"Female")</f>
        <v>Female</v>
      </c>
    </row>
    <row r="331" spans="13:17" x14ac:dyDescent="0.25">
      <c r="M331" s="4" t="s">
        <v>48</v>
      </c>
      <c r="N331" s="1" t="str">
        <f ca="1">IFERROR(__xludf.DUMMYFUNCTION("""COMPUTED_VALUE"""),"Female")</f>
        <v>Female</v>
      </c>
      <c r="P331" s="1" t="str">
        <f ca="1">IFERROR(__xludf.DUMMYFUNCTION("""COMPUTED_VALUE"""),"Work &gt;=7 People in the Team")</f>
        <v>Work &gt;=7 People in the Team</v>
      </c>
      <c r="Q331" s="1" t="str">
        <f ca="1">IFERROR(__xludf.DUMMYFUNCTION("""COMPUTED_VALUE"""),"Female")</f>
        <v>Female</v>
      </c>
    </row>
    <row r="332" spans="13:17" x14ac:dyDescent="0.25">
      <c r="M332" s="4" t="s">
        <v>55</v>
      </c>
      <c r="N332" s="1" t="str">
        <f ca="1">IFERROR(__xludf.DUMMYFUNCTION("""COMPUTED_VALUE"""),"Male")</f>
        <v>Male</v>
      </c>
      <c r="P332" s="1" t="str">
        <f ca="1">IFERROR(__xludf.DUMMYFUNCTION("""COMPUTED_VALUE"""),"Work Alone, &lt;=6 in team")</f>
        <v>Work Alone, &lt;=6 in team</v>
      </c>
      <c r="Q332" s="1" t="str">
        <f ca="1">IFERROR(__xludf.DUMMYFUNCTION("""COMPUTED_VALUE"""),"Male")</f>
        <v>Male</v>
      </c>
    </row>
    <row r="333" spans="13:17" x14ac:dyDescent="0.25">
      <c r="M333" s="4" t="s">
        <v>48</v>
      </c>
      <c r="N333" s="1" t="str">
        <f ca="1">IFERROR(__xludf.DUMMYFUNCTION("""COMPUTED_VALUE"""),"Male")</f>
        <v>Male</v>
      </c>
      <c r="P333" s="1" t="str">
        <f ca="1">IFERROR(__xludf.DUMMYFUNCTION("""COMPUTED_VALUE"""),"Work &lt;=6 People in the Team")</f>
        <v>Work &lt;=6 People in the Team</v>
      </c>
      <c r="Q333" s="1" t="str">
        <f ca="1">IFERROR(__xludf.DUMMYFUNCTION("""COMPUTED_VALUE"""),"Male")</f>
        <v>Male</v>
      </c>
    </row>
    <row r="334" spans="13:17" x14ac:dyDescent="0.25">
      <c r="M334" s="4" t="s">
        <v>51</v>
      </c>
      <c r="N334" s="1" t="str">
        <f ca="1">IFERROR(__xludf.DUMMYFUNCTION("""COMPUTED_VALUE"""),"Male")</f>
        <v>Male</v>
      </c>
      <c r="P334" s="1" t="str">
        <f ca="1">IFERROR(__xludf.DUMMYFUNCTION("""COMPUTED_VALUE"""),"Work &gt;=7 People in the Team")</f>
        <v>Work &gt;=7 People in the Team</v>
      </c>
      <c r="Q334" s="1" t="str">
        <f ca="1">IFERROR(__xludf.DUMMYFUNCTION("""COMPUTED_VALUE"""),"Male")</f>
        <v>Male</v>
      </c>
    </row>
    <row r="335" spans="13:17" x14ac:dyDescent="0.25">
      <c r="M335" s="4" t="s">
        <v>54</v>
      </c>
      <c r="N335" s="1" t="str">
        <f ca="1">IFERROR(__xludf.DUMMYFUNCTION("""COMPUTED_VALUE"""),"Female")</f>
        <v>Female</v>
      </c>
      <c r="P335" s="1" t="str">
        <f ca="1">IFERROR(__xludf.DUMMYFUNCTION("""COMPUTED_VALUE"""),"Work Alone, &lt;=6 in team")</f>
        <v>Work Alone, &lt;=6 in team</v>
      </c>
      <c r="Q335" s="1" t="str">
        <f ca="1">IFERROR(__xludf.DUMMYFUNCTION("""COMPUTED_VALUE"""),"Female")</f>
        <v>Female</v>
      </c>
    </row>
    <row r="336" spans="13:17" x14ac:dyDescent="0.25">
      <c r="M336" s="4" t="s">
        <v>52</v>
      </c>
      <c r="N336" s="1" t="str">
        <f ca="1">IFERROR(__xludf.DUMMYFUNCTION("""COMPUTED_VALUE"""),"Female")</f>
        <v>Female</v>
      </c>
      <c r="P336" s="1" t="str">
        <f ca="1">IFERROR(__xludf.DUMMYFUNCTION("""COMPUTED_VALUE"""),"Work &gt;10 people in Team")</f>
        <v>Work &gt;10 people in Team</v>
      </c>
      <c r="Q336" s="1" t="str">
        <f ca="1">IFERROR(__xludf.DUMMYFUNCTION("""COMPUTED_VALUE"""),"Female")</f>
        <v>Female</v>
      </c>
    </row>
    <row r="337" spans="13:17" x14ac:dyDescent="0.25">
      <c r="M337" s="4" t="s">
        <v>48</v>
      </c>
      <c r="N337" s="1" t="str">
        <f ca="1">IFERROR(__xludf.DUMMYFUNCTION("""COMPUTED_VALUE"""),"Male")</f>
        <v>Male</v>
      </c>
      <c r="P337" s="1" t="str">
        <f ca="1">IFERROR(__xludf.DUMMYFUNCTION("""COMPUTED_VALUE"""),"Work &gt;10 people in Team")</f>
        <v>Work &gt;10 people in Team</v>
      </c>
      <c r="Q337" s="1" t="str">
        <f ca="1">IFERROR(__xludf.DUMMYFUNCTION("""COMPUTED_VALUE"""),"Male")</f>
        <v>Male</v>
      </c>
    </row>
    <row r="338" spans="13:17" x14ac:dyDescent="0.25">
      <c r="M338" s="4" t="s">
        <v>52</v>
      </c>
      <c r="N338" s="1" t="str">
        <f ca="1">IFERROR(__xludf.DUMMYFUNCTION("""COMPUTED_VALUE"""),"Female")</f>
        <v>Female</v>
      </c>
      <c r="P338" s="1" t="str">
        <f ca="1">IFERROR(__xludf.DUMMYFUNCTION("""COMPUTED_VALUE"""),"Work &lt;=6 People in the Team")</f>
        <v>Work &lt;=6 People in the Team</v>
      </c>
      <c r="Q338" s="1" t="str">
        <f ca="1">IFERROR(__xludf.DUMMYFUNCTION("""COMPUTED_VALUE"""),"Female")</f>
        <v>Female</v>
      </c>
    </row>
    <row r="339" spans="13:17" x14ac:dyDescent="0.25">
      <c r="M339" s="4" t="s">
        <v>50</v>
      </c>
      <c r="N339" s="1" t="str">
        <f ca="1">IFERROR(__xludf.DUMMYFUNCTION("""COMPUTED_VALUE"""),"Male")</f>
        <v>Male</v>
      </c>
      <c r="P339" s="1" t="str">
        <f ca="1">IFERROR(__xludf.DUMMYFUNCTION("""COMPUTED_VALUE"""),"Work &lt;=6 People in the Team")</f>
        <v>Work &lt;=6 People in the Team</v>
      </c>
      <c r="Q339" s="1" t="str">
        <f ca="1">IFERROR(__xludf.DUMMYFUNCTION("""COMPUTED_VALUE"""),"Male")</f>
        <v>Male</v>
      </c>
    </row>
    <row r="340" spans="13:17" x14ac:dyDescent="0.25">
      <c r="M340" s="4" t="s">
        <v>52</v>
      </c>
      <c r="N340" s="1" t="str">
        <f ca="1">IFERROR(__xludf.DUMMYFUNCTION("""COMPUTED_VALUE"""),"Male")</f>
        <v>Male</v>
      </c>
      <c r="P340" s="1" t="str">
        <f ca="1">IFERROR(__xludf.DUMMYFUNCTION("""COMPUTED_VALUE"""),"Work &lt;=6 People in the Team")</f>
        <v>Work &lt;=6 People in the Team</v>
      </c>
      <c r="Q340" s="1" t="str">
        <f ca="1">IFERROR(__xludf.DUMMYFUNCTION("""COMPUTED_VALUE"""),"Male")</f>
        <v>Male</v>
      </c>
    </row>
    <row r="341" spans="13:17" x14ac:dyDescent="0.25">
      <c r="M341" s="4" t="s">
        <v>50</v>
      </c>
      <c r="N341" s="1" t="str">
        <f ca="1">IFERROR(__xludf.DUMMYFUNCTION("""COMPUTED_VALUE"""),"Male")</f>
        <v>Male</v>
      </c>
      <c r="P341" s="1" t="str">
        <f ca="1">IFERROR(__xludf.DUMMYFUNCTION("""COMPUTED_VALUE"""),"Work &gt;10 people in Team")</f>
        <v>Work &gt;10 people in Team</v>
      </c>
      <c r="Q341" s="1" t="str">
        <f ca="1">IFERROR(__xludf.DUMMYFUNCTION("""COMPUTED_VALUE"""),"Male")</f>
        <v>Male</v>
      </c>
    </row>
    <row r="342" spans="13:17" x14ac:dyDescent="0.25">
      <c r="M342" s="4" t="s">
        <v>51</v>
      </c>
      <c r="N342" s="1" t="str">
        <f ca="1">IFERROR(__xludf.DUMMYFUNCTION("""COMPUTED_VALUE"""),"Female")</f>
        <v>Female</v>
      </c>
      <c r="P342" s="1" t="str">
        <f ca="1">IFERROR(__xludf.DUMMYFUNCTION("""COMPUTED_VALUE"""),"Work &lt;=6 People in the Team")</f>
        <v>Work &lt;=6 People in the Team</v>
      </c>
      <c r="Q342" s="1" t="str">
        <f ca="1">IFERROR(__xludf.DUMMYFUNCTION("""COMPUTED_VALUE"""),"Female")</f>
        <v>Female</v>
      </c>
    </row>
    <row r="343" spans="13:17" x14ac:dyDescent="0.25">
      <c r="M343" s="4" t="s">
        <v>48</v>
      </c>
      <c r="N343" s="1" t="str">
        <f ca="1">IFERROR(__xludf.DUMMYFUNCTION("""COMPUTED_VALUE"""),"Male")</f>
        <v>Male</v>
      </c>
      <c r="P343" s="1" t="str">
        <f ca="1">IFERROR(__xludf.DUMMYFUNCTION("""COMPUTED_VALUE"""),"Work &gt;10 people in Team")</f>
        <v>Work &gt;10 people in Team</v>
      </c>
      <c r="Q343" s="1" t="str">
        <f ca="1">IFERROR(__xludf.DUMMYFUNCTION("""COMPUTED_VALUE"""),"Male")</f>
        <v>Male</v>
      </c>
    </row>
    <row r="344" spans="13:17" x14ac:dyDescent="0.25">
      <c r="M344" s="4" t="s">
        <v>52</v>
      </c>
      <c r="N344" s="1" t="str">
        <f ca="1">IFERROR(__xludf.DUMMYFUNCTION("""COMPUTED_VALUE"""),"Female")</f>
        <v>Female</v>
      </c>
      <c r="P344" s="1" t="str">
        <f ca="1">IFERROR(__xludf.DUMMYFUNCTION("""COMPUTED_VALUE"""),"Work &lt;=6 People in the Team")</f>
        <v>Work &lt;=6 People in the Team</v>
      </c>
      <c r="Q344" s="1" t="str">
        <f ca="1">IFERROR(__xludf.DUMMYFUNCTION("""COMPUTED_VALUE"""),"Female")</f>
        <v>Female</v>
      </c>
    </row>
    <row r="345" spans="13:17" x14ac:dyDescent="0.25">
      <c r="M345" s="4" t="s">
        <v>50</v>
      </c>
      <c r="N345" s="1" t="str">
        <f ca="1">IFERROR(__xludf.DUMMYFUNCTION("""COMPUTED_VALUE"""),"Male")</f>
        <v>Male</v>
      </c>
      <c r="P345" s="1" t="str">
        <f ca="1">IFERROR(__xludf.DUMMYFUNCTION("""COMPUTED_VALUE"""),"Work &lt;=6 People in the Team")</f>
        <v>Work &lt;=6 People in the Team</v>
      </c>
      <c r="Q345" s="1" t="str">
        <f ca="1">IFERROR(__xludf.DUMMYFUNCTION("""COMPUTED_VALUE"""),"Male")</f>
        <v>Male</v>
      </c>
    </row>
    <row r="346" spans="13:17" x14ac:dyDescent="0.25">
      <c r="M346" s="4" t="s">
        <v>55</v>
      </c>
      <c r="N346" s="1" t="str">
        <f ca="1">IFERROR(__xludf.DUMMYFUNCTION("""COMPUTED_VALUE"""),"Male")</f>
        <v>Male</v>
      </c>
      <c r="P346" s="1" t="str">
        <f ca="1">IFERROR(__xludf.DUMMYFUNCTION("""COMPUTED_VALUE"""),"Work &lt;=6 People in the Team")</f>
        <v>Work &lt;=6 People in the Team</v>
      </c>
      <c r="Q346" s="1" t="str">
        <f ca="1">IFERROR(__xludf.DUMMYFUNCTION("""COMPUTED_VALUE"""),"Male")</f>
        <v>Male</v>
      </c>
    </row>
    <row r="347" spans="13:17" x14ac:dyDescent="0.25">
      <c r="M347" s="4" t="s">
        <v>50</v>
      </c>
      <c r="N347" s="1" t="str">
        <f ca="1">IFERROR(__xludf.DUMMYFUNCTION("""COMPUTED_VALUE"""),"Female")</f>
        <v>Female</v>
      </c>
      <c r="P347" s="1" t="str">
        <f ca="1">IFERROR(__xludf.DUMMYFUNCTION("""COMPUTED_VALUE"""),"Work &lt;=6 People in the Team")</f>
        <v>Work &lt;=6 People in the Team</v>
      </c>
      <c r="Q347" s="1" t="str">
        <f ca="1">IFERROR(__xludf.DUMMYFUNCTION("""COMPUTED_VALUE"""),"Female")</f>
        <v>Female</v>
      </c>
    </row>
    <row r="348" spans="13:17" x14ac:dyDescent="0.25">
      <c r="M348" s="4" t="s">
        <v>55</v>
      </c>
      <c r="N348" s="1" t="str">
        <f ca="1">IFERROR(__xludf.DUMMYFUNCTION("""COMPUTED_VALUE"""),"Male")</f>
        <v>Male</v>
      </c>
      <c r="P348" s="1" t="str">
        <f ca="1">IFERROR(__xludf.DUMMYFUNCTION("""COMPUTED_VALUE"""),"Work  &lt;67 people in team")</f>
        <v>Work  &lt;67 people in team</v>
      </c>
      <c r="Q348" s="1" t="str">
        <f ca="1">IFERROR(__xludf.DUMMYFUNCTION("""COMPUTED_VALUE"""),"Male")</f>
        <v>Male</v>
      </c>
    </row>
    <row r="349" spans="13:17" x14ac:dyDescent="0.25">
      <c r="M349" s="4" t="s">
        <v>50</v>
      </c>
      <c r="N349" s="1" t="str">
        <f ca="1">IFERROR(__xludf.DUMMYFUNCTION("""COMPUTED_VALUE"""),"Male")</f>
        <v>Male</v>
      </c>
      <c r="P349" s="1" t="str">
        <f ca="1">IFERROR(__xludf.DUMMYFUNCTION("""COMPUTED_VALUE"""),"Work &lt;=6 People in the Team")</f>
        <v>Work &lt;=6 People in the Team</v>
      </c>
      <c r="Q349" s="1" t="str">
        <f ca="1">IFERROR(__xludf.DUMMYFUNCTION("""COMPUTED_VALUE"""),"Male")</f>
        <v>Male</v>
      </c>
    </row>
    <row r="350" spans="13:17" x14ac:dyDescent="0.25">
      <c r="M350" s="4" t="s">
        <v>50</v>
      </c>
      <c r="N350" s="1" t="str">
        <f ca="1">IFERROR(__xludf.DUMMYFUNCTION("""COMPUTED_VALUE"""),"Male")</f>
        <v>Male</v>
      </c>
      <c r="P350" s="1" t="str">
        <f ca="1">IFERROR(__xludf.DUMMYFUNCTION("""COMPUTED_VALUE"""),"Work &gt;10 people in Team")</f>
        <v>Work &gt;10 people in Team</v>
      </c>
      <c r="Q350" s="1" t="str">
        <f ca="1">IFERROR(__xludf.DUMMYFUNCTION("""COMPUTED_VALUE"""),"Male")</f>
        <v>Male</v>
      </c>
    </row>
    <row r="351" spans="13:17" x14ac:dyDescent="0.25">
      <c r="M351" s="4" t="s">
        <v>52</v>
      </c>
      <c r="N351" s="1" t="str">
        <f ca="1">IFERROR(__xludf.DUMMYFUNCTION("""COMPUTED_VALUE"""),"Male")</f>
        <v>Male</v>
      </c>
      <c r="P351" s="1" t="str">
        <f ca="1">IFERROR(__xludf.DUMMYFUNCTION("""COMPUTED_VALUE"""),"Work &lt;=6 People in the Team")</f>
        <v>Work &lt;=6 People in the Team</v>
      </c>
      <c r="Q351" s="1" t="str">
        <f ca="1">IFERROR(__xludf.DUMMYFUNCTION("""COMPUTED_VALUE"""),"Male")</f>
        <v>Male</v>
      </c>
    </row>
    <row r="352" spans="13:17" x14ac:dyDescent="0.25">
      <c r="M352" s="4" t="s">
        <v>51</v>
      </c>
      <c r="N352" s="1" t="str">
        <f ca="1">IFERROR(__xludf.DUMMYFUNCTION("""COMPUTED_VALUE"""),"Male")</f>
        <v>Male</v>
      </c>
      <c r="P352" s="1" t="str">
        <f ca="1">IFERROR(__xludf.DUMMYFUNCTION("""COMPUTED_VALUE"""),"Work &gt;10 people in Team")</f>
        <v>Work &gt;10 people in Team</v>
      </c>
      <c r="Q352" s="1" t="str">
        <f ca="1">IFERROR(__xludf.DUMMYFUNCTION("""COMPUTED_VALUE"""),"Male")</f>
        <v>Male</v>
      </c>
    </row>
    <row r="353" spans="13:17" x14ac:dyDescent="0.25">
      <c r="M353" s="4" t="s">
        <v>48</v>
      </c>
      <c r="N353" s="1" t="str">
        <f ca="1">IFERROR(__xludf.DUMMYFUNCTION("""COMPUTED_VALUE"""),"Male")</f>
        <v>Male</v>
      </c>
      <c r="P353" s="1" t="str">
        <f ca="1">IFERROR(__xludf.DUMMYFUNCTION("""COMPUTED_VALUE"""),"Work &gt;10 people in Team")</f>
        <v>Work &gt;10 people in Team</v>
      </c>
      <c r="Q353" s="1" t="str">
        <f ca="1">IFERROR(__xludf.DUMMYFUNCTION("""COMPUTED_VALUE"""),"Male")</f>
        <v>Male</v>
      </c>
    </row>
    <row r="354" spans="13:17" x14ac:dyDescent="0.25">
      <c r="M354" s="4" t="s">
        <v>50</v>
      </c>
      <c r="N354" s="1" t="str">
        <f ca="1">IFERROR(__xludf.DUMMYFUNCTION("""COMPUTED_VALUE"""),"Male")</f>
        <v>Male</v>
      </c>
      <c r="P354" s="1" t="str">
        <f ca="1">IFERROR(__xludf.DUMMYFUNCTION("""COMPUTED_VALUE"""),"Work &lt;=6 People in the Team")</f>
        <v>Work &lt;=6 People in the Team</v>
      </c>
      <c r="Q354" s="1" t="str">
        <f ca="1">IFERROR(__xludf.DUMMYFUNCTION("""COMPUTED_VALUE"""),"Male")</f>
        <v>Male</v>
      </c>
    </row>
    <row r="355" spans="13:17" x14ac:dyDescent="0.25">
      <c r="M355" s="4" t="s">
        <v>50</v>
      </c>
      <c r="N355" s="1" t="str">
        <f ca="1">IFERROR(__xludf.DUMMYFUNCTION("""COMPUTED_VALUE"""),"Male")</f>
        <v>Male</v>
      </c>
      <c r="P355" s="1" t="str">
        <f ca="1">IFERROR(__xludf.DUMMYFUNCTION("""COMPUTED_VALUE"""),"Work &gt;10 people in Team")</f>
        <v>Work &gt;10 people in Team</v>
      </c>
      <c r="Q355" s="1" t="str">
        <f ca="1">IFERROR(__xludf.DUMMYFUNCTION("""COMPUTED_VALUE"""),"Male")</f>
        <v>Male</v>
      </c>
    </row>
    <row r="356" spans="13:17" x14ac:dyDescent="0.25">
      <c r="M356" s="4" t="s">
        <v>51</v>
      </c>
      <c r="N356" s="1" t="str">
        <f ca="1">IFERROR(__xludf.DUMMYFUNCTION("""COMPUTED_VALUE"""),"Male")</f>
        <v>Male</v>
      </c>
      <c r="P356" s="1" t="str">
        <f ca="1">IFERROR(__xludf.DUMMYFUNCTION("""COMPUTED_VALUE"""),"Work &lt;=6 People in the Team")</f>
        <v>Work &lt;=6 People in the Team</v>
      </c>
      <c r="Q356" s="1" t="str">
        <f ca="1">IFERROR(__xludf.DUMMYFUNCTION("""COMPUTED_VALUE"""),"Male")</f>
        <v>Male</v>
      </c>
    </row>
    <row r="357" spans="13:17" x14ac:dyDescent="0.25">
      <c r="M357" s="4" t="s">
        <v>50</v>
      </c>
      <c r="N357" s="1" t="str">
        <f ca="1">IFERROR(__xludf.DUMMYFUNCTION("""COMPUTED_VALUE"""),"Male")</f>
        <v>Male</v>
      </c>
      <c r="P357" s="1" t="str">
        <f ca="1">IFERROR(__xludf.DUMMYFUNCTION("""COMPUTED_VALUE"""),"Work &lt;=6 People in the Team")</f>
        <v>Work &lt;=6 People in the Team</v>
      </c>
      <c r="Q357" s="1" t="str">
        <f ca="1">IFERROR(__xludf.DUMMYFUNCTION("""COMPUTED_VALUE"""),"Male")</f>
        <v>Male</v>
      </c>
    </row>
    <row r="358" spans="13:17" x14ac:dyDescent="0.25">
      <c r="M358" s="4" t="s">
        <v>51</v>
      </c>
      <c r="N358" s="1" t="str">
        <f ca="1">IFERROR(__xludf.DUMMYFUNCTION("""COMPUTED_VALUE"""),"Female")</f>
        <v>Female</v>
      </c>
      <c r="P358" s="1" t="str">
        <f ca="1">IFERROR(__xludf.DUMMYFUNCTION("""COMPUTED_VALUE"""),"Work &lt;=6 People in the Team")</f>
        <v>Work &lt;=6 People in the Team</v>
      </c>
      <c r="Q358" s="1" t="str">
        <f ca="1">IFERROR(__xludf.DUMMYFUNCTION("""COMPUTED_VALUE"""),"Female")</f>
        <v>Female</v>
      </c>
    </row>
    <row r="359" spans="13:17" x14ac:dyDescent="0.25">
      <c r="M359" s="4" t="s">
        <v>50</v>
      </c>
      <c r="N359" s="1" t="str">
        <f ca="1">IFERROR(__xludf.DUMMYFUNCTION("""COMPUTED_VALUE"""),"Male")</f>
        <v>Male</v>
      </c>
      <c r="P359" s="1" t="str">
        <f ca="1">IFERROR(__xludf.DUMMYFUNCTION("""COMPUTED_VALUE"""),"Work &lt;=6 People in the Team")</f>
        <v>Work &lt;=6 People in the Team</v>
      </c>
      <c r="Q359" s="1" t="str">
        <f ca="1">IFERROR(__xludf.DUMMYFUNCTION("""COMPUTED_VALUE"""),"Male")</f>
        <v>Male</v>
      </c>
    </row>
    <row r="360" spans="13:17" x14ac:dyDescent="0.25">
      <c r="M360" s="4" t="s">
        <v>48</v>
      </c>
      <c r="N360" s="1" t="str">
        <f ca="1">IFERROR(__xludf.DUMMYFUNCTION("""COMPUTED_VALUE"""),"Female")</f>
        <v>Female</v>
      </c>
      <c r="P360" s="1" t="str">
        <f ca="1">IFERROR(__xludf.DUMMYFUNCTION("""COMPUTED_VALUE"""),"Work &lt;=6 People in the Team")</f>
        <v>Work &lt;=6 People in the Team</v>
      </c>
      <c r="Q360" s="1" t="str">
        <f ca="1">IFERROR(__xludf.DUMMYFUNCTION("""COMPUTED_VALUE"""),"Female")</f>
        <v>Female</v>
      </c>
    </row>
    <row r="361" spans="13:17" x14ac:dyDescent="0.25">
      <c r="M361" s="4" t="s">
        <v>51</v>
      </c>
      <c r="N361" s="1" t="str">
        <f ca="1">IFERROR(__xludf.DUMMYFUNCTION("""COMPUTED_VALUE"""),"Female")</f>
        <v>Female</v>
      </c>
      <c r="P361" s="1" t="str">
        <f ca="1">IFERROR(__xludf.DUMMYFUNCTION("""COMPUTED_VALUE"""),"Work &gt;10 people in Team")</f>
        <v>Work &gt;10 people in Team</v>
      </c>
      <c r="Q361" s="1" t="str">
        <f ca="1">IFERROR(__xludf.DUMMYFUNCTION("""COMPUTED_VALUE"""),"Female")</f>
        <v>Female</v>
      </c>
    </row>
    <row r="362" spans="13:17" x14ac:dyDescent="0.25">
      <c r="M362" s="4" t="s">
        <v>51</v>
      </c>
      <c r="N362" s="1" t="str">
        <f ca="1">IFERROR(__xludf.DUMMYFUNCTION("""COMPUTED_VALUE"""),"Male")</f>
        <v>Male</v>
      </c>
      <c r="P362" s="1" t="str">
        <f ca="1">IFERROR(__xludf.DUMMYFUNCTION("""COMPUTED_VALUE"""),"Work &lt;=6 People in the Team")</f>
        <v>Work &lt;=6 People in the Team</v>
      </c>
      <c r="Q362" s="1" t="str">
        <f ca="1">IFERROR(__xludf.DUMMYFUNCTION("""COMPUTED_VALUE"""),"Male")</f>
        <v>Male</v>
      </c>
    </row>
    <row r="363" spans="13:17" x14ac:dyDescent="0.25">
      <c r="M363" s="4" t="s">
        <v>51</v>
      </c>
      <c r="N363" s="1" t="str">
        <f ca="1">IFERROR(__xludf.DUMMYFUNCTION("""COMPUTED_VALUE"""),"Male")</f>
        <v>Male</v>
      </c>
      <c r="P363" s="1" t="str">
        <f ca="1">IFERROR(__xludf.DUMMYFUNCTION("""COMPUTED_VALUE"""),"Work &lt;=6 People in the Team")</f>
        <v>Work &lt;=6 People in the Team</v>
      </c>
      <c r="Q363" s="1" t="str">
        <f ca="1">IFERROR(__xludf.DUMMYFUNCTION("""COMPUTED_VALUE"""),"Male")</f>
        <v>Male</v>
      </c>
    </row>
    <row r="364" spans="13:17" x14ac:dyDescent="0.25">
      <c r="M364" s="4" t="s">
        <v>50</v>
      </c>
      <c r="N364" s="1" t="str">
        <f ca="1">IFERROR(__xludf.DUMMYFUNCTION("""COMPUTED_VALUE"""),"Male")</f>
        <v>Male</v>
      </c>
      <c r="P364" s="1" t="str">
        <f ca="1">IFERROR(__xludf.DUMMYFUNCTION("""COMPUTED_VALUE"""),"Work &gt;10 people in Team")</f>
        <v>Work &gt;10 people in Team</v>
      </c>
      <c r="Q364" s="1" t="str">
        <f ca="1">IFERROR(__xludf.DUMMYFUNCTION("""COMPUTED_VALUE"""),"Male")</f>
        <v>Male</v>
      </c>
    </row>
    <row r="365" spans="13:17" x14ac:dyDescent="0.25">
      <c r="M365" s="4" t="s">
        <v>48</v>
      </c>
      <c r="N365" s="1" t="str">
        <f ca="1">IFERROR(__xludf.DUMMYFUNCTION("""COMPUTED_VALUE"""),"Female")</f>
        <v>Female</v>
      </c>
      <c r="P365" s="1" t="str">
        <f ca="1">IFERROR(__xludf.DUMMYFUNCTION("""COMPUTED_VALUE"""),"Work &lt;=6 People in the Team")</f>
        <v>Work &lt;=6 People in the Team</v>
      </c>
      <c r="Q365" s="1" t="str">
        <f ca="1">IFERROR(__xludf.DUMMYFUNCTION("""COMPUTED_VALUE"""),"Female")</f>
        <v>Female</v>
      </c>
    </row>
    <row r="366" spans="13:17" x14ac:dyDescent="0.25">
      <c r="M366" s="4" t="s">
        <v>51</v>
      </c>
      <c r="N366" s="1" t="str">
        <f ca="1">IFERROR(__xludf.DUMMYFUNCTION("""COMPUTED_VALUE"""),"Female")</f>
        <v>Female</v>
      </c>
      <c r="P366" s="1" t="str">
        <f ca="1">IFERROR(__xludf.DUMMYFUNCTION("""COMPUTED_VALUE"""),"Work &lt;=6 People in the Team")</f>
        <v>Work &lt;=6 People in the Team</v>
      </c>
      <c r="Q366" s="1" t="str">
        <f ca="1">IFERROR(__xludf.DUMMYFUNCTION("""COMPUTED_VALUE"""),"Female")</f>
        <v>Female</v>
      </c>
    </row>
    <row r="367" spans="13:17" x14ac:dyDescent="0.25">
      <c r="M367" s="4" t="s">
        <v>51</v>
      </c>
      <c r="N367" s="1" t="str">
        <f ca="1">IFERROR(__xludf.DUMMYFUNCTION("""COMPUTED_VALUE"""),"Female")</f>
        <v>Female</v>
      </c>
      <c r="P367" s="1" t="str">
        <f ca="1">IFERROR(__xludf.DUMMYFUNCTION("""COMPUTED_VALUE"""),"Work &lt;=6 People in the Team")</f>
        <v>Work &lt;=6 People in the Team</v>
      </c>
      <c r="Q367" s="1" t="str">
        <f ca="1">IFERROR(__xludf.DUMMYFUNCTION("""COMPUTED_VALUE"""),"Female")</f>
        <v>Female</v>
      </c>
    </row>
    <row r="368" spans="13:17" x14ac:dyDescent="0.25">
      <c r="M368" s="4" t="s">
        <v>52</v>
      </c>
      <c r="N368" s="1" t="str">
        <f ca="1">IFERROR(__xludf.DUMMYFUNCTION("""COMPUTED_VALUE"""),"Male")</f>
        <v>Male</v>
      </c>
      <c r="P368" s="1" t="str">
        <f ca="1">IFERROR(__xludf.DUMMYFUNCTION("""COMPUTED_VALUE"""),"Work &gt;10 people in Team")</f>
        <v>Work &gt;10 people in Team</v>
      </c>
      <c r="Q368" s="1" t="str">
        <f ca="1">IFERROR(__xludf.DUMMYFUNCTION("""COMPUTED_VALUE"""),"Male")</f>
        <v>Male</v>
      </c>
    </row>
    <row r="369" spans="13:17" x14ac:dyDescent="0.25">
      <c r="M369" s="4" t="s">
        <v>54</v>
      </c>
      <c r="N369" s="1" t="str">
        <f ca="1">IFERROR(__xludf.DUMMYFUNCTION("""COMPUTED_VALUE"""),"Male")</f>
        <v>Male</v>
      </c>
      <c r="P369" s="1" t="str">
        <f ca="1">IFERROR(__xludf.DUMMYFUNCTION("""COMPUTED_VALUE"""),"Work &gt;10 people in Team")</f>
        <v>Work &gt;10 people in Team</v>
      </c>
      <c r="Q369" s="1" t="str">
        <f ca="1">IFERROR(__xludf.DUMMYFUNCTION("""COMPUTED_VALUE"""),"Male")</f>
        <v>Male</v>
      </c>
    </row>
    <row r="370" spans="13:17" x14ac:dyDescent="0.25">
      <c r="M370" s="4" t="s">
        <v>48</v>
      </c>
      <c r="N370" s="1" t="str">
        <f ca="1">IFERROR(__xludf.DUMMYFUNCTION("""COMPUTED_VALUE"""),"Female")</f>
        <v>Female</v>
      </c>
      <c r="P370" s="1" t="str">
        <f ca="1">IFERROR(__xludf.DUMMYFUNCTION("""COMPUTED_VALUE"""),"Work &lt;=6 People in the Team")</f>
        <v>Work &lt;=6 People in the Team</v>
      </c>
      <c r="Q370" s="1" t="str">
        <f ca="1">IFERROR(__xludf.DUMMYFUNCTION("""COMPUTED_VALUE"""),"Female")</f>
        <v>Female</v>
      </c>
    </row>
    <row r="371" spans="13:17" x14ac:dyDescent="0.25">
      <c r="M371" s="4" t="s">
        <v>51</v>
      </c>
      <c r="N371" s="1" t="str">
        <f ca="1">IFERROR(__xludf.DUMMYFUNCTION("""COMPUTED_VALUE"""),"Female")</f>
        <v>Female</v>
      </c>
      <c r="P371" s="1" t="str">
        <f ca="1">IFERROR(__xludf.DUMMYFUNCTION("""COMPUTED_VALUE"""),"Work &lt;=6 People in the Team")</f>
        <v>Work &lt;=6 People in the Team</v>
      </c>
      <c r="Q371" s="1" t="str">
        <f ca="1">IFERROR(__xludf.DUMMYFUNCTION("""COMPUTED_VALUE"""),"Female")</f>
        <v>Female</v>
      </c>
    </row>
    <row r="372" spans="13:17" x14ac:dyDescent="0.25">
      <c r="M372" s="4" t="s">
        <v>48</v>
      </c>
      <c r="N372" s="1" t="str">
        <f ca="1">IFERROR(__xludf.DUMMYFUNCTION("""COMPUTED_VALUE"""),"Female")</f>
        <v>Female</v>
      </c>
      <c r="P372" s="1" t="str">
        <f ca="1">IFERROR(__xludf.DUMMYFUNCTION("""COMPUTED_VALUE"""),"Work &lt;=6 People in the Team")</f>
        <v>Work &lt;=6 People in the Team</v>
      </c>
      <c r="Q372" s="1" t="str">
        <f ca="1">IFERROR(__xludf.DUMMYFUNCTION("""COMPUTED_VALUE"""),"Female")</f>
        <v>Female</v>
      </c>
    </row>
    <row r="373" spans="13:17" x14ac:dyDescent="0.25">
      <c r="M373" s="4" t="s">
        <v>54</v>
      </c>
      <c r="N373" s="1" t="str">
        <f ca="1">IFERROR(__xludf.DUMMYFUNCTION("""COMPUTED_VALUE"""),"Male")</f>
        <v>Male</v>
      </c>
      <c r="P373" s="1" t="str">
        <f ca="1">IFERROR(__xludf.DUMMYFUNCTION("""COMPUTED_VALUE"""),"Work &lt;=6 People in the Team")</f>
        <v>Work &lt;=6 People in the Team</v>
      </c>
      <c r="Q373" s="1" t="str">
        <f ca="1">IFERROR(__xludf.DUMMYFUNCTION("""COMPUTED_VALUE"""),"Male")</f>
        <v>Male</v>
      </c>
    </row>
    <row r="374" spans="13:17" x14ac:dyDescent="0.25">
      <c r="M374" s="4" t="s">
        <v>55</v>
      </c>
      <c r="N374" s="1" t="str">
        <f ca="1">IFERROR(__xludf.DUMMYFUNCTION("""COMPUTED_VALUE"""),"Female")</f>
        <v>Female</v>
      </c>
      <c r="P374" s="1" t="str">
        <f ca="1">IFERROR(__xludf.DUMMYFUNCTION("""COMPUTED_VALUE"""),"Work &gt;10 people in Team")</f>
        <v>Work &gt;10 people in Team</v>
      </c>
      <c r="Q374" s="1" t="str">
        <f ca="1">IFERROR(__xludf.DUMMYFUNCTION("""COMPUTED_VALUE"""),"Female")</f>
        <v>Female</v>
      </c>
    </row>
    <row r="375" spans="13:17" x14ac:dyDescent="0.25">
      <c r="M375" s="4" t="s">
        <v>54</v>
      </c>
      <c r="N375" s="1" t="str">
        <f ca="1">IFERROR(__xludf.DUMMYFUNCTION("""COMPUTED_VALUE"""),"Female")</f>
        <v>Female</v>
      </c>
      <c r="P375" s="1" t="str">
        <f ca="1">IFERROR(__xludf.DUMMYFUNCTION("""COMPUTED_VALUE"""),"Work &gt;=7 People in the Team")</f>
        <v>Work &gt;=7 People in the Team</v>
      </c>
      <c r="Q375" s="1" t="str">
        <f ca="1">IFERROR(__xludf.DUMMYFUNCTION("""COMPUTED_VALUE"""),"Female")</f>
        <v>Female</v>
      </c>
    </row>
    <row r="376" spans="13:17" x14ac:dyDescent="0.25">
      <c r="M376" s="4" t="s">
        <v>50</v>
      </c>
      <c r="N376" s="1" t="str">
        <f ca="1">IFERROR(__xludf.DUMMYFUNCTION("""COMPUTED_VALUE"""),"Female")</f>
        <v>Female</v>
      </c>
      <c r="P376" s="1" t="str">
        <f ca="1">IFERROR(__xludf.DUMMYFUNCTION("""COMPUTED_VALUE"""),"Work &lt;=6 People in the Team")</f>
        <v>Work &lt;=6 People in the Team</v>
      </c>
      <c r="Q376" s="1" t="str">
        <f ca="1">IFERROR(__xludf.DUMMYFUNCTION("""COMPUTED_VALUE"""),"Female")</f>
        <v>Female</v>
      </c>
    </row>
    <row r="377" spans="13:17" x14ac:dyDescent="0.25">
      <c r="M377" s="4" t="s">
        <v>51</v>
      </c>
      <c r="N377" s="1" t="str">
        <f ca="1">IFERROR(__xludf.DUMMYFUNCTION("""COMPUTED_VALUE"""),"Male")</f>
        <v>Male</v>
      </c>
      <c r="P377" s="1" t="str">
        <f ca="1">IFERROR(__xludf.DUMMYFUNCTION("""COMPUTED_VALUE"""),"Work &gt;10 people in Team")</f>
        <v>Work &gt;10 people in Team</v>
      </c>
      <c r="Q377" s="1" t="str">
        <f ca="1">IFERROR(__xludf.DUMMYFUNCTION("""COMPUTED_VALUE"""),"Male")</f>
        <v>Male</v>
      </c>
    </row>
    <row r="378" spans="13:17" x14ac:dyDescent="0.25">
      <c r="M378" s="4" t="s">
        <v>55</v>
      </c>
      <c r="N378" s="1" t="str">
        <f ca="1">IFERROR(__xludf.DUMMYFUNCTION("""COMPUTED_VALUE"""),"Female")</f>
        <v>Female</v>
      </c>
      <c r="P378" s="1" t="str">
        <f ca="1">IFERROR(__xludf.DUMMYFUNCTION("""COMPUTED_VALUE"""),"Work &lt;=6 People in the Team")</f>
        <v>Work &lt;=6 People in the Team</v>
      </c>
      <c r="Q378" s="1" t="str">
        <f ca="1">IFERROR(__xludf.DUMMYFUNCTION("""COMPUTED_VALUE"""),"Female")</f>
        <v>Female</v>
      </c>
    </row>
    <row r="379" spans="13:17" x14ac:dyDescent="0.25">
      <c r="M379" s="4" t="s">
        <v>54</v>
      </c>
      <c r="N379" s="1" t="str">
        <f ca="1">IFERROR(__xludf.DUMMYFUNCTION("""COMPUTED_VALUE"""),"Male")</f>
        <v>Male</v>
      </c>
      <c r="P379" s="1" t="str">
        <f ca="1">IFERROR(__xludf.DUMMYFUNCTION("""COMPUTED_VALUE"""),"Work &lt;67 People in the Team")</f>
        <v>Work &lt;67 People in the Team</v>
      </c>
      <c r="Q379" s="1" t="str">
        <f ca="1">IFERROR(__xludf.DUMMYFUNCTION("""COMPUTED_VALUE"""),"Male")</f>
        <v>Male</v>
      </c>
    </row>
    <row r="380" spans="13:17" x14ac:dyDescent="0.25">
      <c r="M380" s="4" t="s">
        <v>50</v>
      </c>
      <c r="N380" s="1" t="str">
        <f ca="1">IFERROR(__xludf.DUMMYFUNCTION("""COMPUTED_VALUE"""),"Male")</f>
        <v>Male</v>
      </c>
      <c r="P380" s="1" t="str">
        <f ca="1">IFERROR(__xludf.DUMMYFUNCTION("""COMPUTED_VALUE"""),"Work &lt;=6 People in the Team")</f>
        <v>Work &lt;=6 People in the Team</v>
      </c>
      <c r="Q380" s="1" t="str">
        <f ca="1">IFERROR(__xludf.DUMMYFUNCTION("""COMPUTED_VALUE"""),"Male")</f>
        <v>Male</v>
      </c>
    </row>
    <row r="381" spans="13:17" x14ac:dyDescent="0.25">
      <c r="M381" s="4" t="s">
        <v>51</v>
      </c>
      <c r="N381" s="1" t="str">
        <f ca="1">IFERROR(__xludf.DUMMYFUNCTION("""COMPUTED_VALUE"""),"Male")</f>
        <v>Male</v>
      </c>
      <c r="P381" s="1" t="str">
        <f ca="1">IFERROR(__xludf.DUMMYFUNCTION("""COMPUTED_VALUE"""),"Work &gt;10 people in Team")</f>
        <v>Work &gt;10 people in Team</v>
      </c>
      <c r="Q381" s="1" t="str">
        <f ca="1">IFERROR(__xludf.DUMMYFUNCTION("""COMPUTED_VALUE"""),"Male")</f>
        <v>Male</v>
      </c>
    </row>
    <row r="382" spans="13:17" x14ac:dyDescent="0.25">
      <c r="M382" s="4" t="s">
        <v>59</v>
      </c>
      <c r="N382" s="1" t="str">
        <f ca="1">IFERROR(__xludf.DUMMYFUNCTION("""COMPUTED_VALUE"""),"Female")</f>
        <v>Female</v>
      </c>
      <c r="P382" s="1" t="str">
        <f ca="1">IFERROR(__xludf.DUMMYFUNCTION("""COMPUTED_VALUE"""),"Work  &lt;67 people in team")</f>
        <v>Work  &lt;67 people in team</v>
      </c>
      <c r="Q382" s="1" t="str">
        <f ca="1">IFERROR(__xludf.DUMMYFUNCTION("""COMPUTED_VALUE"""),"Female")</f>
        <v>Female</v>
      </c>
    </row>
    <row r="383" spans="13:17" x14ac:dyDescent="0.25">
      <c r="M383" s="4" t="s">
        <v>59</v>
      </c>
      <c r="N383" s="1" t="str">
        <f ca="1">IFERROR(__xludf.DUMMYFUNCTION("""COMPUTED_VALUE"""),"Male")</f>
        <v>Male</v>
      </c>
      <c r="P383" s="1" t="str">
        <f ca="1">IFERROR(__xludf.DUMMYFUNCTION("""COMPUTED_VALUE"""),"Work Alone, &lt;67 people in team")</f>
        <v>Work Alone, &lt;67 people in team</v>
      </c>
      <c r="Q383" s="1" t="str">
        <f ca="1">IFERROR(__xludf.DUMMYFUNCTION("""COMPUTED_VALUE"""),"Male")</f>
        <v>Male</v>
      </c>
    </row>
    <row r="384" spans="13:17" x14ac:dyDescent="0.25">
      <c r="M384" s="4" t="s">
        <v>51</v>
      </c>
      <c r="N384" s="1" t="str">
        <f ca="1">IFERROR(__xludf.DUMMYFUNCTION("""COMPUTED_VALUE"""),"Female")</f>
        <v>Female</v>
      </c>
      <c r="P384" s="1" t="str">
        <f ca="1">IFERROR(__xludf.DUMMYFUNCTION("""COMPUTED_VALUE"""),"Work Alone, &lt;=6 in team")</f>
        <v>Work Alone, &lt;=6 in team</v>
      </c>
      <c r="Q384" s="1" t="str">
        <f ca="1">IFERROR(__xludf.DUMMYFUNCTION("""COMPUTED_VALUE"""),"Female")</f>
        <v>Female</v>
      </c>
    </row>
    <row r="385" spans="13:17" x14ac:dyDescent="0.25">
      <c r="M385" s="4" t="s">
        <v>48</v>
      </c>
      <c r="N385" s="1" t="str">
        <f ca="1">IFERROR(__xludf.DUMMYFUNCTION("""COMPUTED_VALUE"""),"Male")</f>
        <v>Male</v>
      </c>
      <c r="P385" s="1" t="str">
        <f ca="1">IFERROR(__xludf.DUMMYFUNCTION("""COMPUTED_VALUE"""),"Work &gt;10 people in Team")</f>
        <v>Work &gt;10 people in Team</v>
      </c>
      <c r="Q385" s="1" t="str">
        <f ca="1">IFERROR(__xludf.DUMMYFUNCTION("""COMPUTED_VALUE"""),"Male")</f>
        <v>Male</v>
      </c>
    </row>
    <row r="386" spans="13:17" x14ac:dyDescent="0.25">
      <c r="M386" s="4" t="s">
        <v>48</v>
      </c>
      <c r="N386" s="1" t="str">
        <f ca="1">IFERROR(__xludf.DUMMYFUNCTION("""COMPUTED_VALUE"""),"Male")</f>
        <v>Male</v>
      </c>
      <c r="P386" s="1" t="str">
        <f ca="1">IFERROR(__xludf.DUMMYFUNCTION("""COMPUTED_VALUE"""),"Work &lt;=6 People in the Team")</f>
        <v>Work &lt;=6 People in the Team</v>
      </c>
      <c r="Q386" s="1" t="str">
        <f ca="1">IFERROR(__xludf.DUMMYFUNCTION("""COMPUTED_VALUE"""),"Male")</f>
        <v>Male</v>
      </c>
    </row>
    <row r="387" spans="13:17" x14ac:dyDescent="0.25">
      <c r="M387" s="4" t="s">
        <v>54</v>
      </c>
      <c r="N387" s="1" t="str">
        <f ca="1">IFERROR(__xludf.DUMMYFUNCTION("""COMPUTED_VALUE"""),"Male")</f>
        <v>Male</v>
      </c>
      <c r="P387" s="1" t="str">
        <f ca="1">IFERROR(__xludf.DUMMYFUNCTION("""COMPUTED_VALUE"""),"Work &lt;=6 People in the Team")</f>
        <v>Work &lt;=6 People in the Team</v>
      </c>
      <c r="Q387" s="1" t="str">
        <f ca="1">IFERROR(__xludf.DUMMYFUNCTION("""COMPUTED_VALUE"""),"Male")</f>
        <v>Male</v>
      </c>
    </row>
    <row r="388" spans="13:17" x14ac:dyDescent="0.25">
      <c r="M388" s="4" t="s">
        <v>51</v>
      </c>
      <c r="N388" s="1" t="str">
        <f ca="1">IFERROR(__xludf.DUMMYFUNCTION("""COMPUTED_VALUE"""),"Male")</f>
        <v>Male</v>
      </c>
      <c r="P388" s="1" t="str">
        <f ca="1">IFERROR(__xludf.DUMMYFUNCTION("""COMPUTED_VALUE"""),"Work Alone, &lt;=6 in team")</f>
        <v>Work Alone, &lt;=6 in team</v>
      </c>
      <c r="Q388" s="1" t="str">
        <f ca="1">IFERROR(__xludf.DUMMYFUNCTION("""COMPUTED_VALUE"""),"Male")</f>
        <v>Male</v>
      </c>
    </row>
    <row r="389" spans="13:17" x14ac:dyDescent="0.25">
      <c r="M389" s="4" t="s">
        <v>54</v>
      </c>
      <c r="N389" s="1" t="str">
        <f ca="1">IFERROR(__xludf.DUMMYFUNCTION("""COMPUTED_VALUE"""),"Male")</f>
        <v>Male</v>
      </c>
      <c r="P389" s="1" t="str">
        <f ca="1">IFERROR(__xludf.DUMMYFUNCTION("""COMPUTED_VALUE"""),"Work &lt;=6 People in the Team")</f>
        <v>Work &lt;=6 People in the Team</v>
      </c>
      <c r="Q389" s="1" t="str">
        <f ca="1">IFERROR(__xludf.DUMMYFUNCTION("""COMPUTED_VALUE"""),"Male")</f>
        <v>Male</v>
      </c>
    </row>
    <row r="390" spans="13:17" x14ac:dyDescent="0.25">
      <c r="M390" s="4" t="s">
        <v>51</v>
      </c>
      <c r="N390" s="1" t="str">
        <f ca="1">IFERROR(__xludf.DUMMYFUNCTION("""COMPUTED_VALUE"""),"Male")</f>
        <v>Male</v>
      </c>
      <c r="P390" s="1" t="str">
        <f ca="1">IFERROR(__xludf.DUMMYFUNCTION("""COMPUTED_VALUE"""),"Work &lt;=6 People in the Team")</f>
        <v>Work &lt;=6 People in the Team</v>
      </c>
      <c r="Q390" s="1" t="str">
        <f ca="1">IFERROR(__xludf.DUMMYFUNCTION("""COMPUTED_VALUE"""),"Male")</f>
        <v>Male</v>
      </c>
    </row>
    <row r="391" spans="13:17" x14ac:dyDescent="0.25">
      <c r="M391" s="4" t="s">
        <v>51</v>
      </c>
      <c r="N391" s="1" t="str">
        <f ca="1">IFERROR(__xludf.DUMMYFUNCTION("""COMPUTED_VALUE"""),"Male")</f>
        <v>Male</v>
      </c>
      <c r="P391" s="1" t="str">
        <f ca="1">IFERROR(__xludf.DUMMYFUNCTION("""COMPUTED_VALUE"""),"Work &lt;=6 People in the Team")</f>
        <v>Work &lt;=6 People in the Team</v>
      </c>
      <c r="Q391" s="1" t="str">
        <f ca="1">IFERROR(__xludf.DUMMYFUNCTION("""COMPUTED_VALUE"""),"Male")</f>
        <v>Male</v>
      </c>
    </row>
    <row r="392" spans="13:17" x14ac:dyDescent="0.25">
      <c r="M392" s="4" t="s">
        <v>51</v>
      </c>
      <c r="N392" s="1" t="str">
        <f ca="1">IFERROR(__xludf.DUMMYFUNCTION("""COMPUTED_VALUE"""),"Female")</f>
        <v>Female</v>
      </c>
      <c r="P392" s="1" t="str">
        <f ca="1">IFERROR(__xludf.DUMMYFUNCTION("""COMPUTED_VALUE"""),"Work &gt;=7 People in the Team")</f>
        <v>Work &gt;=7 People in the Team</v>
      </c>
      <c r="Q392" s="1" t="str">
        <f ca="1">IFERROR(__xludf.DUMMYFUNCTION("""COMPUTED_VALUE"""),"Female")</f>
        <v>Female</v>
      </c>
    </row>
    <row r="393" spans="13:17" x14ac:dyDescent="0.25">
      <c r="M393" s="4" t="s">
        <v>50</v>
      </c>
      <c r="N393" s="1" t="str">
        <f ca="1">IFERROR(__xludf.DUMMYFUNCTION("""COMPUTED_VALUE"""),"Female")</f>
        <v>Female</v>
      </c>
      <c r="P393" s="1" t="str">
        <f ca="1">IFERROR(__xludf.DUMMYFUNCTION("""COMPUTED_VALUE"""),"Work &gt;=7 People in the Team")</f>
        <v>Work &gt;=7 People in the Team</v>
      </c>
      <c r="Q393" s="1" t="str">
        <f ca="1">IFERROR(__xludf.DUMMYFUNCTION("""COMPUTED_VALUE"""),"Female")</f>
        <v>Female</v>
      </c>
    </row>
    <row r="394" spans="13:17" x14ac:dyDescent="0.25">
      <c r="M394" s="4" t="s">
        <v>51</v>
      </c>
      <c r="N394" s="1" t="str">
        <f ca="1">IFERROR(__xludf.DUMMYFUNCTION("""COMPUTED_VALUE"""),"Male")</f>
        <v>Male</v>
      </c>
      <c r="P394" s="1" t="str">
        <f ca="1">IFERROR(__xludf.DUMMYFUNCTION("""COMPUTED_VALUE"""),"Work &gt;10 people in Team")</f>
        <v>Work &gt;10 people in Team</v>
      </c>
      <c r="Q394" s="1" t="str">
        <f ca="1">IFERROR(__xludf.DUMMYFUNCTION("""COMPUTED_VALUE"""),"Male")</f>
        <v>Male</v>
      </c>
    </row>
    <row r="395" spans="13:17" x14ac:dyDescent="0.25">
      <c r="M395" s="4" t="s">
        <v>52</v>
      </c>
      <c r="N395" s="1" t="str">
        <f ca="1">IFERROR(__xludf.DUMMYFUNCTION("""COMPUTED_VALUE"""),"Male")</f>
        <v>Male</v>
      </c>
      <c r="P395" s="1" t="str">
        <f ca="1">IFERROR(__xludf.DUMMYFUNCTION("""COMPUTED_VALUE"""),"Work &gt;10 people in Team")</f>
        <v>Work &gt;10 people in Team</v>
      </c>
      <c r="Q395" s="1" t="str">
        <f ca="1">IFERROR(__xludf.DUMMYFUNCTION("""COMPUTED_VALUE"""),"Male")</f>
        <v>Male</v>
      </c>
    </row>
    <row r="396" spans="13:17" x14ac:dyDescent="0.25">
      <c r="M396" s="4" t="s">
        <v>52</v>
      </c>
      <c r="N396" s="1" t="str">
        <f ca="1">IFERROR(__xludf.DUMMYFUNCTION("""COMPUTED_VALUE"""),"Female")</f>
        <v>Female</v>
      </c>
      <c r="P396" s="1" t="str">
        <f ca="1">IFERROR(__xludf.DUMMYFUNCTION("""COMPUTED_VALUE"""),"Work &lt;=6 People in the Team")</f>
        <v>Work &lt;=6 People in the Team</v>
      </c>
      <c r="Q396" s="1" t="str">
        <f ca="1">IFERROR(__xludf.DUMMYFUNCTION("""COMPUTED_VALUE"""),"Female")</f>
        <v>Female</v>
      </c>
    </row>
    <row r="397" spans="13:17" x14ac:dyDescent="0.25">
      <c r="M397" s="4" t="s">
        <v>51</v>
      </c>
      <c r="N397" s="1" t="str">
        <f ca="1">IFERROR(__xludf.DUMMYFUNCTION("""COMPUTED_VALUE"""),"Male")</f>
        <v>Male</v>
      </c>
      <c r="P397" s="1" t="str">
        <f ca="1">IFERROR(__xludf.DUMMYFUNCTION("""COMPUTED_VALUE"""),"Work &gt;10 people in Team")</f>
        <v>Work &gt;10 people in Team</v>
      </c>
      <c r="Q397" s="1" t="str">
        <f ca="1">IFERROR(__xludf.DUMMYFUNCTION("""COMPUTED_VALUE"""),"Male")</f>
        <v>Male</v>
      </c>
    </row>
    <row r="398" spans="13:17" x14ac:dyDescent="0.25">
      <c r="M398" s="4" t="s">
        <v>51</v>
      </c>
      <c r="N398" s="1" t="str">
        <f ca="1">IFERROR(__xludf.DUMMYFUNCTION("""COMPUTED_VALUE"""),"Female")</f>
        <v>Female</v>
      </c>
      <c r="P398" s="1" t="str">
        <f ca="1">IFERROR(__xludf.DUMMYFUNCTION("""COMPUTED_VALUE"""),"Work &lt;=6 People in the Team")</f>
        <v>Work &lt;=6 People in the Team</v>
      </c>
      <c r="Q398" s="1" t="str">
        <f ca="1">IFERROR(__xludf.DUMMYFUNCTION("""COMPUTED_VALUE"""),"Female")</f>
        <v>Female</v>
      </c>
    </row>
    <row r="399" spans="13:17" x14ac:dyDescent="0.25">
      <c r="M399" s="4" t="s">
        <v>51</v>
      </c>
      <c r="N399" s="1" t="str">
        <f ca="1">IFERROR(__xludf.DUMMYFUNCTION("""COMPUTED_VALUE"""),"Male")</f>
        <v>Male</v>
      </c>
      <c r="P399" s="1" t="str">
        <f ca="1">IFERROR(__xludf.DUMMYFUNCTION("""COMPUTED_VALUE"""),"Work &lt;=6 People in the Team")</f>
        <v>Work &lt;=6 People in the Team</v>
      </c>
      <c r="Q399" s="1" t="str">
        <f ca="1">IFERROR(__xludf.DUMMYFUNCTION("""COMPUTED_VALUE"""),"Male")</f>
        <v>Male</v>
      </c>
    </row>
    <row r="400" spans="13:17" x14ac:dyDescent="0.25">
      <c r="M400" s="4" t="s">
        <v>51</v>
      </c>
      <c r="N400" s="1" t="str">
        <f ca="1">IFERROR(__xludf.DUMMYFUNCTION("""COMPUTED_VALUE"""),"Female")</f>
        <v>Female</v>
      </c>
      <c r="P400" s="1" t="str">
        <f ca="1">IFERROR(__xludf.DUMMYFUNCTION("""COMPUTED_VALUE"""),"Work &lt;=6 People in the Team")</f>
        <v>Work &lt;=6 People in the Team</v>
      </c>
      <c r="Q400" s="1" t="str">
        <f ca="1">IFERROR(__xludf.DUMMYFUNCTION("""COMPUTED_VALUE"""),"Female")</f>
        <v>Female</v>
      </c>
    </row>
    <row r="401" spans="13:17" x14ac:dyDescent="0.25">
      <c r="M401" s="4" t="s">
        <v>51</v>
      </c>
      <c r="N401" s="1" t="str">
        <f ca="1">IFERROR(__xludf.DUMMYFUNCTION("""COMPUTED_VALUE"""),"Male")</f>
        <v>Male</v>
      </c>
      <c r="P401" s="1" t="str">
        <f ca="1">IFERROR(__xludf.DUMMYFUNCTION("""COMPUTED_VALUE"""),"Work Alone, &lt;=6 in team")</f>
        <v>Work Alone, &lt;=6 in team</v>
      </c>
      <c r="Q401" s="1" t="str">
        <f ca="1">IFERROR(__xludf.DUMMYFUNCTION("""COMPUTED_VALUE"""),"Male")</f>
        <v>Male</v>
      </c>
    </row>
    <row r="402" spans="13:17" x14ac:dyDescent="0.25">
      <c r="M402" s="4" t="s">
        <v>50</v>
      </c>
      <c r="N402" s="1" t="str">
        <f ca="1">IFERROR(__xludf.DUMMYFUNCTION("""COMPUTED_VALUE"""),"Male")</f>
        <v>Male</v>
      </c>
      <c r="P402" s="1" t="str">
        <f ca="1">IFERROR(__xludf.DUMMYFUNCTION("""COMPUTED_VALUE"""),"Work Alone, &lt;67 people in team")</f>
        <v>Work Alone, &lt;67 people in team</v>
      </c>
      <c r="Q402" s="1" t="str">
        <f ca="1">IFERROR(__xludf.DUMMYFUNCTION("""COMPUTED_VALUE"""),"Male")</f>
        <v>Male</v>
      </c>
    </row>
    <row r="403" spans="13:17" x14ac:dyDescent="0.25">
      <c r="M403" s="4" t="s">
        <v>51</v>
      </c>
      <c r="N403" s="1" t="str">
        <f ca="1">IFERROR(__xludf.DUMMYFUNCTION("""COMPUTED_VALUE"""),"Male")</f>
        <v>Male</v>
      </c>
      <c r="P403" s="1" t="str">
        <f ca="1">IFERROR(__xludf.DUMMYFUNCTION("""COMPUTED_VALUE"""),"Work Alone, &lt;=6 in team")</f>
        <v>Work Alone, &lt;=6 in team</v>
      </c>
      <c r="Q403" s="1" t="str">
        <f ca="1">IFERROR(__xludf.DUMMYFUNCTION("""COMPUTED_VALUE"""),"Male")</f>
        <v>Male</v>
      </c>
    </row>
    <row r="404" spans="13:17" x14ac:dyDescent="0.25">
      <c r="M404" s="4" t="s">
        <v>48</v>
      </c>
      <c r="N404" s="1" t="str">
        <f ca="1">IFERROR(__xludf.DUMMYFUNCTION("""COMPUTED_VALUE"""),"Male")</f>
        <v>Male</v>
      </c>
      <c r="P404" s="1" t="str">
        <f ca="1">IFERROR(__xludf.DUMMYFUNCTION("""COMPUTED_VALUE"""),"Work &lt;=6 People in the Team")</f>
        <v>Work &lt;=6 People in the Team</v>
      </c>
      <c r="Q404" s="1" t="str">
        <f ca="1">IFERROR(__xludf.DUMMYFUNCTION("""COMPUTED_VALUE"""),"Male")</f>
        <v>Male</v>
      </c>
    </row>
    <row r="405" spans="13:17" x14ac:dyDescent="0.25">
      <c r="M405" s="4" t="s">
        <v>51</v>
      </c>
      <c r="N405" s="1" t="str">
        <f ca="1">IFERROR(__xludf.DUMMYFUNCTION("""COMPUTED_VALUE"""),"Male")</f>
        <v>Male</v>
      </c>
      <c r="P405" s="1" t="str">
        <f ca="1">IFERROR(__xludf.DUMMYFUNCTION("""COMPUTED_VALUE"""),"Work &gt;=7 People in the Team")</f>
        <v>Work &gt;=7 People in the Team</v>
      </c>
      <c r="Q405" s="1" t="str">
        <f ca="1">IFERROR(__xludf.DUMMYFUNCTION("""COMPUTED_VALUE"""),"Male")</f>
        <v>Male</v>
      </c>
    </row>
    <row r="406" spans="13:17" x14ac:dyDescent="0.25">
      <c r="M406" s="4" t="s">
        <v>50</v>
      </c>
      <c r="N406" s="1" t="str">
        <f ca="1">IFERROR(__xludf.DUMMYFUNCTION("""COMPUTED_VALUE"""),"Male")</f>
        <v>Male</v>
      </c>
      <c r="P406" s="1" t="str">
        <f ca="1">IFERROR(__xludf.DUMMYFUNCTION("""COMPUTED_VALUE"""),"Work &lt;=6 People in the Team")</f>
        <v>Work &lt;=6 People in the Team</v>
      </c>
      <c r="Q406" s="1" t="str">
        <f ca="1">IFERROR(__xludf.DUMMYFUNCTION("""COMPUTED_VALUE"""),"Male")</f>
        <v>Male</v>
      </c>
    </row>
    <row r="407" spans="13:17" x14ac:dyDescent="0.25">
      <c r="M407" s="4" t="s">
        <v>51</v>
      </c>
      <c r="N407" s="1" t="str">
        <f ca="1">IFERROR(__xludf.DUMMYFUNCTION("""COMPUTED_VALUE"""),"Male")</f>
        <v>Male</v>
      </c>
      <c r="P407" s="1" t="str">
        <f ca="1">IFERROR(__xludf.DUMMYFUNCTION("""COMPUTED_VALUE"""),"Work Alone, &lt;=6 in team")</f>
        <v>Work Alone, &lt;=6 in team</v>
      </c>
      <c r="Q407" s="1" t="str">
        <f ca="1">IFERROR(__xludf.DUMMYFUNCTION("""COMPUTED_VALUE"""),"Male")</f>
        <v>Male</v>
      </c>
    </row>
    <row r="408" spans="13:17" x14ac:dyDescent="0.25">
      <c r="M408" s="4" t="s">
        <v>50</v>
      </c>
      <c r="N408" s="1" t="str">
        <f ca="1">IFERROR(__xludf.DUMMYFUNCTION("""COMPUTED_VALUE"""),"Female")</f>
        <v>Female</v>
      </c>
      <c r="P408" s="1" t="str">
        <f ca="1">IFERROR(__xludf.DUMMYFUNCTION("""COMPUTED_VALUE"""),"Work &gt;10 people in Team")</f>
        <v>Work &gt;10 people in Team</v>
      </c>
      <c r="Q408" s="1" t="str">
        <f ca="1">IFERROR(__xludf.DUMMYFUNCTION("""COMPUTED_VALUE"""),"Female")</f>
        <v>Female</v>
      </c>
    </row>
    <row r="409" spans="13:17" x14ac:dyDescent="0.25">
      <c r="M409" s="4" t="s">
        <v>50</v>
      </c>
      <c r="N409" s="1" t="str">
        <f ca="1">IFERROR(__xludf.DUMMYFUNCTION("""COMPUTED_VALUE"""),"Male")</f>
        <v>Male</v>
      </c>
      <c r="P409" s="1" t="str">
        <f ca="1">IFERROR(__xludf.DUMMYFUNCTION("""COMPUTED_VALUE"""),"Work &gt;=7 People in the Team")</f>
        <v>Work &gt;=7 People in the Team</v>
      </c>
      <c r="Q409" s="1" t="str">
        <f ca="1">IFERROR(__xludf.DUMMYFUNCTION("""COMPUTED_VALUE"""),"Male")</f>
        <v>Male</v>
      </c>
    </row>
    <row r="410" spans="13:17" x14ac:dyDescent="0.25">
      <c r="M410" s="4" t="s">
        <v>50</v>
      </c>
      <c r="N410" s="1" t="str">
        <f ca="1">IFERROR(__xludf.DUMMYFUNCTION("""COMPUTED_VALUE"""),"Male")</f>
        <v>Male</v>
      </c>
      <c r="P410" s="1" t="str">
        <f ca="1">IFERROR(__xludf.DUMMYFUNCTION("""COMPUTED_VALUE"""),"Work &lt;=6 People in the Team")</f>
        <v>Work &lt;=6 People in the Team</v>
      </c>
      <c r="Q410" s="1" t="str">
        <f ca="1">IFERROR(__xludf.DUMMYFUNCTION("""COMPUTED_VALUE"""),"Male")</f>
        <v>Male</v>
      </c>
    </row>
    <row r="411" spans="13:17" x14ac:dyDescent="0.25">
      <c r="M411" s="4" t="s">
        <v>52</v>
      </c>
      <c r="N411" s="1" t="str">
        <f ca="1">IFERROR(__xludf.DUMMYFUNCTION("""COMPUTED_VALUE"""),"Female")</f>
        <v>Female</v>
      </c>
      <c r="P411" s="1" t="str">
        <f ca="1">IFERROR(__xludf.DUMMYFUNCTION("""COMPUTED_VALUE"""),"Work &lt;67 People in the Team")</f>
        <v>Work &lt;67 People in the Team</v>
      </c>
      <c r="Q411" s="1" t="str">
        <f ca="1">IFERROR(__xludf.DUMMYFUNCTION("""COMPUTED_VALUE"""),"Female")</f>
        <v>Female</v>
      </c>
    </row>
    <row r="412" spans="13:17" x14ac:dyDescent="0.25">
      <c r="M412" s="4" t="s">
        <v>48</v>
      </c>
      <c r="N412" s="1" t="str">
        <f ca="1">IFERROR(__xludf.DUMMYFUNCTION("""COMPUTED_VALUE"""),"Male")</f>
        <v>Male</v>
      </c>
      <c r="P412" s="1" t="str">
        <f ca="1">IFERROR(__xludf.DUMMYFUNCTION("""COMPUTED_VALUE"""),"Work Alone, &lt;=6 in team")</f>
        <v>Work Alone, &lt;=6 in team</v>
      </c>
      <c r="Q412" s="1" t="str">
        <f ca="1">IFERROR(__xludf.DUMMYFUNCTION("""COMPUTED_VALUE"""),"Male")</f>
        <v>Male</v>
      </c>
    </row>
    <row r="413" spans="13:17" x14ac:dyDescent="0.25">
      <c r="M413" s="4" t="s">
        <v>48</v>
      </c>
      <c r="N413" s="1" t="str">
        <f ca="1">IFERROR(__xludf.DUMMYFUNCTION("""COMPUTED_VALUE"""),"Male")</f>
        <v>Male</v>
      </c>
      <c r="P413" s="1" t="str">
        <f ca="1">IFERROR(__xludf.DUMMYFUNCTION("""COMPUTED_VALUE"""),"Work &gt;10 people in Team")</f>
        <v>Work &gt;10 people in Team</v>
      </c>
      <c r="Q413" s="1" t="str">
        <f ca="1">IFERROR(__xludf.DUMMYFUNCTION("""COMPUTED_VALUE"""),"Male")</f>
        <v>Male</v>
      </c>
    </row>
    <row r="414" spans="13:17" x14ac:dyDescent="0.25">
      <c r="M414" s="4" t="s">
        <v>29</v>
      </c>
      <c r="N414" s="1" t="str">
        <f ca="1">IFERROR(__xludf.DUMMYFUNCTION("""COMPUTED_VALUE"""),"Male")</f>
        <v>Male</v>
      </c>
      <c r="P414" s="1" t="str">
        <f ca="1">IFERROR(__xludf.DUMMYFUNCTION("""COMPUTED_VALUE"""),"Work &lt;=6 People in the Team")</f>
        <v>Work &lt;=6 People in the Team</v>
      </c>
      <c r="Q414" s="1" t="str">
        <f ca="1">IFERROR(__xludf.DUMMYFUNCTION("""COMPUTED_VALUE"""),"Male")</f>
        <v>Male</v>
      </c>
    </row>
    <row r="415" spans="13:17" x14ac:dyDescent="0.25">
      <c r="M415" s="4" t="s">
        <v>48</v>
      </c>
      <c r="N415" s="1" t="str">
        <f ca="1">IFERROR(__xludf.DUMMYFUNCTION("""COMPUTED_VALUE"""),"Male")</f>
        <v>Male</v>
      </c>
      <c r="P415" s="1" t="str">
        <f ca="1">IFERROR(__xludf.DUMMYFUNCTION("""COMPUTED_VALUE"""),"Work &lt;=6 People in the Team")</f>
        <v>Work &lt;=6 People in the Team</v>
      </c>
      <c r="Q415" s="1" t="str">
        <f ca="1">IFERROR(__xludf.DUMMYFUNCTION("""COMPUTED_VALUE"""),"Male")</f>
        <v>Male</v>
      </c>
    </row>
    <row r="416" spans="13:17" x14ac:dyDescent="0.25">
      <c r="M416" s="4" t="s">
        <v>48</v>
      </c>
      <c r="N416" s="1" t="str">
        <f ca="1">IFERROR(__xludf.DUMMYFUNCTION("""COMPUTED_VALUE"""),"Male")</f>
        <v>Male</v>
      </c>
      <c r="P416" s="1" t="str">
        <f ca="1">IFERROR(__xludf.DUMMYFUNCTION("""COMPUTED_VALUE"""),"Work &lt;=6 People in the Team")</f>
        <v>Work &lt;=6 People in the Team</v>
      </c>
      <c r="Q416" s="1" t="str">
        <f ca="1">IFERROR(__xludf.DUMMYFUNCTION("""COMPUTED_VALUE"""),"Male")</f>
        <v>Male</v>
      </c>
    </row>
    <row r="417" spans="13:17" x14ac:dyDescent="0.25">
      <c r="M417" s="4" t="s">
        <v>48</v>
      </c>
      <c r="N417" s="1" t="str">
        <f ca="1">IFERROR(__xludf.DUMMYFUNCTION("""COMPUTED_VALUE"""),"Male")</f>
        <v>Male</v>
      </c>
      <c r="P417" s="1" t="str">
        <f ca="1">IFERROR(__xludf.DUMMYFUNCTION("""COMPUTED_VALUE"""),"Work &gt;10 people in Team")</f>
        <v>Work &gt;10 people in Team</v>
      </c>
      <c r="Q417" s="1" t="str">
        <f ca="1">IFERROR(__xludf.DUMMYFUNCTION("""COMPUTED_VALUE"""),"Male")</f>
        <v>Male</v>
      </c>
    </row>
    <row r="418" spans="13:17" x14ac:dyDescent="0.25">
      <c r="M418" s="4" t="s">
        <v>52</v>
      </c>
      <c r="N418" s="1" t="str">
        <f ca="1">IFERROR(__xludf.DUMMYFUNCTION("""COMPUTED_VALUE"""),"Male")</f>
        <v>Male</v>
      </c>
      <c r="P418" s="1" t="str">
        <f ca="1">IFERROR(__xludf.DUMMYFUNCTION("""COMPUTED_VALUE"""),"Work &lt;=6 People in the Team")</f>
        <v>Work &lt;=6 People in the Team</v>
      </c>
      <c r="Q418" s="1" t="str">
        <f ca="1">IFERROR(__xludf.DUMMYFUNCTION("""COMPUTED_VALUE"""),"Male")</f>
        <v>Male</v>
      </c>
    </row>
    <row r="419" spans="13:17" x14ac:dyDescent="0.25">
      <c r="M419" s="4" t="s">
        <v>51</v>
      </c>
      <c r="N419" s="1" t="str">
        <f ca="1">IFERROR(__xludf.DUMMYFUNCTION("""COMPUTED_VALUE"""),"Male")</f>
        <v>Male</v>
      </c>
      <c r="P419" s="1" t="str">
        <f ca="1">IFERROR(__xludf.DUMMYFUNCTION("""COMPUTED_VALUE"""),"Work &gt;10 people in Team")</f>
        <v>Work &gt;10 people in Team</v>
      </c>
      <c r="Q419" s="1" t="str">
        <f ca="1">IFERROR(__xludf.DUMMYFUNCTION("""COMPUTED_VALUE"""),"Male")</f>
        <v>Male</v>
      </c>
    </row>
    <row r="420" spans="13:17" x14ac:dyDescent="0.25">
      <c r="M420" s="4" t="s">
        <v>51</v>
      </c>
      <c r="N420" s="1" t="str">
        <f ca="1">IFERROR(__xludf.DUMMYFUNCTION("""COMPUTED_VALUE"""),"Male")</f>
        <v>Male</v>
      </c>
      <c r="P420" s="1" t="str">
        <f ca="1">IFERROR(__xludf.DUMMYFUNCTION("""COMPUTED_VALUE"""),"Work &lt;=6 People in the Team")</f>
        <v>Work &lt;=6 People in the Team</v>
      </c>
      <c r="Q420" s="1" t="str">
        <f ca="1">IFERROR(__xludf.DUMMYFUNCTION("""COMPUTED_VALUE"""),"Male")</f>
        <v>Male</v>
      </c>
    </row>
    <row r="421" spans="13:17" x14ac:dyDescent="0.25">
      <c r="M421" s="4" t="s">
        <v>51</v>
      </c>
      <c r="N421" s="1" t="str">
        <f ca="1">IFERROR(__xludf.DUMMYFUNCTION("""COMPUTED_VALUE"""),"Male")</f>
        <v>Male</v>
      </c>
      <c r="P421" s="1" t="str">
        <f ca="1">IFERROR(__xludf.DUMMYFUNCTION("""COMPUTED_VALUE"""),"Work Alone, &lt;=6 in team")</f>
        <v>Work Alone, &lt;=6 in team</v>
      </c>
      <c r="Q421" s="1" t="str">
        <f ca="1">IFERROR(__xludf.DUMMYFUNCTION("""COMPUTED_VALUE"""),"Male")</f>
        <v>Male</v>
      </c>
    </row>
    <row r="422" spans="13:17" x14ac:dyDescent="0.25">
      <c r="M422" s="4" t="s">
        <v>55</v>
      </c>
      <c r="N422" s="1" t="str">
        <f ca="1">IFERROR(__xludf.DUMMYFUNCTION("""COMPUTED_VALUE"""),"Male")</f>
        <v>Male</v>
      </c>
      <c r="P422" s="1" t="str">
        <f ca="1">IFERROR(__xludf.DUMMYFUNCTION("""COMPUTED_VALUE"""),"Work &gt;=7 People in the Team")</f>
        <v>Work &gt;=7 People in the Team</v>
      </c>
      <c r="Q422" s="1" t="str">
        <f ca="1">IFERROR(__xludf.DUMMYFUNCTION("""COMPUTED_VALUE"""),"Male")</f>
        <v>Male</v>
      </c>
    </row>
    <row r="423" spans="13:17" x14ac:dyDescent="0.25">
      <c r="M423" s="4" t="s">
        <v>51</v>
      </c>
      <c r="N423" s="1" t="str">
        <f ca="1">IFERROR(__xludf.DUMMYFUNCTION("""COMPUTED_VALUE"""),"Male")</f>
        <v>Male</v>
      </c>
      <c r="P423" s="1" t="str">
        <f ca="1">IFERROR(__xludf.DUMMYFUNCTION("""COMPUTED_VALUE"""),"Work &lt;=6 People in the Team")</f>
        <v>Work &lt;=6 People in the Team</v>
      </c>
      <c r="Q423" s="1" t="str">
        <f ca="1">IFERROR(__xludf.DUMMYFUNCTION("""COMPUTED_VALUE"""),"Male")</f>
        <v>Male</v>
      </c>
    </row>
    <row r="424" spans="13:17" x14ac:dyDescent="0.25">
      <c r="M424" s="4" t="s">
        <v>48</v>
      </c>
      <c r="N424" s="1" t="str">
        <f ca="1">IFERROR(__xludf.DUMMYFUNCTION("""COMPUTED_VALUE"""),"Male")</f>
        <v>Male</v>
      </c>
      <c r="P424" s="1" t="str">
        <f ca="1">IFERROR(__xludf.DUMMYFUNCTION("""COMPUTED_VALUE"""),"Work alone")</f>
        <v>Work alone</v>
      </c>
      <c r="Q424" s="1" t="str">
        <f ca="1">IFERROR(__xludf.DUMMYFUNCTION("""COMPUTED_VALUE"""),"Male")</f>
        <v>Male</v>
      </c>
    </row>
    <row r="425" spans="13:17" x14ac:dyDescent="0.25">
      <c r="M425" s="4" t="s">
        <v>51</v>
      </c>
      <c r="N425" s="1" t="str">
        <f ca="1">IFERROR(__xludf.DUMMYFUNCTION("""COMPUTED_VALUE"""),"Male")</f>
        <v>Male</v>
      </c>
      <c r="P425" s="1" t="str">
        <f ca="1">IFERROR(__xludf.DUMMYFUNCTION("""COMPUTED_VALUE"""),"Work &lt;=6 People in the Team")</f>
        <v>Work &lt;=6 People in the Team</v>
      </c>
      <c r="Q425" s="1" t="str">
        <f ca="1">IFERROR(__xludf.DUMMYFUNCTION("""COMPUTED_VALUE"""),"Male")</f>
        <v>Male</v>
      </c>
    </row>
    <row r="426" spans="13:17" x14ac:dyDescent="0.25">
      <c r="M426" s="4" t="s">
        <v>52</v>
      </c>
      <c r="N426" s="1" t="str">
        <f ca="1">IFERROR(__xludf.DUMMYFUNCTION("""COMPUTED_VALUE"""),"Male")</f>
        <v>Male</v>
      </c>
      <c r="P426" s="1" t="str">
        <f ca="1">IFERROR(__xludf.DUMMYFUNCTION("""COMPUTED_VALUE"""),"Work &lt;=6 People in the Team")</f>
        <v>Work &lt;=6 People in the Team</v>
      </c>
      <c r="Q426" s="1" t="str">
        <f ca="1">IFERROR(__xludf.DUMMYFUNCTION("""COMPUTED_VALUE"""),"Male")</f>
        <v>Male</v>
      </c>
    </row>
    <row r="427" spans="13:17" x14ac:dyDescent="0.25">
      <c r="M427" s="4" t="s">
        <v>51</v>
      </c>
      <c r="N427" s="1" t="str">
        <f ca="1">IFERROR(__xludf.DUMMYFUNCTION("""COMPUTED_VALUE"""),"Male")</f>
        <v>Male</v>
      </c>
      <c r="P427" s="1" t="str">
        <f ca="1">IFERROR(__xludf.DUMMYFUNCTION("""COMPUTED_VALUE"""),"Work &lt;=6 People in the Team")</f>
        <v>Work &lt;=6 People in the Team</v>
      </c>
      <c r="Q427" s="1" t="str">
        <f ca="1">IFERROR(__xludf.DUMMYFUNCTION("""COMPUTED_VALUE"""),"Male")</f>
        <v>Male</v>
      </c>
    </row>
    <row r="428" spans="13:17" x14ac:dyDescent="0.25">
      <c r="M428" s="4" t="s">
        <v>50</v>
      </c>
      <c r="N428" s="1" t="str">
        <f ca="1">IFERROR(__xludf.DUMMYFUNCTION("""COMPUTED_VALUE"""),"Female")</f>
        <v>Female</v>
      </c>
      <c r="P428" s="1" t="str">
        <f ca="1">IFERROR(__xludf.DUMMYFUNCTION("""COMPUTED_VALUE"""),"Work &gt;=7 People in the Team")</f>
        <v>Work &gt;=7 People in the Team</v>
      </c>
      <c r="Q428" s="1" t="str">
        <f ca="1">IFERROR(__xludf.DUMMYFUNCTION("""COMPUTED_VALUE"""),"Female")</f>
        <v>Female</v>
      </c>
    </row>
    <row r="429" spans="13:17" x14ac:dyDescent="0.25">
      <c r="M429" s="4" t="s">
        <v>48</v>
      </c>
      <c r="N429" s="1" t="str">
        <f ca="1">IFERROR(__xludf.DUMMYFUNCTION("""COMPUTED_VALUE"""),"Female")</f>
        <v>Female</v>
      </c>
      <c r="P429" s="1" t="str">
        <f ca="1">IFERROR(__xludf.DUMMYFUNCTION("""COMPUTED_VALUE"""),"Work &lt;=6 People in the Team")</f>
        <v>Work &lt;=6 People in the Team</v>
      </c>
      <c r="Q429" s="1" t="str">
        <f ca="1">IFERROR(__xludf.DUMMYFUNCTION("""COMPUTED_VALUE"""),"Female")</f>
        <v>Female</v>
      </c>
    </row>
    <row r="430" spans="13:17" x14ac:dyDescent="0.25">
      <c r="M430" s="4" t="s">
        <v>55</v>
      </c>
      <c r="N430" s="1" t="str">
        <f ca="1">IFERROR(__xludf.DUMMYFUNCTION("""COMPUTED_VALUE"""),"Male")</f>
        <v>Male</v>
      </c>
      <c r="P430" s="1" t="str">
        <f ca="1">IFERROR(__xludf.DUMMYFUNCTION("""COMPUTED_VALUE"""),"Work &lt;=6 People in the Team")</f>
        <v>Work &lt;=6 People in the Team</v>
      </c>
      <c r="Q430" s="1" t="str">
        <f ca="1">IFERROR(__xludf.DUMMYFUNCTION("""COMPUTED_VALUE"""),"Male")</f>
        <v>Male</v>
      </c>
    </row>
    <row r="431" spans="13:17" x14ac:dyDescent="0.25">
      <c r="M431" s="4" t="s">
        <v>48</v>
      </c>
      <c r="N431" s="1" t="str">
        <f ca="1">IFERROR(__xludf.DUMMYFUNCTION("""COMPUTED_VALUE"""),"Male")</f>
        <v>Male</v>
      </c>
      <c r="P431" s="1" t="str">
        <f ca="1">IFERROR(__xludf.DUMMYFUNCTION("""COMPUTED_VALUE"""),"Work Alone, &lt;=6 in team")</f>
        <v>Work Alone, &lt;=6 in team</v>
      </c>
      <c r="Q431" s="1" t="str">
        <f ca="1">IFERROR(__xludf.DUMMYFUNCTION("""COMPUTED_VALUE"""),"Male")</f>
        <v>Male</v>
      </c>
    </row>
    <row r="432" spans="13:17" x14ac:dyDescent="0.25">
      <c r="M432" s="4" t="s">
        <v>55</v>
      </c>
      <c r="N432" s="1" t="str">
        <f ca="1">IFERROR(__xludf.DUMMYFUNCTION("""COMPUTED_VALUE"""),"Female")</f>
        <v>Female</v>
      </c>
      <c r="P432" s="1" t="str">
        <f ca="1">IFERROR(__xludf.DUMMYFUNCTION("""COMPUTED_VALUE"""),"Work &lt;=6 People in the Team")</f>
        <v>Work &lt;=6 People in the Team</v>
      </c>
      <c r="Q432" s="1" t="str">
        <f ca="1">IFERROR(__xludf.DUMMYFUNCTION("""COMPUTED_VALUE"""),"Female")</f>
        <v>Female</v>
      </c>
    </row>
    <row r="433" spans="13:17" x14ac:dyDescent="0.25">
      <c r="M433" s="4" t="s">
        <v>50</v>
      </c>
      <c r="N433" s="1" t="str">
        <f ca="1">IFERROR(__xludf.DUMMYFUNCTION("""COMPUTED_VALUE"""),"Female")</f>
        <v>Female</v>
      </c>
      <c r="P433" s="1" t="str">
        <f ca="1">IFERROR(__xludf.DUMMYFUNCTION("""COMPUTED_VALUE"""),"Work &lt;=6 People in the Team")</f>
        <v>Work &lt;=6 People in the Team</v>
      </c>
      <c r="Q433" s="1" t="str">
        <f ca="1">IFERROR(__xludf.DUMMYFUNCTION("""COMPUTED_VALUE"""),"Female")</f>
        <v>Female</v>
      </c>
    </row>
    <row r="434" spans="13:17" x14ac:dyDescent="0.25">
      <c r="M434" s="4" t="s">
        <v>48</v>
      </c>
      <c r="N434" s="1" t="str">
        <f ca="1">IFERROR(__xludf.DUMMYFUNCTION("""COMPUTED_VALUE"""),"Male")</f>
        <v>Male</v>
      </c>
      <c r="P434" s="1" t="str">
        <f ca="1">IFERROR(__xludf.DUMMYFUNCTION("""COMPUTED_VALUE"""),"Work &lt;=6 People in the Team")</f>
        <v>Work &lt;=6 People in the Team</v>
      </c>
      <c r="Q434" s="1" t="str">
        <f ca="1">IFERROR(__xludf.DUMMYFUNCTION("""COMPUTED_VALUE"""),"Male")</f>
        <v>Male</v>
      </c>
    </row>
    <row r="435" spans="13:17" x14ac:dyDescent="0.25">
      <c r="M435" s="4" t="s">
        <v>50</v>
      </c>
      <c r="N435" s="1" t="str">
        <f ca="1">IFERROR(__xludf.DUMMYFUNCTION("""COMPUTED_VALUE"""),"Male")</f>
        <v>Male</v>
      </c>
      <c r="P435" s="1" t="str">
        <f ca="1">IFERROR(__xludf.DUMMYFUNCTION("""COMPUTED_VALUE"""),"Work  &lt;67 people in team")</f>
        <v>Work  &lt;67 people in team</v>
      </c>
      <c r="Q435" s="1" t="str">
        <f ca="1">IFERROR(__xludf.DUMMYFUNCTION("""COMPUTED_VALUE"""),"Male")</f>
        <v>Male</v>
      </c>
    </row>
    <row r="436" spans="13:17" x14ac:dyDescent="0.25">
      <c r="M436" s="4" t="s">
        <v>48</v>
      </c>
      <c r="N436" s="1" t="str">
        <f ca="1">IFERROR(__xludf.DUMMYFUNCTION("""COMPUTED_VALUE"""),"Male")</f>
        <v>Male</v>
      </c>
      <c r="P436" s="1" t="str">
        <f ca="1">IFERROR(__xludf.DUMMYFUNCTION("""COMPUTED_VALUE"""),"Work &gt;10 people in Team")</f>
        <v>Work &gt;10 people in Team</v>
      </c>
      <c r="Q436" s="1" t="str">
        <f ca="1">IFERROR(__xludf.DUMMYFUNCTION("""COMPUTED_VALUE"""),"Male")</f>
        <v>Male</v>
      </c>
    </row>
    <row r="437" spans="13:17" x14ac:dyDescent="0.25">
      <c r="M437" s="4" t="s">
        <v>48</v>
      </c>
      <c r="N437" s="1" t="str">
        <f ca="1">IFERROR(__xludf.DUMMYFUNCTION("""COMPUTED_VALUE"""),"Female")</f>
        <v>Female</v>
      </c>
      <c r="P437" s="1" t="str">
        <f ca="1">IFERROR(__xludf.DUMMYFUNCTION("""COMPUTED_VALUE"""),"Work &lt;=6 People in the Team")</f>
        <v>Work &lt;=6 People in the Team</v>
      </c>
      <c r="Q437" s="1" t="str">
        <f ca="1">IFERROR(__xludf.DUMMYFUNCTION("""COMPUTED_VALUE"""),"Female")</f>
        <v>Female</v>
      </c>
    </row>
    <row r="438" spans="13:17" x14ac:dyDescent="0.25">
      <c r="M438" s="4" t="s">
        <v>50</v>
      </c>
      <c r="N438" s="1" t="str">
        <f ca="1">IFERROR(__xludf.DUMMYFUNCTION("""COMPUTED_VALUE"""),"Female")</f>
        <v>Female</v>
      </c>
      <c r="P438" s="1" t="str">
        <f ca="1">IFERROR(__xludf.DUMMYFUNCTION("""COMPUTED_VALUE"""),"Work &gt;10 people in Team")</f>
        <v>Work &gt;10 people in Team</v>
      </c>
      <c r="Q438" s="1" t="str">
        <f ca="1">IFERROR(__xludf.DUMMYFUNCTION("""COMPUTED_VALUE"""),"Female")</f>
        <v>Female</v>
      </c>
    </row>
    <row r="439" spans="13:17" x14ac:dyDescent="0.25">
      <c r="M439" s="4" t="s">
        <v>48</v>
      </c>
      <c r="N439" s="1" t="str">
        <f ca="1">IFERROR(__xludf.DUMMYFUNCTION("""COMPUTED_VALUE"""),"Female")</f>
        <v>Female</v>
      </c>
      <c r="P439" s="1" t="str">
        <f ca="1">IFERROR(__xludf.DUMMYFUNCTION("""COMPUTED_VALUE"""),"Work &lt;=6 People in the Team")</f>
        <v>Work &lt;=6 People in the Team</v>
      </c>
      <c r="Q439" s="1" t="str">
        <f ca="1">IFERROR(__xludf.DUMMYFUNCTION("""COMPUTED_VALUE"""),"Female")</f>
        <v>Female</v>
      </c>
    </row>
    <row r="440" spans="13:17" x14ac:dyDescent="0.25">
      <c r="M440" s="4" t="s">
        <v>48</v>
      </c>
      <c r="N440" s="1" t="str">
        <f ca="1">IFERROR(__xludf.DUMMYFUNCTION("""COMPUTED_VALUE"""),"Male")</f>
        <v>Male</v>
      </c>
      <c r="P440" s="1" t="str">
        <f ca="1">IFERROR(__xludf.DUMMYFUNCTION("""COMPUTED_VALUE"""),"Work &lt;=6 People in the Team")</f>
        <v>Work &lt;=6 People in the Team</v>
      </c>
      <c r="Q440" s="1" t="str">
        <f ca="1">IFERROR(__xludf.DUMMYFUNCTION("""COMPUTED_VALUE"""),"Male")</f>
        <v>Male</v>
      </c>
    </row>
    <row r="441" spans="13:17" x14ac:dyDescent="0.25">
      <c r="M441" s="4" t="s">
        <v>48</v>
      </c>
      <c r="N441" s="1" t="str">
        <f ca="1">IFERROR(__xludf.DUMMYFUNCTION("""COMPUTED_VALUE"""),"Male")</f>
        <v>Male</v>
      </c>
      <c r="P441" s="1" t="str">
        <f ca="1">IFERROR(__xludf.DUMMYFUNCTION("""COMPUTED_VALUE"""),"Work &lt;=6 People in the Team")</f>
        <v>Work &lt;=6 People in the Team</v>
      </c>
      <c r="Q441" s="1" t="str">
        <f ca="1">IFERROR(__xludf.DUMMYFUNCTION("""COMPUTED_VALUE"""),"Male")</f>
        <v>Male</v>
      </c>
    </row>
    <row r="442" spans="13:17" x14ac:dyDescent="0.25">
      <c r="M442" s="4" t="s">
        <v>57</v>
      </c>
      <c r="N442" s="1" t="str">
        <f ca="1">IFERROR(__xludf.DUMMYFUNCTION("""COMPUTED_VALUE"""),"Male")</f>
        <v>Male</v>
      </c>
      <c r="P442" s="1" t="str">
        <f ca="1">IFERROR(__xludf.DUMMYFUNCTION("""COMPUTED_VALUE"""),"Work &lt;67 People in the Team")</f>
        <v>Work &lt;67 People in the Team</v>
      </c>
      <c r="Q442" s="1" t="str">
        <f ca="1">IFERROR(__xludf.DUMMYFUNCTION("""COMPUTED_VALUE"""),"Male")</f>
        <v>Male</v>
      </c>
    </row>
    <row r="443" spans="13:17" x14ac:dyDescent="0.25">
      <c r="M443" s="4" t="s">
        <v>51</v>
      </c>
      <c r="N443" s="1" t="str">
        <f ca="1">IFERROR(__xludf.DUMMYFUNCTION("""COMPUTED_VALUE"""),"Female")</f>
        <v>Female</v>
      </c>
      <c r="P443" s="1" t="str">
        <f ca="1">IFERROR(__xludf.DUMMYFUNCTION("""COMPUTED_VALUE"""),"Work alone")</f>
        <v>Work alone</v>
      </c>
      <c r="Q443" s="1" t="str">
        <f ca="1">IFERROR(__xludf.DUMMYFUNCTION("""COMPUTED_VALUE"""),"Female")</f>
        <v>Female</v>
      </c>
    </row>
    <row r="444" spans="13:17" x14ac:dyDescent="0.25">
      <c r="M444" s="4" t="s">
        <v>57</v>
      </c>
      <c r="N444" s="1" t="str">
        <f ca="1">IFERROR(__xludf.DUMMYFUNCTION("""COMPUTED_VALUE"""),"Female")</f>
        <v>Female</v>
      </c>
      <c r="P444" s="1" t="str">
        <f ca="1">IFERROR(__xludf.DUMMYFUNCTION("""COMPUTED_VALUE"""),"Work &lt;=6 People in the Team")</f>
        <v>Work &lt;=6 People in the Team</v>
      </c>
      <c r="Q444" s="1" t="str">
        <f ca="1">IFERROR(__xludf.DUMMYFUNCTION("""COMPUTED_VALUE"""),"Female")</f>
        <v>Female</v>
      </c>
    </row>
    <row r="445" spans="13:17" x14ac:dyDescent="0.25">
      <c r="M445" s="4" t="s">
        <v>51</v>
      </c>
      <c r="N445" s="1" t="str">
        <f ca="1">IFERROR(__xludf.DUMMYFUNCTION("""COMPUTED_VALUE"""),"Female")</f>
        <v>Female</v>
      </c>
      <c r="P445" s="1" t="str">
        <f ca="1">IFERROR(__xludf.DUMMYFUNCTION("""COMPUTED_VALUE"""),"Work &lt;=6 People in the Team")</f>
        <v>Work &lt;=6 People in the Team</v>
      </c>
      <c r="Q445" s="1" t="str">
        <f ca="1">IFERROR(__xludf.DUMMYFUNCTION("""COMPUTED_VALUE"""),"Female")</f>
        <v>Female</v>
      </c>
    </row>
    <row r="446" spans="13:17" x14ac:dyDescent="0.25">
      <c r="M446" s="4" t="s">
        <v>57</v>
      </c>
      <c r="N446" s="1" t="str">
        <f ca="1">IFERROR(__xludf.DUMMYFUNCTION("""COMPUTED_VALUE"""),"Male")</f>
        <v>Male</v>
      </c>
      <c r="P446" s="1" t="str">
        <f ca="1">IFERROR(__xludf.DUMMYFUNCTION("""COMPUTED_VALUE"""),"Work &lt;=6 People in the Team")</f>
        <v>Work &lt;=6 People in the Team</v>
      </c>
      <c r="Q446" s="1" t="str">
        <f ca="1">IFERROR(__xludf.DUMMYFUNCTION("""COMPUTED_VALUE"""),"Male")</f>
        <v>Male</v>
      </c>
    </row>
    <row r="447" spans="13:17" x14ac:dyDescent="0.25">
      <c r="M447" s="4" t="s">
        <v>48</v>
      </c>
      <c r="N447" s="1" t="str">
        <f ca="1">IFERROR(__xludf.DUMMYFUNCTION("""COMPUTED_VALUE"""),"Male")</f>
        <v>Male</v>
      </c>
      <c r="P447" s="1" t="str">
        <f ca="1">IFERROR(__xludf.DUMMYFUNCTION("""COMPUTED_VALUE"""),"Work &gt;10 people in Team")</f>
        <v>Work &gt;10 people in Team</v>
      </c>
      <c r="Q447" s="1" t="str">
        <f ca="1">IFERROR(__xludf.DUMMYFUNCTION("""COMPUTED_VALUE"""),"Male")</f>
        <v>Male</v>
      </c>
    </row>
    <row r="448" spans="13:17" x14ac:dyDescent="0.25">
      <c r="M448" s="4" t="s">
        <v>59</v>
      </c>
      <c r="N448" s="1" t="str">
        <f ca="1">IFERROR(__xludf.DUMMYFUNCTION("""COMPUTED_VALUE"""),"Male")</f>
        <v>Male</v>
      </c>
      <c r="P448" s="1" t="str">
        <f ca="1">IFERROR(__xludf.DUMMYFUNCTION("""COMPUTED_VALUE"""),"Work &lt;=6 People in the Team")</f>
        <v>Work &lt;=6 People in the Team</v>
      </c>
      <c r="Q448" s="1" t="str">
        <f ca="1">IFERROR(__xludf.DUMMYFUNCTION("""COMPUTED_VALUE"""),"Male")</f>
        <v>Male</v>
      </c>
    </row>
    <row r="449" spans="13:17" x14ac:dyDescent="0.25">
      <c r="M449" s="4" t="s">
        <v>48</v>
      </c>
      <c r="N449" s="1" t="str">
        <f ca="1">IFERROR(__xludf.DUMMYFUNCTION("""COMPUTED_VALUE"""),"Male")</f>
        <v>Male</v>
      </c>
      <c r="P449" s="1" t="str">
        <f ca="1">IFERROR(__xludf.DUMMYFUNCTION("""COMPUTED_VALUE"""),"Work &lt;=6 People in the Team")</f>
        <v>Work &lt;=6 People in the Team</v>
      </c>
      <c r="Q449" s="1" t="str">
        <f ca="1">IFERROR(__xludf.DUMMYFUNCTION("""COMPUTED_VALUE"""),"Male")</f>
        <v>Male</v>
      </c>
    </row>
    <row r="450" spans="13:17" x14ac:dyDescent="0.25">
      <c r="M450" s="4" t="s">
        <v>51</v>
      </c>
      <c r="N450" s="1" t="str">
        <f ca="1">IFERROR(__xludf.DUMMYFUNCTION("""COMPUTED_VALUE"""),"Female")</f>
        <v>Female</v>
      </c>
      <c r="P450" s="1" t="str">
        <f ca="1">IFERROR(__xludf.DUMMYFUNCTION("""COMPUTED_VALUE"""),"Work &lt;=6 People in the Team")</f>
        <v>Work &lt;=6 People in the Team</v>
      </c>
      <c r="Q450" s="1" t="str">
        <f ca="1">IFERROR(__xludf.DUMMYFUNCTION("""COMPUTED_VALUE"""),"Female")</f>
        <v>Female</v>
      </c>
    </row>
    <row r="451" spans="13:17" x14ac:dyDescent="0.25">
      <c r="M451" s="4" t="s">
        <v>51</v>
      </c>
      <c r="N451" s="1" t="str">
        <f ca="1">IFERROR(__xludf.DUMMYFUNCTION("""COMPUTED_VALUE"""),"Female")</f>
        <v>Female</v>
      </c>
      <c r="P451" s="1" t="str">
        <f ca="1">IFERROR(__xludf.DUMMYFUNCTION("""COMPUTED_VALUE"""),"Work &lt;=6 People in the Team")</f>
        <v>Work &lt;=6 People in the Team</v>
      </c>
      <c r="Q451" s="1" t="str">
        <f ca="1">IFERROR(__xludf.DUMMYFUNCTION("""COMPUTED_VALUE"""),"Female")</f>
        <v>Female</v>
      </c>
    </row>
    <row r="452" spans="13:17" x14ac:dyDescent="0.25">
      <c r="M452" s="4" t="s">
        <v>50</v>
      </c>
      <c r="N452" s="1" t="str">
        <f ca="1">IFERROR(__xludf.DUMMYFUNCTION("""COMPUTED_VALUE"""),"Female")</f>
        <v>Female</v>
      </c>
      <c r="P452" s="1" t="str">
        <f ca="1">IFERROR(__xludf.DUMMYFUNCTION("""COMPUTED_VALUE"""),"Work  &lt;67 people in team")</f>
        <v>Work  &lt;67 people in team</v>
      </c>
      <c r="Q452" s="1" t="str">
        <f ca="1">IFERROR(__xludf.DUMMYFUNCTION("""COMPUTED_VALUE"""),"Female")</f>
        <v>Female</v>
      </c>
    </row>
    <row r="453" spans="13:17" x14ac:dyDescent="0.25">
      <c r="M453" s="4" t="s">
        <v>48</v>
      </c>
      <c r="N453" s="1" t="str">
        <f ca="1">IFERROR(__xludf.DUMMYFUNCTION("""COMPUTED_VALUE"""),"Male")</f>
        <v>Male</v>
      </c>
      <c r="P453" s="1" t="str">
        <f ca="1">IFERROR(__xludf.DUMMYFUNCTION("""COMPUTED_VALUE"""),"Work &lt;=6 People in the Team")</f>
        <v>Work &lt;=6 People in the Team</v>
      </c>
      <c r="Q453" s="1" t="str">
        <f ca="1">IFERROR(__xludf.DUMMYFUNCTION("""COMPUTED_VALUE"""),"Male")</f>
        <v>Male</v>
      </c>
    </row>
    <row r="454" spans="13:17" x14ac:dyDescent="0.25">
      <c r="M454" s="4" t="s">
        <v>48</v>
      </c>
      <c r="N454" s="1" t="str">
        <f ca="1">IFERROR(__xludf.DUMMYFUNCTION("""COMPUTED_VALUE"""),"Female")</f>
        <v>Female</v>
      </c>
      <c r="P454" s="1" t="str">
        <f ca="1">IFERROR(__xludf.DUMMYFUNCTION("""COMPUTED_VALUE"""),"Work &lt;=6 People in the Team")</f>
        <v>Work &lt;=6 People in the Team</v>
      </c>
      <c r="Q454" s="1" t="str">
        <f ca="1">IFERROR(__xludf.DUMMYFUNCTION("""COMPUTED_VALUE"""),"Female")</f>
        <v>Female</v>
      </c>
    </row>
    <row r="455" spans="13:17" x14ac:dyDescent="0.25">
      <c r="M455" s="4" t="s">
        <v>48</v>
      </c>
      <c r="N455" s="1" t="str">
        <f ca="1">IFERROR(__xludf.DUMMYFUNCTION("""COMPUTED_VALUE"""),"Male")</f>
        <v>Male</v>
      </c>
      <c r="P455" s="1" t="str">
        <f ca="1">IFERROR(__xludf.DUMMYFUNCTION("""COMPUTED_VALUE"""),"Work &gt;10 people in Team")</f>
        <v>Work &gt;10 people in Team</v>
      </c>
      <c r="Q455" s="1" t="str">
        <f ca="1">IFERROR(__xludf.DUMMYFUNCTION("""COMPUTED_VALUE"""),"Male")</f>
        <v>Male</v>
      </c>
    </row>
    <row r="456" spans="13:17" x14ac:dyDescent="0.25">
      <c r="M456" s="4" t="s">
        <v>48</v>
      </c>
      <c r="N456" s="1" t="str">
        <f ca="1">IFERROR(__xludf.DUMMYFUNCTION("""COMPUTED_VALUE"""),"Female")</f>
        <v>Female</v>
      </c>
      <c r="P456" s="1" t="str">
        <f ca="1">IFERROR(__xludf.DUMMYFUNCTION("""COMPUTED_VALUE"""),"Work &lt;=6 People in the Team")</f>
        <v>Work &lt;=6 People in the Team</v>
      </c>
      <c r="Q456" s="1" t="str">
        <f ca="1">IFERROR(__xludf.DUMMYFUNCTION("""COMPUTED_VALUE"""),"Female")</f>
        <v>Female</v>
      </c>
    </row>
    <row r="457" spans="13:17" x14ac:dyDescent="0.25">
      <c r="M457" s="4" t="s">
        <v>49</v>
      </c>
      <c r="N457" s="1" t="str">
        <f ca="1">IFERROR(__xludf.DUMMYFUNCTION("""COMPUTED_VALUE"""),"Male")</f>
        <v>Male</v>
      </c>
      <c r="P457" s="1" t="str">
        <f ca="1">IFERROR(__xludf.DUMMYFUNCTION("""COMPUTED_VALUE"""),"Work &gt;10 people in Team")</f>
        <v>Work &gt;10 people in Team</v>
      </c>
      <c r="Q457" s="1" t="str">
        <f ca="1">IFERROR(__xludf.DUMMYFUNCTION("""COMPUTED_VALUE"""),"Male")</f>
        <v>Male</v>
      </c>
    </row>
    <row r="458" spans="13:17" x14ac:dyDescent="0.25">
      <c r="M458" s="4" t="s">
        <v>48</v>
      </c>
      <c r="N458" s="1" t="str">
        <f ca="1">IFERROR(__xludf.DUMMYFUNCTION("""COMPUTED_VALUE"""),"Male")</f>
        <v>Male</v>
      </c>
      <c r="P458" s="1" t="str">
        <f ca="1">IFERROR(__xludf.DUMMYFUNCTION("""COMPUTED_VALUE"""),"Work &lt;67 People in the Team")</f>
        <v>Work &lt;67 People in the Team</v>
      </c>
      <c r="Q458" s="1" t="str">
        <f ca="1">IFERROR(__xludf.DUMMYFUNCTION("""COMPUTED_VALUE"""),"Male")</f>
        <v>Male</v>
      </c>
    </row>
    <row r="459" spans="13:17" x14ac:dyDescent="0.25">
      <c r="M459" s="4" t="s">
        <v>49</v>
      </c>
      <c r="N459" s="1" t="str">
        <f ca="1">IFERROR(__xludf.DUMMYFUNCTION("""COMPUTED_VALUE"""),"Male")</f>
        <v>Male</v>
      </c>
      <c r="P459" s="1" t="str">
        <f ca="1">IFERROR(__xludf.DUMMYFUNCTION("""COMPUTED_VALUE"""),"Work &lt;=6 People in the Team")</f>
        <v>Work &lt;=6 People in the Team</v>
      </c>
      <c r="Q459" s="1" t="str">
        <f ca="1">IFERROR(__xludf.DUMMYFUNCTION("""COMPUTED_VALUE"""),"Male")</f>
        <v>Male</v>
      </c>
    </row>
    <row r="460" spans="13:17" x14ac:dyDescent="0.25">
      <c r="M460" s="4" t="s">
        <v>53</v>
      </c>
      <c r="N460" s="1" t="str">
        <f ca="1">IFERROR(__xludf.DUMMYFUNCTION("""COMPUTED_VALUE"""),"Female")</f>
        <v>Female</v>
      </c>
      <c r="P460" s="1" t="str">
        <f ca="1">IFERROR(__xludf.DUMMYFUNCTION("""COMPUTED_VALUE"""),"Work &gt;=7 People in the Team")</f>
        <v>Work &gt;=7 People in the Team</v>
      </c>
      <c r="Q460" s="1" t="str">
        <f ca="1">IFERROR(__xludf.DUMMYFUNCTION("""COMPUTED_VALUE"""),"Female")</f>
        <v>Female</v>
      </c>
    </row>
    <row r="461" spans="13:17" x14ac:dyDescent="0.25">
      <c r="M461" s="4" t="s">
        <v>49</v>
      </c>
      <c r="N461" s="1" t="str">
        <f ca="1">IFERROR(__xludf.DUMMYFUNCTION("""COMPUTED_VALUE"""),"Female")</f>
        <v>Female</v>
      </c>
      <c r="P461" s="1" t="str">
        <f ca="1">IFERROR(__xludf.DUMMYFUNCTION("""COMPUTED_VALUE"""),"Work Alone, &lt;=6 in team")</f>
        <v>Work Alone, &lt;=6 in team</v>
      </c>
      <c r="Q461" s="1" t="str">
        <f ca="1">IFERROR(__xludf.DUMMYFUNCTION("""COMPUTED_VALUE"""),"Female")</f>
        <v>Female</v>
      </c>
    </row>
    <row r="462" spans="13:17" x14ac:dyDescent="0.25">
      <c r="M462" s="4" t="s">
        <v>49</v>
      </c>
      <c r="N462" s="1" t="str">
        <f ca="1">IFERROR(__xludf.DUMMYFUNCTION("""COMPUTED_VALUE"""),"Male")</f>
        <v>Male</v>
      </c>
      <c r="P462" s="1" t="str">
        <f ca="1">IFERROR(__xludf.DUMMYFUNCTION("""COMPUTED_VALUE"""),"Work &lt;=6 People in the Team")</f>
        <v>Work &lt;=6 People in the Team</v>
      </c>
      <c r="Q462" s="1" t="str">
        <f ca="1">IFERROR(__xludf.DUMMYFUNCTION("""COMPUTED_VALUE"""),"Male")</f>
        <v>Male</v>
      </c>
    </row>
    <row r="463" spans="13:17" x14ac:dyDescent="0.25">
      <c r="M463" s="4" t="s">
        <v>49</v>
      </c>
      <c r="N463" s="1" t="str">
        <f ca="1">IFERROR(__xludf.DUMMYFUNCTION("""COMPUTED_VALUE"""),"Male")</f>
        <v>Male</v>
      </c>
      <c r="P463" s="1" t="str">
        <f ca="1">IFERROR(__xludf.DUMMYFUNCTION("""COMPUTED_VALUE"""),"Work &gt;10 people in Team")</f>
        <v>Work &gt;10 people in Team</v>
      </c>
      <c r="Q463" s="1" t="str">
        <f ca="1">IFERROR(__xludf.DUMMYFUNCTION("""COMPUTED_VALUE"""),"Male")</f>
        <v>Male</v>
      </c>
    </row>
    <row r="464" spans="13:17" x14ac:dyDescent="0.25">
      <c r="M464" s="4" t="s">
        <v>48</v>
      </c>
      <c r="N464" s="1" t="str">
        <f ca="1">IFERROR(__xludf.DUMMYFUNCTION("""COMPUTED_VALUE"""),"Male")</f>
        <v>Male</v>
      </c>
      <c r="P464" s="1" t="str">
        <f ca="1">IFERROR(__xludf.DUMMYFUNCTION("""COMPUTED_VALUE"""),"Work alone")</f>
        <v>Work alone</v>
      </c>
      <c r="Q464" s="1" t="str">
        <f ca="1">IFERROR(__xludf.DUMMYFUNCTION("""COMPUTED_VALUE"""),"Male")</f>
        <v>Male</v>
      </c>
    </row>
    <row r="465" spans="13:17" x14ac:dyDescent="0.25">
      <c r="M465" s="4" t="s">
        <v>53</v>
      </c>
      <c r="N465" s="1" t="str">
        <f ca="1">IFERROR(__xludf.DUMMYFUNCTION("""COMPUTED_VALUE"""),"Male")</f>
        <v>Male</v>
      </c>
      <c r="P465" s="1" t="str">
        <f ca="1">IFERROR(__xludf.DUMMYFUNCTION("""COMPUTED_VALUE"""),"Work &lt;=6 People in the Team")</f>
        <v>Work &lt;=6 People in the Team</v>
      </c>
      <c r="Q465" s="1" t="str">
        <f ca="1">IFERROR(__xludf.DUMMYFUNCTION("""COMPUTED_VALUE"""),"Male")</f>
        <v>Male</v>
      </c>
    </row>
    <row r="466" spans="13:17" x14ac:dyDescent="0.25">
      <c r="M466" s="4" t="s">
        <v>48</v>
      </c>
      <c r="N466" s="1" t="str">
        <f ca="1">IFERROR(__xludf.DUMMYFUNCTION("""COMPUTED_VALUE"""),"Female")</f>
        <v>Female</v>
      </c>
      <c r="P466" s="1" t="str">
        <f ca="1">IFERROR(__xludf.DUMMYFUNCTION("""COMPUTED_VALUE"""),"Work &lt;=6 People in the Team")</f>
        <v>Work &lt;=6 People in the Team</v>
      </c>
      <c r="Q466" s="1" t="str">
        <f ca="1">IFERROR(__xludf.DUMMYFUNCTION("""COMPUTED_VALUE"""),"Female")</f>
        <v>Female</v>
      </c>
    </row>
    <row r="467" spans="13:17" x14ac:dyDescent="0.25">
      <c r="M467" s="4" t="s">
        <v>48</v>
      </c>
      <c r="N467" s="1" t="str">
        <f ca="1">IFERROR(__xludf.DUMMYFUNCTION("""COMPUTED_VALUE"""),"Female")</f>
        <v>Female</v>
      </c>
      <c r="P467" s="1" t="str">
        <f ca="1">IFERROR(__xludf.DUMMYFUNCTION("""COMPUTED_VALUE"""),"Work &gt;=7 People in the Team")</f>
        <v>Work &gt;=7 People in the Team</v>
      </c>
      <c r="Q467" s="1" t="str">
        <f ca="1">IFERROR(__xludf.DUMMYFUNCTION("""COMPUTED_VALUE"""),"Female")</f>
        <v>Female</v>
      </c>
    </row>
    <row r="468" spans="13:17" x14ac:dyDescent="0.25">
      <c r="M468" s="4" t="s">
        <v>48</v>
      </c>
      <c r="N468" s="1" t="str">
        <f ca="1">IFERROR(__xludf.DUMMYFUNCTION("""COMPUTED_VALUE"""),"Female")</f>
        <v>Female</v>
      </c>
      <c r="P468" s="1" t="str">
        <f ca="1">IFERROR(__xludf.DUMMYFUNCTION("""COMPUTED_VALUE"""),"Work Alone, &lt;67 people in team")</f>
        <v>Work Alone, &lt;67 people in team</v>
      </c>
      <c r="Q468" s="1" t="str">
        <f ca="1">IFERROR(__xludf.DUMMYFUNCTION("""COMPUTED_VALUE"""),"Female")</f>
        <v>Female</v>
      </c>
    </row>
    <row r="469" spans="13:17" x14ac:dyDescent="0.25">
      <c r="M469" s="4" t="s">
        <v>49</v>
      </c>
      <c r="N469" s="1" t="str">
        <f ca="1">IFERROR(__xludf.DUMMYFUNCTION("""COMPUTED_VALUE"""),"Female")</f>
        <v>Female</v>
      </c>
      <c r="P469" s="1" t="str">
        <f ca="1">IFERROR(__xludf.DUMMYFUNCTION("""COMPUTED_VALUE"""),"Work &lt;=6 People in the Team")</f>
        <v>Work &lt;=6 People in the Team</v>
      </c>
      <c r="Q469" s="1" t="str">
        <f ca="1">IFERROR(__xludf.DUMMYFUNCTION("""COMPUTED_VALUE"""),"Female")</f>
        <v>Female</v>
      </c>
    </row>
    <row r="470" spans="13:17" x14ac:dyDescent="0.25">
      <c r="M470" s="4" t="s">
        <v>49</v>
      </c>
      <c r="N470" s="1" t="str">
        <f ca="1">IFERROR(__xludf.DUMMYFUNCTION("""COMPUTED_VALUE"""),"Female")</f>
        <v>Female</v>
      </c>
      <c r="P470" s="1" t="str">
        <f ca="1">IFERROR(__xludf.DUMMYFUNCTION("""COMPUTED_VALUE"""),"Work &lt;=6 People in the Team")</f>
        <v>Work &lt;=6 People in the Team</v>
      </c>
      <c r="Q470" s="1" t="str">
        <f ca="1">IFERROR(__xludf.DUMMYFUNCTION("""COMPUTED_VALUE"""),"Female")</f>
        <v>Female</v>
      </c>
    </row>
    <row r="471" spans="13:17" x14ac:dyDescent="0.25">
      <c r="M471" s="4" t="s">
        <v>48</v>
      </c>
      <c r="N471" s="1" t="str">
        <f ca="1">IFERROR(__xludf.DUMMYFUNCTION("""COMPUTED_VALUE"""),"Female")</f>
        <v>Female</v>
      </c>
      <c r="P471" s="1" t="str">
        <f ca="1">IFERROR(__xludf.DUMMYFUNCTION("""COMPUTED_VALUE"""),"Work &lt;=6 People in the Team")</f>
        <v>Work &lt;=6 People in the Team</v>
      </c>
      <c r="Q471" s="1" t="str">
        <f ca="1">IFERROR(__xludf.DUMMYFUNCTION("""COMPUTED_VALUE"""),"Female")</f>
        <v>Female</v>
      </c>
    </row>
    <row r="472" spans="13:17" x14ac:dyDescent="0.25">
      <c r="M472" s="4" t="s">
        <v>48</v>
      </c>
      <c r="N472" s="1" t="str">
        <f ca="1">IFERROR(__xludf.DUMMYFUNCTION("""COMPUTED_VALUE"""),"Male")</f>
        <v>Male</v>
      </c>
      <c r="P472" s="1" t="str">
        <f ca="1">IFERROR(__xludf.DUMMYFUNCTION("""COMPUTED_VALUE"""),"Work Alone, &lt;=6 in team")</f>
        <v>Work Alone, &lt;=6 in team</v>
      </c>
      <c r="Q472" s="1" t="str">
        <f ca="1">IFERROR(__xludf.DUMMYFUNCTION("""COMPUTED_VALUE"""),"Male")</f>
        <v>Male</v>
      </c>
    </row>
    <row r="473" spans="13:17" x14ac:dyDescent="0.25">
      <c r="M473" s="4" t="s">
        <v>48</v>
      </c>
      <c r="N473" s="1" t="str">
        <f ca="1">IFERROR(__xludf.DUMMYFUNCTION("""COMPUTED_VALUE"""),"Female")</f>
        <v>Female</v>
      </c>
      <c r="P473" s="1" t="str">
        <f ca="1">IFERROR(__xludf.DUMMYFUNCTION("""COMPUTED_VALUE"""),"Work &lt;=6 People in the Team")</f>
        <v>Work &lt;=6 People in the Team</v>
      </c>
      <c r="Q473" s="1" t="str">
        <f ca="1">IFERROR(__xludf.DUMMYFUNCTION("""COMPUTED_VALUE"""),"Female")</f>
        <v>Female</v>
      </c>
    </row>
    <row r="474" spans="13:17" x14ac:dyDescent="0.25">
      <c r="M474" s="4" t="s">
        <v>49</v>
      </c>
      <c r="N474" s="1" t="str">
        <f ca="1">IFERROR(__xludf.DUMMYFUNCTION("""COMPUTED_VALUE"""),"Male")</f>
        <v>Male</v>
      </c>
      <c r="P474" s="1" t="str">
        <f ca="1">IFERROR(__xludf.DUMMYFUNCTION("""COMPUTED_VALUE"""),"Work &gt;=7 People in the Team")</f>
        <v>Work &gt;=7 People in the Team</v>
      </c>
      <c r="Q474" s="1" t="str">
        <f ca="1">IFERROR(__xludf.DUMMYFUNCTION("""COMPUTED_VALUE"""),"Male")</f>
        <v>Male</v>
      </c>
    </row>
    <row r="475" spans="13:17" x14ac:dyDescent="0.25">
      <c r="M475" s="4" t="s">
        <v>48</v>
      </c>
      <c r="N475" s="1" t="str">
        <f ca="1">IFERROR(__xludf.DUMMYFUNCTION("""COMPUTED_VALUE"""),"Female")</f>
        <v>Female</v>
      </c>
      <c r="P475" s="1" t="str">
        <f ca="1">IFERROR(__xludf.DUMMYFUNCTION("""COMPUTED_VALUE"""),"Work &lt;=6 People in the Team")</f>
        <v>Work &lt;=6 People in the Team</v>
      </c>
      <c r="Q475" s="1" t="str">
        <f ca="1">IFERROR(__xludf.DUMMYFUNCTION("""COMPUTED_VALUE"""),"Female")</f>
        <v>Female</v>
      </c>
    </row>
    <row r="476" spans="13:17" x14ac:dyDescent="0.25">
      <c r="M476" s="4" t="s">
        <v>49</v>
      </c>
      <c r="N476" s="1" t="str">
        <f ca="1">IFERROR(__xludf.DUMMYFUNCTION("""COMPUTED_VALUE"""),"Female")</f>
        <v>Female</v>
      </c>
      <c r="P476" s="1" t="str">
        <f ca="1">IFERROR(__xludf.DUMMYFUNCTION("""COMPUTED_VALUE"""),"Work &lt;=6 People in the Team")</f>
        <v>Work &lt;=6 People in the Team</v>
      </c>
      <c r="Q476" s="1" t="str">
        <f ca="1">IFERROR(__xludf.DUMMYFUNCTION("""COMPUTED_VALUE"""),"Female")</f>
        <v>Female</v>
      </c>
    </row>
    <row r="477" spans="13:17" x14ac:dyDescent="0.25">
      <c r="M477" s="4" t="s">
        <v>48</v>
      </c>
      <c r="N477" s="1" t="str">
        <f ca="1">IFERROR(__xludf.DUMMYFUNCTION("""COMPUTED_VALUE"""),"Male")</f>
        <v>Male</v>
      </c>
      <c r="P477" s="1" t="str">
        <f ca="1">IFERROR(__xludf.DUMMYFUNCTION("""COMPUTED_VALUE"""),"Work &lt;=6 People in the Team")</f>
        <v>Work &lt;=6 People in the Team</v>
      </c>
      <c r="Q477" s="1" t="str">
        <f ca="1">IFERROR(__xludf.DUMMYFUNCTION("""COMPUTED_VALUE"""),"Male")</f>
        <v>Male</v>
      </c>
    </row>
    <row r="478" spans="13:17" x14ac:dyDescent="0.25">
      <c r="M478" s="4" t="s">
        <v>49</v>
      </c>
      <c r="N478" s="1" t="str">
        <f ca="1">IFERROR(__xludf.DUMMYFUNCTION("""COMPUTED_VALUE"""),"Male")</f>
        <v>Male</v>
      </c>
      <c r="P478" s="1" t="str">
        <f ca="1">IFERROR(__xludf.DUMMYFUNCTION("""COMPUTED_VALUE"""),"Work &lt;=6 People in the Team")</f>
        <v>Work &lt;=6 People in the Team</v>
      </c>
      <c r="Q478" s="1" t="str">
        <f ca="1">IFERROR(__xludf.DUMMYFUNCTION("""COMPUTED_VALUE"""),"Male")</f>
        <v>Male</v>
      </c>
    </row>
    <row r="479" spans="13:17" x14ac:dyDescent="0.25">
      <c r="M479" s="4" t="s">
        <v>49</v>
      </c>
      <c r="N479" s="1" t="str">
        <f ca="1">IFERROR(__xludf.DUMMYFUNCTION("""COMPUTED_VALUE"""),"Male")</f>
        <v>Male</v>
      </c>
      <c r="P479" s="1" t="str">
        <f ca="1">IFERROR(__xludf.DUMMYFUNCTION("""COMPUTED_VALUE"""),"Work Alone, &lt;=6 in team")</f>
        <v>Work Alone, &lt;=6 in team</v>
      </c>
      <c r="Q479" s="1" t="str">
        <f ca="1">IFERROR(__xludf.DUMMYFUNCTION("""COMPUTED_VALUE"""),"Male")</f>
        <v>Male</v>
      </c>
    </row>
    <row r="480" spans="13:17" x14ac:dyDescent="0.25">
      <c r="M480" s="4" t="s">
        <v>48</v>
      </c>
      <c r="N480" s="1" t="str">
        <f ca="1">IFERROR(__xludf.DUMMYFUNCTION("""COMPUTED_VALUE"""),"Male")</f>
        <v>Male</v>
      </c>
      <c r="P480" s="1" t="str">
        <f ca="1">IFERROR(__xludf.DUMMYFUNCTION("""COMPUTED_VALUE"""),"Work &lt;=6 People in the Team")</f>
        <v>Work &lt;=6 People in the Team</v>
      </c>
      <c r="Q480" s="1" t="str">
        <f ca="1">IFERROR(__xludf.DUMMYFUNCTION("""COMPUTED_VALUE"""),"Male")</f>
        <v>Male</v>
      </c>
    </row>
    <row r="481" spans="13:17" x14ac:dyDescent="0.25">
      <c r="M481" s="4" t="s">
        <v>48</v>
      </c>
      <c r="N481" s="1" t="str">
        <f ca="1">IFERROR(__xludf.DUMMYFUNCTION("""COMPUTED_VALUE"""),"Female")</f>
        <v>Female</v>
      </c>
      <c r="P481" s="1" t="str">
        <f ca="1">IFERROR(__xludf.DUMMYFUNCTION("""COMPUTED_VALUE"""),"Work &lt;=6 People in the Team")</f>
        <v>Work &lt;=6 People in the Team</v>
      </c>
      <c r="Q481" s="1" t="str">
        <f ca="1">IFERROR(__xludf.DUMMYFUNCTION("""COMPUTED_VALUE"""),"Female")</f>
        <v>Female</v>
      </c>
    </row>
    <row r="482" spans="13:17" x14ac:dyDescent="0.25">
      <c r="M482" s="4" t="s">
        <v>49</v>
      </c>
      <c r="N482" s="1" t="str">
        <f ca="1">IFERROR(__xludf.DUMMYFUNCTION("""COMPUTED_VALUE"""),"Male")</f>
        <v>Male</v>
      </c>
      <c r="P482" s="1" t="str">
        <f ca="1">IFERROR(__xludf.DUMMYFUNCTION("""COMPUTED_VALUE"""),"Work &gt;10 people in Team")</f>
        <v>Work &gt;10 people in Team</v>
      </c>
      <c r="Q482" s="1" t="str">
        <f ca="1">IFERROR(__xludf.DUMMYFUNCTION("""COMPUTED_VALUE"""),"Male")</f>
        <v>Male</v>
      </c>
    </row>
    <row r="483" spans="13:17" x14ac:dyDescent="0.25">
      <c r="M483" s="4" t="s">
        <v>48</v>
      </c>
      <c r="N483" s="1" t="str">
        <f ca="1">IFERROR(__xludf.DUMMYFUNCTION("""COMPUTED_VALUE"""),"Female")</f>
        <v>Female</v>
      </c>
      <c r="P483" s="1" t="str">
        <f ca="1">IFERROR(__xludf.DUMMYFUNCTION("""COMPUTED_VALUE"""),"Work &lt;=6 People in the Team")</f>
        <v>Work &lt;=6 People in the Team</v>
      </c>
      <c r="Q483" s="1" t="str">
        <f ca="1">IFERROR(__xludf.DUMMYFUNCTION("""COMPUTED_VALUE"""),"Female")</f>
        <v>Female</v>
      </c>
    </row>
    <row r="484" spans="13:17" x14ac:dyDescent="0.25">
      <c r="M484" s="4" t="s">
        <v>48</v>
      </c>
      <c r="N484" s="1" t="str">
        <f ca="1">IFERROR(__xludf.DUMMYFUNCTION("""COMPUTED_VALUE"""),"Female")</f>
        <v>Female</v>
      </c>
      <c r="P484" s="1" t="str">
        <f ca="1">IFERROR(__xludf.DUMMYFUNCTION("""COMPUTED_VALUE"""),"Work Alone, &lt;67 people in team")</f>
        <v>Work Alone, &lt;67 people in team</v>
      </c>
      <c r="Q484" s="1" t="str">
        <f ca="1">IFERROR(__xludf.DUMMYFUNCTION("""COMPUTED_VALUE"""),"Female")</f>
        <v>Female</v>
      </c>
    </row>
    <row r="485" spans="13:17" x14ac:dyDescent="0.25">
      <c r="M485" s="4" t="s">
        <v>49</v>
      </c>
      <c r="N485" s="1" t="str">
        <f ca="1">IFERROR(__xludf.DUMMYFUNCTION("""COMPUTED_VALUE"""),"Male")</f>
        <v>Male</v>
      </c>
      <c r="P485" s="1" t="str">
        <f ca="1">IFERROR(__xludf.DUMMYFUNCTION("""COMPUTED_VALUE"""),"Work &gt;10 people in Team")</f>
        <v>Work &gt;10 people in Team</v>
      </c>
      <c r="Q485" s="1" t="str">
        <f ca="1">IFERROR(__xludf.DUMMYFUNCTION("""COMPUTED_VALUE"""),"Male")</f>
        <v>Male</v>
      </c>
    </row>
    <row r="486" spans="13:17" x14ac:dyDescent="0.25">
      <c r="M486" s="4" t="s">
        <v>49</v>
      </c>
      <c r="N486" s="1" t="str">
        <f ca="1">IFERROR(__xludf.DUMMYFUNCTION("""COMPUTED_VALUE"""),"Female")</f>
        <v>Female</v>
      </c>
      <c r="P486" s="1" t="str">
        <f ca="1">IFERROR(__xludf.DUMMYFUNCTION("""COMPUTED_VALUE"""),"Work &lt;=6 People in the Team")</f>
        <v>Work &lt;=6 People in the Team</v>
      </c>
      <c r="Q486" s="1" t="str">
        <f ca="1">IFERROR(__xludf.DUMMYFUNCTION("""COMPUTED_VALUE"""),"Female")</f>
        <v>Female</v>
      </c>
    </row>
    <row r="487" spans="13:17" x14ac:dyDescent="0.25">
      <c r="M487" s="4" t="s">
        <v>49</v>
      </c>
      <c r="N487" s="1" t="str">
        <f ca="1">IFERROR(__xludf.DUMMYFUNCTION("""COMPUTED_VALUE"""),"Female")</f>
        <v>Female</v>
      </c>
      <c r="P487" s="1" t="str">
        <f ca="1">IFERROR(__xludf.DUMMYFUNCTION("""COMPUTED_VALUE"""),"Work &lt;=6 People in the Team")</f>
        <v>Work &lt;=6 People in the Team</v>
      </c>
      <c r="Q487" s="1" t="str">
        <f ca="1">IFERROR(__xludf.DUMMYFUNCTION("""COMPUTED_VALUE"""),"Female")</f>
        <v>Female</v>
      </c>
    </row>
    <row r="488" spans="13:17" x14ac:dyDescent="0.25">
      <c r="M488" s="4" t="s">
        <v>53</v>
      </c>
      <c r="N488" s="1" t="str">
        <f ca="1">IFERROR(__xludf.DUMMYFUNCTION("""COMPUTED_VALUE"""),"Male")</f>
        <v>Male</v>
      </c>
      <c r="P488" s="1" t="str">
        <f ca="1">IFERROR(__xludf.DUMMYFUNCTION("""COMPUTED_VALUE"""),"Work &lt;=6 People in the Team")</f>
        <v>Work &lt;=6 People in the Team</v>
      </c>
      <c r="Q488" s="1" t="str">
        <f ca="1">IFERROR(__xludf.DUMMYFUNCTION("""COMPUTED_VALUE"""),"Male")</f>
        <v>Male</v>
      </c>
    </row>
    <row r="489" spans="13:17" x14ac:dyDescent="0.25">
      <c r="M489" s="4" t="s">
        <v>49</v>
      </c>
      <c r="N489" s="1" t="str">
        <f ca="1">IFERROR(__xludf.DUMMYFUNCTION("""COMPUTED_VALUE"""),"Male")</f>
        <v>Male</v>
      </c>
      <c r="P489" s="1" t="str">
        <f ca="1">IFERROR(__xludf.DUMMYFUNCTION("""COMPUTED_VALUE"""),"Work alone")</f>
        <v>Work alone</v>
      </c>
      <c r="Q489" s="1" t="str">
        <f ca="1">IFERROR(__xludf.DUMMYFUNCTION("""COMPUTED_VALUE"""),"Male")</f>
        <v>Male</v>
      </c>
    </row>
    <row r="490" spans="13:17" x14ac:dyDescent="0.25">
      <c r="M490" s="4" t="s">
        <v>49</v>
      </c>
      <c r="N490" s="1" t="str">
        <f ca="1">IFERROR(__xludf.DUMMYFUNCTION("""COMPUTED_VALUE"""),"Female")</f>
        <v>Female</v>
      </c>
      <c r="P490" s="1" t="str">
        <f ca="1">IFERROR(__xludf.DUMMYFUNCTION("""COMPUTED_VALUE"""),"Work &lt;=6 People in the Team")</f>
        <v>Work &lt;=6 People in the Team</v>
      </c>
      <c r="Q490" s="1" t="str">
        <f ca="1">IFERROR(__xludf.DUMMYFUNCTION("""COMPUTED_VALUE"""),"Female")</f>
        <v>Female</v>
      </c>
    </row>
    <row r="491" spans="13:17" x14ac:dyDescent="0.25">
      <c r="M491" s="4" t="s">
        <v>48</v>
      </c>
      <c r="N491" s="1" t="str">
        <f ca="1">IFERROR(__xludf.DUMMYFUNCTION("""COMPUTED_VALUE"""),"Male")</f>
        <v>Male</v>
      </c>
      <c r="P491" s="1" t="str">
        <f ca="1">IFERROR(__xludf.DUMMYFUNCTION("""COMPUTED_VALUE"""),"Work &lt;=6 People in the Team")</f>
        <v>Work &lt;=6 People in the Team</v>
      </c>
      <c r="Q491" s="1" t="str">
        <f ca="1">IFERROR(__xludf.DUMMYFUNCTION("""COMPUTED_VALUE"""),"Male")</f>
        <v>Male</v>
      </c>
    </row>
    <row r="492" spans="13:17" x14ac:dyDescent="0.25">
      <c r="M492" s="4" t="s">
        <v>53</v>
      </c>
      <c r="N492" s="1" t="str">
        <f ca="1">IFERROR(__xludf.DUMMYFUNCTION("""COMPUTED_VALUE"""),"Female")</f>
        <v>Female</v>
      </c>
      <c r="P492" s="1" t="str">
        <f ca="1">IFERROR(__xludf.DUMMYFUNCTION("""COMPUTED_VALUE"""),"Work &gt;10 people in Team")</f>
        <v>Work &gt;10 people in Team</v>
      </c>
      <c r="Q492" s="1" t="str">
        <f ca="1">IFERROR(__xludf.DUMMYFUNCTION("""COMPUTED_VALUE"""),"Female")</f>
        <v>Female</v>
      </c>
    </row>
    <row r="493" spans="13:17" x14ac:dyDescent="0.25">
      <c r="M493" s="4" t="s">
        <v>48</v>
      </c>
      <c r="N493" s="1" t="str">
        <f ca="1">IFERROR(__xludf.DUMMYFUNCTION("""COMPUTED_VALUE"""),"Female")</f>
        <v>Female</v>
      </c>
      <c r="P493" s="1" t="str">
        <f ca="1">IFERROR(__xludf.DUMMYFUNCTION("""COMPUTED_VALUE"""),"Work &gt;=7 People in the Team")</f>
        <v>Work &gt;=7 People in the Team</v>
      </c>
      <c r="Q493" s="1" t="str">
        <f ca="1">IFERROR(__xludf.DUMMYFUNCTION("""COMPUTED_VALUE"""),"Female")</f>
        <v>Female</v>
      </c>
    </row>
    <row r="494" spans="13:17" x14ac:dyDescent="0.25">
      <c r="M494" s="4" t="s">
        <v>49</v>
      </c>
      <c r="N494" s="1" t="str">
        <f ca="1">IFERROR(__xludf.DUMMYFUNCTION("""COMPUTED_VALUE"""),"Male")</f>
        <v>Male</v>
      </c>
      <c r="P494" s="1" t="str">
        <f ca="1">IFERROR(__xludf.DUMMYFUNCTION("""COMPUTED_VALUE"""),"Work &lt;=6 People in the Team")</f>
        <v>Work &lt;=6 People in the Team</v>
      </c>
      <c r="Q494" s="1" t="str">
        <f ca="1">IFERROR(__xludf.DUMMYFUNCTION("""COMPUTED_VALUE"""),"Male")</f>
        <v>Male</v>
      </c>
    </row>
    <row r="495" spans="13:17" x14ac:dyDescent="0.25">
      <c r="M495" s="4" t="s">
        <v>48</v>
      </c>
      <c r="N495" s="1" t="str">
        <f ca="1">IFERROR(__xludf.DUMMYFUNCTION("""COMPUTED_VALUE"""),"Female")</f>
        <v>Female</v>
      </c>
      <c r="P495" s="1" t="str">
        <f ca="1">IFERROR(__xludf.DUMMYFUNCTION("""COMPUTED_VALUE"""),"Work &lt;=6 People in the Team")</f>
        <v>Work &lt;=6 People in the Team</v>
      </c>
      <c r="Q495" s="1" t="str">
        <f ca="1">IFERROR(__xludf.DUMMYFUNCTION("""COMPUTED_VALUE"""),"Female")</f>
        <v>Female</v>
      </c>
    </row>
    <row r="496" spans="13:17" x14ac:dyDescent="0.25">
      <c r="M496" s="4" t="s">
        <v>49</v>
      </c>
      <c r="N496" s="1" t="str">
        <f ca="1">IFERROR(__xludf.DUMMYFUNCTION("""COMPUTED_VALUE"""),"Female")</f>
        <v>Female</v>
      </c>
      <c r="P496" s="1" t="str">
        <f ca="1">IFERROR(__xludf.DUMMYFUNCTION("""COMPUTED_VALUE"""),"Work &lt;=6 People in the Team")</f>
        <v>Work &lt;=6 People in the Team</v>
      </c>
      <c r="Q496" s="1" t="str">
        <f ca="1">IFERROR(__xludf.DUMMYFUNCTION("""COMPUTED_VALUE"""),"Female")</f>
        <v>Female</v>
      </c>
    </row>
    <row r="497" spans="13:17" x14ac:dyDescent="0.25">
      <c r="M497" s="4" t="s">
        <v>49</v>
      </c>
      <c r="N497" s="1" t="str">
        <f ca="1">IFERROR(__xludf.DUMMYFUNCTION("""COMPUTED_VALUE"""),"Male")</f>
        <v>Male</v>
      </c>
      <c r="P497" s="1" t="str">
        <f ca="1">IFERROR(__xludf.DUMMYFUNCTION("""COMPUTED_VALUE"""),"Work  &lt;67 people in team")</f>
        <v>Work  &lt;67 people in team</v>
      </c>
      <c r="Q497" s="1" t="str">
        <f ca="1">IFERROR(__xludf.DUMMYFUNCTION("""COMPUTED_VALUE"""),"Male")</f>
        <v>Male</v>
      </c>
    </row>
    <row r="498" spans="13:17" x14ac:dyDescent="0.25">
      <c r="M498" s="4" t="s">
        <v>53</v>
      </c>
      <c r="N498" s="1" t="str">
        <f ca="1">IFERROR(__xludf.DUMMYFUNCTION("""COMPUTED_VALUE"""),"Male")</f>
        <v>Male</v>
      </c>
      <c r="P498" s="1" t="str">
        <f ca="1">IFERROR(__xludf.DUMMYFUNCTION("""COMPUTED_VALUE"""),"Work alone")</f>
        <v>Work alone</v>
      </c>
      <c r="Q498" s="1" t="str">
        <f ca="1">IFERROR(__xludf.DUMMYFUNCTION("""COMPUTED_VALUE"""),"Male")</f>
        <v>Male</v>
      </c>
    </row>
    <row r="499" spans="13:17" x14ac:dyDescent="0.25">
      <c r="M499" s="4" t="s">
        <v>49</v>
      </c>
      <c r="N499" s="1" t="str">
        <f ca="1">IFERROR(__xludf.DUMMYFUNCTION("""COMPUTED_VALUE"""),"Female")</f>
        <v>Female</v>
      </c>
      <c r="P499" s="1" t="str">
        <f ca="1">IFERROR(__xludf.DUMMYFUNCTION("""COMPUTED_VALUE"""),"Work &lt;=6 People in the Team")</f>
        <v>Work &lt;=6 People in the Team</v>
      </c>
      <c r="Q499" s="1" t="str">
        <f ca="1">IFERROR(__xludf.DUMMYFUNCTION("""COMPUTED_VALUE"""),"Female")</f>
        <v>Female</v>
      </c>
    </row>
    <row r="500" spans="13:17" x14ac:dyDescent="0.25">
      <c r="M500" s="4" t="s">
        <v>53</v>
      </c>
      <c r="N500" s="1" t="str">
        <f ca="1">IFERROR(__xludf.DUMMYFUNCTION("""COMPUTED_VALUE"""),"Male")</f>
        <v>Male</v>
      </c>
      <c r="P500" s="1" t="str">
        <f ca="1">IFERROR(__xludf.DUMMYFUNCTION("""COMPUTED_VALUE"""),"Work &gt;=7 People in the Team")</f>
        <v>Work &gt;=7 People in the Team</v>
      </c>
      <c r="Q500" s="1" t="str">
        <f ca="1">IFERROR(__xludf.DUMMYFUNCTION("""COMPUTED_VALUE"""),"Male")</f>
        <v>Male</v>
      </c>
    </row>
    <row r="501" spans="13:17" x14ac:dyDescent="0.25">
      <c r="M501" s="4" t="s">
        <v>49</v>
      </c>
      <c r="N501" s="1" t="str">
        <f ca="1">IFERROR(__xludf.DUMMYFUNCTION("""COMPUTED_VALUE"""),"Female")</f>
        <v>Female</v>
      </c>
      <c r="P501" s="1" t="str">
        <f ca="1">IFERROR(__xludf.DUMMYFUNCTION("""COMPUTED_VALUE"""),"Work &gt;10 people in Team")</f>
        <v>Work &gt;10 people in Team</v>
      </c>
      <c r="Q501" s="1" t="str">
        <f ca="1">IFERROR(__xludf.DUMMYFUNCTION("""COMPUTED_VALUE"""),"Female")</f>
        <v>Female</v>
      </c>
    </row>
    <row r="502" spans="13:17" x14ac:dyDescent="0.25">
      <c r="M502" s="4" t="s">
        <v>53</v>
      </c>
      <c r="N502" s="1" t="str">
        <f ca="1">IFERROR(__xludf.DUMMYFUNCTION("""COMPUTED_VALUE"""),"Female")</f>
        <v>Female</v>
      </c>
      <c r="P502" s="1" t="str">
        <f ca="1">IFERROR(__xludf.DUMMYFUNCTION("""COMPUTED_VALUE"""),"Work &lt;=6 People in the Team")</f>
        <v>Work &lt;=6 People in the Team</v>
      </c>
      <c r="Q502" s="1" t="str">
        <f ca="1">IFERROR(__xludf.DUMMYFUNCTION("""COMPUTED_VALUE"""),"Female")</f>
        <v>Female</v>
      </c>
    </row>
    <row r="503" spans="13:17" x14ac:dyDescent="0.25">
      <c r="M503" s="4" t="s">
        <v>48</v>
      </c>
      <c r="N503" s="1" t="str">
        <f ca="1">IFERROR(__xludf.DUMMYFUNCTION("""COMPUTED_VALUE"""),"Female")</f>
        <v>Female</v>
      </c>
      <c r="P503" s="1" t="str">
        <f ca="1">IFERROR(__xludf.DUMMYFUNCTION("""COMPUTED_VALUE"""),"Work &lt;=6 People in the Team")</f>
        <v>Work &lt;=6 People in the Team</v>
      </c>
      <c r="Q503" s="1" t="str">
        <f ca="1">IFERROR(__xludf.DUMMYFUNCTION("""COMPUTED_VALUE"""),"Female")</f>
        <v>Female</v>
      </c>
    </row>
    <row r="504" spans="13:17" x14ac:dyDescent="0.25">
      <c r="M504" s="4" t="s">
        <v>53</v>
      </c>
      <c r="N504" s="1" t="str">
        <f ca="1">IFERROR(__xludf.DUMMYFUNCTION("""COMPUTED_VALUE"""),"Male")</f>
        <v>Male</v>
      </c>
      <c r="P504" s="1" t="str">
        <f ca="1">IFERROR(__xludf.DUMMYFUNCTION("""COMPUTED_VALUE"""),"Work  &lt;67 people in team")</f>
        <v>Work  &lt;67 people in team</v>
      </c>
      <c r="Q504" s="1" t="str">
        <f ca="1">IFERROR(__xludf.DUMMYFUNCTION("""COMPUTED_VALUE"""),"Male")</f>
        <v>Male</v>
      </c>
    </row>
    <row r="505" spans="13:17" x14ac:dyDescent="0.25">
      <c r="M505" s="4" t="s">
        <v>48</v>
      </c>
      <c r="N505" s="1" t="str">
        <f ca="1">IFERROR(__xludf.DUMMYFUNCTION("""COMPUTED_VALUE"""),"Male")</f>
        <v>Male</v>
      </c>
      <c r="P505" s="1" t="str">
        <f ca="1">IFERROR(__xludf.DUMMYFUNCTION("""COMPUTED_VALUE"""),"Work &lt;=6 People in the Team")</f>
        <v>Work &lt;=6 People in the Team</v>
      </c>
      <c r="Q505" s="1" t="str">
        <f ca="1">IFERROR(__xludf.DUMMYFUNCTION("""COMPUTED_VALUE"""),"Male")</f>
        <v>Male</v>
      </c>
    </row>
    <row r="506" spans="13:17" x14ac:dyDescent="0.25">
      <c r="M506" s="4" t="s">
        <v>49</v>
      </c>
      <c r="N506" s="1" t="str">
        <f ca="1">IFERROR(__xludf.DUMMYFUNCTION("""COMPUTED_VALUE"""),"Male")</f>
        <v>Male</v>
      </c>
      <c r="P506" s="1" t="str">
        <f ca="1">IFERROR(__xludf.DUMMYFUNCTION("""COMPUTED_VALUE"""),"Work &gt;10 people in Team")</f>
        <v>Work &gt;10 people in Team</v>
      </c>
      <c r="Q506" s="1" t="str">
        <f ca="1">IFERROR(__xludf.DUMMYFUNCTION("""COMPUTED_VALUE"""),"Male")</f>
        <v>Male</v>
      </c>
    </row>
    <row r="507" spans="13:17" x14ac:dyDescent="0.25">
      <c r="M507" s="4" t="s">
        <v>48</v>
      </c>
      <c r="N507" s="1" t="str">
        <f ca="1">IFERROR(__xludf.DUMMYFUNCTION("""COMPUTED_VALUE"""),"Male")</f>
        <v>Male</v>
      </c>
      <c r="P507" s="1" t="str">
        <f ca="1">IFERROR(__xludf.DUMMYFUNCTION("""COMPUTED_VALUE"""),"Work Alone, &lt;67 people in team")</f>
        <v>Work Alone, &lt;67 people in team</v>
      </c>
      <c r="Q507" s="1" t="str">
        <f ca="1">IFERROR(__xludf.DUMMYFUNCTION("""COMPUTED_VALUE"""),"Male")</f>
        <v>Male</v>
      </c>
    </row>
    <row r="508" spans="13:17" x14ac:dyDescent="0.25">
      <c r="M508" s="4" t="s">
        <v>49</v>
      </c>
      <c r="N508" s="1" t="str">
        <f ca="1">IFERROR(__xludf.DUMMYFUNCTION("""COMPUTED_VALUE"""),"Female")</f>
        <v>Female</v>
      </c>
      <c r="P508" s="1" t="str">
        <f ca="1">IFERROR(__xludf.DUMMYFUNCTION("""COMPUTED_VALUE"""),"Work Alone, &lt;=6 in team")</f>
        <v>Work Alone, &lt;=6 in team</v>
      </c>
      <c r="Q508" s="1" t="str">
        <f ca="1">IFERROR(__xludf.DUMMYFUNCTION("""COMPUTED_VALUE"""),"Female")</f>
        <v>Female</v>
      </c>
    </row>
    <row r="509" spans="13:17" x14ac:dyDescent="0.25">
      <c r="M509" s="4" t="s">
        <v>48</v>
      </c>
      <c r="N509" s="1" t="str">
        <f ca="1">IFERROR(__xludf.DUMMYFUNCTION("""COMPUTED_VALUE"""),"Female")</f>
        <v>Female</v>
      </c>
      <c r="P509" s="1" t="str">
        <f ca="1">IFERROR(__xludf.DUMMYFUNCTION("""COMPUTED_VALUE"""),"Work &lt;=6 People in the Team")</f>
        <v>Work &lt;=6 People in the Team</v>
      </c>
      <c r="Q509" s="1" t="str">
        <f ca="1">IFERROR(__xludf.DUMMYFUNCTION("""COMPUTED_VALUE"""),"Female")</f>
        <v>Female</v>
      </c>
    </row>
    <row r="510" spans="13:17" x14ac:dyDescent="0.25">
      <c r="M510" s="4" t="s">
        <v>53</v>
      </c>
      <c r="N510" s="1" t="str">
        <f ca="1">IFERROR(__xludf.DUMMYFUNCTION("""COMPUTED_VALUE"""),"Male")</f>
        <v>Male</v>
      </c>
      <c r="P510" s="1" t="str">
        <f ca="1">IFERROR(__xludf.DUMMYFUNCTION("""COMPUTED_VALUE"""),"Work &lt;67 People in the Team")</f>
        <v>Work &lt;67 People in the Team</v>
      </c>
      <c r="Q510" s="1" t="str">
        <f ca="1">IFERROR(__xludf.DUMMYFUNCTION("""COMPUTED_VALUE"""),"Male")</f>
        <v>Male</v>
      </c>
    </row>
    <row r="511" spans="13:17" x14ac:dyDescent="0.25">
      <c r="M511" s="4" t="s">
        <v>48</v>
      </c>
      <c r="N511" s="1" t="str">
        <f ca="1">IFERROR(__xludf.DUMMYFUNCTION("""COMPUTED_VALUE"""),"Male")</f>
        <v>Male</v>
      </c>
      <c r="P511" s="1" t="str">
        <f ca="1">IFERROR(__xludf.DUMMYFUNCTION("""COMPUTED_VALUE"""),"Work &lt;=6 People in the Team")</f>
        <v>Work &lt;=6 People in the Team</v>
      </c>
      <c r="Q511" s="1" t="str">
        <f ca="1">IFERROR(__xludf.DUMMYFUNCTION("""COMPUTED_VALUE"""),"Male")</f>
        <v>Male</v>
      </c>
    </row>
    <row r="512" spans="13:17" x14ac:dyDescent="0.25">
      <c r="M512" s="4" t="s">
        <v>49</v>
      </c>
      <c r="N512" s="1" t="str">
        <f ca="1">IFERROR(__xludf.DUMMYFUNCTION("""COMPUTED_VALUE"""),"Female")</f>
        <v>Female</v>
      </c>
      <c r="P512" s="1" t="str">
        <f ca="1">IFERROR(__xludf.DUMMYFUNCTION("""COMPUTED_VALUE"""),"Work &lt;=6 People in the Team")</f>
        <v>Work &lt;=6 People in the Team</v>
      </c>
      <c r="Q512" s="1" t="str">
        <f ca="1">IFERROR(__xludf.DUMMYFUNCTION("""COMPUTED_VALUE"""),"Female")</f>
        <v>Female</v>
      </c>
    </row>
    <row r="513" spans="13:17" x14ac:dyDescent="0.25">
      <c r="M513" s="4" t="s">
        <v>53</v>
      </c>
      <c r="N513" s="1" t="str">
        <f ca="1">IFERROR(__xludf.DUMMYFUNCTION("""COMPUTED_VALUE"""),"Male")</f>
        <v>Male</v>
      </c>
      <c r="P513" s="1" t="str">
        <f ca="1">IFERROR(__xludf.DUMMYFUNCTION("""COMPUTED_VALUE"""),"Work &gt;10 people in Team")</f>
        <v>Work &gt;10 people in Team</v>
      </c>
      <c r="Q513" s="1" t="str">
        <f ca="1">IFERROR(__xludf.DUMMYFUNCTION("""COMPUTED_VALUE"""),"Male")</f>
        <v>Male</v>
      </c>
    </row>
    <row r="514" spans="13:17" x14ac:dyDescent="0.25">
      <c r="M514" s="4" t="s">
        <v>49</v>
      </c>
      <c r="N514" s="1" t="str">
        <f ca="1">IFERROR(__xludf.DUMMYFUNCTION("""COMPUTED_VALUE"""),"Male")</f>
        <v>Male</v>
      </c>
      <c r="P514" s="1" t="str">
        <f ca="1">IFERROR(__xludf.DUMMYFUNCTION("""COMPUTED_VALUE"""),"Work Alone, &lt;=6 in team")</f>
        <v>Work Alone, &lt;=6 in team</v>
      </c>
      <c r="Q514" s="1" t="str">
        <f ca="1">IFERROR(__xludf.DUMMYFUNCTION("""COMPUTED_VALUE"""),"Male")</f>
        <v>Male</v>
      </c>
    </row>
    <row r="515" spans="13:17" x14ac:dyDescent="0.25">
      <c r="M515" s="4" t="s">
        <v>53</v>
      </c>
      <c r="N515" s="1" t="str">
        <f ca="1">IFERROR(__xludf.DUMMYFUNCTION("""COMPUTED_VALUE"""),"Male")</f>
        <v>Male</v>
      </c>
      <c r="P515" s="1" t="str">
        <f ca="1">IFERROR(__xludf.DUMMYFUNCTION("""COMPUTED_VALUE"""),"Work &lt;=6 People in the Team")</f>
        <v>Work &lt;=6 People in the Team</v>
      </c>
      <c r="Q515" s="1" t="str">
        <f ca="1">IFERROR(__xludf.DUMMYFUNCTION("""COMPUTED_VALUE"""),"Male")</f>
        <v>Male</v>
      </c>
    </row>
    <row r="516" spans="13:17" x14ac:dyDescent="0.25">
      <c r="M516" s="4" t="s">
        <v>53</v>
      </c>
      <c r="N516" s="1" t="str">
        <f ca="1">IFERROR(__xludf.DUMMYFUNCTION("""COMPUTED_VALUE"""),"Female")</f>
        <v>Female</v>
      </c>
      <c r="P516" s="1" t="str">
        <f ca="1">IFERROR(__xludf.DUMMYFUNCTION("""COMPUTED_VALUE"""),"Work &lt;=6 People in the Team")</f>
        <v>Work &lt;=6 People in the Team</v>
      </c>
      <c r="Q516" s="1" t="str">
        <f ca="1">IFERROR(__xludf.DUMMYFUNCTION("""COMPUTED_VALUE"""),"Female")</f>
        <v>Female</v>
      </c>
    </row>
    <row r="517" spans="13:17" x14ac:dyDescent="0.25">
      <c r="M517" s="4" t="s">
        <v>49</v>
      </c>
      <c r="N517" s="1" t="str">
        <f ca="1">IFERROR(__xludf.DUMMYFUNCTION("""COMPUTED_VALUE"""),"Male")</f>
        <v>Male</v>
      </c>
      <c r="P517" s="1" t="str">
        <f ca="1">IFERROR(__xludf.DUMMYFUNCTION("""COMPUTED_VALUE"""),"Work &lt;67 People in the Team")</f>
        <v>Work &lt;67 People in the Team</v>
      </c>
      <c r="Q517" s="1" t="str">
        <f ca="1">IFERROR(__xludf.DUMMYFUNCTION("""COMPUTED_VALUE"""),"Male")</f>
        <v>Male</v>
      </c>
    </row>
    <row r="518" spans="13:17" x14ac:dyDescent="0.25">
      <c r="M518" s="4" t="s">
        <v>49</v>
      </c>
      <c r="N518" s="1" t="str">
        <f ca="1">IFERROR(__xludf.DUMMYFUNCTION("""COMPUTED_VALUE"""),"Female")</f>
        <v>Female</v>
      </c>
      <c r="P518" s="1" t="str">
        <f ca="1">IFERROR(__xludf.DUMMYFUNCTION("""COMPUTED_VALUE"""),"Work &lt;=6 People in the Team")</f>
        <v>Work &lt;=6 People in the Team</v>
      </c>
      <c r="Q518" s="1" t="str">
        <f ca="1">IFERROR(__xludf.DUMMYFUNCTION("""COMPUTED_VALUE"""),"Female")</f>
        <v>Female</v>
      </c>
    </row>
    <row r="519" spans="13:17" x14ac:dyDescent="0.25">
      <c r="M519" s="4" t="s">
        <v>53</v>
      </c>
      <c r="N519" s="1" t="str">
        <f ca="1">IFERROR(__xludf.DUMMYFUNCTION("""COMPUTED_VALUE"""),"Male")</f>
        <v>Male</v>
      </c>
      <c r="P519" s="1" t="str">
        <f ca="1">IFERROR(__xludf.DUMMYFUNCTION("""COMPUTED_VALUE"""),"Work &lt;=6 People in the Team")</f>
        <v>Work &lt;=6 People in the Team</v>
      </c>
      <c r="Q519" s="1" t="str">
        <f ca="1">IFERROR(__xludf.DUMMYFUNCTION("""COMPUTED_VALUE"""),"Male")</f>
        <v>Male</v>
      </c>
    </row>
    <row r="520" spans="13:17" x14ac:dyDescent="0.25">
      <c r="M520" s="4" t="s">
        <v>49</v>
      </c>
      <c r="N520" s="1" t="str">
        <f ca="1">IFERROR(__xludf.DUMMYFUNCTION("""COMPUTED_VALUE"""),"Male")</f>
        <v>Male</v>
      </c>
      <c r="P520" s="1" t="str">
        <f ca="1">IFERROR(__xludf.DUMMYFUNCTION("""COMPUTED_VALUE"""),"Work &gt;=7 People in the Team")</f>
        <v>Work &gt;=7 People in the Team</v>
      </c>
      <c r="Q520" s="1" t="str">
        <f ca="1">IFERROR(__xludf.DUMMYFUNCTION("""COMPUTED_VALUE"""),"Male")</f>
        <v>Male</v>
      </c>
    </row>
    <row r="521" spans="13:17" x14ac:dyDescent="0.25">
      <c r="M521" s="4" t="s">
        <v>48</v>
      </c>
      <c r="N521" s="1" t="str">
        <f ca="1">IFERROR(__xludf.DUMMYFUNCTION("""COMPUTED_VALUE"""),"Male")</f>
        <v>Male</v>
      </c>
      <c r="P521" s="1" t="str">
        <f ca="1">IFERROR(__xludf.DUMMYFUNCTION("""COMPUTED_VALUE"""),"Work alone")</f>
        <v>Work alone</v>
      </c>
      <c r="Q521" s="1" t="str">
        <f ca="1">IFERROR(__xludf.DUMMYFUNCTION("""COMPUTED_VALUE"""),"Male")</f>
        <v>Male</v>
      </c>
    </row>
    <row r="522" spans="13:17" x14ac:dyDescent="0.25">
      <c r="M522" s="4" t="s">
        <v>48</v>
      </c>
      <c r="N522" s="1" t="str">
        <f ca="1">IFERROR(__xludf.DUMMYFUNCTION("""COMPUTED_VALUE"""),"Female")</f>
        <v>Female</v>
      </c>
      <c r="P522" s="1" t="str">
        <f ca="1">IFERROR(__xludf.DUMMYFUNCTION("""COMPUTED_VALUE"""),"Work Alone, &lt;=6 in team")</f>
        <v>Work Alone, &lt;=6 in team</v>
      </c>
      <c r="Q522" s="1" t="str">
        <f ca="1">IFERROR(__xludf.DUMMYFUNCTION("""COMPUTED_VALUE"""),"Female")</f>
        <v>Female</v>
      </c>
    </row>
    <row r="523" spans="13:17" x14ac:dyDescent="0.25">
      <c r="M523" s="4" t="s">
        <v>48</v>
      </c>
      <c r="N523" s="1" t="str">
        <f ca="1">IFERROR(__xludf.DUMMYFUNCTION("""COMPUTED_VALUE"""),"Female")</f>
        <v>Female</v>
      </c>
      <c r="P523" s="1" t="str">
        <f ca="1">IFERROR(__xludf.DUMMYFUNCTION("""COMPUTED_VALUE"""),"Work &lt;=6 People in the Team")</f>
        <v>Work &lt;=6 People in the Team</v>
      </c>
      <c r="Q523" s="1" t="str">
        <f ca="1">IFERROR(__xludf.DUMMYFUNCTION("""COMPUTED_VALUE"""),"Female")</f>
        <v>Female</v>
      </c>
    </row>
    <row r="524" spans="13:17" x14ac:dyDescent="0.25">
      <c r="M524" s="4" t="s">
        <v>48</v>
      </c>
      <c r="N524" s="1" t="str">
        <f ca="1">IFERROR(__xludf.DUMMYFUNCTION("""COMPUTED_VALUE"""),"Male")</f>
        <v>Male</v>
      </c>
      <c r="P524" s="1" t="str">
        <f ca="1">IFERROR(__xludf.DUMMYFUNCTION("""COMPUTED_VALUE"""),"Work &lt;=6 People in the Team")</f>
        <v>Work &lt;=6 People in the Team</v>
      </c>
      <c r="Q524" s="1" t="str">
        <f ca="1">IFERROR(__xludf.DUMMYFUNCTION("""COMPUTED_VALUE"""),"Male")</f>
        <v>Male</v>
      </c>
    </row>
    <row r="525" spans="13:17" x14ac:dyDescent="0.25">
      <c r="M525" s="4" t="s">
        <v>48</v>
      </c>
      <c r="N525" s="1" t="str">
        <f ca="1">IFERROR(__xludf.DUMMYFUNCTION("""COMPUTED_VALUE"""),"Male")</f>
        <v>Male</v>
      </c>
      <c r="P525" s="1" t="str">
        <f ca="1">IFERROR(__xludf.DUMMYFUNCTION("""COMPUTED_VALUE"""),"Work &lt;=6 People in the Team")</f>
        <v>Work &lt;=6 People in the Team</v>
      </c>
      <c r="Q525" s="1" t="str">
        <f ca="1">IFERROR(__xludf.DUMMYFUNCTION("""COMPUTED_VALUE"""),"Male")</f>
        <v>Male</v>
      </c>
    </row>
    <row r="526" spans="13:17" x14ac:dyDescent="0.25">
      <c r="M526" s="4" t="s">
        <v>53</v>
      </c>
      <c r="N526" s="1" t="str">
        <f ca="1">IFERROR(__xludf.DUMMYFUNCTION("""COMPUTED_VALUE"""),"Female")</f>
        <v>Female</v>
      </c>
      <c r="P526" s="1" t="str">
        <f ca="1">IFERROR(__xludf.DUMMYFUNCTION("""COMPUTED_VALUE"""),"Work &lt;=6 People in the Team")</f>
        <v>Work &lt;=6 People in the Team</v>
      </c>
      <c r="Q526" s="1" t="str">
        <f ca="1">IFERROR(__xludf.DUMMYFUNCTION("""COMPUTED_VALUE"""),"Female")</f>
        <v>Female</v>
      </c>
    </row>
    <row r="527" spans="13:17" x14ac:dyDescent="0.25">
      <c r="M527" s="4" t="s">
        <v>48</v>
      </c>
      <c r="N527" s="1" t="str">
        <f ca="1">IFERROR(__xludf.DUMMYFUNCTION("""COMPUTED_VALUE"""),"Male")</f>
        <v>Male</v>
      </c>
      <c r="P527" s="1" t="str">
        <f ca="1">IFERROR(__xludf.DUMMYFUNCTION("""COMPUTED_VALUE"""),"Work &lt;=6 People in the Team")</f>
        <v>Work &lt;=6 People in the Team</v>
      </c>
      <c r="Q527" s="1" t="str">
        <f ca="1">IFERROR(__xludf.DUMMYFUNCTION("""COMPUTED_VALUE"""),"Male")</f>
        <v>Male</v>
      </c>
    </row>
    <row r="528" spans="13:17" x14ac:dyDescent="0.25">
      <c r="M528" s="4" t="s">
        <v>53</v>
      </c>
      <c r="N528" s="1" t="str">
        <f ca="1">IFERROR(__xludf.DUMMYFUNCTION("""COMPUTED_VALUE"""),"Male")</f>
        <v>Male</v>
      </c>
      <c r="P528" s="1" t="str">
        <f ca="1">IFERROR(__xludf.DUMMYFUNCTION("""COMPUTED_VALUE"""),"Work alone")</f>
        <v>Work alone</v>
      </c>
      <c r="Q528" s="1" t="str">
        <f ca="1">IFERROR(__xludf.DUMMYFUNCTION("""COMPUTED_VALUE"""),"Male")</f>
        <v>Male</v>
      </c>
    </row>
    <row r="529" spans="13:17" x14ac:dyDescent="0.25">
      <c r="M529" s="4" t="s">
        <v>49</v>
      </c>
      <c r="N529" s="1" t="str">
        <f ca="1">IFERROR(__xludf.DUMMYFUNCTION("""COMPUTED_VALUE"""),"Male")</f>
        <v>Male</v>
      </c>
      <c r="P529" s="1" t="str">
        <f ca="1">IFERROR(__xludf.DUMMYFUNCTION("""COMPUTED_VALUE"""),"Work &lt;=6 People in the Team")</f>
        <v>Work &lt;=6 People in the Team</v>
      </c>
      <c r="Q529" s="1" t="str">
        <f ca="1">IFERROR(__xludf.DUMMYFUNCTION("""COMPUTED_VALUE"""),"Male")</f>
        <v>Male</v>
      </c>
    </row>
    <row r="530" spans="13:17" x14ac:dyDescent="0.25">
      <c r="M530" s="4" t="s">
        <v>49</v>
      </c>
      <c r="N530" s="1" t="str">
        <f ca="1">IFERROR(__xludf.DUMMYFUNCTION("""COMPUTED_VALUE"""),"Male")</f>
        <v>Male</v>
      </c>
      <c r="P530" s="1" t="str">
        <f ca="1">IFERROR(__xludf.DUMMYFUNCTION("""COMPUTED_VALUE"""),"Work &gt;=7 People in the Team")</f>
        <v>Work &gt;=7 People in the Team</v>
      </c>
      <c r="Q530" s="1" t="str">
        <f ca="1">IFERROR(__xludf.DUMMYFUNCTION("""COMPUTED_VALUE"""),"Male")</f>
        <v>Male</v>
      </c>
    </row>
    <row r="531" spans="13:17" x14ac:dyDescent="0.25">
      <c r="M531" s="4" t="s">
        <v>48</v>
      </c>
      <c r="N531" s="1" t="str">
        <f ca="1">IFERROR(__xludf.DUMMYFUNCTION("""COMPUTED_VALUE"""),"Male")</f>
        <v>Male</v>
      </c>
      <c r="P531" s="1" t="str">
        <f ca="1">IFERROR(__xludf.DUMMYFUNCTION("""COMPUTED_VALUE"""),"Work Alone, &lt;67 people in team")</f>
        <v>Work Alone, &lt;67 people in team</v>
      </c>
      <c r="Q531" s="1" t="str">
        <f ca="1">IFERROR(__xludf.DUMMYFUNCTION("""COMPUTED_VALUE"""),"Male")</f>
        <v>Male</v>
      </c>
    </row>
    <row r="532" spans="13:17" x14ac:dyDescent="0.25">
      <c r="M532" s="4" t="s">
        <v>53</v>
      </c>
      <c r="N532" s="1" t="str">
        <f ca="1">IFERROR(__xludf.DUMMYFUNCTION("""COMPUTED_VALUE"""),"Male")</f>
        <v>Male</v>
      </c>
      <c r="P532" s="1" t="str">
        <f ca="1">IFERROR(__xludf.DUMMYFUNCTION("""COMPUTED_VALUE"""),"Work &lt;=6 People in the Team")</f>
        <v>Work &lt;=6 People in the Team</v>
      </c>
      <c r="Q532" s="1" t="str">
        <f ca="1">IFERROR(__xludf.DUMMYFUNCTION("""COMPUTED_VALUE"""),"Male")</f>
        <v>Male</v>
      </c>
    </row>
    <row r="533" spans="13:17" x14ac:dyDescent="0.25">
      <c r="M533" s="4" t="s">
        <v>53</v>
      </c>
      <c r="N533" s="1" t="str">
        <f ca="1">IFERROR(__xludf.DUMMYFUNCTION("""COMPUTED_VALUE"""),"Female")</f>
        <v>Female</v>
      </c>
      <c r="P533" s="1" t="str">
        <f ca="1">IFERROR(__xludf.DUMMYFUNCTION("""COMPUTED_VALUE"""),"Work &gt;10 people in Team")</f>
        <v>Work &gt;10 people in Team</v>
      </c>
      <c r="Q533" s="1" t="str">
        <f ca="1">IFERROR(__xludf.DUMMYFUNCTION("""COMPUTED_VALUE"""),"Female")</f>
        <v>Female</v>
      </c>
    </row>
    <row r="534" spans="13:17" x14ac:dyDescent="0.25">
      <c r="M534" s="4" t="s">
        <v>48</v>
      </c>
      <c r="N534" s="1" t="str">
        <f ca="1">IFERROR(__xludf.DUMMYFUNCTION("""COMPUTED_VALUE"""),"Female")</f>
        <v>Female</v>
      </c>
      <c r="P534" s="1" t="str">
        <f ca="1">IFERROR(__xludf.DUMMYFUNCTION("""COMPUTED_VALUE"""),"Work &lt;=6 People in the Team")</f>
        <v>Work &lt;=6 People in the Team</v>
      </c>
      <c r="Q534" s="1" t="str">
        <f ca="1">IFERROR(__xludf.DUMMYFUNCTION("""COMPUTED_VALUE"""),"Female")</f>
        <v>Female</v>
      </c>
    </row>
    <row r="535" spans="13:17" x14ac:dyDescent="0.25">
      <c r="M535" s="4" t="s">
        <v>48</v>
      </c>
      <c r="N535" s="1" t="str">
        <f ca="1">IFERROR(__xludf.DUMMYFUNCTION("""COMPUTED_VALUE"""),"Male")</f>
        <v>Male</v>
      </c>
      <c r="P535" s="1" t="str">
        <f ca="1">IFERROR(__xludf.DUMMYFUNCTION("""COMPUTED_VALUE"""),"Work &lt;=6 People in the Team")</f>
        <v>Work &lt;=6 People in the Team</v>
      </c>
      <c r="Q535" s="1" t="str">
        <f ca="1">IFERROR(__xludf.DUMMYFUNCTION("""COMPUTED_VALUE"""),"Male")</f>
        <v>Male</v>
      </c>
    </row>
    <row r="536" spans="13:17" x14ac:dyDescent="0.25">
      <c r="M536" s="4" t="s">
        <v>49</v>
      </c>
      <c r="N536" s="1" t="str">
        <f ca="1">IFERROR(__xludf.DUMMYFUNCTION("""COMPUTED_VALUE"""),"Male")</f>
        <v>Male</v>
      </c>
      <c r="P536" s="1" t="str">
        <f ca="1">IFERROR(__xludf.DUMMYFUNCTION("""COMPUTED_VALUE"""),"Work &lt;=6 People in the Team")</f>
        <v>Work &lt;=6 People in the Team</v>
      </c>
      <c r="Q536" s="1" t="str">
        <f ca="1">IFERROR(__xludf.DUMMYFUNCTION("""COMPUTED_VALUE"""),"Male")</f>
        <v>Male</v>
      </c>
    </row>
    <row r="537" spans="13:17" x14ac:dyDescent="0.25">
      <c r="M537" s="4" t="s">
        <v>48</v>
      </c>
      <c r="N537" s="1" t="str">
        <f ca="1">IFERROR(__xludf.DUMMYFUNCTION("""COMPUTED_VALUE"""),"Male")</f>
        <v>Male</v>
      </c>
      <c r="P537" s="1" t="str">
        <f ca="1">IFERROR(__xludf.DUMMYFUNCTION("""COMPUTED_VALUE"""),"Work &gt;=7 People in the Team")</f>
        <v>Work &gt;=7 People in the Team</v>
      </c>
      <c r="Q537" s="1" t="str">
        <f ca="1">IFERROR(__xludf.DUMMYFUNCTION("""COMPUTED_VALUE"""),"Male")</f>
        <v>Male</v>
      </c>
    </row>
    <row r="538" spans="13:17" x14ac:dyDescent="0.25">
      <c r="M538" s="4" t="s">
        <v>53</v>
      </c>
      <c r="N538" s="1" t="str">
        <f ca="1">IFERROR(__xludf.DUMMYFUNCTION("""COMPUTED_VALUE"""),"Female")</f>
        <v>Female</v>
      </c>
      <c r="P538" s="1" t="str">
        <f ca="1">IFERROR(__xludf.DUMMYFUNCTION("""COMPUTED_VALUE"""),"Work &lt;=6 People in the Team")</f>
        <v>Work &lt;=6 People in the Team</v>
      </c>
      <c r="Q538" s="1" t="str">
        <f ca="1">IFERROR(__xludf.DUMMYFUNCTION("""COMPUTED_VALUE"""),"Female")</f>
        <v>Female</v>
      </c>
    </row>
    <row r="539" spans="13:17" x14ac:dyDescent="0.25">
      <c r="M539" s="4" t="s">
        <v>49</v>
      </c>
      <c r="N539" s="1" t="str">
        <f ca="1">IFERROR(__xludf.DUMMYFUNCTION("""COMPUTED_VALUE"""),"Male")</f>
        <v>Male</v>
      </c>
      <c r="P539" s="1" t="str">
        <f ca="1">IFERROR(__xludf.DUMMYFUNCTION("""COMPUTED_VALUE"""),"Work alone")</f>
        <v>Work alone</v>
      </c>
      <c r="Q539" s="1" t="str">
        <f ca="1">IFERROR(__xludf.DUMMYFUNCTION("""COMPUTED_VALUE"""),"Male")</f>
        <v>Male</v>
      </c>
    </row>
    <row r="540" spans="13:17" x14ac:dyDescent="0.25">
      <c r="M540" s="4" t="s">
        <v>49</v>
      </c>
      <c r="N540" s="1" t="str">
        <f ca="1">IFERROR(__xludf.DUMMYFUNCTION("""COMPUTED_VALUE"""),"Male")</f>
        <v>Male</v>
      </c>
      <c r="P540" s="1" t="str">
        <f ca="1">IFERROR(__xludf.DUMMYFUNCTION("""COMPUTED_VALUE"""),"Work &lt;=6 People in the Team")</f>
        <v>Work &lt;=6 People in the Team</v>
      </c>
      <c r="Q540" s="1" t="str">
        <f ca="1">IFERROR(__xludf.DUMMYFUNCTION("""COMPUTED_VALUE"""),"Male")</f>
        <v>Male</v>
      </c>
    </row>
    <row r="541" spans="13:17" x14ac:dyDescent="0.25">
      <c r="M541" s="4" t="s">
        <v>49</v>
      </c>
      <c r="N541" s="1" t="str">
        <f ca="1">IFERROR(__xludf.DUMMYFUNCTION("""COMPUTED_VALUE"""),"Female")</f>
        <v>Female</v>
      </c>
      <c r="P541" s="1" t="str">
        <f ca="1">IFERROR(__xludf.DUMMYFUNCTION("""COMPUTED_VALUE"""),"Work  &lt;67 people in team")</f>
        <v>Work  &lt;67 people in team</v>
      </c>
      <c r="Q541" s="1" t="str">
        <f ca="1">IFERROR(__xludf.DUMMYFUNCTION("""COMPUTED_VALUE"""),"Female")</f>
        <v>Female</v>
      </c>
    </row>
    <row r="542" spans="13:17" x14ac:dyDescent="0.25">
      <c r="M542" s="4" t="s">
        <v>48</v>
      </c>
      <c r="N542" s="1" t="str">
        <f ca="1">IFERROR(__xludf.DUMMYFUNCTION("""COMPUTED_VALUE"""),"Female")</f>
        <v>Female</v>
      </c>
      <c r="P542" s="1" t="str">
        <f ca="1">IFERROR(__xludf.DUMMYFUNCTION("""COMPUTED_VALUE"""),"Work alone")</f>
        <v>Work alone</v>
      </c>
      <c r="Q542" s="1" t="str">
        <f ca="1">IFERROR(__xludf.DUMMYFUNCTION("""COMPUTED_VALUE"""),"Female")</f>
        <v>Female</v>
      </c>
    </row>
    <row r="543" spans="13:17" x14ac:dyDescent="0.25">
      <c r="M543" s="4" t="s">
        <v>49</v>
      </c>
      <c r="N543" s="1" t="str">
        <f ca="1">IFERROR(__xludf.DUMMYFUNCTION("""COMPUTED_VALUE"""),"Male")</f>
        <v>Male</v>
      </c>
      <c r="P543" s="1" t="str">
        <f ca="1">IFERROR(__xludf.DUMMYFUNCTION("""COMPUTED_VALUE"""),"Work &lt;=6 People in the Team")</f>
        <v>Work &lt;=6 People in the Team</v>
      </c>
      <c r="Q543" s="1" t="str">
        <f ca="1">IFERROR(__xludf.DUMMYFUNCTION("""COMPUTED_VALUE"""),"Male")</f>
        <v>Male</v>
      </c>
    </row>
    <row r="544" spans="13:17" x14ac:dyDescent="0.25">
      <c r="M544" s="4" t="s">
        <v>53</v>
      </c>
      <c r="N544" s="1" t="str">
        <f ca="1">IFERROR(__xludf.DUMMYFUNCTION("""COMPUTED_VALUE"""),"Male")</f>
        <v>Male</v>
      </c>
      <c r="P544" s="1" t="str">
        <f ca="1">IFERROR(__xludf.DUMMYFUNCTION("""COMPUTED_VALUE"""),"Work alone")</f>
        <v>Work alone</v>
      </c>
      <c r="Q544" s="1" t="str">
        <f ca="1">IFERROR(__xludf.DUMMYFUNCTION("""COMPUTED_VALUE"""),"Male")</f>
        <v>Male</v>
      </c>
    </row>
    <row r="545" spans="13:17" x14ac:dyDescent="0.25">
      <c r="M545" s="4" t="s">
        <v>53</v>
      </c>
      <c r="N545" s="1" t="str">
        <f ca="1">IFERROR(__xludf.DUMMYFUNCTION("""COMPUTED_VALUE"""),"Male")</f>
        <v>Male</v>
      </c>
      <c r="P545" s="1" t="str">
        <f ca="1">IFERROR(__xludf.DUMMYFUNCTION("""COMPUTED_VALUE"""),"Work Alone, &lt;67 people in team")</f>
        <v>Work Alone, &lt;67 people in team</v>
      </c>
      <c r="Q545" s="1" t="str">
        <f ca="1">IFERROR(__xludf.DUMMYFUNCTION("""COMPUTED_VALUE"""),"Male")</f>
        <v>Male</v>
      </c>
    </row>
    <row r="546" spans="13:17" x14ac:dyDescent="0.25">
      <c r="M546" s="4" t="s">
        <v>49</v>
      </c>
      <c r="N546" s="1" t="str">
        <f ca="1">IFERROR(__xludf.DUMMYFUNCTION("""COMPUTED_VALUE"""),"Female")</f>
        <v>Female</v>
      </c>
      <c r="P546" s="1" t="str">
        <f ca="1">IFERROR(__xludf.DUMMYFUNCTION("""COMPUTED_VALUE"""),"Work &lt;=6 People in the Team")</f>
        <v>Work &lt;=6 People in the Team</v>
      </c>
      <c r="Q546" s="1" t="str">
        <f ca="1">IFERROR(__xludf.DUMMYFUNCTION("""COMPUTED_VALUE"""),"Female")</f>
        <v>Female</v>
      </c>
    </row>
    <row r="547" spans="13:17" x14ac:dyDescent="0.25">
      <c r="M547" s="4" t="s">
        <v>48</v>
      </c>
      <c r="N547" s="1" t="str">
        <f ca="1">IFERROR(__xludf.DUMMYFUNCTION("""COMPUTED_VALUE"""),"Female")</f>
        <v>Female</v>
      </c>
      <c r="P547" s="1" t="str">
        <f ca="1">IFERROR(__xludf.DUMMYFUNCTION("""COMPUTED_VALUE"""),"Work &lt;=6 People in the Team")</f>
        <v>Work &lt;=6 People in the Team</v>
      </c>
      <c r="Q547" s="1" t="str">
        <f ca="1">IFERROR(__xludf.DUMMYFUNCTION("""COMPUTED_VALUE"""),"Female")</f>
        <v>Female</v>
      </c>
    </row>
    <row r="548" spans="13:17" x14ac:dyDescent="0.25">
      <c r="M548" s="4" t="s">
        <v>49</v>
      </c>
      <c r="N548" s="1" t="str">
        <f ca="1">IFERROR(__xludf.DUMMYFUNCTION("""COMPUTED_VALUE"""),"Male")</f>
        <v>Male</v>
      </c>
      <c r="P548" s="1" t="str">
        <f ca="1">IFERROR(__xludf.DUMMYFUNCTION("""COMPUTED_VALUE"""),"Work &gt;10 people in Team")</f>
        <v>Work &gt;10 people in Team</v>
      </c>
      <c r="Q548" s="1" t="str">
        <f ca="1">IFERROR(__xludf.DUMMYFUNCTION("""COMPUTED_VALUE"""),"Male")</f>
        <v>Male</v>
      </c>
    </row>
    <row r="549" spans="13:17" x14ac:dyDescent="0.25">
      <c r="M549" s="4" t="s">
        <v>48</v>
      </c>
      <c r="N549" s="1" t="str">
        <f ca="1">IFERROR(__xludf.DUMMYFUNCTION("""COMPUTED_VALUE"""),"Male")</f>
        <v>Male</v>
      </c>
      <c r="P549" s="1" t="str">
        <f ca="1">IFERROR(__xludf.DUMMYFUNCTION("""COMPUTED_VALUE"""),"Work  &lt;67 people in team")</f>
        <v>Work  &lt;67 people in team</v>
      </c>
      <c r="Q549" s="1" t="str">
        <f ca="1">IFERROR(__xludf.DUMMYFUNCTION("""COMPUTED_VALUE"""),"Male")</f>
        <v>Male</v>
      </c>
    </row>
    <row r="550" spans="13:17" x14ac:dyDescent="0.25">
      <c r="M550" s="4" t="s">
        <v>49</v>
      </c>
      <c r="N550" s="1" t="str">
        <f ca="1">IFERROR(__xludf.DUMMYFUNCTION("""COMPUTED_VALUE"""),"Male")</f>
        <v>Male</v>
      </c>
      <c r="P550" s="1" t="str">
        <f ca="1">IFERROR(__xludf.DUMMYFUNCTION("""COMPUTED_VALUE"""),"Work &gt;10 people in Team")</f>
        <v>Work &gt;10 people in Team</v>
      </c>
      <c r="Q550" s="1" t="str">
        <f ca="1">IFERROR(__xludf.DUMMYFUNCTION("""COMPUTED_VALUE"""),"Male")</f>
        <v>Male</v>
      </c>
    </row>
    <row r="551" spans="13:17" x14ac:dyDescent="0.25">
      <c r="M551" s="4" t="s">
        <v>48</v>
      </c>
      <c r="N551" s="1" t="str">
        <f ca="1">IFERROR(__xludf.DUMMYFUNCTION("""COMPUTED_VALUE"""),"Male")</f>
        <v>Male</v>
      </c>
      <c r="P551" s="1" t="str">
        <f ca="1">IFERROR(__xludf.DUMMYFUNCTION("""COMPUTED_VALUE"""),"Work Alone, &lt;67 people in team")</f>
        <v>Work Alone, &lt;67 people in team</v>
      </c>
      <c r="Q551" s="1" t="str">
        <f ca="1">IFERROR(__xludf.DUMMYFUNCTION("""COMPUTED_VALUE"""),"Male")</f>
        <v>Male</v>
      </c>
    </row>
    <row r="552" spans="13:17" x14ac:dyDescent="0.25">
      <c r="M552" s="4" t="s">
        <v>49</v>
      </c>
      <c r="N552" s="1" t="str">
        <f ca="1">IFERROR(__xludf.DUMMYFUNCTION("""COMPUTED_VALUE"""),"Female")</f>
        <v>Female</v>
      </c>
      <c r="P552" s="1" t="str">
        <f ca="1">IFERROR(__xludf.DUMMYFUNCTION("""COMPUTED_VALUE"""),"Work &gt;10 people in Team")</f>
        <v>Work &gt;10 people in Team</v>
      </c>
      <c r="Q552" s="1" t="str">
        <f ca="1">IFERROR(__xludf.DUMMYFUNCTION("""COMPUTED_VALUE"""),"Female")</f>
        <v>Female</v>
      </c>
    </row>
    <row r="553" spans="13:17" x14ac:dyDescent="0.25">
      <c r="M553" s="4" t="s">
        <v>49</v>
      </c>
      <c r="N553" s="1" t="str">
        <f ca="1">IFERROR(__xludf.DUMMYFUNCTION("""COMPUTED_VALUE"""),"Male")</f>
        <v>Male</v>
      </c>
      <c r="P553" s="1" t="str">
        <f ca="1">IFERROR(__xludf.DUMMYFUNCTION("""COMPUTED_VALUE"""),"Work &gt;10 people in Team")</f>
        <v>Work &gt;10 people in Team</v>
      </c>
      <c r="Q553" s="1" t="str">
        <f ca="1">IFERROR(__xludf.DUMMYFUNCTION("""COMPUTED_VALUE"""),"Male")</f>
        <v>Male</v>
      </c>
    </row>
    <row r="554" spans="13:17" x14ac:dyDescent="0.25">
      <c r="M554" s="4" t="s">
        <v>49</v>
      </c>
      <c r="N554" s="1" t="str">
        <f ca="1">IFERROR(__xludf.DUMMYFUNCTION("""COMPUTED_VALUE"""),"Male")</f>
        <v>Male</v>
      </c>
      <c r="P554" s="1" t="str">
        <f ca="1">IFERROR(__xludf.DUMMYFUNCTION("""COMPUTED_VALUE"""),"Work &lt;=6 People in the Team")</f>
        <v>Work &lt;=6 People in the Team</v>
      </c>
      <c r="Q554" s="1" t="str">
        <f ca="1">IFERROR(__xludf.DUMMYFUNCTION("""COMPUTED_VALUE"""),"Male")</f>
        <v>Male</v>
      </c>
    </row>
    <row r="555" spans="13:17" x14ac:dyDescent="0.25">
      <c r="M555" s="4" t="s">
        <v>48</v>
      </c>
      <c r="N555" s="1" t="str">
        <f ca="1">IFERROR(__xludf.DUMMYFUNCTION("""COMPUTED_VALUE"""),"Male")</f>
        <v>Male</v>
      </c>
      <c r="P555" s="1" t="str">
        <f ca="1">IFERROR(__xludf.DUMMYFUNCTION("""COMPUTED_VALUE"""),"Work &gt;=7 People in the Team")</f>
        <v>Work &gt;=7 People in the Team</v>
      </c>
      <c r="Q555" s="1" t="str">
        <f ca="1">IFERROR(__xludf.DUMMYFUNCTION("""COMPUTED_VALUE"""),"Male")</f>
        <v>Male</v>
      </c>
    </row>
    <row r="556" spans="13:17" x14ac:dyDescent="0.25">
      <c r="M556" s="4" t="s">
        <v>53</v>
      </c>
      <c r="N556" s="1" t="str">
        <f ca="1">IFERROR(__xludf.DUMMYFUNCTION("""COMPUTED_VALUE"""),"Male")</f>
        <v>Male</v>
      </c>
      <c r="P556" s="1" t="str">
        <f ca="1">IFERROR(__xludf.DUMMYFUNCTION("""COMPUTED_VALUE"""),"Work &gt;=7 People in the Team")</f>
        <v>Work &gt;=7 People in the Team</v>
      </c>
      <c r="Q556" s="1" t="str">
        <f ca="1">IFERROR(__xludf.DUMMYFUNCTION("""COMPUTED_VALUE"""),"Male")</f>
        <v>Male</v>
      </c>
    </row>
    <row r="557" spans="13:17" x14ac:dyDescent="0.25">
      <c r="M557" s="4" t="s">
        <v>48</v>
      </c>
      <c r="N557" s="1" t="str">
        <f ca="1">IFERROR(__xludf.DUMMYFUNCTION("""COMPUTED_VALUE"""),"Female")</f>
        <v>Female</v>
      </c>
      <c r="P557" s="1" t="str">
        <f ca="1">IFERROR(__xludf.DUMMYFUNCTION("""COMPUTED_VALUE"""),"Work &lt;=6 People in the Team")</f>
        <v>Work &lt;=6 People in the Team</v>
      </c>
      <c r="Q557" s="1" t="str">
        <f ca="1">IFERROR(__xludf.DUMMYFUNCTION("""COMPUTED_VALUE"""),"Female")</f>
        <v>Female</v>
      </c>
    </row>
    <row r="558" spans="13:17" x14ac:dyDescent="0.25">
      <c r="M558" s="4" t="s">
        <v>49</v>
      </c>
      <c r="N558" s="1" t="str">
        <f ca="1">IFERROR(__xludf.DUMMYFUNCTION("""COMPUTED_VALUE"""),"Male")</f>
        <v>Male</v>
      </c>
      <c r="P558" s="1" t="str">
        <f ca="1">IFERROR(__xludf.DUMMYFUNCTION("""COMPUTED_VALUE"""),"Work &lt;67 People in the Team")</f>
        <v>Work &lt;67 People in the Team</v>
      </c>
      <c r="Q558" s="1" t="str">
        <f ca="1">IFERROR(__xludf.DUMMYFUNCTION("""COMPUTED_VALUE"""),"Male")</f>
        <v>Male</v>
      </c>
    </row>
    <row r="559" spans="13:17" x14ac:dyDescent="0.25">
      <c r="M559" s="4" t="s">
        <v>49</v>
      </c>
      <c r="N559" s="1" t="str">
        <f ca="1">IFERROR(__xludf.DUMMYFUNCTION("""COMPUTED_VALUE"""),"Male")</f>
        <v>Male</v>
      </c>
      <c r="P559" s="1" t="str">
        <f ca="1">IFERROR(__xludf.DUMMYFUNCTION("""COMPUTED_VALUE"""),"Work &lt;=6 People in the Team")</f>
        <v>Work &lt;=6 People in the Team</v>
      </c>
      <c r="Q559" s="1" t="str">
        <f ca="1">IFERROR(__xludf.DUMMYFUNCTION("""COMPUTED_VALUE"""),"Male")</f>
        <v>Male</v>
      </c>
    </row>
    <row r="560" spans="13:17" x14ac:dyDescent="0.25">
      <c r="M560" s="4" t="s">
        <v>49</v>
      </c>
      <c r="N560" s="1" t="str">
        <f ca="1">IFERROR(__xludf.DUMMYFUNCTION("""COMPUTED_VALUE"""),"Male")</f>
        <v>Male</v>
      </c>
      <c r="P560" s="1" t="str">
        <f ca="1">IFERROR(__xludf.DUMMYFUNCTION("""COMPUTED_VALUE"""),"Work &gt;10 people in Team")</f>
        <v>Work &gt;10 people in Team</v>
      </c>
      <c r="Q560" s="1" t="str">
        <f ca="1">IFERROR(__xludf.DUMMYFUNCTION("""COMPUTED_VALUE"""),"Male")</f>
        <v>Male</v>
      </c>
    </row>
    <row r="561" spans="13:17" x14ac:dyDescent="0.25">
      <c r="M561" s="4" t="s">
        <v>49</v>
      </c>
      <c r="N561" s="1" t="str">
        <f ca="1">IFERROR(__xludf.DUMMYFUNCTION("""COMPUTED_VALUE"""),"Male")</f>
        <v>Male</v>
      </c>
      <c r="P561" s="1" t="str">
        <f ca="1">IFERROR(__xludf.DUMMYFUNCTION("""COMPUTED_VALUE"""),"Work alone")</f>
        <v>Work alone</v>
      </c>
      <c r="Q561" s="1" t="str">
        <f ca="1">IFERROR(__xludf.DUMMYFUNCTION("""COMPUTED_VALUE"""),"Male")</f>
        <v>Male</v>
      </c>
    </row>
    <row r="562" spans="13:17" x14ac:dyDescent="0.25">
      <c r="M562" s="4" t="s">
        <v>53</v>
      </c>
      <c r="N562" s="1" t="str">
        <f ca="1">IFERROR(__xludf.DUMMYFUNCTION("""COMPUTED_VALUE"""),"Female")</f>
        <v>Female</v>
      </c>
      <c r="P562" s="1" t="str">
        <f ca="1">IFERROR(__xludf.DUMMYFUNCTION("""COMPUTED_VALUE"""),"Work &gt;10 people in Team")</f>
        <v>Work &gt;10 people in Team</v>
      </c>
      <c r="Q562" s="1" t="str">
        <f ca="1">IFERROR(__xludf.DUMMYFUNCTION("""COMPUTED_VALUE"""),"Female")</f>
        <v>Female</v>
      </c>
    </row>
    <row r="563" spans="13:17" x14ac:dyDescent="0.25">
      <c r="M563" s="4" t="s">
        <v>48</v>
      </c>
      <c r="N563" s="1" t="str">
        <f ca="1">IFERROR(__xludf.DUMMYFUNCTION("""COMPUTED_VALUE"""),"Male")</f>
        <v>Male</v>
      </c>
      <c r="P563" s="1" t="str">
        <f ca="1">IFERROR(__xludf.DUMMYFUNCTION("""COMPUTED_VALUE"""),"Work alone, Work &gt;10 people in Team")</f>
        <v>Work alone, Work &gt;10 people in Team</v>
      </c>
      <c r="Q563" s="1" t="str">
        <f ca="1">IFERROR(__xludf.DUMMYFUNCTION("""COMPUTED_VALUE"""),"Male")</f>
        <v>Male</v>
      </c>
    </row>
    <row r="564" spans="13:17" x14ac:dyDescent="0.25">
      <c r="M564" s="4" t="s">
        <v>53</v>
      </c>
      <c r="N564" s="1" t="str">
        <f ca="1">IFERROR(__xludf.DUMMYFUNCTION("""COMPUTED_VALUE"""),"Male")</f>
        <v>Male</v>
      </c>
      <c r="P564" s="1" t="str">
        <f ca="1">IFERROR(__xludf.DUMMYFUNCTION("""COMPUTED_VALUE"""),"Work &lt;=6 People in the Team")</f>
        <v>Work &lt;=6 People in the Team</v>
      </c>
      <c r="Q564" s="1" t="str">
        <f ca="1">IFERROR(__xludf.DUMMYFUNCTION("""COMPUTED_VALUE"""),"Male")</f>
        <v>Male</v>
      </c>
    </row>
    <row r="565" spans="13:17" x14ac:dyDescent="0.25">
      <c r="M565" s="4" t="s">
        <v>58</v>
      </c>
      <c r="N565" s="1" t="str">
        <f ca="1">IFERROR(__xludf.DUMMYFUNCTION("""COMPUTED_VALUE"""),"Male")</f>
        <v>Male</v>
      </c>
      <c r="P565" s="1" t="str">
        <f ca="1">IFERROR(__xludf.DUMMYFUNCTION("""COMPUTED_VALUE"""),"Work &lt;=6 People in the Team")</f>
        <v>Work &lt;=6 People in the Team</v>
      </c>
      <c r="Q565" s="1" t="str">
        <f ca="1">IFERROR(__xludf.DUMMYFUNCTION("""COMPUTED_VALUE"""),"Male")</f>
        <v>Male</v>
      </c>
    </row>
    <row r="566" spans="13:17" x14ac:dyDescent="0.25">
      <c r="M566" s="4" t="s">
        <v>49</v>
      </c>
      <c r="N566" s="1" t="str">
        <f ca="1">IFERROR(__xludf.DUMMYFUNCTION("""COMPUTED_VALUE"""),"Male")</f>
        <v>Male</v>
      </c>
      <c r="P566" s="1" t="str">
        <f ca="1">IFERROR(__xludf.DUMMYFUNCTION("""COMPUTED_VALUE"""),"Work &gt;10 people in Team")</f>
        <v>Work &gt;10 people in Team</v>
      </c>
      <c r="Q566" s="1" t="str">
        <f ca="1">IFERROR(__xludf.DUMMYFUNCTION("""COMPUTED_VALUE"""),"Male")</f>
        <v>Male</v>
      </c>
    </row>
    <row r="567" spans="13:17" x14ac:dyDescent="0.25">
      <c r="M567" s="4" t="s">
        <v>48</v>
      </c>
      <c r="N567" s="1" t="str">
        <f ca="1">IFERROR(__xludf.DUMMYFUNCTION("""COMPUTED_VALUE"""),"Male")</f>
        <v>Male</v>
      </c>
      <c r="P567" s="1" t="str">
        <f ca="1">IFERROR(__xludf.DUMMYFUNCTION("""COMPUTED_VALUE"""),"Work Alone, &lt;=6 in team")</f>
        <v>Work Alone, &lt;=6 in team</v>
      </c>
      <c r="Q567" s="1" t="str">
        <f ca="1">IFERROR(__xludf.DUMMYFUNCTION("""COMPUTED_VALUE"""),"Male")</f>
        <v>Male</v>
      </c>
    </row>
    <row r="568" spans="13:17" x14ac:dyDescent="0.25">
      <c r="M568" s="4" t="s">
        <v>49</v>
      </c>
      <c r="N568" s="1" t="str">
        <f ca="1">IFERROR(__xludf.DUMMYFUNCTION("""COMPUTED_VALUE"""),"Female")</f>
        <v>Female</v>
      </c>
      <c r="P568" s="1" t="str">
        <f ca="1">IFERROR(__xludf.DUMMYFUNCTION("""COMPUTED_VALUE"""),"Work Alone, &lt;=6 in team")</f>
        <v>Work Alone, &lt;=6 in team</v>
      </c>
      <c r="Q568" s="1" t="str">
        <f ca="1">IFERROR(__xludf.DUMMYFUNCTION("""COMPUTED_VALUE"""),"Female")</f>
        <v>Female</v>
      </c>
    </row>
    <row r="569" spans="13:17" x14ac:dyDescent="0.25">
      <c r="M569" s="9" t="s">
        <v>2</v>
      </c>
      <c r="N569" s="1" t="str">
        <f ca="1">IFERROR(__xludf.DUMMYFUNCTION("""COMPUTED_VALUE"""),"Female")</f>
        <v>Female</v>
      </c>
      <c r="P569" s="1" t="str">
        <f ca="1">IFERROR(__xludf.DUMMYFUNCTION("""COMPUTED_VALUE"""),"Work &lt;=6 People in the Team")</f>
        <v>Work &lt;=6 People in the Team</v>
      </c>
      <c r="Q569" s="1" t="str">
        <f ca="1">IFERROR(__xludf.DUMMYFUNCTION("""COMPUTED_VALUE"""),"Female")</f>
        <v>Female</v>
      </c>
    </row>
    <row r="570" spans="13:17" x14ac:dyDescent="0.25">
      <c r="M570" s="1"/>
      <c r="N570" s="1" t="str">
        <f ca="1">IFERROR(__xludf.DUMMYFUNCTION("""COMPUTED_VALUE"""),"Male")</f>
        <v>Male</v>
      </c>
      <c r="P570" s="1" t="str">
        <f ca="1">IFERROR(__xludf.DUMMYFUNCTION("""COMPUTED_VALUE"""),"Work &lt;=6 People in the Team")</f>
        <v>Work &lt;=6 People in the Team</v>
      </c>
      <c r="Q570" s="1" t="str">
        <f ca="1">IFERROR(__xludf.DUMMYFUNCTION("""COMPUTED_VALUE"""),"Male")</f>
        <v>Male</v>
      </c>
    </row>
    <row r="571" spans="13:17" x14ac:dyDescent="0.25">
      <c r="M571" s="1"/>
      <c r="N571" s="1" t="str">
        <f ca="1">IFERROR(__xludf.DUMMYFUNCTION("""COMPUTED_VALUE"""),"Male")</f>
        <v>Male</v>
      </c>
      <c r="P571" s="1" t="str">
        <f ca="1">IFERROR(__xludf.DUMMYFUNCTION("""COMPUTED_VALUE"""),"Work &lt;67 People in the Team")</f>
        <v>Work &lt;67 People in the Team</v>
      </c>
      <c r="Q571" s="1" t="str">
        <f ca="1">IFERROR(__xludf.DUMMYFUNCTION("""COMPUTED_VALUE"""),"Male")</f>
        <v>Male</v>
      </c>
    </row>
    <row r="572" spans="13:17" x14ac:dyDescent="0.25">
      <c r="M572" s="1"/>
      <c r="N572" s="1" t="str">
        <f ca="1">IFERROR(__xludf.DUMMYFUNCTION("""COMPUTED_VALUE"""),"Male")</f>
        <v>Male</v>
      </c>
      <c r="P572" s="1" t="str">
        <f ca="1">IFERROR(__xludf.DUMMYFUNCTION("""COMPUTED_VALUE"""),"Work Alone, &lt;=6 in team")</f>
        <v>Work Alone, &lt;=6 in team</v>
      </c>
      <c r="Q572" s="1" t="str">
        <f ca="1">IFERROR(__xludf.DUMMYFUNCTION("""COMPUTED_VALUE"""),"Male")</f>
        <v>Male</v>
      </c>
    </row>
    <row r="573" spans="13:17" x14ac:dyDescent="0.25">
      <c r="M573" s="1"/>
      <c r="N573" s="1" t="str">
        <f ca="1">IFERROR(__xludf.DUMMYFUNCTION("""COMPUTED_VALUE"""),"Male")</f>
        <v>Male</v>
      </c>
      <c r="P573" s="1" t="str">
        <f ca="1">IFERROR(__xludf.DUMMYFUNCTION("""COMPUTED_VALUE"""),"Work &gt;10 people in Team")</f>
        <v>Work &gt;10 people in Team</v>
      </c>
      <c r="Q573" s="1" t="str">
        <f ca="1">IFERROR(__xludf.DUMMYFUNCTION("""COMPUTED_VALUE"""),"Male")</f>
        <v>Male</v>
      </c>
    </row>
    <row r="574" spans="13:17" x14ac:dyDescent="0.25">
      <c r="M574" s="1"/>
      <c r="N574" s="1" t="str">
        <f ca="1">IFERROR(__xludf.DUMMYFUNCTION("""COMPUTED_VALUE"""),"Male")</f>
        <v>Male</v>
      </c>
      <c r="P574" s="1" t="str">
        <f ca="1">IFERROR(__xludf.DUMMYFUNCTION("""COMPUTED_VALUE"""),"Work Alone, &lt;67 people in team")</f>
        <v>Work Alone, &lt;67 people in team</v>
      </c>
      <c r="Q574" s="1" t="str">
        <f ca="1">IFERROR(__xludf.DUMMYFUNCTION("""COMPUTED_VALUE"""),"Male")</f>
        <v>Male</v>
      </c>
    </row>
    <row r="575" spans="13:17" x14ac:dyDescent="0.25">
      <c r="M575" s="1"/>
      <c r="N575" s="1" t="str">
        <f ca="1">IFERROR(__xludf.DUMMYFUNCTION("""COMPUTED_VALUE"""),"Female")</f>
        <v>Female</v>
      </c>
      <c r="P575" s="1" t="str">
        <f ca="1">IFERROR(__xludf.DUMMYFUNCTION("""COMPUTED_VALUE"""),"Work Alone, &lt;=6 in team")</f>
        <v>Work Alone, &lt;=6 in team</v>
      </c>
      <c r="Q575" s="1" t="str">
        <f ca="1">IFERROR(__xludf.DUMMYFUNCTION("""COMPUTED_VALUE"""),"Female")</f>
        <v>Female</v>
      </c>
    </row>
    <row r="576" spans="13:17" x14ac:dyDescent="0.25">
      <c r="M576" s="1"/>
      <c r="N576" s="1" t="str">
        <f ca="1">IFERROR(__xludf.DUMMYFUNCTION("""COMPUTED_VALUE"""),"Male")</f>
        <v>Male</v>
      </c>
      <c r="P576" s="1" t="str">
        <f ca="1">IFERROR(__xludf.DUMMYFUNCTION("""COMPUTED_VALUE"""),"Work &lt;=6 People in the Team")</f>
        <v>Work &lt;=6 People in the Team</v>
      </c>
      <c r="Q576" s="1" t="str">
        <f ca="1">IFERROR(__xludf.DUMMYFUNCTION("""COMPUTED_VALUE"""),"Male")</f>
        <v>Male</v>
      </c>
    </row>
    <row r="577" spans="13:17" x14ac:dyDescent="0.25">
      <c r="M577" s="1"/>
      <c r="N577" s="1" t="str">
        <f ca="1">IFERROR(__xludf.DUMMYFUNCTION("""COMPUTED_VALUE"""),"Transgender")</f>
        <v>Transgender</v>
      </c>
      <c r="P577" s="1" t="str">
        <f ca="1">IFERROR(__xludf.DUMMYFUNCTION("""COMPUTED_VALUE"""),"Work &lt;=6 People in the Team")</f>
        <v>Work &lt;=6 People in the Team</v>
      </c>
      <c r="Q577" s="1" t="str">
        <f ca="1">IFERROR(__xludf.DUMMYFUNCTION("""COMPUTED_VALUE"""),"Transgender")</f>
        <v>Transgender</v>
      </c>
    </row>
    <row r="578" spans="13:17" x14ac:dyDescent="0.25">
      <c r="M578" s="1"/>
      <c r="N578" s="1" t="str">
        <f ca="1">IFERROR(__xludf.DUMMYFUNCTION("""COMPUTED_VALUE"""),"Male")</f>
        <v>Male</v>
      </c>
      <c r="P578" s="1" t="str">
        <f ca="1">IFERROR(__xludf.DUMMYFUNCTION("""COMPUTED_VALUE"""),"Work &lt;=6 People in the Team")</f>
        <v>Work &lt;=6 People in the Team</v>
      </c>
      <c r="Q578" s="1" t="str">
        <f ca="1">IFERROR(__xludf.DUMMYFUNCTION("""COMPUTED_VALUE"""),"Male")</f>
        <v>Male</v>
      </c>
    </row>
    <row r="579" spans="13:17" x14ac:dyDescent="0.25">
      <c r="M579" s="1"/>
      <c r="N579" s="1" t="str">
        <f ca="1">IFERROR(__xludf.DUMMYFUNCTION("""COMPUTED_VALUE"""),"Male")</f>
        <v>Male</v>
      </c>
      <c r="P579" s="1" t="str">
        <f ca="1">IFERROR(__xludf.DUMMYFUNCTION("""COMPUTED_VALUE"""),"Work &gt;=7 People in the Team")</f>
        <v>Work &gt;=7 People in the Team</v>
      </c>
      <c r="Q579" s="1" t="str">
        <f ca="1">IFERROR(__xludf.DUMMYFUNCTION("""COMPUTED_VALUE"""),"Male")</f>
        <v>Male</v>
      </c>
    </row>
    <row r="580" spans="13:17" x14ac:dyDescent="0.25">
      <c r="M580" s="1"/>
      <c r="N580" s="1" t="str">
        <f ca="1">IFERROR(__xludf.DUMMYFUNCTION("""COMPUTED_VALUE"""),"Female")</f>
        <v>Female</v>
      </c>
      <c r="P580" s="1" t="str">
        <f ca="1">IFERROR(__xludf.DUMMYFUNCTION("""COMPUTED_VALUE"""),"Work &lt;=6 People in the Team")</f>
        <v>Work &lt;=6 People in the Team</v>
      </c>
      <c r="Q580" s="1" t="str">
        <f ca="1">IFERROR(__xludf.DUMMYFUNCTION("""COMPUTED_VALUE"""),"Female")</f>
        <v>Female</v>
      </c>
    </row>
    <row r="581" spans="13:17" x14ac:dyDescent="0.25">
      <c r="M581" s="1"/>
      <c r="N581" s="1" t="str">
        <f ca="1">IFERROR(__xludf.DUMMYFUNCTION("""COMPUTED_VALUE"""),"Female")</f>
        <v>Female</v>
      </c>
      <c r="P581" s="1" t="str">
        <f ca="1">IFERROR(__xludf.DUMMYFUNCTION("""COMPUTED_VALUE"""),"Work Alone, &lt;=6 in team")</f>
        <v>Work Alone, &lt;=6 in team</v>
      </c>
      <c r="Q581" s="1" t="str">
        <f ca="1">IFERROR(__xludf.DUMMYFUNCTION("""COMPUTED_VALUE"""),"Female")</f>
        <v>Female</v>
      </c>
    </row>
    <row r="582" spans="13:17" x14ac:dyDescent="0.25">
      <c r="M582" s="1"/>
      <c r="N582" s="1" t="str">
        <f ca="1">IFERROR(__xludf.DUMMYFUNCTION("""COMPUTED_VALUE"""),"Female")</f>
        <v>Female</v>
      </c>
      <c r="P582" s="1" t="str">
        <f ca="1">IFERROR(__xludf.DUMMYFUNCTION("""COMPUTED_VALUE"""),"Work &gt;10 people in Team")</f>
        <v>Work &gt;10 people in Team</v>
      </c>
      <c r="Q582" s="1" t="str">
        <f ca="1">IFERROR(__xludf.DUMMYFUNCTION("""COMPUTED_VALUE"""),"Female")</f>
        <v>Female</v>
      </c>
    </row>
    <row r="583" spans="13:17" x14ac:dyDescent="0.25">
      <c r="M583" s="1"/>
      <c r="N583" s="1" t="str">
        <f ca="1">IFERROR(__xludf.DUMMYFUNCTION("""COMPUTED_VALUE"""),"Female")</f>
        <v>Female</v>
      </c>
      <c r="P583" s="1" t="str">
        <f ca="1">IFERROR(__xludf.DUMMYFUNCTION("""COMPUTED_VALUE"""),"Work &gt;10 people in Team")</f>
        <v>Work &gt;10 people in Team</v>
      </c>
      <c r="Q583" s="1" t="str">
        <f ca="1">IFERROR(__xludf.DUMMYFUNCTION("""COMPUTED_VALUE"""),"Female")</f>
        <v>Female</v>
      </c>
    </row>
    <row r="584" spans="13:17" x14ac:dyDescent="0.25">
      <c r="M584" s="1"/>
      <c r="N584" s="1" t="str">
        <f ca="1">IFERROR(__xludf.DUMMYFUNCTION("""COMPUTED_VALUE"""),"Female")</f>
        <v>Female</v>
      </c>
      <c r="P584" s="1" t="str">
        <f ca="1">IFERROR(__xludf.DUMMYFUNCTION("""COMPUTED_VALUE"""),"Work &lt;=6 People in the Team")</f>
        <v>Work &lt;=6 People in the Team</v>
      </c>
      <c r="Q584" s="1" t="str">
        <f ca="1">IFERROR(__xludf.DUMMYFUNCTION("""COMPUTED_VALUE"""),"Female")</f>
        <v>Female</v>
      </c>
    </row>
    <row r="585" spans="13:17" x14ac:dyDescent="0.25">
      <c r="M585" s="1"/>
      <c r="N585" s="1" t="str">
        <f ca="1">IFERROR(__xludf.DUMMYFUNCTION("""COMPUTED_VALUE"""),"Male")</f>
        <v>Male</v>
      </c>
      <c r="P585" s="1" t="str">
        <f ca="1">IFERROR(__xludf.DUMMYFUNCTION("""COMPUTED_VALUE"""),"Work alone")</f>
        <v>Work alone</v>
      </c>
      <c r="Q585" s="1" t="str">
        <f ca="1">IFERROR(__xludf.DUMMYFUNCTION("""COMPUTED_VALUE"""),"Male")</f>
        <v>Male</v>
      </c>
    </row>
    <row r="586" spans="13:17" x14ac:dyDescent="0.25">
      <c r="M586" s="1"/>
      <c r="N586" s="1" t="str">
        <f ca="1">IFERROR(__xludf.DUMMYFUNCTION("""COMPUTED_VALUE"""),"Male")</f>
        <v>Male</v>
      </c>
      <c r="P586" s="1" t="str">
        <f ca="1">IFERROR(__xludf.DUMMYFUNCTION("""COMPUTED_VALUE"""),"Work alone")</f>
        <v>Work alone</v>
      </c>
      <c r="Q586" s="1" t="str">
        <f ca="1">IFERROR(__xludf.DUMMYFUNCTION("""COMPUTED_VALUE"""),"Male")</f>
        <v>Male</v>
      </c>
    </row>
    <row r="587" spans="13:17" x14ac:dyDescent="0.25">
      <c r="M587" s="1"/>
      <c r="N587" s="1" t="str">
        <f ca="1">IFERROR(__xludf.DUMMYFUNCTION("""COMPUTED_VALUE"""),"Male")</f>
        <v>Male</v>
      </c>
      <c r="P587" s="1" t="str">
        <f ca="1">IFERROR(__xludf.DUMMYFUNCTION("""COMPUTED_VALUE"""),"Work &lt;=6 People in the Team")</f>
        <v>Work &lt;=6 People in the Team</v>
      </c>
      <c r="Q587" s="1" t="str">
        <f ca="1">IFERROR(__xludf.DUMMYFUNCTION("""COMPUTED_VALUE"""),"Male")</f>
        <v>Male</v>
      </c>
    </row>
    <row r="588" spans="13:17" x14ac:dyDescent="0.25">
      <c r="M588" s="1"/>
      <c r="N588" s="1" t="str">
        <f ca="1">IFERROR(__xludf.DUMMYFUNCTION("""COMPUTED_VALUE"""),"Male")</f>
        <v>Male</v>
      </c>
      <c r="P588" s="1" t="str">
        <f ca="1">IFERROR(__xludf.DUMMYFUNCTION("""COMPUTED_VALUE"""),"Work Alone, &lt;67 people in team")</f>
        <v>Work Alone, &lt;67 people in team</v>
      </c>
      <c r="Q588" s="1" t="str">
        <f ca="1">IFERROR(__xludf.DUMMYFUNCTION("""COMPUTED_VALUE"""),"Male")</f>
        <v>Male</v>
      </c>
    </row>
    <row r="589" spans="13:17" x14ac:dyDescent="0.25">
      <c r="M589" s="1"/>
      <c r="N589" s="1" t="str">
        <f ca="1">IFERROR(__xludf.DUMMYFUNCTION("""COMPUTED_VALUE"""),"Female")</f>
        <v>Female</v>
      </c>
      <c r="P589" s="1" t="str">
        <f ca="1">IFERROR(__xludf.DUMMYFUNCTION("""COMPUTED_VALUE"""),"Work &lt;=6 People in the Team")</f>
        <v>Work &lt;=6 People in the Team</v>
      </c>
      <c r="Q589" s="1" t="str">
        <f ca="1">IFERROR(__xludf.DUMMYFUNCTION("""COMPUTED_VALUE"""),"Female")</f>
        <v>Female</v>
      </c>
    </row>
    <row r="590" spans="13:17" x14ac:dyDescent="0.25">
      <c r="M590" s="1"/>
      <c r="N590" s="1" t="str">
        <f ca="1">IFERROR(__xludf.DUMMYFUNCTION("""COMPUTED_VALUE"""),"Female")</f>
        <v>Female</v>
      </c>
      <c r="P590" s="1" t="str">
        <f ca="1">IFERROR(__xludf.DUMMYFUNCTION("""COMPUTED_VALUE"""),"Work &lt;=6 People in the Team")</f>
        <v>Work &lt;=6 People in the Team</v>
      </c>
      <c r="Q590" s="1" t="str">
        <f ca="1">IFERROR(__xludf.DUMMYFUNCTION("""COMPUTED_VALUE"""),"Female")</f>
        <v>Female</v>
      </c>
    </row>
    <row r="591" spans="13:17" x14ac:dyDescent="0.25">
      <c r="M591" s="1"/>
      <c r="N591" s="1" t="str">
        <f ca="1">IFERROR(__xludf.DUMMYFUNCTION("""COMPUTED_VALUE"""),"Male")</f>
        <v>Male</v>
      </c>
      <c r="P591" s="1" t="str">
        <f ca="1">IFERROR(__xludf.DUMMYFUNCTION("""COMPUTED_VALUE"""),"Work &gt;10 people in Team")</f>
        <v>Work &gt;10 people in Team</v>
      </c>
      <c r="Q591" s="1" t="str">
        <f ca="1">IFERROR(__xludf.DUMMYFUNCTION("""COMPUTED_VALUE"""),"Male")</f>
        <v>Male</v>
      </c>
    </row>
    <row r="592" spans="13:17" x14ac:dyDescent="0.25">
      <c r="M592" s="1"/>
      <c r="N592" s="1" t="str">
        <f ca="1">IFERROR(__xludf.DUMMYFUNCTION("""COMPUTED_VALUE"""),"Male")</f>
        <v>Male</v>
      </c>
      <c r="P592" s="1" t="str">
        <f ca="1">IFERROR(__xludf.DUMMYFUNCTION("""COMPUTED_VALUE"""),"Work &lt;=6 People in the Team")</f>
        <v>Work &lt;=6 People in the Team</v>
      </c>
      <c r="Q592" s="1" t="str">
        <f ca="1">IFERROR(__xludf.DUMMYFUNCTION("""COMPUTED_VALUE"""),"Male")</f>
        <v>Male</v>
      </c>
    </row>
    <row r="593" spans="13:17" x14ac:dyDescent="0.25">
      <c r="M593" s="1"/>
      <c r="N593" s="1" t="str">
        <f ca="1">IFERROR(__xludf.DUMMYFUNCTION("""COMPUTED_VALUE"""),"Male")</f>
        <v>Male</v>
      </c>
      <c r="P593" s="1" t="str">
        <f ca="1">IFERROR(__xludf.DUMMYFUNCTION("""COMPUTED_VALUE"""),"Work &lt;=6 People in the Team")</f>
        <v>Work &lt;=6 People in the Team</v>
      </c>
      <c r="Q593" s="1" t="str">
        <f ca="1">IFERROR(__xludf.DUMMYFUNCTION("""COMPUTED_VALUE"""),"Male")</f>
        <v>Male</v>
      </c>
    </row>
    <row r="594" spans="13:17" x14ac:dyDescent="0.25">
      <c r="M594" s="1"/>
      <c r="N594" s="1" t="str">
        <f ca="1">IFERROR(__xludf.DUMMYFUNCTION("""COMPUTED_VALUE"""),"Male")</f>
        <v>Male</v>
      </c>
      <c r="P594" s="1" t="str">
        <f ca="1">IFERROR(__xludf.DUMMYFUNCTION("""COMPUTED_VALUE"""),"Work Alone, &lt;=6 in team")</f>
        <v>Work Alone, &lt;=6 in team</v>
      </c>
      <c r="Q594" s="1" t="str">
        <f ca="1">IFERROR(__xludf.DUMMYFUNCTION("""COMPUTED_VALUE"""),"Male")</f>
        <v>Male</v>
      </c>
    </row>
    <row r="595" spans="13:17" x14ac:dyDescent="0.25">
      <c r="M595" s="1"/>
      <c r="N595" s="1" t="str">
        <f ca="1">IFERROR(__xludf.DUMMYFUNCTION("""COMPUTED_VALUE"""),"Male")</f>
        <v>Male</v>
      </c>
      <c r="P595" s="1" t="str">
        <f ca="1">IFERROR(__xludf.DUMMYFUNCTION("""COMPUTED_VALUE"""),"Work &gt;10 people in Team")</f>
        <v>Work &gt;10 people in Team</v>
      </c>
      <c r="Q595" s="1" t="str">
        <f ca="1">IFERROR(__xludf.DUMMYFUNCTION("""COMPUTED_VALUE"""),"Male")</f>
        <v>Male</v>
      </c>
    </row>
    <row r="596" spans="13:17" x14ac:dyDescent="0.25">
      <c r="M596" s="1"/>
      <c r="N596" s="1" t="str">
        <f ca="1">IFERROR(__xludf.DUMMYFUNCTION("""COMPUTED_VALUE"""),"Male")</f>
        <v>Male</v>
      </c>
      <c r="P596" s="1" t="str">
        <f ca="1">IFERROR(__xludf.DUMMYFUNCTION("""COMPUTED_VALUE"""),"Work &lt;=6 People in the Team")</f>
        <v>Work &lt;=6 People in the Team</v>
      </c>
      <c r="Q596" s="1" t="str">
        <f ca="1">IFERROR(__xludf.DUMMYFUNCTION("""COMPUTED_VALUE"""),"Male")</f>
        <v>Male</v>
      </c>
    </row>
    <row r="597" spans="13:17" x14ac:dyDescent="0.25">
      <c r="M597" s="1"/>
      <c r="N597" s="1" t="str">
        <f ca="1">IFERROR(__xludf.DUMMYFUNCTION("""COMPUTED_VALUE"""),"Male")</f>
        <v>Male</v>
      </c>
      <c r="P597" s="1" t="str">
        <f ca="1">IFERROR(__xludf.DUMMYFUNCTION("""COMPUTED_VALUE"""),"Work &gt;=7 People in the Team")</f>
        <v>Work &gt;=7 People in the Team</v>
      </c>
      <c r="Q597" s="1" t="str">
        <f ca="1">IFERROR(__xludf.DUMMYFUNCTION("""COMPUTED_VALUE"""),"Male")</f>
        <v>Male</v>
      </c>
    </row>
    <row r="598" spans="13:17" x14ac:dyDescent="0.25">
      <c r="M598" s="1"/>
      <c r="N598" s="1" t="str">
        <f ca="1">IFERROR(__xludf.DUMMYFUNCTION("""COMPUTED_VALUE"""),"Male")</f>
        <v>Male</v>
      </c>
      <c r="P598" s="1" t="str">
        <f ca="1">IFERROR(__xludf.DUMMYFUNCTION("""COMPUTED_VALUE"""),"Work &gt;=7 People in the Team")</f>
        <v>Work &gt;=7 People in the Team</v>
      </c>
      <c r="Q598" s="1" t="str">
        <f ca="1">IFERROR(__xludf.DUMMYFUNCTION("""COMPUTED_VALUE"""),"Male")</f>
        <v>Male</v>
      </c>
    </row>
    <row r="599" spans="13:17" x14ac:dyDescent="0.25">
      <c r="M599" s="1"/>
      <c r="N599" s="1" t="str">
        <f ca="1">IFERROR(__xludf.DUMMYFUNCTION("""COMPUTED_VALUE"""),"Male")</f>
        <v>Male</v>
      </c>
      <c r="P599" s="1" t="str">
        <f ca="1">IFERROR(__xludf.DUMMYFUNCTION("""COMPUTED_VALUE"""),"Work &gt;10 people in Team")</f>
        <v>Work &gt;10 people in Team</v>
      </c>
      <c r="Q599" s="1" t="str">
        <f ca="1">IFERROR(__xludf.DUMMYFUNCTION("""COMPUTED_VALUE"""),"Male")</f>
        <v>Male</v>
      </c>
    </row>
    <row r="600" spans="13:17" x14ac:dyDescent="0.25">
      <c r="M600" s="1"/>
      <c r="N600" s="1" t="str">
        <f ca="1">IFERROR(__xludf.DUMMYFUNCTION("""COMPUTED_VALUE"""),"Female")</f>
        <v>Female</v>
      </c>
      <c r="P600" s="1" t="str">
        <f ca="1">IFERROR(__xludf.DUMMYFUNCTION("""COMPUTED_VALUE"""),"Work &gt;10 people in Team")</f>
        <v>Work &gt;10 people in Team</v>
      </c>
      <c r="Q600" s="1" t="str">
        <f ca="1">IFERROR(__xludf.DUMMYFUNCTION("""COMPUTED_VALUE"""),"Female")</f>
        <v>Female</v>
      </c>
    </row>
    <row r="601" spans="13:17" x14ac:dyDescent="0.25">
      <c r="M601" s="1"/>
      <c r="N601" s="1" t="str">
        <f ca="1">IFERROR(__xludf.DUMMYFUNCTION("""COMPUTED_VALUE"""),"Female")</f>
        <v>Female</v>
      </c>
      <c r="P601" s="1" t="str">
        <f ca="1">IFERROR(__xludf.DUMMYFUNCTION("""COMPUTED_VALUE"""),"Work &lt;=6 People in the Team")</f>
        <v>Work &lt;=6 People in the Team</v>
      </c>
      <c r="Q601" s="1" t="str">
        <f ca="1">IFERROR(__xludf.DUMMYFUNCTION("""COMPUTED_VALUE"""),"Female")</f>
        <v>Female</v>
      </c>
    </row>
    <row r="602" spans="13:17" x14ac:dyDescent="0.25">
      <c r="M602" s="1"/>
      <c r="N602" s="1" t="str">
        <f ca="1">IFERROR(__xludf.DUMMYFUNCTION("""COMPUTED_VALUE"""),"Male")</f>
        <v>Male</v>
      </c>
      <c r="P602" s="1" t="str">
        <f ca="1">IFERROR(__xludf.DUMMYFUNCTION("""COMPUTED_VALUE"""),"Work &lt;=6 People in the Team")</f>
        <v>Work &lt;=6 People in the Team</v>
      </c>
      <c r="Q602" s="1" t="str">
        <f ca="1">IFERROR(__xludf.DUMMYFUNCTION("""COMPUTED_VALUE"""),"Male")</f>
        <v>Male</v>
      </c>
    </row>
    <row r="603" spans="13:17" x14ac:dyDescent="0.25">
      <c r="M603" s="1"/>
      <c r="N603" s="1" t="str">
        <f ca="1">IFERROR(__xludf.DUMMYFUNCTION("""COMPUTED_VALUE"""),"Male")</f>
        <v>Male</v>
      </c>
      <c r="P603" s="1" t="str">
        <f ca="1">IFERROR(__xludf.DUMMYFUNCTION("""COMPUTED_VALUE"""),"Work &gt;=7 People in the Team")</f>
        <v>Work &gt;=7 People in the Team</v>
      </c>
      <c r="Q603" s="1" t="str">
        <f ca="1">IFERROR(__xludf.DUMMYFUNCTION("""COMPUTED_VALUE"""),"Male")</f>
        <v>Male</v>
      </c>
    </row>
    <row r="604" spans="13:17" x14ac:dyDescent="0.25">
      <c r="M604" s="1"/>
      <c r="N604" s="1" t="str">
        <f ca="1">IFERROR(__xludf.DUMMYFUNCTION("""COMPUTED_VALUE"""),"Male")</f>
        <v>Male</v>
      </c>
      <c r="P604" s="1" t="str">
        <f ca="1">IFERROR(__xludf.DUMMYFUNCTION("""COMPUTED_VALUE"""),"Work &lt;=6 People in the Team")</f>
        <v>Work &lt;=6 People in the Team</v>
      </c>
      <c r="Q604" s="1" t="str">
        <f ca="1">IFERROR(__xludf.DUMMYFUNCTION("""COMPUTED_VALUE"""),"Male")</f>
        <v>Male</v>
      </c>
    </row>
    <row r="605" spans="13:17" x14ac:dyDescent="0.25">
      <c r="M605" s="1"/>
      <c r="N605" s="1" t="str">
        <f ca="1">IFERROR(__xludf.DUMMYFUNCTION("""COMPUTED_VALUE"""),"Male")</f>
        <v>Male</v>
      </c>
      <c r="P605" s="1" t="str">
        <f ca="1">IFERROR(__xludf.DUMMYFUNCTION("""COMPUTED_VALUE"""),"Work &gt;=7 People in the Team")</f>
        <v>Work &gt;=7 People in the Team</v>
      </c>
      <c r="Q605" s="1" t="str">
        <f ca="1">IFERROR(__xludf.DUMMYFUNCTION("""COMPUTED_VALUE"""),"Male")</f>
        <v>Male</v>
      </c>
    </row>
    <row r="606" spans="13:17" x14ac:dyDescent="0.25">
      <c r="M606" s="1"/>
      <c r="N606" s="1" t="str">
        <f ca="1">IFERROR(__xludf.DUMMYFUNCTION("""COMPUTED_VALUE"""),"Male")</f>
        <v>Male</v>
      </c>
      <c r="P606" s="1" t="str">
        <f ca="1">IFERROR(__xludf.DUMMYFUNCTION("""COMPUTED_VALUE"""),"Work &lt;=6 People in the Team")</f>
        <v>Work &lt;=6 People in the Team</v>
      </c>
      <c r="Q606" s="1" t="str">
        <f ca="1">IFERROR(__xludf.DUMMYFUNCTION("""COMPUTED_VALUE"""),"Male")</f>
        <v>Male</v>
      </c>
    </row>
    <row r="607" spans="13:17" x14ac:dyDescent="0.25">
      <c r="M607" s="1"/>
      <c r="N607" s="1" t="str">
        <f ca="1">IFERROR(__xludf.DUMMYFUNCTION("""COMPUTED_VALUE"""),"Male")</f>
        <v>Male</v>
      </c>
      <c r="P607" s="1" t="str">
        <f ca="1">IFERROR(__xludf.DUMMYFUNCTION("""COMPUTED_VALUE"""),"Work  &lt;67 people in team")</f>
        <v>Work  &lt;67 people in team</v>
      </c>
      <c r="Q607" s="1" t="str">
        <f ca="1">IFERROR(__xludf.DUMMYFUNCTION("""COMPUTED_VALUE"""),"Male")</f>
        <v>Male</v>
      </c>
    </row>
    <row r="608" spans="13:17" x14ac:dyDescent="0.25">
      <c r="M608" s="1"/>
      <c r="N608" s="1" t="str">
        <f ca="1">IFERROR(__xludf.DUMMYFUNCTION("""COMPUTED_VALUE"""),"Female")</f>
        <v>Female</v>
      </c>
      <c r="P608" s="1" t="str">
        <f ca="1">IFERROR(__xludf.DUMMYFUNCTION("""COMPUTED_VALUE"""),"Work &lt;=6 People in the Team")</f>
        <v>Work &lt;=6 People in the Team</v>
      </c>
      <c r="Q608" s="1" t="str">
        <f ca="1">IFERROR(__xludf.DUMMYFUNCTION("""COMPUTED_VALUE"""),"Female")</f>
        <v>Female</v>
      </c>
    </row>
    <row r="609" spans="13:17" x14ac:dyDescent="0.25">
      <c r="M609" s="1"/>
      <c r="N609" s="1" t="str">
        <f ca="1">IFERROR(__xludf.DUMMYFUNCTION("""COMPUTED_VALUE"""),"Male")</f>
        <v>Male</v>
      </c>
      <c r="P609" s="1" t="str">
        <f ca="1">IFERROR(__xludf.DUMMYFUNCTION("""COMPUTED_VALUE"""),"Work Alone, &lt;=6 in team")</f>
        <v>Work Alone, &lt;=6 in team</v>
      </c>
      <c r="Q609" s="1" t="str">
        <f ca="1">IFERROR(__xludf.DUMMYFUNCTION("""COMPUTED_VALUE"""),"Male")</f>
        <v>Male</v>
      </c>
    </row>
    <row r="610" spans="13:17" x14ac:dyDescent="0.25">
      <c r="M610" s="1"/>
      <c r="N610" s="1" t="str">
        <f ca="1">IFERROR(__xludf.DUMMYFUNCTION("""COMPUTED_VALUE"""),"Female")</f>
        <v>Female</v>
      </c>
      <c r="P610" s="1" t="str">
        <f ca="1">IFERROR(__xludf.DUMMYFUNCTION("""COMPUTED_VALUE"""),"Work &lt;=6 People in the Team")</f>
        <v>Work &lt;=6 People in the Team</v>
      </c>
      <c r="Q610" s="1" t="str">
        <f ca="1">IFERROR(__xludf.DUMMYFUNCTION("""COMPUTED_VALUE"""),"Female")</f>
        <v>Female</v>
      </c>
    </row>
    <row r="611" spans="13:17" x14ac:dyDescent="0.25">
      <c r="M611" s="1"/>
      <c r="N611" s="1" t="str">
        <f ca="1">IFERROR(__xludf.DUMMYFUNCTION("""COMPUTED_VALUE"""),"Female")</f>
        <v>Female</v>
      </c>
      <c r="P611" s="1" t="str">
        <f ca="1">IFERROR(__xludf.DUMMYFUNCTION("""COMPUTED_VALUE"""),"Work &lt;=6 People in the Team")</f>
        <v>Work &lt;=6 People in the Team</v>
      </c>
      <c r="Q611" s="1" t="str">
        <f ca="1">IFERROR(__xludf.DUMMYFUNCTION("""COMPUTED_VALUE"""),"Female")</f>
        <v>Female</v>
      </c>
    </row>
    <row r="612" spans="13:17" x14ac:dyDescent="0.25">
      <c r="M612" s="1"/>
      <c r="N612" s="1" t="str">
        <f ca="1">IFERROR(__xludf.DUMMYFUNCTION("""COMPUTED_VALUE"""),"Male")</f>
        <v>Male</v>
      </c>
      <c r="P612" s="1" t="str">
        <f ca="1">IFERROR(__xludf.DUMMYFUNCTION("""COMPUTED_VALUE"""),"Work &lt;67 People in the Team")</f>
        <v>Work &lt;67 People in the Team</v>
      </c>
      <c r="Q612" s="1" t="str">
        <f ca="1">IFERROR(__xludf.DUMMYFUNCTION("""COMPUTED_VALUE"""),"Male")</f>
        <v>Male</v>
      </c>
    </row>
    <row r="613" spans="13:17" x14ac:dyDescent="0.25">
      <c r="M613" s="1"/>
      <c r="N613" s="1" t="str">
        <f ca="1">IFERROR(__xludf.DUMMYFUNCTION("""COMPUTED_VALUE"""),"Female")</f>
        <v>Female</v>
      </c>
      <c r="P613" s="1" t="str">
        <f ca="1">IFERROR(__xludf.DUMMYFUNCTION("""COMPUTED_VALUE"""),"Work &lt;=6 People in the Team")</f>
        <v>Work &lt;=6 People in the Team</v>
      </c>
      <c r="Q613" s="1" t="str">
        <f ca="1">IFERROR(__xludf.DUMMYFUNCTION("""COMPUTED_VALUE"""),"Female")</f>
        <v>Female</v>
      </c>
    </row>
    <row r="614" spans="13:17" x14ac:dyDescent="0.25">
      <c r="M614" s="1"/>
      <c r="N614" s="1" t="str">
        <f ca="1">IFERROR(__xludf.DUMMYFUNCTION("""COMPUTED_VALUE"""),"Male")</f>
        <v>Male</v>
      </c>
      <c r="P614" s="1" t="str">
        <f ca="1">IFERROR(__xludf.DUMMYFUNCTION("""COMPUTED_VALUE"""),"Work &lt;=6 People in the Team")</f>
        <v>Work &lt;=6 People in the Team</v>
      </c>
      <c r="Q614" s="1" t="str">
        <f ca="1">IFERROR(__xludf.DUMMYFUNCTION("""COMPUTED_VALUE"""),"Male")</f>
        <v>Male</v>
      </c>
    </row>
    <row r="615" spans="13:17" x14ac:dyDescent="0.25">
      <c r="M615" s="1"/>
      <c r="N615" s="1" t="str">
        <f ca="1">IFERROR(__xludf.DUMMYFUNCTION("""COMPUTED_VALUE"""),"Female")</f>
        <v>Female</v>
      </c>
      <c r="P615" s="1" t="str">
        <f ca="1">IFERROR(__xludf.DUMMYFUNCTION("""COMPUTED_VALUE"""),"Work &lt;=6 People in the Team")</f>
        <v>Work &lt;=6 People in the Team</v>
      </c>
      <c r="Q615" s="1" t="str">
        <f ca="1">IFERROR(__xludf.DUMMYFUNCTION("""COMPUTED_VALUE"""),"Female")</f>
        <v>Female</v>
      </c>
    </row>
    <row r="616" spans="13:17" x14ac:dyDescent="0.25">
      <c r="M616" s="1"/>
      <c r="N616" s="1" t="str">
        <f ca="1">IFERROR(__xludf.DUMMYFUNCTION("""COMPUTED_VALUE"""),"Male")</f>
        <v>Male</v>
      </c>
      <c r="P616" s="1" t="str">
        <f ca="1">IFERROR(__xludf.DUMMYFUNCTION("""COMPUTED_VALUE"""),"Work &lt;=6 People in the Team")</f>
        <v>Work &lt;=6 People in the Team</v>
      </c>
      <c r="Q616" s="1" t="str">
        <f ca="1">IFERROR(__xludf.DUMMYFUNCTION("""COMPUTED_VALUE"""),"Male")</f>
        <v>Male</v>
      </c>
    </row>
    <row r="617" spans="13:17" x14ac:dyDescent="0.25">
      <c r="M617" s="1"/>
      <c r="N617" s="1" t="str">
        <f ca="1">IFERROR(__xludf.DUMMYFUNCTION("""COMPUTED_VALUE"""),"Male")</f>
        <v>Male</v>
      </c>
      <c r="P617" s="1" t="str">
        <f ca="1">IFERROR(__xludf.DUMMYFUNCTION("""COMPUTED_VALUE"""),"Work  &lt;67 people in team")</f>
        <v>Work  &lt;67 people in team</v>
      </c>
      <c r="Q617" s="1" t="str">
        <f ca="1">IFERROR(__xludf.DUMMYFUNCTION("""COMPUTED_VALUE"""),"Male")</f>
        <v>Male</v>
      </c>
    </row>
    <row r="618" spans="13:17" x14ac:dyDescent="0.25">
      <c r="M618" s="1"/>
      <c r="N618" s="1" t="str">
        <f ca="1">IFERROR(__xludf.DUMMYFUNCTION("""COMPUTED_VALUE"""),"Male")</f>
        <v>Male</v>
      </c>
      <c r="P618" s="1" t="str">
        <f ca="1">IFERROR(__xludf.DUMMYFUNCTION("""COMPUTED_VALUE"""),"Work &lt;=6 People in the Team")</f>
        <v>Work &lt;=6 People in the Team</v>
      </c>
      <c r="Q618" s="1" t="str">
        <f ca="1">IFERROR(__xludf.DUMMYFUNCTION("""COMPUTED_VALUE"""),"Male")</f>
        <v>Male</v>
      </c>
    </row>
    <row r="619" spans="13:17" x14ac:dyDescent="0.25">
      <c r="M619" s="1"/>
      <c r="N619" s="1" t="str">
        <f ca="1">IFERROR(__xludf.DUMMYFUNCTION("""COMPUTED_VALUE"""),"Male")</f>
        <v>Male</v>
      </c>
      <c r="P619" s="1" t="str">
        <f ca="1">IFERROR(__xludf.DUMMYFUNCTION("""COMPUTED_VALUE"""),"Work &lt;=6 People in the Team")</f>
        <v>Work &lt;=6 People in the Team</v>
      </c>
      <c r="Q619" s="1" t="str">
        <f ca="1">IFERROR(__xludf.DUMMYFUNCTION("""COMPUTED_VALUE"""),"Male")</f>
        <v>Male</v>
      </c>
    </row>
    <row r="620" spans="13:17" x14ac:dyDescent="0.25">
      <c r="M620" s="1"/>
      <c r="N620" s="1" t="str">
        <f ca="1">IFERROR(__xludf.DUMMYFUNCTION("""COMPUTED_VALUE"""),"Male")</f>
        <v>Male</v>
      </c>
      <c r="P620" s="1" t="str">
        <f ca="1">IFERROR(__xludf.DUMMYFUNCTION("""COMPUTED_VALUE"""),"Work &lt;=6 People in the Team")</f>
        <v>Work &lt;=6 People in the Team</v>
      </c>
      <c r="Q620" s="1" t="str">
        <f ca="1">IFERROR(__xludf.DUMMYFUNCTION("""COMPUTED_VALUE"""),"Male")</f>
        <v>Male</v>
      </c>
    </row>
    <row r="621" spans="13:17" x14ac:dyDescent="0.25">
      <c r="M621" s="1"/>
      <c r="N621" s="1" t="str">
        <f ca="1">IFERROR(__xludf.DUMMYFUNCTION("""COMPUTED_VALUE"""),"Female")</f>
        <v>Female</v>
      </c>
      <c r="P621" s="1" t="str">
        <f ca="1">IFERROR(__xludf.DUMMYFUNCTION("""COMPUTED_VALUE"""),"Work &gt;=7 People in the Team")</f>
        <v>Work &gt;=7 People in the Team</v>
      </c>
      <c r="Q621" s="1" t="str">
        <f ca="1">IFERROR(__xludf.DUMMYFUNCTION("""COMPUTED_VALUE"""),"Female")</f>
        <v>Female</v>
      </c>
    </row>
    <row r="622" spans="13:17" x14ac:dyDescent="0.25">
      <c r="M622" s="1"/>
      <c r="N622" s="1" t="str">
        <f ca="1">IFERROR(__xludf.DUMMYFUNCTION("""COMPUTED_VALUE"""),"Female")</f>
        <v>Female</v>
      </c>
      <c r="P622" s="1" t="str">
        <f ca="1">IFERROR(__xludf.DUMMYFUNCTION("""COMPUTED_VALUE"""),"Work &lt;=6 People in the Team")</f>
        <v>Work &lt;=6 People in the Team</v>
      </c>
      <c r="Q622" s="1" t="str">
        <f ca="1">IFERROR(__xludf.DUMMYFUNCTION("""COMPUTED_VALUE"""),"Female")</f>
        <v>Female</v>
      </c>
    </row>
    <row r="623" spans="13:17" x14ac:dyDescent="0.25">
      <c r="M623" s="1"/>
      <c r="N623" s="1" t="str">
        <f ca="1">IFERROR(__xludf.DUMMYFUNCTION("""COMPUTED_VALUE"""),"Male")</f>
        <v>Male</v>
      </c>
      <c r="P623" s="1" t="str">
        <f ca="1">IFERROR(__xludf.DUMMYFUNCTION("""COMPUTED_VALUE"""),"Work &lt;=6 People in the Team")</f>
        <v>Work &lt;=6 People in the Team</v>
      </c>
      <c r="Q623" s="1" t="str">
        <f ca="1">IFERROR(__xludf.DUMMYFUNCTION("""COMPUTED_VALUE"""),"Male")</f>
        <v>Male</v>
      </c>
    </row>
    <row r="624" spans="13:17" x14ac:dyDescent="0.25">
      <c r="M624" s="1"/>
      <c r="N624" s="1" t="str">
        <f ca="1">IFERROR(__xludf.DUMMYFUNCTION("""COMPUTED_VALUE"""),"Female")</f>
        <v>Female</v>
      </c>
      <c r="P624" s="1" t="str">
        <f ca="1">IFERROR(__xludf.DUMMYFUNCTION("""COMPUTED_VALUE"""),"Work Alone, &lt;=6 in team")</f>
        <v>Work Alone, &lt;=6 in team</v>
      </c>
      <c r="Q624" s="1" t="str">
        <f ca="1">IFERROR(__xludf.DUMMYFUNCTION("""COMPUTED_VALUE"""),"Female")</f>
        <v>Female</v>
      </c>
    </row>
    <row r="625" spans="13:17" x14ac:dyDescent="0.25">
      <c r="M625" s="1"/>
      <c r="N625" s="1" t="str">
        <f ca="1">IFERROR(__xludf.DUMMYFUNCTION("""COMPUTED_VALUE"""),"Male")</f>
        <v>Male</v>
      </c>
      <c r="P625" s="1" t="str">
        <f ca="1">IFERROR(__xludf.DUMMYFUNCTION("""COMPUTED_VALUE"""),"Work alone, Work &gt;10 people in Team")</f>
        <v>Work alone, Work &gt;10 people in Team</v>
      </c>
      <c r="Q625" s="1" t="str">
        <f ca="1">IFERROR(__xludf.DUMMYFUNCTION("""COMPUTED_VALUE"""),"Male")</f>
        <v>Male</v>
      </c>
    </row>
    <row r="626" spans="13:17" x14ac:dyDescent="0.25">
      <c r="M626" s="1"/>
      <c r="N626" s="1" t="str">
        <f ca="1">IFERROR(__xludf.DUMMYFUNCTION("""COMPUTED_VALUE"""),"Male")</f>
        <v>Male</v>
      </c>
      <c r="P626" s="1" t="str">
        <f ca="1">IFERROR(__xludf.DUMMYFUNCTION("""COMPUTED_VALUE"""),"Work &lt;=6 People in the Team")</f>
        <v>Work &lt;=6 People in the Team</v>
      </c>
      <c r="Q626" s="1" t="str">
        <f ca="1">IFERROR(__xludf.DUMMYFUNCTION("""COMPUTED_VALUE"""),"Male")</f>
        <v>Male</v>
      </c>
    </row>
    <row r="627" spans="13:17" x14ac:dyDescent="0.25">
      <c r="M627" s="1"/>
      <c r="N627" s="1" t="str">
        <f ca="1">IFERROR(__xludf.DUMMYFUNCTION("""COMPUTED_VALUE"""),"Male")</f>
        <v>Male</v>
      </c>
      <c r="P627" s="1" t="str">
        <f ca="1">IFERROR(__xludf.DUMMYFUNCTION("""COMPUTED_VALUE"""),"Work Alone, &lt;=6 in team")</f>
        <v>Work Alone, &lt;=6 in team</v>
      </c>
      <c r="Q627" s="1" t="str">
        <f ca="1">IFERROR(__xludf.DUMMYFUNCTION("""COMPUTED_VALUE"""),"Male")</f>
        <v>Male</v>
      </c>
    </row>
    <row r="628" spans="13:17" x14ac:dyDescent="0.25">
      <c r="M628" s="1"/>
      <c r="N628" s="1" t="str">
        <f ca="1">IFERROR(__xludf.DUMMYFUNCTION("""COMPUTED_VALUE"""),"Male")</f>
        <v>Male</v>
      </c>
      <c r="P628" s="1" t="str">
        <f ca="1">IFERROR(__xludf.DUMMYFUNCTION("""COMPUTED_VALUE"""),"Work alone")</f>
        <v>Work alone</v>
      </c>
      <c r="Q628" s="1" t="str">
        <f ca="1">IFERROR(__xludf.DUMMYFUNCTION("""COMPUTED_VALUE"""),"Male")</f>
        <v>Male</v>
      </c>
    </row>
    <row r="629" spans="13:17" x14ac:dyDescent="0.25">
      <c r="M629" s="1"/>
      <c r="N629" s="1" t="str">
        <f ca="1">IFERROR(__xludf.DUMMYFUNCTION("""COMPUTED_VALUE"""),"Female")</f>
        <v>Female</v>
      </c>
      <c r="P629" s="1" t="str">
        <f ca="1">IFERROR(__xludf.DUMMYFUNCTION("""COMPUTED_VALUE"""),"Work Alone, &lt;=6 in team")</f>
        <v>Work Alone, &lt;=6 in team</v>
      </c>
      <c r="Q629" s="1" t="str">
        <f ca="1">IFERROR(__xludf.DUMMYFUNCTION("""COMPUTED_VALUE"""),"Female")</f>
        <v>Female</v>
      </c>
    </row>
    <row r="630" spans="13:17" x14ac:dyDescent="0.25">
      <c r="M630" s="1"/>
      <c r="N630" s="1" t="str">
        <f ca="1">IFERROR(__xludf.DUMMYFUNCTION("""COMPUTED_VALUE"""),"Male")</f>
        <v>Male</v>
      </c>
      <c r="P630" s="1" t="str">
        <f ca="1">IFERROR(__xludf.DUMMYFUNCTION("""COMPUTED_VALUE"""),"Work &lt;=6 People in the Team")</f>
        <v>Work &lt;=6 People in the Team</v>
      </c>
      <c r="Q630" s="1" t="str">
        <f ca="1">IFERROR(__xludf.DUMMYFUNCTION("""COMPUTED_VALUE"""),"Male")</f>
        <v>Male</v>
      </c>
    </row>
    <row r="631" spans="13:17" x14ac:dyDescent="0.25">
      <c r="M631" s="1"/>
      <c r="N631" s="1" t="str">
        <f ca="1">IFERROR(__xludf.DUMMYFUNCTION("""COMPUTED_VALUE"""),"Male")</f>
        <v>Male</v>
      </c>
      <c r="P631" s="1" t="str">
        <f ca="1">IFERROR(__xludf.DUMMYFUNCTION("""COMPUTED_VALUE"""),"Work &lt;=6 People in the Team")</f>
        <v>Work &lt;=6 People in the Team</v>
      </c>
      <c r="Q631" s="1" t="str">
        <f ca="1">IFERROR(__xludf.DUMMYFUNCTION("""COMPUTED_VALUE"""),"Male")</f>
        <v>Male</v>
      </c>
    </row>
    <row r="632" spans="13:17" x14ac:dyDescent="0.25">
      <c r="M632" s="1"/>
      <c r="N632" s="1" t="str">
        <f ca="1">IFERROR(__xludf.DUMMYFUNCTION("""COMPUTED_VALUE"""),"Female")</f>
        <v>Female</v>
      </c>
      <c r="P632" s="1" t="str">
        <f ca="1">IFERROR(__xludf.DUMMYFUNCTION("""COMPUTED_VALUE"""),"Work &gt;10 people in Team")</f>
        <v>Work &gt;10 people in Team</v>
      </c>
      <c r="Q632" s="1" t="str">
        <f ca="1">IFERROR(__xludf.DUMMYFUNCTION("""COMPUTED_VALUE"""),"Female")</f>
        <v>Female</v>
      </c>
    </row>
    <row r="633" spans="13:17" x14ac:dyDescent="0.25">
      <c r="M633" s="1"/>
      <c r="N633" s="1" t="str">
        <f ca="1">IFERROR(__xludf.DUMMYFUNCTION("""COMPUTED_VALUE"""),"Male")</f>
        <v>Male</v>
      </c>
      <c r="P633" s="1" t="str">
        <f ca="1">IFERROR(__xludf.DUMMYFUNCTION("""COMPUTED_VALUE"""),"Work &lt;=6 People in the Team")</f>
        <v>Work &lt;=6 People in the Team</v>
      </c>
      <c r="Q633" s="1" t="str">
        <f ca="1">IFERROR(__xludf.DUMMYFUNCTION("""COMPUTED_VALUE"""),"Male")</f>
        <v>Male</v>
      </c>
    </row>
    <row r="634" spans="13:17" x14ac:dyDescent="0.25">
      <c r="M634" s="1"/>
      <c r="N634" s="1" t="str">
        <f ca="1">IFERROR(__xludf.DUMMYFUNCTION("""COMPUTED_VALUE"""),"Female")</f>
        <v>Female</v>
      </c>
      <c r="P634" s="1" t="str">
        <f ca="1">IFERROR(__xludf.DUMMYFUNCTION("""COMPUTED_VALUE"""),"Work &lt;=6 People in the Team")</f>
        <v>Work &lt;=6 People in the Team</v>
      </c>
      <c r="Q634" s="1" t="str">
        <f ca="1">IFERROR(__xludf.DUMMYFUNCTION("""COMPUTED_VALUE"""),"Female")</f>
        <v>Female</v>
      </c>
    </row>
    <row r="635" spans="13:17" x14ac:dyDescent="0.25">
      <c r="M635" s="1"/>
      <c r="N635" s="1" t="str">
        <f ca="1">IFERROR(__xludf.DUMMYFUNCTION("""COMPUTED_VALUE"""),"Male")</f>
        <v>Male</v>
      </c>
      <c r="P635" s="1" t="str">
        <f ca="1">IFERROR(__xludf.DUMMYFUNCTION("""COMPUTED_VALUE"""),"Work &gt;10 people in Team")</f>
        <v>Work &gt;10 people in Team</v>
      </c>
      <c r="Q635" s="1" t="str">
        <f ca="1">IFERROR(__xludf.DUMMYFUNCTION("""COMPUTED_VALUE"""),"Male")</f>
        <v>Male</v>
      </c>
    </row>
    <row r="636" spans="13:17" x14ac:dyDescent="0.25">
      <c r="M636" s="1"/>
      <c r="N636" s="1" t="str">
        <f ca="1">IFERROR(__xludf.DUMMYFUNCTION("""COMPUTED_VALUE"""),"Male")</f>
        <v>Male</v>
      </c>
      <c r="P636" s="1" t="str">
        <f ca="1">IFERROR(__xludf.DUMMYFUNCTION("""COMPUTED_VALUE"""),"Work &lt;=6 People in the Team")</f>
        <v>Work &lt;=6 People in the Team</v>
      </c>
      <c r="Q636" s="1" t="str">
        <f ca="1">IFERROR(__xludf.DUMMYFUNCTION("""COMPUTED_VALUE"""),"Male")</f>
        <v>Male</v>
      </c>
    </row>
    <row r="637" spans="13:17" x14ac:dyDescent="0.25">
      <c r="M637" s="1"/>
      <c r="N637" s="1" t="str">
        <f ca="1">IFERROR(__xludf.DUMMYFUNCTION("""COMPUTED_VALUE"""),"Male")</f>
        <v>Male</v>
      </c>
      <c r="P637" s="1" t="str">
        <f ca="1">IFERROR(__xludf.DUMMYFUNCTION("""COMPUTED_VALUE"""),"Work &lt;=6 People in the Team")</f>
        <v>Work &lt;=6 People in the Team</v>
      </c>
      <c r="Q637" s="1" t="str">
        <f ca="1">IFERROR(__xludf.DUMMYFUNCTION("""COMPUTED_VALUE"""),"Male")</f>
        <v>Male</v>
      </c>
    </row>
    <row r="638" spans="13:17" x14ac:dyDescent="0.25">
      <c r="M638" s="1"/>
      <c r="N638" s="1" t="str">
        <f ca="1">IFERROR(__xludf.DUMMYFUNCTION("""COMPUTED_VALUE"""),"Male")</f>
        <v>Male</v>
      </c>
      <c r="P638" s="1" t="str">
        <f ca="1">IFERROR(__xludf.DUMMYFUNCTION("""COMPUTED_VALUE"""),"Work &lt;=6 People in the Team")</f>
        <v>Work &lt;=6 People in the Team</v>
      </c>
      <c r="Q638" s="1" t="str">
        <f ca="1">IFERROR(__xludf.DUMMYFUNCTION("""COMPUTED_VALUE"""),"Male")</f>
        <v>Male</v>
      </c>
    </row>
    <row r="639" spans="13:17" x14ac:dyDescent="0.25">
      <c r="M639" s="1"/>
      <c r="N639" s="1" t="str">
        <f ca="1">IFERROR(__xludf.DUMMYFUNCTION("""COMPUTED_VALUE"""),"Female")</f>
        <v>Female</v>
      </c>
      <c r="P639" s="1" t="str">
        <f ca="1">IFERROR(__xludf.DUMMYFUNCTION("""COMPUTED_VALUE"""),"Work &lt;=6 People in the Team")</f>
        <v>Work &lt;=6 People in the Team</v>
      </c>
      <c r="Q639" s="1" t="str">
        <f ca="1">IFERROR(__xludf.DUMMYFUNCTION("""COMPUTED_VALUE"""),"Female")</f>
        <v>Female</v>
      </c>
    </row>
    <row r="640" spans="13:17" x14ac:dyDescent="0.25">
      <c r="M640" s="1"/>
      <c r="N640" s="1" t="str">
        <f ca="1">IFERROR(__xludf.DUMMYFUNCTION("""COMPUTED_VALUE"""),"Female")</f>
        <v>Female</v>
      </c>
      <c r="P640" s="1" t="str">
        <f ca="1">IFERROR(__xludf.DUMMYFUNCTION("""COMPUTED_VALUE"""),"Work &gt;=7 People in the Team")</f>
        <v>Work &gt;=7 People in the Team</v>
      </c>
      <c r="Q640" s="1" t="str">
        <f ca="1">IFERROR(__xludf.DUMMYFUNCTION("""COMPUTED_VALUE"""),"Female")</f>
        <v>Female</v>
      </c>
    </row>
    <row r="641" spans="13:17" x14ac:dyDescent="0.25">
      <c r="M641" s="1"/>
      <c r="N641" s="1" t="str">
        <f ca="1">IFERROR(__xludf.DUMMYFUNCTION("""COMPUTED_VALUE"""),"Male")</f>
        <v>Male</v>
      </c>
      <c r="P641" s="1" t="str">
        <f ca="1">IFERROR(__xludf.DUMMYFUNCTION("""COMPUTED_VALUE"""),"Work &gt;=7 People in the Team")</f>
        <v>Work &gt;=7 People in the Team</v>
      </c>
      <c r="Q641" s="1" t="str">
        <f ca="1">IFERROR(__xludf.DUMMYFUNCTION("""COMPUTED_VALUE"""),"Male")</f>
        <v>Male</v>
      </c>
    </row>
    <row r="642" spans="13:17" x14ac:dyDescent="0.25">
      <c r="M642" s="1"/>
      <c r="N642" s="1" t="str">
        <f ca="1">IFERROR(__xludf.DUMMYFUNCTION("""COMPUTED_VALUE"""),"Male")</f>
        <v>Male</v>
      </c>
      <c r="P642" s="1" t="str">
        <f ca="1">IFERROR(__xludf.DUMMYFUNCTION("""COMPUTED_VALUE"""),"Work alone, Work &gt;10 people in Team")</f>
        <v>Work alone, Work &gt;10 people in Team</v>
      </c>
      <c r="Q642" s="1" t="str">
        <f ca="1">IFERROR(__xludf.DUMMYFUNCTION("""COMPUTED_VALUE"""),"Male")</f>
        <v>Male</v>
      </c>
    </row>
    <row r="643" spans="13:17" x14ac:dyDescent="0.25">
      <c r="M643" s="1"/>
      <c r="N643" s="1" t="str">
        <f ca="1">IFERROR(__xludf.DUMMYFUNCTION("""COMPUTED_VALUE"""),"Male")</f>
        <v>Male</v>
      </c>
      <c r="P643" s="1" t="str">
        <f ca="1">IFERROR(__xludf.DUMMYFUNCTION("""COMPUTED_VALUE"""),"Work &lt;=6 People in the Team")</f>
        <v>Work &lt;=6 People in the Team</v>
      </c>
      <c r="Q643" s="1" t="str">
        <f ca="1">IFERROR(__xludf.DUMMYFUNCTION("""COMPUTED_VALUE"""),"Male")</f>
        <v>Male</v>
      </c>
    </row>
    <row r="644" spans="13:17" x14ac:dyDescent="0.25">
      <c r="M644" s="1"/>
      <c r="N644" s="1" t="str">
        <f ca="1">IFERROR(__xludf.DUMMYFUNCTION("""COMPUTED_VALUE"""),"Female")</f>
        <v>Female</v>
      </c>
      <c r="P644" s="1" t="str">
        <f ca="1">IFERROR(__xludf.DUMMYFUNCTION("""COMPUTED_VALUE"""),"Work &lt;=6 People in the Team")</f>
        <v>Work &lt;=6 People in the Team</v>
      </c>
      <c r="Q644" s="1" t="str">
        <f ca="1">IFERROR(__xludf.DUMMYFUNCTION("""COMPUTED_VALUE"""),"Female")</f>
        <v>Female</v>
      </c>
    </row>
    <row r="645" spans="13:17" x14ac:dyDescent="0.25">
      <c r="M645" s="1"/>
      <c r="N645" s="1" t="str">
        <f ca="1">IFERROR(__xludf.DUMMYFUNCTION("""COMPUTED_VALUE"""),"Female")</f>
        <v>Female</v>
      </c>
      <c r="P645" s="1" t="str">
        <f ca="1">IFERROR(__xludf.DUMMYFUNCTION("""COMPUTED_VALUE"""),"Work &gt;=7 People in the Team")</f>
        <v>Work &gt;=7 People in the Team</v>
      </c>
      <c r="Q645" s="1" t="str">
        <f ca="1">IFERROR(__xludf.DUMMYFUNCTION("""COMPUTED_VALUE"""),"Female")</f>
        <v>Female</v>
      </c>
    </row>
    <row r="646" spans="13:17" x14ac:dyDescent="0.25">
      <c r="M646" s="1"/>
      <c r="N646" s="1" t="str">
        <f ca="1">IFERROR(__xludf.DUMMYFUNCTION("""COMPUTED_VALUE"""),"Male")</f>
        <v>Male</v>
      </c>
      <c r="P646" s="1" t="str">
        <f ca="1">IFERROR(__xludf.DUMMYFUNCTION("""COMPUTED_VALUE"""),"Work &lt;=6 People in the Team")</f>
        <v>Work &lt;=6 People in the Team</v>
      </c>
      <c r="Q646" s="1" t="str">
        <f ca="1">IFERROR(__xludf.DUMMYFUNCTION("""COMPUTED_VALUE"""),"Male")</f>
        <v>Male</v>
      </c>
    </row>
    <row r="647" spans="13:17" x14ac:dyDescent="0.25">
      <c r="M647" s="1"/>
      <c r="N647" s="1" t="str">
        <f ca="1">IFERROR(__xludf.DUMMYFUNCTION("""COMPUTED_VALUE"""),"Female")</f>
        <v>Female</v>
      </c>
      <c r="P647" s="1" t="str">
        <f ca="1">IFERROR(__xludf.DUMMYFUNCTION("""COMPUTED_VALUE"""),"Work Alone, &lt;=6 in team")</f>
        <v>Work Alone, &lt;=6 in team</v>
      </c>
      <c r="Q647" s="1" t="str">
        <f ca="1">IFERROR(__xludf.DUMMYFUNCTION("""COMPUTED_VALUE"""),"Female")</f>
        <v>Female</v>
      </c>
    </row>
    <row r="648" spans="13:17" x14ac:dyDescent="0.25">
      <c r="M648" s="1"/>
      <c r="N648" s="1" t="str">
        <f ca="1">IFERROR(__xludf.DUMMYFUNCTION("""COMPUTED_VALUE"""),"Female")</f>
        <v>Female</v>
      </c>
      <c r="P648" s="1" t="str">
        <f ca="1">IFERROR(__xludf.DUMMYFUNCTION("""COMPUTED_VALUE"""),"Work &lt;=6 People in the Team")</f>
        <v>Work &lt;=6 People in the Team</v>
      </c>
      <c r="Q648" s="1" t="str">
        <f ca="1">IFERROR(__xludf.DUMMYFUNCTION("""COMPUTED_VALUE"""),"Female")</f>
        <v>Female</v>
      </c>
    </row>
    <row r="649" spans="13:17" x14ac:dyDescent="0.25">
      <c r="M649" s="1"/>
      <c r="N649" s="1" t="str">
        <f ca="1">IFERROR(__xludf.DUMMYFUNCTION("""COMPUTED_VALUE"""),"Male")</f>
        <v>Male</v>
      </c>
      <c r="P649" s="1" t="str">
        <f ca="1">IFERROR(__xludf.DUMMYFUNCTION("""COMPUTED_VALUE"""),"Work &lt;=6 People in the Team")</f>
        <v>Work &lt;=6 People in the Team</v>
      </c>
      <c r="Q649" s="1" t="str">
        <f ca="1">IFERROR(__xludf.DUMMYFUNCTION("""COMPUTED_VALUE"""),"Male")</f>
        <v>Male</v>
      </c>
    </row>
    <row r="650" spans="13:17" x14ac:dyDescent="0.25">
      <c r="M650" s="1"/>
      <c r="N650" s="1" t="str">
        <f ca="1">IFERROR(__xludf.DUMMYFUNCTION("""COMPUTED_VALUE"""),"Female")</f>
        <v>Female</v>
      </c>
      <c r="P650" s="1" t="str">
        <f ca="1">IFERROR(__xludf.DUMMYFUNCTION("""COMPUTED_VALUE"""),"Work &lt;=6 People in the Team")</f>
        <v>Work &lt;=6 People in the Team</v>
      </c>
      <c r="Q650" s="1" t="str">
        <f ca="1">IFERROR(__xludf.DUMMYFUNCTION("""COMPUTED_VALUE"""),"Female")</f>
        <v>Female</v>
      </c>
    </row>
    <row r="651" spans="13:17" x14ac:dyDescent="0.25">
      <c r="M651" s="1"/>
      <c r="N651" s="1" t="str">
        <f ca="1">IFERROR(__xludf.DUMMYFUNCTION("""COMPUTED_VALUE"""),"Female")</f>
        <v>Female</v>
      </c>
      <c r="P651" s="1" t="str">
        <f ca="1">IFERROR(__xludf.DUMMYFUNCTION("""COMPUTED_VALUE"""),"Work &lt;=6 People in the Team")</f>
        <v>Work &lt;=6 People in the Team</v>
      </c>
      <c r="Q651" s="1" t="str">
        <f ca="1">IFERROR(__xludf.DUMMYFUNCTION("""COMPUTED_VALUE"""),"Female")</f>
        <v>Female</v>
      </c>
    </row>
    <row r="652" spans="13:17" x14ac:dyDescent="0.25">
      <c r="M652" s="1"/>
      <c r="N652" s="1" t="str">
        <f ca="1">IFERROR(__xludf.DUMMYFUNCTION("""COMPUTED_VALUE"""),"Female")</f>
        <v>Female</v>
      </c>
      <c r="P652" s="1" t="str">
        <f ca="1">IFERROR(__xludf.DUMMYFUNCTION("""COMPUTED_VALUE"""),"Work &lt;=6 People in the Team")</f>
        <v>Work &lt;=6 People in the Team</v>
      </c>
      <c r="Q652" s="1" t="str">
        <f ca="1">IFERROR(__xludf.DUMMYFUNCTION("""COMPUTED_VALUE"""),"Female")</f>
        <v>Female</v>
      </c>
    </row>
    <row r="653" spans="13:17" x14ac:dyDescent="0.25">
      <c r="M653" s="1"/>
      <c r="N653" s="1" t="str">
        <f ca="1">IFERROR(__xludf.DUMMYFUNCTION("""COMPUTED_VALUE"""),"Female")</f>
        <v>Female</v>
      </c>
      <c r="P653" s="1" t="str">
        <f ca="1">IFERROR(__xludf.DUMMYFUNCTION("""COMPUTED_VALUE"""),"Work &lt;=6 People in the Team")</f>
        <v>Work &lt;=6 People in the Team</v>
      </c>
      <c r="Q653" s="1" t="str">
        <f ca="1">IFERROR(__xludf.DUMMYFUNCTION("""COMPUTED_VALUE"""),"Female")</f>
        <v>Female</v>
      </c>
    </row>
    <row r="654" spans="13:17" x14ac:dyDescent="0.25">
      <c r="M654" s="1"/>
      <c r="N654" s="1" t="str">
        <f ca="1">IFERROR(__xludf.DUMMYFUNCTION("""COMPUTED_VALUE"""),"Male")</f>
        <v>Male</v>
      </c>
      <c r="P654" s="1" t="str">
        <f ca="1">IFERROR(__xludf.DUMMYFUNCTION("""COMPUTED_VALUE"""),"Work &lt;=6 People in the Team")</f>
        <v>Work &lt;=6 People in the Team</v>
      </c>
      <c r="Q654" s="1" t="str">
        <f ca="1">IFERROR(__xludf.DUMMYFUNCTION("""COMPUTED_VALUE"""),"Male")</f>
        <v>Male</v>
      </c>
    </row>
    <row r="655" spans="13:17" x14ac:dyDescent="0.25">
      <c r="M655" s="1"/>
      <c r="N655" s="1" t="str">
        <f ca="1">IFERROR(__xludf.DUMMYFUNCTION("""COMPUTED_VALUE"""),"Male")</f>
        <v>Male</v>
      </c>
      <c r="P655" s="1" t="str">
        <f ca="1">IFERROR(__xludf.DUMMYFUNCTION("""COMPUTED_VALUE"""),"Work Alone, &lt;=6 in team")</f>
        <v>Work Alone, &lt;=6 in team</v>
      </c>
      <c r="Q655" s="1" t="str">
        <f ca="1">IFERROR(__xludf.DUMMYFUNCTION("""COMPUTED_VALUE"""),"Male")</f>
        <v>Male</v>
      </c>
    </row>
    <row r="656" spans="13:17" x14ac:dyDescent="0.25">
      <c r="M656" s="1"/>
      <c r="N656" s="1" t="str">
        <f ca="1">IFERROR(__xludf.DUMMYFUNCTION("""COMPUTED_VALUE"""),"Male")</f>
        <v>Male</v>
      </c>
      <c r="P656" s="1" t="str">
        <f ca="1">IFERROR(__xludf.DUMMYFUNCTION("""COMPUTED_VALUE"""),"Work Alone, &lt;67 people in team")</f>
        <v>Work Alone, &lt;67 people in team</v>
      </c>
      <c r="Q656" s="1" t="str">
        <f ca="1">IFERROR(__xludf.DUMMYFUNCTION("""COMPUTED_VALUE"""),"Male")</f>
        <v>Male</v>
      </c>
    </row>
    <row r="657" spans="13:17" x14ac:dyDescent="0.25">
      <c r="M657" s="1"/>
      <c r="N657" s="1" t="str">
        <f ca="1">IFERROR(__xludf.DUMMYFUNCTION("""COMPUTED_VALUE"""),"Male")</f>
        <v>Male</v>
      </c>
      <c r="P657" s="1" t="str">
        <f ca="1">IFERROR(__xludf.DUMMYFUNCTION("""COMPUTED_VALUE"""),"Work &gt;=7 People in the Team")</f>
        <v>Work &gt;=7 People in the Team</v>
      </c>
      <c r="Q657" s="1" t="str">
        <f ca="1">IFERROR(__xludf.DUMMYFUNCTION("""COMPUTED_VALUE"""),"Male")</f>
        <v>Male</v>
      </c>
    </row>
    <row r="658" spans="13:17" x14ac:dyDescent="0.25">
      <c r="M658" s="1"/>
      <c r="N658" s="1" t="str">
        <f ca="1">IFERROR(__xludf.DUMMYFUNCTION("""COMPUTED_VALUE"""),"Male")</f>
        <v>Male</v>
      </c>
      <c r="P658" s="1" t="str">
        <f ca="1">IFERROR(__xludf.DUMMYFUNCTION("""COMPUTED_VALUE"""),"Work &lt;=6 People in the Team")</f>
        <v>Work &lt;=6 People in the Team</v>
      </c>
      <c r="Q658" s="1" t="str">
        <f ca="1">IFERROR(__xludf.DUMMYFUNCTION("""COMPUTED_VALUE"""),"Male")</f>
        <v>Male</v>
      </c>
    </row>
    <row r="659" spans="13:17" x14ac:dyDescent="0.25">
      <c r="M659" s="1"/>
      <c r="N659" s="1" t="str">
        <f ca="1">IFERROR(__xludf.DUMMYFUNCTION("""COMPUTED_VALUE"""),"Male")</f>
        <v>Male</v>
      </c>
      <c r="P659" s="1" t="str">
        <f ca="1">IFERROR(__xludf.DUMMYFUNCTION("""COMPUTED_VALUE"""),"Work &lt;=6 People in the Team")</f>
        <v>Work &lt;=6 People in the Team</v>
      </c>
      <c r="Q659" s="1" t="str">
        <f ca="1">IFERROR(__xludf.DUMMYFUNCTION("""COMPUTED_VALUE"""),"Male")</f>
        <v>Male</v>
      </c>
    </row>
    <row r="660" spans="13:17" x14ac:dyDescent="0.25">
      <c r="M660" s="1"/>
      <c r="N660" s="1" t="str">
        <f ca="1">IFERROR(__xludf.DUMMYFUNCTION("""COMPUTED_VALUE"""),"Female")</f>
        <v>Female</v>
      </c>
      <c r="P660" s="1" t="str">
        <f ca="1">IFERROR(__xludf.DUMMYFUNCTION("""COMPUTED_VALUE"""),"Work  &lt;67 people in team")</f>
        <v>Work  &lt;67 people in team</v>
      </c>
      <c r="Q660" s="1" t="str">
        <f ca="1">IFERROR(__xludf.DUMMYFUNCTION("""COMPUTED_VALUE"""),"Female")</f>
        <v>Female</v>
      </c>
    </row>
    <row r="661" spans="13:17" x14ac:dyDescent="0.25">
      <c r="M661" s="1"/>
      <c r="N661" s="1" t="str">
        <f ca="1">IFERROR(__xludf.DUMMYFUNCTION("""COMPUTED_VALUE"""),"Female")</f>
        <v>Female</v>
      </c>
      <c r="P661" s="1" t="str">
        <f ca="1">IFERROR(__xludf.DUMMYFUNCTION("""COMPUTED_VALUE"""),"Work &gt;10 people in Team")</f>
        <v>Work &gt;10 people in Team</v>
      </c>
      <c r="Q661" s="1" t="str">
        <f ca="1">IFERROR(__xludf.DUMMYFUNCTION("""COMPUTED_VALUE"""),"Female")</f>
        <v>Female</v>
      </c>
    </row>
    <row r="662" spans="13:17" x14ac:dyDescent="0.25">
      <c r="M662" s="1"/>
      <c r="N662" s="1" t="str">
        <f ca="1">IFERROR(__xludf.DUMMYFUNCTION("""COMPUTED_VALUE"""),"Male")</f>
        <v>Male</v>
      </c>
      <c r="P662" s="1" t="str">
        <f ca="1">IFERROR(__xludf.DUMMYFUNCTION("""COMPUTED_VALUE"""),"Work alone")</f>
        <v>Work alone</v>
      </c>
      <c r="Q662" s="1" t="str">
        <f ca="1">IFERROR(__xludf.DUMMYFUNCTION("""COMPUTED_VALUE"""),"Male")</f>
        <v>Male</v>
      </c>
    </row>
    <row r="663" spans="13:17" x14ac:dyDescent="0.25">
      <c r="M663" s="1"/>
      <c r="N663" s="1" t="str">
        <f ca="1">IFERROR(__xludf.DUMMYFUNCTION("""COMPUTED_VALUE"""),"Male")</f>
        <v>Male</v>
      </c>
      <c r="P663" s="1" t="str">
        <f ca="1">IFERROR(__xludf.DUMMYFUNCTION("""COMPUTED_VALUE"""),"Work &lt;=6 People in the Team")</f>
        <v>Work &lt;=6 People in the Team</v>
      </c>
      <c r="Q663" s="1" t="str">
        <f ca="1">IFERROR(__xludf.DUMMYFUNCTION("""COMPUTED_VALUE"""),"Male")</f>
        <v>Male</v>
      </c>
    </row>
    <row r="664" spans="13:17" x14ac:dyDescent="0.25">
      <c r="M664" s="1"/>
      <c r="N664" s="1" t="str">
        <f ca="1">IFERROR(__xludf.DUMMYFUNCTION("""COMPUTED_VALUE"""),"Male")</f>
        <v>Male</v>
      </c>
      <c r="P664" s="1" t="str">
        <f ca="1">IFERROR(__xludf.DUMMYFUNCTION("""COMPUTED_VALUE"""),"Work Alone, &lt;67 people in team")</f>
        <v>Work Alone, &lt;67 people in team</v>
      </c>
      <c r="Q664" s="1" t="str">
        <f ca="1">IFERROR(__xludf.DUMMYFUNCTION("""COMPUTED_VALUE"""),"Male")</f>
        <v>Male</v>
      </c>
    </row>
    <row r="665" spans="13:17" x14ac:dyDescent="0.25">
      <c r="M665" s="1"/>
      <c r="N665" s="1" t="str">
        <f ca="1">IFERROR(__xludf.DUMMYFUNCTION("""COMPUTED_VALUE"""),"Female")</f>
        <v>Female</v>
      </c>
      <c r="P665" s="1" t="str">
        <f ca="1">IFERROR(__xludf.DUMMYFUNCTION("""COMPUTED_VALUE"""),"Work &lt;=6 People in the Team")</f>
        <v>Work &lt;=6 People in the Team</v>
      </c>
      <c r="Q665" s="1" t="str">
        <f ca="1">IFERROR(__xludf.DUMMYFUNCTION("""COMPUTED_VALUE"""),"Female")</f>
        <v>Female</v>
      </c>
    </row>
    <row r="666" spans="13:17" x14ac:dyDescent="0.25">
      <c r="M666" s="1"/>
      <c r="N666" s="1" t="str">
        <f ca="1">IFERROR(__xludf.DUMMYFUNCTION("""COMPUTED_VALUE"""),"Female")</f>
        <v>Female</v>
      </c>
      <c r="P666" s="1" t="str">
        <f ca="1">IFERROR(__xludf.DUMMYFUNCTION("""COMPUTED_VALUE"""),"Work &lt;=6 People in the Team")</f>
        <v>Work &lt;=6 People in the Team</v>
      </c>
      <c r="Q666" s="1" t="str">
        <f ca="1">IFERROR(__xludf.DUMMYFUNCTION("""COMPUTED_VALUE"""),"Female")</f>
        <v>Female</v>
      </c>
    </row>
    <row r="667" spans="13:17" x14ac:dyDescent="0.25">
      <c r="M667" s="1"/>
      <c r="N667" s="1" t="str">
        <f ca="1">IFERROR(__xludf.DUMMYFUNCTION("""COMPUTED_VALUE"""),"Female")</f>
        <v>Female</v>
      </c>
      <c r="P667" s="1" t="str">
        <f ca="1">IFERROR(__xludf.DUMMYFUNCTION("""COMPUTED_VALUE"""),"Work Alone, &lt;=6 in team")</f>
        <v>Work Alone, &lt;=6 in team</v>
      </c>
      <c r="Q667" s="1" t="str">
        <f ca="1">IFERROR(__xludf.DUMMYFUNCTION("""COMPUTED_VALUE"""),"Female")</f>
        <v>Female</v>
      </c>
    </row>
    <row r="668" spans="13:17" x14ac:dyDescent="0.25">
      <c r="M668" s="1"/>
      <c r="N668" s="1" t="str">
        <f ca="1">IFERROR(__xludf.DUMMYFUNCTION("""COMPUTED_VALUE"""),"Female")</f>
        <v>Female</v>
      </c>
      <c r="P668" s="1" t="str">
        <f ca="1">IFERROR(__xludf.DUMMYFUNCTION("""COMPUTED_VALUE"""),"Work Alone, &lt;=6 in team")</f>
        <v>Work Alone, &lt;=6 in team</v>
      </c>
      <c r="Q668" s="1" t="str">
        <f ca="1">IFERROR(__xludf.DUMMYFUNCTION("""COMPUTED_VALUE"""),"Female")</f>
        <v>Female</v>
      </c>
    </row>
    <row r="669" spans="13:17" x14ac:dyDescent="0.25">
      <c r="M669" s="1"/>
      <c r="N669" s="1" t="str">
        <f ca="1">IFERROR(__xludf.DUMMYFUNCTION("""COMPUTED_VALUE"""),"Male")</f>
        <v>Male</v>
      </c>
      <c r="P669" s="1" t="str">
        <f ca="1">IFERROR(__xludf.DUMMYFUNCTION("""COMPUTED_VALUE"""),"Work  &lt;67 people in team")</f>
        <v>Work  &lt;67 people in team</v>
      </c>
      <c r="Q669" s="1" t="str">
        <f ca="1">IFERROR(__xludf.DUMMYFUNCTION("""COMPUTED_VALUE"""),"Male")</f>
        <v>Male</v>
      </c>
    </row>
    <row r="670" spans="13:17" x14ac:dyDescent="0.25">
      <c r="M670" s="1"/>
      <c r="N670" s="1" t="str">
        <f ca="1">IFERROR(__xludf.DUMMYFUNCTION("""COMPUTED_VALUE"""),"Male")</f>
        <v>Male</v>
      </c>
      <c r="P670" s="1" t="str">
        <f ca="1">IFERROR(__xludf.DUMMYFUNCTION("""COMPUTED_VALUE"""),"Work &gt;10 people in Team")</f>
        <v>Work &gt;10 people in Team</v>
      </c>
      <c r="Q670" s="1" t="str">
        <f ca="1">IFERROR(__xludf.DUMMYFUNCTION("""COMPUTED_VALUE"""),"Male")</f>
        <v>Male</v>
      </c>
    </row>
    <row r="671" spans="13:17" x14ac:dyDescent="0.25">
      <c r="M671" s="1"/>
      <c r="N671" s="1" t="str">
        <f ca="1">IFERROR(__xludf.DUMMYFUNCTION("""COMPUTED_VALUE"""),"Female")</f>
        <v>Female</v>
      </c>
      <c r="P671" s="1" t="str">
        <f ca="1">IFERROR(__xludf.DUMMYFUNCTION("""COMPUTED_VALUE"""),"Work &gt;10 people in Team")</f>
        <v>Work &gt;10 people in Team</v>
      </c>
      <c r="Q671" s="1" t="str">
        <f ca="1">IFERROR(__xludf.DUMMYFUNCTION("""COMPUTED_VALUE"""),"Female")</f>
        <v>Female</v>
      </c>
    </row>
    <row r="672" spans="13:17" x14ac:dyDescent="0.25">
      <c r="M672" s="1"/>
      <c r="N672" s="1" t="str">
        <f ca="1">IFERROR(__xludf.DUMMYFUNCTION("""COMPUTED_VALUE"""),"Male")</f>
        <v>Male</v>
      </c>
      <c r="P672" s="1" t="str">
        <f ca="1">IFERROR(__xludf.DUMMYFUNCTION("""COMPUTED_VALUE"""),"Work &lt;=6 People in the Team")</f>
        <v>Work &lt;=6 People in the Team</v>
      </c>
      <c r="Q672" s="1" t="str">
        <f ca="1">IFERROR(__xludf.DUMMYFUNCTION("""COMPUTED_VALUE"""),"Male")</f>
        <v>Male</v>
      </c>
    </row>
    <row r="673" spans="13:17" x14ac:dyDescent="0.25">
      <c r="M673" s="1"/>
      <c r="N673" s="1" t="str">
        <f ca="1">IFERROR(__xludf.DUMMYFUNCTION("""COMPUTED_VALUE"""),"Female")</f>
        <v>Female</v>
      </c>
      <c r="P673" s="1" t="str">
        <f ca="1">IFERROR(__xludf.DUMMYFUNCTION("""COMPUTED_VALUE"""),"Work &gt;10 people in Team")</f>
        <v>Work &gt;10 people in Team</v>
      </c>
      <c r="Q673" s="1" t="str">
        <f ca="1">IFERROR(__xludf.DUMMYFUNCTION("""COMPUTED_VALUE"""),"Female")</f>
        <v>Female</v>
      </c>
    </row>
    <row r="674" spans="13:17" x14ac:dyDescent="0.25">
      <c r="M674" s="1"/>
      <c r="N674" s="1" t="str">
        <f ca="1">IFERROR(__xludf.DUMMYFUNCTION("""COMPUTED_VALUE"""),"Female")</f>
        <v>Female</v>
      </c>
      <c r="P674" s="1" t="str">
        <f ca="1">IFERROR(__xludf.DUMMYFUNCTION("""COMPUTED_VALUE"""),"Work &lt;=6 People in the Team")</f>
        <v>Work &lt;=6 People in the Team</v>
      </c>
      <c r="Q674" s="1" t="str">
        <f ca="1">IFERROR(__xludf.DUMMYFUNCTION("""COMPUTED_VALUE"""),"Female")</f>
        <v>Female</v>
      </c>
    </row>
    <row r="675" spans="13:17" x14ac:dyDescent="0.25">
      <c r="M675" s="1"/>
      <c r="N675" s="1" t="str">
        <f ca="1">IFERROR(__xludf.DUMMYFUNCTION("""COMPUTED_VALUE"""),"Female")</f>
        <v>Female</v>
      </c>
      <c r="P675" s="1" t="str">
        <f ca="1">IFERROR(__xludf.DUMMYFUNCTION("""COMPUTED_VALUE"""),"Work &gt;10 people in Team")</f>
        <v>Work &gt;10 people in Team</v>
      </c>
      <c r="Q675" s="1" t="str">
        <f ca="1">IFERROR(__xludf.DUMMYFUNCTION("""COMPUTED_VALUE"""),"Female")</f>
        <v>Female</v>
      </c>
    </row>
    <row r="676" spans="13:17" x14ac:dyDescent="0.25">
      <c r="M676" s="1"/>
      <c r="N676" s="1" t="str">
        <f ca="1">IFERROR(__xludf.DUMMYFUNCTION("""COMPUTED_VALUE"""),"Female")</f>
        <v>Female</v>
      </c>
      <c r="P676" s="1" t="str">
        <f ca="1">IFERROR(__xludf.DUMMYFUNCTION("""COMPUTED_VALUE"""),"Work alone")</f>
        <v>Work alone</v>
      </c>
      <c r="Q676" s="1" t="str">
        <f ca="1">IFERROR(__xludf.DUMMYFUNCTION("""COMPUTED_VALUE"""),"Female")</f>
        <v>Female</v>
      </c>
    </row>
    <row r="677" spans="13:17" x14ac:dyDescent="0.25">
      <c r="M677" s="1"/>
      <c r="N677" s="1" t="str">
        <f ca="1">IFERROR(__xludf.DUMMYFUNCTION("""COMPUTED_VALUE"""),"Male")</f>
        <v>Male</v>
      </c>
      <c r="P677" s="1" t="str">
        <f ca="1">IFERROR(__xludf.DUMMYFUNCTION("""COMPUTED_VALUE"""),"Work &lt;=6 People in the Team")</f>
        <v>Work &lt;=6 People in the Team</v>
      </c>
      <c r="Q677" s="1" t="str">
        <f ca="1">IFERROR(__xludf.DUMMYFUNCTION("""COMPUTED_VALUE"""),"Male")</f>
        <v>Male</v>
      </c>
    </row>
    <row r="678" spans="13:17" x14ac:dyDescent="0.25">
      <c r="M678" s="1"/>
      <c r="N678" s="1" t="str">
        <f ca="1">IFERROR(__xludf.DUMMYFUNCTION("""COMPUTED_VALUE"""),"Male")</f>
        <v>Male</v>
      </c>
      <c r="P678" s="1" t="str">
        <f ca="1">IFERROR(__xludf.DUMMYFUNCTION("""COMPUTED_VALUE"""),"Work  &lt;67 people in team")</f>
        <v>Work  &lt;67 people in team</v>
      </c>
      <c r="Q678" s="1" t="str">
        <f ca="1">IFERROR(__xludf.DUMMYFUNCTION("""COMPUTED_VALUE"""),"Male")</f>
        <v>Male</v>
      </c>
    </row>
    <row r="679" spans="13:17" x14ac:dyDescent="0.25">
      <c r="M679" s="1"/>
      <c r="N679" s="1" t="str">
        <f ca="1">IFERROR(__xludf.DUMMYFUNCTION("""COMPUTED_VALUE"""),"Male")</f>
        <v>Male</v>
      </c>
      <c r="P679" s="1" t="str">
        <f ca="1">IFERROR(__xludf.DUMMYFUNCTION("""COMPUTED_VALUE"""),"Work &lt;=6 People in the Team")</f>
        <v>Work &lt;=6 People in the Team</v>
      </c>
      <c r="Q679" s="1" t="str">
        <f ca="1">IFERROR(__xludf.DUMMYFUNCTION("""COMPUTED_VALUE"""),"Male")</f>
        <v>Male</v>
      </c>
    </row>
    <row r="680" spans="13:17" x14ac:dyDescent="0.25">
      <c r="M680" s="1"/>
      <c r="N680" s="1" t="str">
        <f ca="1">IFERROR(__xludf.DUMMYFUNCTION("""COMPUTED_VALUE"""),"Male")</f>
        <v>Male</v>
      </c>
      <c r="P680" s="1" t="str">
        <f ca="1">IFERROR(__xludf.DUMMYFUNCTION("""COMPUTED_VALUE"""),"Work &lt;67 People in the Team")</f>
        <v>Work &lt;67 People in the Team</v>
      </c>
      <c r="Q680" s="1" t="str">
        <f ca="1">IFERROR(__xludf.DUMMYFUNCTION("""COMPUTED_VALUE"""),"Male")</f>
        <v>Male</v>
      </c>
    </row>
    <row r="681" spans="13:17" x14ac:dyDescent="0.25">
      <c r="M681" s="1"/>
      <c r="N681" s="1" t="str">
        <f ca="1">IFERROR(__xludf.DUMMYFUNCTION("""COMPUTED_VALUE"""),"Female")</f>
        <v>Female</v>
      </c>
      <c r="P681" s="1" t="str">
        <f ca="1">IFERROR(__xludf.DUMMYFUNCTION("""COMPUTED_VALUE"""),"Work &gt;10 people in Team")</f>
        <v>Work &gt;10 people in Team</v>
      </c>
      <c r="Q681" s="1" t="str">
        <f ca="1">IFERROR(__xludf.DUMMYFUNCTION("""COMPUTED_VALUE"""),"Female")</f>
        <v>Female</v>
      </c>
    </row>
    <row r="682" spans="13:17" x14ac:dyDescent="0.25">
      <c r="M682" s="1"/>
      <c r="N682" s="1" t="str">
        <f ca="1">IFERROR(__xludf.DUMMYFUNCTION("""COMPUTED_VALUE"""),"Male")</f>
        <v>Male</v>
      </c>
      <c r="P682" s="1" t="str">
        <f ca="1">IFERROR(__xludf.DUMMYFUNCTION("""COMPUTED_VALUE"""),"Work &lt;=6 People in the Team")</f>
        <v>Work &lt;=6 People in the Team</v>
      </c>
      <c r="Q682" s="1" t="str">
        <f ca="1">IFERROR(__xludf.DUMMYFUNCTION("""COMPUTED_VALUE"""),"Male")</f>
        <v>Male</v>
      </c>
    </row>
    <row r="683" spans="13:17" x14ac:dyDescent="0.25">
      <c r="M683" s="1"/>
      <c r="N683" s="1" t="str">
        <f ca="1">IFERROR(__xludf.DUMMYFUNCTION("""COMPUTED_VALUE"""),"Male")</f>
        <v>Male</v>
      </c>
      <c r="P683" s="1" t="str">
        <f ca="1">IFERROR(__xludf.DUMMYFUNCTION("""COMPUTED_VALUE"""),"Work &lt;=6 People in the Team")</f>
        <v>Work &lt;=6 People in the Team</v>
      </c>
      <c r="Q683" s="1" t="str">
        <f ca="1">IFERROR(__xludf.DUMMYFUNCTION("""COMPUTED_VALUE"""),"Male")</f>
        <v>Male</v>
      </c>
    </row>
    <row r="684" spans="13:17" x14ac:dyDescent="0.25">
      <c r="M684" s="1"/>
      <c r="N684" s="1" t="str">
        <f ca="1">IFERROR(__xludf.DUMMYFUNCTION("""COMPUTED_VALUE"""),"Male")</f>
        <v>Male</v>
      </c>
      <c r="P684" s="1" t="str">
        <f ca="1">IFERROR(__xludf.DUMMYFUNCTION("""COMPUTED_VALUE"""),"Work alone")</f>
        <v>Work alone</v>
      </c>
      <c r="Q684" s="1" t="str">
        <f ca="1">IFERROR(__xludf.DUMMYFUNCTION("""COMPUTED_VALUE"""),"Male")</f>
        <v>Male</v>
      </c>
    </row>
    <row r="685" spans="13:17" x14ac:dyDescent="0.25">
      <c r="M685" s="1"/>
      <c r="N685" s="1" t="str">
        <f ca="1">IFERROR(__xludf.DUMMYFUNCTION("""COMPUTED_VALUE"""),"Male")</f>
        <v>Male</v>
      </c>
      <c r="P685" s="1" t="str">
        <f ca="1">IFERROR(__xludf.DUMMYFUNCTION("""COMPUTED_VALUE"""),"Work Alone, &lt;=6 in team")</f>
        <v>Work Alone, &lt;=6 in team</v>
      </c>
      <c r="Q685" s="1" t="str">
        <f ca="1">IFERROR(__xludf.DUMMYFUNCTION("""COMPUTED_VALUE"""),"Male")</f>
        <v>Male</v>
      </c>
    </row>
    <row r="686" spans="13:17" x14ac:dyDescent="0.25">
      <c r="M686" s="1"/>
      <c r="N686" s="1" t="str">
        <f ca="1">IFERROR(__xludf.DUMMYFUNCTION("""COMPUTED_VALUE"""),"Male")</f>
        <v>Male</v>
      </c>
      <c r="P686" s="1" t="str">
        <f ca="1">IFERROR(__xludf.DUMMYFUNCTION("""COMPUTED_VALUE"""),"Work &lt;=6 People in the Team")</f>
        <v>Work &lt;=6 People in the Team</v>
      </c>
      <c r="Q686" s="1" t="str">
        <f ca="1">IFERROR(__xludf.DUMMYFUNCTION("""COMPUTED_VALUE"""),"Male")</f>
        <v>Male</v>
      </c>
    </row>
    <row r="687" spans="13:17" x14ac:dyDescent="0.25">
      <c r="M687" s="1"/>
      <c r="N687" s="1" t="str">
        <f ca="1">IFERROR(__xludf.DUMMYFUNCTION("""COMPUTED_VALUE"""),"Female")</f>
        <v>Female</v>
      </c>
      <c r="P687" s="1" t="str">
        <f ca="1">IFERROR(__xludf.DUMMYFUNCTION("""COMPUTED_VALUE"""),"Work &gt;=7 People in the Team")</f>
        <v>Work &gt;=7 People in the Team</v>
      </c>
      <c r="Q687" s="1" t="str">
        <f ca="1">IFERROR(__xludf.DUMMYFUNCTION("""COMPUTED_VALUE"""),"Female")</f>
        <v>Female</v>
      </c>
    </row>
    <row r="688" spans="13:17" x14ac:dyDescent="0.25">
      <c r="M688" s="1"/>
      <c r="N688" s="1" t="str">
        <f ca="1">IFERROR(__xludf.DUMMYFUNCTION("""COMPUTED_VALUE"""),"Male")</f>
        <v>Male</v>
      </c>
      <c r="P688" s="1" t="str">
        <f ca="1">IFERROR(__xludf.DUMMYFUNCTION("""COMPUTED_VALUE"""),"Work Alone, &lt;67 people in team")</f>
        <v>Work Alone, &lt;67 people in team</v>
      </c>
      <c r="Q688" s="1" t="str">
        <f ca="1">IFERROR(__xludf.DUMMYFUNCTION("""COMPUTED_VALUE"""),"Male")</f>
        <v>Male</v>
      </c>
    </row>
    <row r="689" spans="13:17" x14ac:dyDescent="0.25">
      <c r="M689" s="1"/>
      <c r="N689" s="1" t="str">
        <f ca="1">IFERROR(__xludf.DUMMYFUNCTION("""COMPUTED_VALUE"""),"Female")</f>
        <v>Female</v>
      </c>
      <c r="P689" s="1" t="str">
        <f ca="1">IFERROR(__xludf.DUMMYFUNCTION("""COMPUTED_VALUE"""),"Work &lt;=6 People in the Team")</f>
        <v>Work &lt;=6 People in the Team</v>
      </c>
      <c r="Q689" s="1" t="str">
        <f ca="1">IFERROR(__xludf.DUMMYFUNCTION("""COMPUTED_VALUE"""),"Female")</f>
        <v>Female</v>
      </c>
    </row>
    <row r="690" spans="13:17" x14ac:dyDescent="0.25">
      <c r="M690" s="1"/>
      <c r="N690" s="1" t="str">
        <f ca="1">IFERROR(__xludf.DUMMYFUNCTION("""COMPUTED_VALUE"""),"Female")</f>
        <v>Female</v>
      </c>
      <c r="P690" s="1" t="str">
        <f ca="1">IFERROR(__xludf.DUMMYFUNCTION("""COMPUTED_VALUE"""),"Work &lt;=6 People in the Team")</f>
        <v>Work &lt;=6 People in the Team</v>
      </c>
      <c r="Q690" s="1" t="str">
        <f ca="1">IFERROR(__xludf.DUMMYFUNCTION("""COMPUTED_VALUE"""),"Female")</f>
        <v>Female</v>
      </c>
    </row>
    <row r="691" spans="13:17" x14ac:dyDescent="0.25">
      <c r="M691" s="1"/>
      <c r="N691" s="1" t="str">
        <f ca="1">IFERROR(__xludf.DUMMYFUNCTION("""COMPUTED_VALUE"""),"Female")</f>
        <v>Female</v>
      </c>
      <c r="P691" s="1" t="str">
        <f ca="1">IFERROR(__xludf.DUMMYFUNCTION("""COMPUTED_VALUE"""),"Work alone")</f>
        <v>Work alone</v>
      </c>
      <c r="Q691" s="1" t="str">
        <f ca="1">IFERROR(__xludf.DUMMYFUNCTION("""COMPUTED_VALUE"""),"Female")</f>
        <v>Female</v>
      </c>
    </row>
    <row r="692" spans="13:17" x14ac:dyDescent="0.25">
      <c r="M692" s="1"/>
      <c r="N692" s="1" t="str">
        <f ca="1">IFERROR(__xludf.DUMMYFUNCTION("""COMPUTED_VALUE"""),"Male")</f>
        <v>Male</v>
      </c>
      <c r="P692" s="1" t="str">
        <f ca="1">IFERROR(__xludf.DUMMYFUNCTION("""COMPUTED_VALUE"""),"Work Alone, &lt;=6 in team")</f>
        <v>Work Alone, &lt;=6 in team</v>
      </c>
      <c r="Q692" s="1" t="str">
        <f ca="1">IFERROR(__xludf.DUMMYFUNCTION("""COMPUTED_VALUE"""),"Male")</f>
        <v>Male</v>
      </c>
    </row>
    <row r="693" spans="13:17" x14ac:dyDescent="0.25">
      <c r="M693" s="1"/>
      <c r="N693" s="1" t="str">
        <f ca="1">IFERROR(__xludf.DUMMYFUNCTION("""COMPUTED_VALUE"""),"Female")</f>
        <v>Female</v>
      </c>
      <c r="P693" s="1" t="str">
        <f ca="1">IFERROR(__xludf.DUMMYFUNCTION("""COMPUTED_VALUE"""),"Work &lt;=6 People in the Team")</f>
        <v>Work &lt;=6 People in the Team</v>
      </c>
      <c r="Q693" s="1" t="str">
        <f ca="1">IFERROR(__xludf.DUMMYFUNCTION("""COMPUTED_VALUE"""),"Female")</f>
        <v>Female</v>
      </c>
    </row>
    <row r="694" spans="13:17" x14ac:dyDescent="0.25">
      <c r="M694" s="1"/>
      <c r="N694" s="1" t="str">
        <f ca="1">IFERROR(__xludf.DUMMYFUNCTION("""COMPUTED_VALUE"""),"Male")</f>
        <v>Male</v>
      </c>
      <c r="P694" s="1" t="str">
        <f ca="1">IFERROR(__xludf.DUMMYFUNCTION("""COMPUTED_VALUE"""),"Work &gt;10 people in Team")</f>
        <v>Work &gt;10 people in Team</v>
      </c>
      <c r="Q694" s="1" t="str">
        <f ca="1">IFERROR(__xludf.DUMMYFUNCTION("""COMPUTED_VALUE"""),"Male")</f>
        <v>Male</v>
      </c>
    </row>
    <row r="695" spans="13:17" x14ac:dyDescent="0.25">
      <c r="M695" s="1"/>
      <c r="N695" s="1" t="str">
        <f ca="1">IFERROR(__xludf.DUMMYFUNCTION("""COMPUTED_VALUE"""),"Female")</f>
        <v>Female</v>
      </c>
      <c r="P695" s="1" t="str">
        <f ca="1">IFERROR(__xludf.DUMMYFUNCTION("""COMPUTED_VALUE"""),"Work  &lt;67 people in team")</f>
        <v>Work  &lt;67 people in team</v>
      </c>
      <c r="Q695" s="1" t="str">
        <f ca="1">IFERROR(__xludf.DUMMYFUNCTION("""COMPUTED_VALUE"""),"Female")</f>
        <v>Female</v>
      </c>
    </row>
    <row r="696" spans="13:17" x14ac:dyDescent="0.25">
      <c r="M696" s="1"/>
      <c r="N696" s="1" t="str">
        <f ca="1">IFERROR(__xludf.DUMMYFUNCTION("""COMPUTED_VALUE"""),"Male")</f>
        <v>Male</v>
      </c>
      <c r="P696" s="1" t="str">
        <f ca="1">IFERROR(__xludf.DUMMYFUNCTION("""COMPUTED_VALUE"""),"Work &lt;=6 People in the Team")</f>
        <v>Work &lt;=6 People in the Team</v>
      </c>
      <c r="Q696" s="1" t="str">
        <f ca="1">IFERROR(__xludf.DUMMYFUNCTION("""COMPUTED_VALUE"""),"Male")</f>
        <v>Male</v>
      </c>
    </row>
    <row r="697" spans="13:17" x14ac:dyDescent="0.25">
      <c r="M697" s="1"/>
      <c r="N697" s="1" t="str">
        <f ca="1">IFERROR(__xludf.DUMMYFUNCTION("""COMPUTED_VALUE"""),"Male")</f>
        <v>Male</v>
      </c>
      <c r="P697" s="1" t="str">
        <f ca="1">IFERROR(__xludf.DUMMYFUNCTION("""COMPUTED_VALUE"""),"Work &gt;10 people in Team")</f>
        <v>Work &gt;10 people in Team</v>
      </c>
      <c r="Q697" s="1" t="str">
        <f ca="1">IFERROR(__xludf.DUMMYFUNCTION("""COMPUTED_VALUE"""),"Male")</f>
        <v>Male</v>
      </c>
    </row>
    <row r="698" spans="13:17" x14ac:dyDescent="0.25">
      <c r="M698" s="1"/>
      <c r="N698" s="1" t="str">
        <f ca="1">IFERROR(__xludf.DUMMYFUNCTION("""COMPUTED_VALUE"""),"Male")</f>
        <v>Male</v>
      </c>
      <c r="P698" s="1" t="str">
        <f ca="1">IFERROR(__xludf.DUMMYFUNCTION("""COMPUTED_VALUE"""),"Work &lt;=6 People in the Team")</f>
        <v>Work &lt;=6 People in the Team</v>
      </c>
      <c r="Q698" s="1" t="str">
        <f ca="1">IFERROR(__xludf.DUMMYFUNCTION("""COMPUTED_VALUE"""),"Male")</f>
        <v>Male</v>
      </c>
    </row>
    <row r="699" spans="13:17" x14ac:dyDescent="0.25">
      <c r="M699" s="1"/>
      <c r="N699" s="1" t="str">
        <f ca="1">IFERROR(__xludf.DUMMYFUNCTION("""COMPUTED_VALUE"""),"Male")</f>
        <v>Male</v>
      </c>
      <c r="P699" s="1" t="str">
        <f ca="1">IFERROR(__xludf.DUMMYFUNCTION("""COMPUTED_VALUE"""),"Work &gt;=7 People in the Team")</f>
        <v>Work &gt;=7 People in the Team</v>
      </c>
      <c r="Q699" s="1" t="str">
        <f ca="1">IFERROR(__xludf.DUMMYFUNCTION("""COMPUTED_VALUE"""),"Male")</f>
        <v>Male</v>
      </c>
    </row>
    <row r="700" spans="13:17" x14ac:dyDescent="0.25">
      <c r="M700" s="1"/>
      <c r="N700" s="1" t="str">
        <f ca="1">IFERROR(__xludf.DUMMYFUNCTION("""COMPUTED_VALUE"""),"Male")</f>
        <v>Male</v>
      </c>
      <c r="P700" s="1" t="str">
        <f ca="1">IFERROR(__xludf.DUMMYFUNCTION("""COMPUTED_VALUE"""),"Work &gt;10 people in Team")</f>
        <v>Work &gt;10 people in Team</v>
      </c>
      <c r="Q700" s="1" t="str">
        <f ca="1">IFERROR(__xludf.DUMMYFUNCTION("""COMPUTED_VALUE"""),"Male")</f>
        <v>Male</v>
      </c>
    </row>
    <row r="701" spans="13:17" x14ac:dyDescent="0.25">
      <c r="M701" s="1"/>
      <c r="N701" s="1" t="str">
        <f ca="1">IFERROR(__xludf.DUMMYFUNCTION("""COMPUTED_VALUE"""),"Female")</f>
        <v>Female</v>
      </c>
      <c r="P701" s="1" t="str">
        <f ca="1">IFERROR(__xludf.DUMMYFUNCTION("""COMPUTED_VALUE"""),"Work &gt;=7 People in the Team")</f>
        <v>Work &gt;=7 People in the Team</v>
      </c>
      <c r="Q701" s="1" t="str">
        <f ca="1">IFERROR(__xludf.DUMMYFUNCTION("""COMPUTED_VALUE"""),"Female")</f>
        <v>Female</v>
      </c>
    </row>
    <row r="702" spans="13:17" x14ac:dyDescent="0.25">
      <c r="M702" s="1"/>
      <c r="N702" s="1" t="str">
        <f ca="1">IFERROR(__xludf.DUMMYFUNCTION("""COMPUTED_VALUE"""),"Female")</f>
        <v>Female</v>
      </c>
      <c r="P702" s="1" t="str">
        <f ca="1">IFERROR(__xludf.DUMMYFUNCTION("""COMPUTED_VALUE"""),"Work &lt;=6 People in the Team")</f>
        <v>Work &lt;=6 People in the Team</v>
      </c>
      <c r="Q702" s="1" t="str">
        <f ca="1">IFERROR(__xludf.DUMMYFUNCTION("""COMPUTED_VALUE"""),"Female")</f>
        <v>Female</v>
      </c>
    </row>
    <row r="703" spans="13:17" x14ac:dyDescent="0.25">
      <c r="M703" s="1"/>
      <c r="N703" s="1" t="str">
        <f ca="1">IFERROR(__xludf.DUMMYFUNCTION("""COMPUTED_VALUE"""),"Female")</f>
        <v>Female</v>
      </c>
      <c r="P703" s="1" t="str">
        <f ca="1">IFERROR(__xludf.DUMMYFUNCTION("""COMPUTED_VALUE"""),"Work &gt;10 people in Team")</f>
        <v>Work &gt;10 people in Team</v>
      </c>
      <c r="Q703" s="1" t="str">
        <f ca="1">IFERROR(__xludf.DUMMYFUNCTION("""COMPUTED_VALUE"""),"Female")</f>
        <v>Female</v>
      </c>
    </row>
    <row r="704" spans="13:17" x14ac:dyDescent="0.25">
      <c r="M704" s="1"/>
      <c r="N704" s="1" t="str">
        <f ca="1">IFERROR(__xludf.DUMMYFUNCTION("""COMPUTED_VALUE"""),"Female")</f>
        <v>Female</v>
      </c>
      <c r="P704" s="1" t="str">
        <f ca="1">IFERROR(__xludf.DUMMYFUNCTION("""COMPUTED_VALUE"""),"Work alone")</f>
        <v>Work alone</v>
      </c>
      <c r="Q704" s="1" t="str">
        <f ca="1">IFERROR(__xludf.DUMMYFUNCTION("""COMPUTED_VALUE"""),"Female")</f>
        <v>Female</v>
      </c>
    </row>
    <row r="705" spans="13:17" x14ac:dyDescent="0.25">
      <c r="M705" s="1"/>
      <c r="N705" s="1" t="str">
        <f ca="1">IFERROR(__xludf.DUMMYFUNCTION("""COMPUTED_VALUE"""),"Male")</f>
        <v>Male</v>
      </c>
      <c r="P705" s="1" t="str">
        <f ca="1">IFERROR(__xludf.DUMMYFUNCTION("""COMPUTED_VALUE"""),"Work &lt;=6 People in the Team")</f>
        <v>Work &lt;=6 People in the Team</v>
      </c>
      <c r="Q705" s="1" t="str">
        <f ca="1">IFERROR(__xludf.DUMMYFUNCTION("""COMPUTED_VALUE"""),"Male")</f>
        <v>Male</v>
      </c>
    </row>
    <row r="706" spans="13:17" x14ac:dyDescent="0.25">
      <c r="M706" s="1"/>
      <c r="N706" s="1" t="str">
        <f ca="1">IFERROR(__xludf.DUMMYFUNCTION("""COMPUTED_VALUE"""),"Male")</f>
        <v>Male</v>
      </c>
      <c r="P706" s="1" t="str">
        <f ca="1">IFERROR(__xludf.DUMMYFUNCTION("""COMPUTED_VALUE"""),"Work Alone, &lt;=6 in team")</f>
        <v>Work Alone, &lt;=6 in team</v>
      </c>
      <c r="Q706" s="1" t="str">
        <f ca="1">IFERROR(__xludf.DUMMYFUNCTION("""COMPUTED_VALUE"""),"Male")</f>
        <v>Male</v>
      </c>
    </row>
    <row r="707" spans="13:17" x14ac:dyDescent="0.25">
      <c r="M707" s="1"/>
      <c r="N707" s="1" t="str">
        <f ca="1">IFERROR(__xludf.DUMMYFUNCTION("""COMPUTED_VALUE"""),"Male")</f>
        <v>Male</v>
      </c>
      <c r="P707" s="1" t="str">
        <f ca="1">IFERROR(__xludf.DUMMYFUNCTION("""COMPUTED_VALUE"""),"Work &lt;=6 People in the Team")</f>
        <v>Work &lt;=6 People in the Team</v>
      </c>
      <c r="Q707" s="1" t="str">
        <f ca="1">IFERROR(__xludf.DUMMYFUNCTION("""COMPUTED_VALUE"""),"Male")</f>
        <v>Male</v>
      </c>
    </row>
    <row r="708" spans="13:17" x14ac:dyDescent="0.25">
      <c r="M708" s="1"/>
      <c r="N708" s="1" t="str">
        <f ca="1">IFERROR(__xludf.DUMMYFUNCTION("""COMPUTED_VALUE"""),"Female")</f>
        <v>Female</v>
      </c>
      <c r="P708" s="1" t="str">
        <f ca="1">IFERROR(__xludf.DUMMYFUNCTION("""COMPUTED_VALUE"""),"Work alone")</f>
        <v>Work alone</v>
      </c>
      <c r="Q708" s="1" t="str">
        <f ca="1">IFERROR(__xludf.DUMMYFUNCTION("""COMPUTED_VALUE"""),"Female")</f>
        <v>Female</v>
      </c>
    </row>
    <row r="709" spans="13:17" x14ac:dyDescent="0.25">
      <c r="M709" s="1"/>
      <c r="N709" s="1" t="str">
        <f ca="1">IFERROR(__xludf.DUMMYFUNCTION("""COMPUTED_VALUE"""),"Male")</f>
        <v>Male</v>
      </c>
      <c r="P709" s="1" t="str">
        <f ca="1">IFERROR(__xludf.DUMMYFUNCTION("""COMPUTED_VALUE"""),"Work Alone, &lt;67 people in team")</f>
        <v>Work Alone, &lt;67 people in team</v>
      </c>
      <c r="Q709" s="1" t="str">
        <f ca="1">IFERROR(__xludf.DUMMYFUNCTION("""COMPUTED_VALUE"""),"Male")</f>
        <v>Male</v>
      </c>
    </row>
    <row r="710" spans="13:17" x14ac:dyDescent="0.25">
      <c r="M710" s="1"/>
      <c r="N710" s="1" t="str">
        <f ca="1">IFERROR(__xludf.DUMMYFUNCTION("""COMPUTED_VALUE"""),"Male")</f>
        <v>Male</v>
      </c>
      <c r="P710" s="1" t="str">
        <f ca="1">IFERROR(__xludf.DUMMYFUNCTION("""COMPUTED_VALUE"""),"Work &lt;=6 People in the Team")</f>
        <v>Work &lt;=6 People in the Team</v>
      </c>
      <c r="Q710" s="1" t="str">
        <f ca="1">IFERROR(__xludf.DUMMYFUNCTION("""COMPUTED_VALUE"""),"Male")</f>
        <v>Male</v>
      </c>
    </row>
    <row r="711" spans="13:17" x14ac:dyDescent="0.25">
      <c r="M711" s="1"/>
      <c r="N711" s="1" t="str">
        <f ca="1">IFERROR(__xludf.DUMMYFUNCTION("""COMPUTED_VALUE"""),"Male")</f>
        <v>Male</v>
      </c>
      <c r="P711" s="1" t="str">
        <f ca="1">IFERROR(__xludf.DUMMYFUNCTION("""COMPUTED_VALUE"""),"Work &lt;=6 People in the Team")</f>
        <v>Work &lt;=6 People in the Team</v>
      </c>
      <c r="Q711" s="1" t="str">
        <f ca="1">IFERROR(__xludf.DUMMYFUNCTION("""COMPUTED_VALUE"""),"Male")</f>
        <v>Male</v>
      </c>
    </row>
    <row r="712" spans="13:17" x14ac:dyDescent="0.25">
      <c r="M712" s="1"/>
      <c r="N712" s="1" t="str">
        <f ca="1">IFERROR(__xludf.DUMMYFUNCTION("""COMPUTED_VALUE"""),"Male")</f>
        <v>Male</v>
      </c>
      <c r="P712" s="1" t="str">
        <f ca="1">IFERROR(__xludf.DUMMYFUNCTION("""COMPUTED_VALUE"""),"Work &lt;=6 People in the Team")</f>
        <v>Work &lt;=6 People in the Team</v>
      </c>
      <c r="Q712" s="1" t="str">
        <f ca="1">IFERROR(__xludf.DUMMYFUNCTION("""COMPUTED_VALUE"""),"Male")</f>
        <v>Male</v>
      </c>
    </row>
    <row r="713" spans="13:17" x14ac:dyDescent="0.25">
      <c r="M713" s="1"/>
      <c r="N713" s="1" t="str">
        <f ca="1">IFERROR(__xludf.DUMMYFUNCTION("""COMPUTED_VALUE"""),"Male")</f>
        <v>Male</v>
      </c>
      <c r="P713" s="1" t="str">
        <f ca="1">IFERROR(__xludf.DUMMYFUNCTION("""COMPUTED_VALUE"""),"Work &lt;=6 People in the Team")</f>
        <v>Work &lt;=6 People in the Team</v>
      </c>
      <c r="Q713" s="1" t="str">
        <f ca="1">IFERROR(__xludf.DUMMYFUNCTION("""COMPUTED_VALUE"""),"Male")</f>
        <v>Male</v>
      </c>
    </row>
    <row r="714" spans="13:17" x14ac:dyDescent="0.25">
      <c r="M714" s="1"/>
      <c r="N714" s="1" t="str">
        <f ca="1">IFERROR(__xludf.DUMMYFUNCTION("""COMPUTED_VALUE"""),"Male")</f>
        <v>Male</v>
      </c>
      <c r="P714" s="1" t="str">
        <f ca="1">IFERROR(__xludf.DUMMYFUNCTION("""COMPUTED_VALUE"""),"Work &gt;=7 People in the Team")</f>
        <v>Work &gt;=7 People in the Team</v>
      </c>
      <c r="Q714" s="1" t="str">
        <f ca="1">IFERROR(__xludf.DUMMYFUNCTION("""COMPUTED_VALUE"""),"Male")</f>
        <v>Male</v>
      </c>
    </row>
    <row r="715" spans="13:17" x14ac:dyDescent="0.25">
      <c r="M715" s="1"/>
      <c r="N715" s="1" t="str">
        <f ca="1">IFERROR(__xludf.DUMMYFUNCTION("""COMPUTED_VALUE"""),"Female")</f>
        <v>Female</v>
      </c>
      <c r="P715" s="1" t="str">
        <f ca="1">IFERROR(__xludf.DUMMYFUNCTION("""COMPUTED_VALUE"""),"Work &lt;=6 People in the Team")</f>
        <v>Work &lt;=6 People in the Team</v>
      </c>
      <c r="Q715" s="1" t="str">
        <f ca="1">IFERROR(__xludf.DUMMYFUNCTION("""COMPUTED_VALUE"""),"Female")</f>
        <v>Female</v>
      </c>
    </row>
    <row r="716" spans="13:17" x14ac:dyDescent="0.25">
      <c r="M716" s="1"/>
      <c r="N716" s="1" t="str">
        <f ca="1">IFERROR(__xludf.DUMMYFUNCTION("""COMPUTED_VALUE"""),"Male")</f>
        <v>Male</v>
      </c>
      <c r="P716" s="1" t="str">
        <f ca="1">IFERROR(__xludf.DUMMYFUNCTION("""COMPUTED_VALUE"""),"Work &lt;=6 People in the Team")</f>
        <v>Work &lt;=6 People in the Team</v>
      </c>
      <c r="Q716" s="1" t="str">
        <f ca="1">IFERROR(__xludf.DUMMYFUNCTION("""COMPUTED_VALUE"""),"Male")</f>
        <v>Male</v>
      </c>
    </row>
    <row r="717" spans="13:17" x14ac:dyDescent="0.25">
      <c r="M717" s="1"/>
      <c r="N717" s="1" t="str">
        <f ca="1">IFERROR(__xludf.DUMMYFUNCTION("""COMPUTED_VALUE"""),"Male")</f>
        <v>Male</v>
      </c>
      <c r="P717" s="1" t="str">
        <f ca="1">IFERROR(__xludf.DUMMYFUNCTION("""COMPUTED_VALUE"""),"Work &lt;=6 People in the Team")</f>
        <v>Work &lt;=6 People in the Team</v>
      </c>
      <c r="Q717" s="1" t="str">
        <f ca="1">IFERROR(__xludf.DUMMYFUNCTION("""COMPUTED_VALUE"""),"Male")</f>
        <v>Male</v>
      </c>
    </row>
    <row r="718" spans="13:17" x14ac:dyDescent="0.25">
      <c r="M718" s="1"/>
      <c r="N718" s="1" t="str">
        <f ca="1">IFERROR(__xludf.DUMMYFUNCTION("""COMPUTED_VALUE"""),"Male")</f>
        <v>Male</v>
      </c>
      <c r="P718" s="1" t="str">
        <f ca="1">IFERROR(__xludf.DUMMYFUNCTION("""COMPUTED_VALUE"""),"Work &gt;10 people in Team")</f>
        <v>Work &gt;10 people in Team</v>
      </c>
      <c r="Q718" s="1" t="str">
        <f ca="1">IFERROR(__xludf.DUMMYFUNCTION("""COMPUTED_VALUE"""),"Male")</f>
        <v>Male</v>
      </c>
    </row>
    <row r="719" spans="13:17" x14ac:dyDescent="0.25">
      <c r="M719" s="1"/>
      <c r="N719" s="1" t="str">
        <f ca="1">IFERROR(__xludf.DUMMYFUNCTION("""COMPUTED_VALUE"""),"Male")</f>
        <v>Male</v>
      </c>
      <c r="P719" s="1" t="str">
        <f ca="1">IFERROR(__xludf.DUMMYFUNCTION("""COMPUTED_VALUE"""),"Work &lt;=6 People in the Team")</f>
        <v>Work &lt;=6 People in the Team</v>
      </c>
      <c r="Q719" s="1" t="str">
        <f ca="1">IFERROR(__xludf.DUMMYFUNCTION("""COMPUTED_VALUE"""),"Male")</f>
        <v>Male</v>
      </c>
    </row>
    <row r="720" spans="13:17" x14ac:dyDescent="0.25">
      <c r="M720" s="1"/>
      <c r="N720" s="1" t="str">
        <f ca="1">IFERROR(__xludf.DUMMYFUNCTION("""COMPUTED_VALUE"""),"Female")</f>
        <v>Female</v>
      </c>
      <c r="P720" s="1" t="str">
        <f ca="1">IFERROR(__xludf.DUMMYFUNCTION("""COMPUTED_VALUE"""),"Work &lt;=6 People in the Team")</f>
        <v>Work &lt;=6 People in the Team</v>
      </c>
      <c r="Q720" s="1" t="str">
        <f ca="1">IFERROR(__xludf.DUMMYFUNCTION("""COMPUTED_VALUE"""),"Female")</f>
        <v>Female</v>
      </c>
    </row>
    <row r="721" spans="13:17" x14ac:dyDescent="0.25">
      <c r="M721" s="1"/>
      <c r="N721" s="1" t="str">
        <f ca="1">IFERROR(__xludf.DUMMYFUNCTION("""COMPUTED_VALUE"""),"Female")</f>
        <v>Female</v>
      </c>
      <c r="P721" s="1" t="str">
        <f ca="1">IFERROR(__xludf.DUMMYFUNCTION("""COMPUTED_VALUE"""),"Work Alone, &lt;=6 in team")</f>
        <v>Work Alone, &lt;=6 in team</v>
      </c>
      <c r="Q721" s="1" t="str">
        <f ca="1">IFERROR(__xludf.DUMMYFUNCTION("""COMPUTED_VALUE"""),"Female")</f>
        <v>Female</v>
      </c>
    </row>
    <row r="722" spans="13:17" x14ac:dyDescent="0.25">
      <c r="M722" s="1"/>
      <c r="N722" s="1" t="str">
        <f ca="1">IFERROR(__xludf.DUMMYFUNCTION("""COMPUTED_VALUE"""),"Male")</f>
        <v>Male</v>
      </c>
      <c r="P722" s="1" t="str">
        <f ca="1">IFERROR(__xludf.DUMMYFUNCTION("""COMPUTED_VALUE"""),"Work Alone, &lt;=6 in team")</f>
        <v>Work Alone, &lt;=6 in team</v>
      </c>
      <c r="Q722" s="1" t="str">
        <f ca="1">IFERROR(__xludf.DUMMYFUNCTION("""COMPUTED_VALUE"""),"Male")</f>
        <v>Male</v>
      </c>
    </row>
    <row r="723" spans="13:17" x14ac:dyDescent="0.25">
      <c r="M723" s="1"/>
      <c r="N723" s="1" t="str">
        <f ca="1">IFERROR(__xludf.DUMMYFUNCTION("""COMPUTED_VALUE"""),"Male")</f>
        <v>Male</v>
      </c>
      <c r="P723" s="1" t="str">
        <f ca="1">IFERROR(__xludf.DUMMYFUNCTION("""COMPUTED_VALUE"""),"Work &gt;10 people in Team")</f>
        <v>Work &gt;10 people in Team</v>
      </c>
      <c r="Q723" s="1" t="str">
        <f ca="1">IFERROR(__xludf.DUMMYFUNCTION("""COMPUTED_VALUE"""),"Male")</f>
        <v>Male</v>
      </c>
    </row>
    <row r="724" spans="13:17" x14ac:dyDescent="0.25">
      <c r="M724" s="1"/>
      <c r="N724" s="1" t="str">
        <f ca="1">IFERROR(__xludf.DUMMYFUNCTION("""COMPUTED_VALUE"""),"Female")</f>
        <v>Female</v>
      </c>
      <c r="P724" s="1" t="str">
        <f ca="1">IFERROR(__xludf.DUMMYFUNCTION("""COMPUTED_VALUE"""),"Work alone")</f>
        <v>Work alone</v>
      </c>
      <c r="Q724" s="1" t="str">
        <f ca="1">IFERROR(__xludf.DUMMYFUNCTION("""COMPUTED_VALUE"""),"Female")</f>
        <v>Female</v>
      </c>
    </row>
    <row r="725" spans="13:17" x14ac:dyDescent="0.25">
      <c r="M725" s="1"/>
      <c r="N725" s="1" t="str">
        <f ca="1">IFERROR(__xludf.DUMMYFUNCTION("""COMPUTED_VALUE"""),"Male")</f>
        <v>Male</v>
      </c>
      <c r="P725" s="1" t="str">
        <f ca="1">IFERROR(__xludf.DUMMYFUNCTION("""COMPUTED_VALUE"""),"Work &lt;=6 People in the Team")</f>
        <v>Work &lt;=6 People in the Team</v>
      </c>
      <c r="Q725" s="1" t="str">
        <f ca="1">IFERROR(__xludf.DUMMYFUNCTION("""COMPUTED_VALUE"""),"Male")</f>
        <v>Male</v>
      </c>
    </row>
    <row r="726" spans="13:17" x14ac:dyDescent="0.25">
      <c r="M726" s="1"/>
      <c r="N726" s="1" t="str">
        <f ca="1">IFERROR(__xludf.DUMMYFUNCTION("""COMPUTED_VALUE"""),"Male")</f>
        <v>Male</v>
      </c>
      <c r="P726" s="1" t="str">
        <f ca="1">IFERROR(__xludf.DUMMYFUNCTION("""COMPUTED_VALUE"""),"Work &lt;=6 People in the Team")</f>
        <v>Work &lt;=6 People in the Team</v>
      </c>
      <c r="Q726" s="1" t="str">
        <f ca="1">IFERROR(__xludf.DUMMYFUNCTION("""COMPUTED_VALUE"""),"Male")</f>
        <v>Male</v>
      </c>
    </row>
    <row r="727" spans="13:17" x14ac:dyDescent="0.25">
      <c r="M727" s="1"/>
      <c r="N727" s="1" t="str">
        <f ca="1">IFERROR(__xludf.DUMMYFUNCTION("""COMPUTED_VALUE"""),"Male")</f>
        <v>Male</v>
      </c>
      <c r="P727" s="1" t="str">
        <f ca="1">IFERROR(__xludf.DUMMYFUNCTION("""COMPUTED_VALUE"""),"Work &gt;10 people in Team")</f>
        <v>Work &gt;10 people in Team</v>
      </c>
      <c r="Q727" s="1" t="str">
        <f ca="1">IFERROR(__xludf.DUMMYFUNCTION("""COMPUTED_VALUE"""),"Male")</f>
        <v>Male</v>
      </c>
    </row>
    <row r="728" spans="13:17" x14ac:dyDescent="0.25">
      <c r="M728" s="1"/>
      <c r="N728" s="1" t="str">
        <f ca="1">IFERROR(__xludf.DUMMYFUNCTION("""COMPUTED_VALUE"""),"Male")</f>
        <v>Male</v>
      </c>
      <c r="P728" s="1" t="str">
        <f ca="1">IFERROR(__xludf.DUMMYFUNCTION("""COMPUTED_VALUE"""),"Work &lt;=6 People in the Team")</f>
        <v>Work &lt;=6 People in the Team</v>
      </c>
      <c r="Q728" s="1" t="str">
        <f ca="1">IFERROR(__xludf.DUMMYFUNCTION("""COMPUTED_VALUE"""),"Male")</f>
        <v>Male</v>
      </c>
    </row>
    <row r="729" spans="13:17" x14ac:dyDescent="0.25">
      <c r="M729" s="1"/>
      <c r="N729" s="1" t="str">
        <f ca="1">IFERROR(__xludf.DUMMYFUNCTION("""COMPUTED_VALUE"""),"Male")</f>
        <v>Male</v>
      </c>
      <c r="P729" s="1" t="str">
        <f ca="1">IFERROR(__xludf.DUMMYFUNCTION("""COMPUTED_VALUE"""),"Work &lt;=6 People in the Team")</f>
        <v>Work &lt;=6 People in the Team</v>
      </c>
      <c r="Q729" s="1" t="str">
        <f ca="1">IFERROR(__xludf.DUMMYFUNCTION("""COMPUTED_VALUE"""),"Male")</f>
        <v>Male</v>
      </c>
    </row>
    <row r="730" spans="13:17" x14ac:dyDescent="0.25">
      <c r="M730" s="1"/>
      <c r="N730" s="1" t="str">
        <f ca="1">IFERROR(__xludf.DUMMYFUNCTION("""COMPUTED_VALUE"""),"Female")</f>
        <v>Female</v>
      </c>
      <c r="P730" s="1" t="str">
        <f ca="1">IFERROR(__xludf.DUMMYFUNCTION("""COMPUTED_VALUE"""),"Work &lt;=6 People in the Team")</f>
        <v>Work &lt;=6 People in the Team</v>
      </c>
      <c r="Q730" s="1" t="str">
        <f ca="1">IFERROR(__xludf.DUMMYFUNCTION("""COMPUTED_VALUE"""),"Female")</f>
        <v>Female</v>
      </c>
    </row>
    <row r="731" spans="13:17" x14ac:dyDescent="0.25">
      <c r="M731" s="1"/>
      <c r="N731" s="1" t="str">
        <f ca="1">IFERROR(__xludf.DUMMYFUNCTION("""COMPUTED_VALUE"""),"Male")</f>
        <v>Male</v>
      </c>
      <c r="P731" s="1" t="str">
        <f ca="1">IFERROR(__xludf.DUMMYFUNCTION("""COMPUTED_VALUE"""),"Work &gt;=7 People in the Team")</f>
        <v>Work &gt;=7 People in the Team</v>
      </c>
      <c r="Q731" s="1" t="str">
        <f ca="1">IFERROR(__xludf.DUMMYFUNCTION("""COMPUTED_VALUE"""),"Male")</f>
        <v>Male</v>
      </c>
    </row>
    <row r="732" spans="13:17" x14ac:dyDescent="0.25">
      <c r="M732" s="1"/>
      <c r="N732" s="1" t="str">
        <f ca="1">IFERROR(__xludf.DUMMYFUNCTION("""COMPUTED_VALUE"""),"Female")</f>
        <v>Female</v>
      </c>
      <c r="P732" s="1" t="str">
        <f ca="1">IFERROR(__xludf.DUMMYFUNCTION("""COMPUTED_VALUE"""),"Work &gt;10 people in Team")</f>
        <v>Work &gt;10 people in Team</v>
      </c>
      <c r="Q732" s="1" t="str">
        <f ca="1">IFERROR(__xludf.DUMMYFUNCTION("""COMPUTED_VALUE"""),"Female")</f>
        <v>Female</v>
      </c>
    </row>
    <row r="733" spans="13:17" x14ac:dyDescent="0.25">
      <c r="M733" s="1"/>
      <c r="N733" s="1" t="str">
        <f ca="1">IFERROR(__xludf.DUMMYFUNCTION("""COMPUTED_VALUE"""),"Female")</f>
        <v>Female</v>
      </c>
      <c r="P733" s="1" t="str">
        <f ca="1">IFERROR(__xludf.DUMMYFUNCTION("""COMPUTED_VALUE"""),"Work &lt;=6 People in the Team")</f>
        <v>Work &lt;=6 People in the Team</v>
      </c>
      <c r="Q733" s="1" t="str">
        <f ca="1">IFERROR(__xludf.DUMMYFUNCTION("""COMPUTED_VALUE"""),"Female")</f>
        <v>Female</v>
      </c>
    </row>
    <row r="734" spans="13:17" x14ac:dyDescent="0.25">
      <c r="M734" s="1"/>
      <c r="N734" s="1" t="str">
        <f ca="1">IFERROR(__xludf.DUMMYFUNCTION("""COMPUTED_VALUE"""),"Male")</f>
        <v>Male</v>
      </c>
      <c r="P734" s="1" t="str">
        <f ca="1">IFERROR(__xludf.DUMMYFUNCTION("""COMPUTED_VALUE"""),"Work &gt;=7 People in the Team")</f>
        <v>Work &gt;=7 People in the Team</v>
      </c>
      <c r="Q734" s="1" t="str">
        <f ca="1">IFERROR(__xludf.DUMMYFUNCTION("""COMPUTED_VALUE"""),"Male")</f>
        <v>Male</v>
      </c>
    </row>
    <row r="735" spans="13:17" x14ac:dyDescent="0.25">
      <c r="M735" s="1"/>
      <c r="N735" s="1" t="str">
        <f ca="1">IFERROR(__xludf.DUMMYFUNCTION("""COMPUTED_VALUE"""),"Male")</f>
        <v>Male</v>
      </c>
      <c r="P735" s="1" t="str">
        <f ca="1">IFERROR(__xludf.DUMMYFUNCTION("""COMPUTED_VALUE"""),"Work Alone, &lt;=6 in team")</f>
        <v>Work Alone, &lt;=6 in team</v>
      </c>
      <c r="Q735" s="1" t="str">
        <f ca="1">IFERROR(__xludf.DUMMYFUNCTION("""COMPUTED_VALUE"""),"Male")</f>
        <v>Male</v>
      </c>
    </row>
    <row r="736" spans="13:17" x14ac:dyDescent="0.25">
      <c r="M736" s="1"/>
      <c r="N736" s="1" t="str">
        <f ca="1">IFERROR(__xludf.DUMMYFUNCTION("""COMPUTED_VALUE"""),"Female")</f>
        <v>Female</v>
      </c>
      <c r="P736" s="1" t="str">
        <f ca="1">IFERROR(__xludf.DUMMYFUNCTION("""COMPUTED_VALUE"""),"Work &lt;=6 People in the Team")</f>
        <v>Work &lt;=6 People in the Team</v>
      </c>
      <c r="Q736" s="1" t="str">
        <f ca="1">IFERROR(__xludf.DUMMYFUNCTION("""COMPUTED_VALUE"""),"Female")</f>
        <v>Female</v>
      </c>
    </row>
    <row r="737" spans="13:17" x14ac:dyDescent="0.25">
      <c r="M737" s="1"/>
      <c r="N737" s="1" t="str">
        <f ca="1">IFERROR(__xludf.DUMMYFUNCTION("""COMPUTED_VALUE"""),"Female")</f>
        <v>Female</v>
      </c>
      <c r="P737" s="1" t="str">
        <f ca="1">IFERROR(__xludf.DUMMYFUNCTION("""COMPUTED_VALUE"""),"Work &gt;=7 People in the Team")</f>
        <v>Work &gt;=7 People in the Team</v>
      </c>
      <c r="Q737" s="1" t="str">
        <f ca="1">IFERROR(__xludf.DUMMYFUNCTION("""COMPUTED_VALUE"""),"Female")</f>
        <v>Female</v>
      </c>
    </row>
    <row r="738" spans="13:17" x14ac:dyDescent="0.25">
      <c r="M738" s="1"/>
      <c r="N738" s="1" t="str">
        <f ca="1">IFERROR(__xludf.DUMMYFUNCTION("""COMPUTED_VALUE"""),"Male")</f>
        <v>Male</v>
      </c>
      <c r="P738" s="1" t="str">
        <f ca="1">IFERROR(__xludf.DUMMYFUNCTION("""COMPUTED_VALUE"""),"Work &lt;=6 People in the Team")</f>
        <v>Work &lt;=6 People in the Team</v>
      </c>
      <c r="Q738" s="1" t="str">
        <f ca="1">IFERROR(__xludf.DUMMYFUNCTION("""COMPUTED_VALUE"""),"Male")</f>
        <v>Male</v>
      </c>
    </row>
    <row r="739" spans="13:17" x14ac:dyDescent="0.25">
      <c r="M739" s="1"/>
      <c r="N739" s="1" t="str">
        <f ca="1">IFERROR(__xludf.DUMMYFUNCTION("""COMPUTED_VALUE"""),"Male")</f>
        <v>Male</v>
      </c>
      <c r="P739" s="1" t="str">
        <f ca="1">IFERROR(__xludf.DUMMYFUNCTION("""COMPUTED_VALUE"""),"Work &lt;=6 People in the Team")</f>
        <v>Work &lt;=6 People in the Team</v>
      </c>
      <c r="Q739" s="1" t="str">
        <f ca="1">IFERROR(__xludf.DUMMYFUNCTION("""COMPUTED_VALUE"""),"Male")</f>
        <v>Male</v>
      </c>
    </row>
    <row r="740" spans="13:17" x14ac:dyDescent="0.25">
      <c r="M740" s="1"/>
      <c r="N740" s="1" t="str">
        <f ca="1">IFERROR(__xludf.DUMMYFUNCTION("""COMPUTED_VALUE"""),"Male")</f>
        <v>Male</v>
      </c>
      <c r="P740" s="1" t="str">
        <f ca="1">IFERROR(__xludf.DUMMYFUNCTION("""COMPUTED_VALUE"""),"Work &lt;=6 People in the Team")</f>
        <v>Work &lt;=6 People in the Team</v>
      </c>
      <c r="Q740" s="1" t="str">
        <f ca="1">IFERROR(__xludf.DUMMYFUNCTION("""COMPUTED_VALUE"""),"Male")</f>
        <v>Male</v>
      </c>
    </row>
    <row r="741" spans="13:17" x14ac:dyDescent="0.25">
      <c r="M741" s="1"/>
      <c r="N741" s="1" t="str">
        <f ca="1">IFERROR(__xludf.DUMMYFUNCTION("""COMPUTED_VALUE"""),"Male")</f>
        <v>Male</v>
      </c>
      <c r="P741" s="1" t="str">
        <f ca="1">IFERROR(__xludf.DUMMYFUNCTION("""COMPUTED_VALUE"""),"Work &gt;=7 People in the Team")</f>
        <v>Work &gt;=7 People in the Team</v>
      </c>
      <c r="Q741" s="1" t="str">
        <f ca="1">IFERROR(__xludf.DUMMYFUNCTION("""COMPUTED_VALUE"""),"Male")</f>
        <v>Male</v>
      </c>
    </row>
    <row r="742" spans="13:17" x14ac:dyDescent="0.25">
      <c r="M742" s="1"/>
      <c r="N742" s="1" t="str">
        <f ca="1">IFERROR(__xludf.DUMMYFUNCTION("""COMPUTED_VALUE"""),"Male")</f>
        <v>Male</v>
      </c>
      <c r="P742" s="1" t="str">
        <f ca="1">IFERROR(__xludf.DUMMYFUNCTION("""COMPUTED_VALUE"""),"Work &gt;10 people in Team")</f>
        <v>Work &gt;10 people in Team</v>
      </c>
      <c r="Q742" s="1" t="str">
        <f ca="1">IFERROR(__xludf.DUMMYFUNCTION("""COMPUTED_VALUE"""),"Male")</f>
        <v>Male</v>
      </c>
    </row>
    <row r="743" spans="13:17" x14ac:dyDescent="0.25">
      <c r="M743" s="1"/>
      <c r="N743" s="1" t="str">
        <f ca="1">IFERROR(__xludf.DUMMYFUNCTION("""COMPUTED_VALUE"""),"Female")</f>
        <v>Female</v>
      </c>
      <c r="P743" s="1" t="str">
        <f ca="1">IFERROR(__xludf.DUMMYFUNCTION("""COMPUTED_VALUE"""),"Work &lt;=6 People in the Team")</f>
        <v>Work &lt;=6 People in the Team</v>
      </c>
      <c r="Q743" s="1" t="str">
        <f ca="1">IFERROR(__xludf.DUMMYFUNCTION("""COMPUTED_VALUE"""),"Female")</f>
        <v>Female</v>
      </c>
    </row>
    <row r="744" spans="13:17" x14ac:dyDescent="0.25">
      <c r="M744" s="1"/>
      <c r="N744" s="1" t="str">
        <f ca="1">IFERROR(__xludf.DUMMYFUNCTION("""COMPUTED_VALUE"""),"Female")</f>
        <v>Female</v>
      </c>
      <c r="P744" s="1" t="str">
        <f ca="1">IFERROR(__xludf.DUMMYFUNCTION("""COMPUTED_VALUE"""),"Work &gt;10 people in Team")</f>
        <v>Work &gt;10 people in Team</v>
      </c>
      <c r="Q744" s="1" t="str">
        <f ca="1">IFERROR(__xludf.DUMMYFUNCTION("""COMPUTED_VALUE"""),"Female")</f>
        <v>Female</v>
      </c>
    </row>
    <row r="745" spans="13:17" x14ac:dyDescent="0.25">
      <c r="M745" s="1"/>
      <c r="N745" s="1" t="str">
        <f ca="1">IFERROR(__xludf.DUMMYFUNCTION("""COMPUTED_VALUE"""),"Male")</f>
        <v>Male</v>
      </c>
      <c r="P745" s="1" t="str">
        <f ca="1">IFERROR(__xludf.DUMMYFUNCTION("""COMPUTED_VALUE"""),"Work Alone, &lt;=6 in team")</f>
        <v>Work Alone, &lt;=6 in team</v>
      </c>
      <c r="Q745" s="1" t="str">
        <f ca="1">IFERROR(__xludf.DUMMYFUNCTION("""COMPUTED_VALUE"""),"Male")</f>
        <v>Male</v>
      </c>
    </row>
    <row r="746" spans="13:17" x14ac:dyDescent="0.25">
      <c r="M746" s="1"/>
      <c r="N746" s="1" t="str">
        <f ca="1">IFERROR(__xludf.DUMMYFUNCTION("""COMPUTED_VALUE"""),"Male")</f>
        <v>Male</v>
      </c>
      <c r="P746" s="1" t="str">
        <f ca="1">IFERROR(__xludf.DUMMYFUNCTION("""COMPUTED_VALUE"""),"Work &lt;=6 People in the Team")</f>
        <v>Work &lt;=6 People in the Team</v>
      </c>
      <c r="Q746" s="1" t="str">
        <f ca="1">IFERROR(__xludf.DUMMYFUNCTION("""COMPUTED_VALUE"""),"Male")</f>
        <v>Male</v>
      </c>
    </row>
    <row r="747" spans="13:17" x14ac:dyDescent="0.25">
      <c r="M747" s="1"/>
      <c r="N747" s="1" t="str">
        <f ca="1">IFERROR(__xludf.DUMMYFUNCTION("""COMPUTED_VALUE"""),"Male")</f>
        <v>Male</v>
      </c>
      <c r="P747" s="1" t="str">
        <f ca="1">IFERROR(__xludf.DUMMYFUNCTION("""COMPUTED_VALUE"""),"Work Alone, &lt;67 people in team")</f>
        <v>Work Alone, &lt;67 people in team</v>
      </c>
      <c r="Q747" s="1" t="str">
        <f ca="1">IFERROR(__xludf.DUMMYFUNCTION("""COMPUTED_VALUE"""),"Male")</f>
        <v>Male</v>
      </c>
    </row>
    <row r="748" spans="13:17" x14ac:dyDescent="0.25">
      <c r="M748" s="1"/>
      <c r="N748" s="1" t="str">
        <f ca="1">IFERROR(__xludf.DUMMYFUNCTION("""COMPUTED_VALUE"""),"Female")</f>
        <v>Female</v>
      </c>
      <c r="P748" s="1" t="str">
        <f ca="1">IFERROR(__xludf.DUMMYFUNCTION("""COMPUTED_VALUE"""),"Work &lt;=6 People in the Team")</f>
        <v>Work &lt;=6 People in the Team</v>
      </c>
      <c r="Q748" s="1" t="str">
        <f ca="1">IFERROR(__xludf.DUMMYFUNCTION("""COMPUTED_VALUE"""),"Female")</f>
        <v>Female</v>
      </c>
    </row>
    <row r="749" spans="13:17" x14ac:dyDescent="0.25">
      <c r="M749" s="1"/>
      <c r="N749" s="1" t="str">
        <f ca="1">IFERROR(__xludf.DUMMYFUNCTION("""COMPUTED_VALUE"""),"Female")</f>
        <v>Female</v>
      </c>
      <c r="P749" s="1" t="str">
        <f ca="1">IFERROR(__xludf.DUMMYFUNCTION("""COMPUTED_VALUE"""),"Work  &lt;67 people in team")</f>
        <v>Work  &lt;67 people in team</v>
      </c>
      <c r="Q749" s="1" t="str">
        <f ca="1">IFERROR(__xludf.DUMMYFUNCTION("""COMPUTED_VALUE"""),"Female")</f>
        <v>Female</v>
      </c>
    </row>
    <row r="750" spans="13:17" x14ac:dyDescent="0.25">
      <c r="M750" s="1"/>
      <c r="N750" s="1" t="str">
        <f ca="1">IFERROR(__xludf.DUMMYFUNCTION("""COMPUTED_VALUE"""),"Male")</f>
        <v>Male</v>
      </c>
      <c r="P750" s="1" t="str">
        <f ca="1">IFERROR(__xludf.DUMMYFUNCTION("""COMPUTED_VALUE"""),"Work &lt;=6 People in the Team")</f>
        <v>Work &lt;=6 People in the Team</v>
      </c>
      <c r="Q750" s="1" t="str">
        <f ca="1">IFERROR(__xludf.DUMMYFUNCTION("""COMPUTED_VALUE"""),"Male")</f>
        <v>Male</v>
      </c>
    </row>
    <row r="751" spans="13:17" x14ac:dyDescent="0.25">
      <c r="M751" s="1"/>
      <c r="N751" s="1" t="str">
        <f ca="1">IFERROR(__xludf.DUMMYFUNCTION("""COMPUTED_VALUE"""),"Female")</f>
        <v>Female</v>
      </c>
      <c r="P751" s="1" t="str">
        <f ca="1">IFERROR(__xludf.DUMMYFUNCTION("""COMPUTED_VALUE"""),"Work alone")</f>
        <v>Work alone</v>
      </c>
      <c r="Q751" s="1" t="str">
        <f ca="1">IFERROR(__xludf.DUMMYFUNCTION("""COMPUTED_VALUE"""),"Female")</f>
        <v>Female</v>
      </c>
    </row>
    <row r="752" spans="13:17" x14ac:dyDescent="0.25">
      <c r="M752" s="1"/>
      <c r="N752" s="1" t="str">
        <f ca="1">IFERROR(__xludf.DUMMYFUNCTION("""COMPUTED_VALUE"""),"Male")</f>
        <v>Male</v>
      </c>
      <c r="P752" s="1" t="str">
        <f ca="1">IFERROR(__xludf.DUMMYFUNCTION("""COMPUTED_VALUE"""),"Work &gt;=7 People in the Team")</f>
        <v>Work &gt;=7 People in the Team</v>
      </c>
      <c r="Q752" s="1" t="str">
        <f ca="1">IFERROR(__xludf.DUMMYFUNCTION("""COMPUTED_VALUE"""),"Male")</f>
        <v>Male</v>
      </c>
    </row>
    <row r="753" spans="13:17" x14ac:dyDescent="0.25">
      <c r="M753" s="1"/>
      <c r="N753" s="1" t="str">
        <f ca="1">IFERROR(__xludf.DUMMYFUNCTION("""COMPUTED_VALUE"""),"Male")</f>
        <v>Male</v>
      </c>
      <c r="P753" s="1" t="str">
        <f ca="1">IFERROR(__xludf.DUMMYFUNCTION("""COMPUTED_VALUE"""),"Work alone")</f>
        <v>Work alone</v>
      </c>
      <c r="Q753" s="1" t="str">
        <f ca="1">IFERROR(__xludf.DUMMYFUNCTION("""COMPUTED_VALUE"""),"Male")</f>
        <v>Male</v>
      </c>
    </row>
    <row r="754" spans="13:17" x14ac:dyDescent="0.25">
      <c r="M754" s="1"/>
      <c r="N754" s="1" t="str">
        <f ca="1">IFERROR(__xludf.DUMMYFUNCTION("""COMPUTED_VALUE"""),"Female")</f>
        <v>Female</v>
      </c>
      <c r="P754" s="1" t="str">
        <f ca="1">IFERROR(__xludf.DUMMYFUNCTION("""COMPUTED_VALUE"""),"Work &lt;=6 People in the Team")</f>
        <v>Work &lt;=6 People in the Team</v>
      </c>
      <c r="Q754" s="1" t="str">
        <f ca="1">IFERROR(__xludf.DUMMYFUNCTION("""COMPUTED_VALUE"""),"Female")</f>
        <v>Female</v>
      </c>
    </row>
    <row r="755" spans="13:17" x14ac:dyDescent="0.25">
      <c r="M755" s="1"/>
      <c r="N755" s="1" t="str">
        <f ca="1">IFERROR(__xludf.DUMMYFUNCTION("""COMPUTED_VALUE"""),"Male")</f>
        <v>Male</v>
      </c>
      <c r="P755" s="1" t="str">
        <f ca="1">IFERROR(__xludf.DUMMYFUNCTION("""COMPUTED_VALUE"""),"Work &lt;=6 People in the Team")</f>
        <v>Work &lt;=6 People in the Team</v>
      </c>
      <c r="Q755" s="1" t="str">
        <f ca="1">IFERROR(__xludf.DUMMYFUNCTION("""COMPUTED_VALUE"""),"Male")</f>
        <v>Male</v>
      </c>
    </row>
    <row r="756" spans="13:17" x14ac:dyDescent="0.25">
      <c r="M756" s="1"/>
      <c r="N756" s="1" t="str">
        <f ca="1">IFERROR(__xludf.DUMMYFUNCTION("""COMPUTED_VALUE"""),"Male")</f>
        <v>Male</v>
      </c>
      <c r="P756" s="1" t="str">
        <f ca="1">IFERROR(__xludf.DUMMYFUNCTION("""COMPUTED_VALUE"""),"Work &lt;67 People in the Team")</f>
        <v>Work &lt;67 People in the Team</v>
      </c>
      <c r="Q756" s="1" t="str">
        <f ca="1">IFERROR(__xludf.DUMMYFUNCTION("""COMPUTED_VALUE"""),"Male")</f>
        <v>Male</v>
      </c>
    </row>
    <row r="757" spans="13:17" x14ac:dyDescent="0.25">
      <c r="M757" s="1"/>
      <c r="N757" s="1" t="str">
        <f ca="1">IFERROR(__xludf.DUMMYFUNCTION("""COMPUTED_VALUE"""),"Male")</f>
        <v>Male</v>
      </c>
      <c r="P757" s="1" t="str">
        <f ca="1">IFERROR(__xludf.DUMMYFUNCTION("""COMPUTED_VALUE"""),"Work &gt;=7 People in the Team")</f>
        <v>Work &gt;=7 People in the Team</v>
      </c>
      <c r="Q757" s="1" t="str">
        <f ca="1">IFERROR(__xludf.DUMMYFUNCTION("""COMPUTED_VALUE"""),"Male")</f>
        <v>Male</v>
      </c>
    </row>
    <row r="758" spans="13:17" x14ac:dyDescent="0.25">
      <c r="M758" s="1"/>
      <c r="N758" s="1" t="str">
        <f ca="1">IFERROR(__xludf.DUMMYFUNCTION("""COMPUTED_VALUE"""),"Male")</f>
        <v>Male</v>
      </c>
      <c r="P758" s="1" t="str">
        <f ca="1">IFERROR(__xludf.DUMMYFUNCTION("""COMPUTED_VALUE"""),"Work &lt;=6 People in the Team")</f>
        <v>Work &lt;=6 People in the Team</v>
      </c>
      <c r="Q758" s="1" t="str">
        <f ca="1">IFERROR(__xludf.DUMMYFUNCTION("""COMPUTED_VALUE"""),"Male")</f>
        <v>Male</v>
      </c>
    </row>
    <row r="759" spans="13:17" x14ac:dyDescent="0.25">
      <c r="M759" s="1"/>
      <c r="N759" s="1" t="str">
        <f ca="1">IFERROR(__xludf.DUMMYFUNCTION("""COMPUTED_VALUE"""),"Male")</f>
        <v>Male</v>
      </c>
      <c r="P759" s="1" t="str">
        <f ca="1">IFERROR(__xludf.DUMMYFUNCTION("""COMPUTED_VALUE"""),"Work &lt;=6 People in the Team")</f>
        <v>Work &lt;=6 People in the Team</v>
      </c>
      <c r="Q759" s="1" t="str">
        <f ca="1">IFERROR(__xludf.DUMMYFUNCTION("""COMPUTED_VALUE"""),"Male")</f>
        <v>Male</v>
      </c>
    </row>
    <row r="760" spans="13:17" x14ac:dyDescent="0.25">
      <c r="M760" s="1"/>
      <c r="N760" s="1" t="str">
        <f ca="1">IFERROR(__xludf.DUMMYFUNCTION("""COMPUTED_VALUE"""),"Male")</f>
        <v>Male</v>
      </c>
      <c r="P760" s="1" t="str">
        <f ca="1">IFERROR(__xludf.DUMMYFUNCTION("""COMPUTED_VALUE"""),"Work &lt;=6 People in the Team")</f>
        <v>Work &lt;=6 People in the Team</v>
      </c>
      <c r="Q760" s="1" t="str">
        <f ca="1">IFERROR(__xludf.DUMMYFUNCTION("""COMPUTED_VALUE"""),"Male")</f>
        <v>Male</v>
      </c>
    </row>
    <row r="761" spans="13:17" x14ac:dyDescent="0.25">
      <c r="M761" s="1"/>
      <c r="N761" s="1" t="str">
        <f ca="1">IFERROR(__xludf.DUMMYFUNCTION("""COMPUTED_VALUE"""),"Female")</f>
        <v>Female</v>
      </c>
      <c r="P761" s="1" t="str">
        <f ca="1">IFERROR(__xludf.DUMMYFUNCTION("""COMPUTED_VALUE"""),"Work &gt;10 people in Team")</f>
        <v>Work &gt;10 people in Team</v>
      </c>
      <c r="Q761" s="1" t="str">
        <f ca="1">IFERROR(__xludf.DUMMYFUNCTION("""COMPUTED_VALUE"""),"Female")</f>
        <v>Female</v>
      </c>
    </row>
    <row r="762" spans="13:17" x14ac:dyDescent="0.25">
      <c r="M762" s="1"/>
      <c r="N762" s="1" t="str">
        <f ca="1">IFERROR(__xludf.DUMMYFUNCTION("""COMPUTED_VALUE"""),"Male")</f>
        <v>Male</v>
      </c>
      <c r="P762" s="1" t="str">
        <f ca="1">IFERROR(__xludf.DUMMYFUNCTION("""COMPUTED_VALUE"""),"Work &gt;=7 People in the Team")</f>
        <v>Work &gt;=7 People in the Team</v>
      </c>
      <c r="Q762" s="1" t="str">
        <f ca="1">IFERROR(__xludf.DUMMYFUNCTION("""COMPUTED_VALUE"""),"Male")</f>
        <v>Male</v>
      </c>
    </row>
    <row r="763" spans="13:17" x14ac:dyDescent="0.25">
      <c r="M763" s="1"/>
      <c r="N763" s="1" t="str">
        <f ca="1">IFERROR(__xludf.DUMMYFUNCTION("""COMPUTED_VALUE"""),"Female")</f>
        <v>Female</v>
      </c>
      <c r="P763" s="1" t="str">
        <f ca="1">IFERROR(__xludf.DUMMYFUNCTION("""COMPUTED_VALUE"""),"Work &gt;=7 People in the Team")</f>
        <v>Work &gt;=7 People in the Team</v>
      </c>
      <c r="Q763" s="1" t="str">
        <f ca="1">IFERROR(__xludf.DUMMYFUNCTION("""COMPUTED_VALUE"""),"Female")</f>
        <v>Female</v>
      </c>
    </row>
    <row r="764" spans="13:17" x14ac:dyDescent="0.25">
      <c r="M764" s="1"/>
      <c r="N764" s="1" t="str">
        <f ca="1">IFERROR(__xludf.DUMMYFUNCTION("""COMPUTED_VALUE"""),"Female")</f>
        <v>Female</v>
      </c>
      <c r="P764" s="1" t="str">
        <f ca="1">IFERROR(__xludf.DUMMYFUNCTION("""COMPUTED_VALUE"""),"Work &gt;=7 People in the Team")</f>
        <v>Work &gt;=7 People in the Team</v>
      </c>
      <c r="Q764" s="1" t="str">
        <f ca="1">IFERROR(__xludf.DUMMYFUNCTION("""COMPUTED_VALUE"""),"Female")</f>
        <v>Female</v>
      </c>
    </row>
    <row r="765" spans="13:17" x14ac:dyDescent="0.25">
      <c r="M765" s="1"/>
      <c r="N765" s="1" t="str">
        <f ca="1">IFERROR(__xludf.DUMMYFUNCTION("""COMPUTED_VALUE"""),"Male")</f>
        <v>Male</v>
      </c>
      <c r="P765" s="1" t="str">
        <f ca="1">IFERROR(__xludf.DUMMYFUNCTION("""COMPUTED_VALUE"""),"Work &lt;=6 People in the Team")</f>
        <v>Work &lt;=6 People in the Team</v>
      </c>
      <c r="Q765" s="1" t="str">
        <f ca="1">IFERROR(__xludf.DUMMYFUNCTION("""COMPUTED_VALUE"""),"Male")</f>
        <v>Male</v>
      </c>
    </row>
    <row r="766" spans="13:17" x14ac:dyDescent="0.25">
      <c r="M766" s="1"/>
      <c r="N766" s="1" t="str">
        <f ca="1">IFERROR(__xludf.DUMMYFUNCTION("""COMPUTED_VALUE"""),"Male")</f>
        <v>Male</v>
      </c>
      <c r="P766" s="1" t="str">
        <f ca="1">IFERROR(__xludf.DUMMYFUNCTION("""COMPUTED_VALUE"""),"Work &lt;=6 People in the Team")</f>
        <v>Work &lt;=6 People in the Team</v>
      </c>
      <c r="Q766" s="1" t="str">
        <f ca="1">IFERROR(__xludf.DUMMYFUNCTION("""COMPUTED_VALUE"""),"Male")</f>
        <v>Male</v>
      </c>
    </row>
    <row r="767" spans="13:17" x14ac:dyDescent="0.25">
      <c r="M767" s="1"/>
      <c r="N767" s="1" t="str">
        <f ca="1">IFERROR(__xludf.DUMMYFUNCTION("""COMPUTED_VALUE"""),"Male")</f>
        <v>Male</v>
      </c>
      <c r="P767" s="1" t="str">
        <f ca="1">IFERROR(__xludf.DUMMYFUNCTION("""COMPUTED_VALUE"""),"Work &lt;=6 People in the Team")</f>
        <v>Work &lt;=6 People in the Team</v>
      </c>
      <c r="Q767" s="1" t="str">
        <f ca="1">IFERROR(__xludf.DUMMYFUNCTION("""COMPUTED_VALUE"""),"Male")</f>
        <v>Male</v>
      </c>
    </row>
    <row r="768" spans="13:17" x14ac:dyDescent="0.25">
      <c r="M768" s="1"/>
      <c r="N768" s="1" t="str">
        <f ca="1">IFERROR(__xludf.DUMMYFUNCTION("""COMPUTED_VALUE"""),"Male")</f>
        <v>Male</v>
      </c>
      <c r="P768" s="1" t="str">
        <f ca="1">IFERROR(__xludf.DUMMYFUNCTION("""COMPUTED_VALUE"""),"Work Alone, &lt;67 people in team")</f>
        <v>Work Alone, &lt;67 people in team</v>
      </c>
      <c r="Q768" s="1" t="str">
        <f ca="1">IFERROR(__xludf.DUMMYFUNCTION("""COMPUTED_VALUE"""),"Male")</f>
        <v>Male</v>
      </c>
    </row>
    <row r="769" spans="13:17" x14ac:dyDescent="0.25">
      <c r="M769" s="1"/>
      <c r="N769" s="1" t="str">
        <f ca="1">IFERROR(__xludf.DUMMYFUNCTION("""COMPUTED_VALUE"""),"Male")</f>
        <v>Male</v>
      </c>
      <c r="P769" s="1" t="str">
        <f ca="1">IFERROR(__xludf.DUMMYFUNCTION("""COMPUTED_VALUE"""),"Work &lt;=6 People in the Team")</f>
        <v>Work &lt;=6 People in the Team</v>
      </c>
      <c r="Q769" s="1" t="str">
        <f ca="1">IFERROR(__xludf.DUMMYFUNCTION("""COMPUTED_VALUE"""),"Male")</f>
        <v>Male</v>
      </c>
    </row>
    <row r="770" spans="13:17" x14ac:dyDescent="0.25">
      <c r="M770" s="1"/>
      <c r="N770" s="1" t="str">
        <f ca="1">IFERROR(__xludf.DUMMYFUNCTION("""COMPUTED_VALUE"""),"Male")</f>
        <v>Male</v>
      </c>
      <c r="P770" s="1" t="str">
        <f ca="1">IFERROR(__xludf.DUMMYFUNCTION("""COMPUTED_VALUE"""),"Work alone, Work &gt;10 people in Team")</f>
        <v>Work alone, Work &gt;10 people in Team</v>
      </c>
      <c r="Q770" s="1" t="str">
        <f ca="1">IFERROR(__xludf.DUMMYFUNCTION("""COMPUTED_VALUE"""),"Male")</f>
        <v>Male</v>
      </c>
    </row>
    <row r="771" spans="13:17" x14ac:dyDescent="0.25">
      <c r="M771" s="1"/>
      <c r="N771" s="1" t="str">
        <f ca="1">IFERROR(__xludf.DUMMYFUNCTION("""COMPUTED_VALUE"""),"Male")</f>
        <v>Male</v>
      </c>
      <c r="P771" s="1" t="str">
        <f ca="1">IFERROR(__xludf.DUMMYFUNCTION("""COMPUTED_VALUE"""),"Work &lt;=6 People in the Team")</f>
        <v>Work &lt;=6 People in the Team</v>
      </c>
      <c r="Q771" s="1" t="str">
        <f ca="1">IFERROR(__xludf.DUMMYFUNCTION("""COMPUTED_VALUE"""),"Male")</f>
        <v>Male</v>
      </c>
    </row>
    <row r="772" spans="13:17" x14ac:dyDescent="0.25">
      <c r="M772" s="1"/>
      <c r="N772" s="1" t="str">
        <f ca="1">IFERROR(__xludf.DUMMYFUNCTION("""COMPUTED_VALUE"""),"Female")</f>
        <v>Female</v>
      </c>
      <c r="P772" s="1" t="str">
        <f ca="1">IFERROR(__xludf.DUMMYFUNCTION("""COMPUTED_VALUE"""),"Work Alone, &lt;67 people in team")</f>
        <v>Work Alone, &lt;67 people in team</v>
      </c>
      <c r="Q772" s="1" t="str">
        <f ca="1">IFERROR(__xludf.DUMMYFUNCTION("""COMPUTED_VALUE"""),"Female")</f>
        <v>Female</v>
      </c>
    </row>
    <row r="773" spans="13:17" x14ac:dyDescent="0.25">
      <c r="M773" s="1"/>
      <c r="N773" s="1" t="str">
        <f ca="1">IFERROR(__xludf.DUMMYFUNCTION("""COMPUTED_VALUE"""),"Male")</f>
        <v>Male</v>
      </c>
      <c r="P773" s="1" t="str">
        <f ca="1">IFERROR(__xludf.DUMMYFUNCTION("""COMPUTED_VALUE"""),"Work &gt;=7 People in the Team")</f>
        <v>Work &gt;=7 People in the Team</v>
      </c>
      <c r="Q773" s="1" t="str">
        <f ca="1">IFERROR(__xludf.DUMMYFUNCTION("""COMPUTED_VALUE"""),"Male")</f>
        <v>Male</v>
      </c>
    </row>
    <row r="774" spans="13:17" x14ac:dyDescent="0.25">
      <c r="M774" s="1"/>
      <c r="N774" s="1" t="str">
        <f ca="1">IFERROR(__xludf.DUMMYFUNCTION("""COMPUTED_VALUE"""),"Male")</f>
        <v>Male</v>
      </c>
      <c r="P774" s="1" t="str">
        <f ca="1">IFERROR(__xludf.DUMMYFUNCTION("""COMPUTED_VALUE"""),"Work &lt;=6 People in the Team")</f>
        <v>Work &lt;=6 People in the Team</v>
      </c>
      <c r="Q774" s="1" t="str">
        <f ca="1">IFERROR(__xludf.DUMMYFUNCTION("""COMPUTED_VALUE"""),"Male")</f>
        <v>Male</v>
      </c>
    </row>
    <row r="775" spans="13:17" x14ac:dyDescent="0.25">
      <c r="M775" s="1"/>
      <c r="N775" s="1" t="str">
        <f ca="1">IFERROR(__xludf.DUMMYFUNCTION("""COMPUTED_VALUE"""),"Male")</f>
        <v>Male</v>
      </c>
      <c r="P775" s="1" t="str">
        <f ca="1">IFERROR(__xludf.DUMMYFUNCTION("""COMPUTED_VALUE"""),"Work &lt;=6 People in the Team")</f>
        <v>Work &lt;=6 People in the Team</v>
      </c>
      <c r="Q775" s="1" t="str">
        <f ca="1">IFERROR(__xludf.DUMMYFUNCTION("""COMPUTED_VALUE"""),"Male")</f>
        <v>Male</v>
      </c>
    </row>
    <row r="776" spans="13:17" x14ac:dyDescent="0.25">
      <c r="M776" s="1"/>
      <c r="N776" s="1" t="str">
        <f ca="1">IFERROR(__xludf.DUMMYFUNCTION("""COMPUTED_VALUE"""),"Female")</f>
        <v>Female</v>
      </c>
      <c r="P776" s="1" t="str">
        <f ca="1">IFERROR(__xludf.DUMMYFUNCTION("""COMPUTED_VALUE"""),"Work &lt;=6 People in the Team")</f>
        <v>Work &lt;=6 People in the Team</v>
      </c>
      <c r="Q776" s="1" t="str">
        <f ca="1">IFERROR(__xludf.DUMMYFUNCTION("""COMPUTED_VALUE"""),"Female")</f>
        <v>Female</v>
      </c>
    </row>
    <row r="777" spans="13:17" x14ac:dyDescent="0.25">
      <c r="M777" s="1"/>
      <c r="N777" s="1" t="str">
        <f ca="1">IFERROR(__xludf.DUMMYFUNCTION("""COMPUTED_VALUE"""),"Male")</f>
        <v>Male</v>
      </c>
      <c r="P777" s="1" t="str">
        <f ca="1">IFERROR(__xludf.DUMMYFUNCTION("""COMPUTED_VALUE"""),"Work &lt;=6 People in the Team")</f>
        <v>Work &lt;=6 People in the Team</v>
      </c>
      <c r="Q777" s="1" t="str">
        <f ca="1">IFERROR(__xludf.DUMMYFUNCTION("""COMPUTED_VALUE"""),"Male")</f>
        <v>Male</v>
      </c>
    </row>
    <row r="778" spans="13:17" x14ac:dyDescent="0.25">
      <c r="M778" s="1"/>
      <c r="N778" s="1" t="str">
        <f ca="1">IFERROR(__xludf.DUMMYFUNCTION("""COMPUTED_VALUE"""),"Male")</f>
        <v>Male</v>
      </c>
      <c r="P778" s="1" t="str">
        <f ca="1">IFERROR(__xludf.DUMMYFUNCTION("""COMPUTED_VALUE"""),"Work  &lt;67 people in team")</f>
        <v>Work  &lt;67 people in team</v>
      </c>
      <c r="Q778" s="1" t="str">
        <f ca="1">IFERROR(__xludf.DUMMYFUNCTION("""COMPUTED_VALUE"""),"Male")</f>
        <v>Male</v>
      </c>
    </row>
    <row r="779" spans="13:17" x14ac:dyDescent="0.25">
      <c r="M779" s="1"/>
      <c r="N779" s="1" t="str">
        <f ca="1">IFERROR(__xludf.DUMMYFUNCTION("""COMPUTED_VALUE"""),"Male")</f>
        <v>Male</v>
      </c>
      <c r="P779" s="1" t="str">
        <f ca="1">IFERROR(__xludf.DUMMYFUNCTION("""COMPUTED_VALUE"""),"Work &gt;10 people in Team")</f>
        <v>Work &gt;10 people in Team</v>
      </c>
      <c r="Q779" s="1" t="str">
        <f ca="1">IFERROR(__xludf.DUMMYFUNCTION("""COMPUTED_VALUE"""),"Male")</f>
        <v>Male</v>
      </c>
    </row>
    <row r="780" spans="13:17" x14ac:dyDescent="0.25">
      <c r="M780" s="1"/>
      <c r="N780" s="1" t="str">
        <f ca="1">IFERROR(__xludf.DUMMYFUNCTION("""COMPUTED_VALUE"""),"Female")</f>
        <v>Female</v>
      </c>
      <c r="P780" s="1" t="str">
        <f ca="1">IFERROR(__xludf.DUMMYFUNCTION("""COMPUTED_VALUE"""),"Work &gt;10 people in Team")</f>
        <v>Work &gt;10 people in Team</v>
      </c>
      <c r="Q780" s="1" t="str">
        <f ca="1">IFERROR(__xludf.DUMMYFUNCTION("""COMPUTED_VALUE"""),"Female")</f>
        <v>Female</v>
      </c>
    </row>
    <row r="781" spans="13:17" x14ac:dyDescent="0.25">
      <c r="M781" s="1"/>
      <c r="N781" s="1" t="str">
        <f ca="1">IFERROR(__xludf.DUMMYFUNCTION("""COMPUTED_VALUE"""),"Male")</f>
        <v>Male</v>
      </c>
      <c r="P781" s="1" t="str">
        <f ca="1">IFERROR(__xludf.DUMMYFUNCTION("""COMPUTED_VALUE"""),"Work &lt;=6 People in the Team")</f>
        <v>Work &lt;=6 People in the Team</v>
      </c>
      <c r="Q781" s="1" t="str">
        <f ca="1">IFERROR(__xludf.DUMMYFUNCTION("""COMPUTED_VALUE"""),"Male")</f>
        <v>Male</v>
      </c>
    </row>
    <row r="782" spans="13:17" x14ac:dyDescent="0.25">
      <c r="M782" s="1"/>
      <c r="N782" s="1" t="str">
        <f ca="1">IFERROR(__xludf.DUMMYFUNCTION("""COMPUTED_VALUE"""),"Female")</f>
        <v>Female</v>
      </c>
      <c r="P782" s="1" t="str">
        <f ca="1">IFERROR(__xludf.DUMMYFUNCTION("""COMPUTED_VALUE"""),"Work &lt;=6 People in the Team")</f>
        <v>Work &lt;=6 People in the Team</v>
      </c>
      <c r="Q782" s="1" t="str">
        <f ca="1">IFERROR(__xludf.DUMMYFUNCTION("""COMPUTED_VALUE"""),"Female")</f>
        <v>Female</v>
      </c>
    </row>
    <row r="783" spans="13:17" x14ac:dyDescent="0.25">
      <c r="M783" s="1"/>
      <c r="N783" s="1" t="str">
        <f ca="1">IFERROR(__xludf.DUMMYFUNCTION("""COMPUTED_VALUE"""),"Male")</f>
        <v>Male</v>
      </c>
      <c r="P783" s="1" t="str">
        <f ca="1">IFERROR(__xludf.DUMMYFUNCTION("""COMPUTED_VALUE"""),"Work &lt;=6 People in the Team")</f>
        <v>Work &lt;=6 People in the Team</v>
      </c>
      <c r="Q783" s="1" t="str">
        <f ca="1">IFERROR(__xludf.DUMMYFUNCTION("""COMPUTED_VALUE"""),"Male")</f>
        <v>Male</v>
      </c>
    </row>
    <row r="784" spans="13:17" x14ac:dyDescent="0.25">
      <c r="M784" s="1"/>
      <c r="N784" s="1" t="str">
        <f ca="1">IFERROR(__xludf.DUMMYFUNCTION("""COMPUTED_VALUE"""),"Female")</f>
        <v>Female</v>
      </c>
      <c r="P784" s="1" t="str">
        <f ca="1">IFERROR(__xludf.DUMMYFUNCTION("""COMPUTED_VALUE"""),"Work &lt;=6 People in the Team")</f>
        <v>Work &lt;=6 People in the Team</v>
      </c>
      <c r="Q784" s="1" t="str">
        <f ca="1">IFERROR(__xludf.DUMMYFUNCTION("""COMPUTED_VALUE"""),"Female")</f>
        <v>Female</v>
      </c>
    </row>
    <row r="785" spans="13:17" x14ac:dyDescent="0.25">
      <c r="M785" s="1"/>
      <c r="N785" s="1" t="str">
        <f ca="1">IFERROR(__xludf.DUMMYFUNCTION("""COMPUTED_VALUE"""),"Male")</f>
        <v>Male</v>
      </c>
      <c r="P785" s="1" t="str">
        <f ca="1">IFERROR(__xludf.DUMMYFUNCTION("""COMPUTED_VALUE"""),"Work &gt;10 people in Team")</f>
        <v>Work &gt;10 people in Team</v>
      </c>
      <c r="Q785" s="1" t="str">
        <f ca="1">IFERROR(__xludf.DUMMYFUNCTION("""COMPUTED_VALUE"""),"Male")</f>
        <v>Male</v>
      </c>
    </row>
    <row r="786" spans="13:17" x14ac:dyDescent="0.25">
      <c r="M786" s="1"/>
      <c r="N786" s="1" t="str">
        <f ca="1">IFERROR(__xludf.DUMMYFUNCTION("""COMPUTED_VALUE"""),"Female")</f>
        <v>Female</v>
      </c>
      <c r="P786" s="1" t="str">
        <f ca="1">IFERROR(__xludf.DUMMYFUNCTION("""COMPUTED_VALUE"""),"Work &gt;10 people in Team")</f>
        <v>Work &gt;10 people in Team</v>
      </c>
      <c r="Q786" s="1" t="str">
        <f ca="1">IFERROR(__xludf.DUMMYFUNCTION("""COMPUTED_VALUE"""),"Female")</f>
        <v>Female</v>
      </c>
    </row>
    <row r="787" spans="13:17" x14ac:dyDescent="0.25">
      <c r="M787" s="1"/>
      <c r="N787" s="1" t="str">
        <f ca="1">IFERROR(__xludf.DUMMYFUNCTION("""COMPUTED_VALUE"""),"Female")</f>
        <v>Female</v>
      </c>
      <c r="P787" s="1" t="str">
        <f ca="1">IFERROR(__xludf.DUMMYFUNCTION("""COMPUTED_VALUE"""),"Work &lt;=6 People in the Team")</f>
        <v>Work &lt;=6 People in the Team</v>
      </c>
      <c r="Q787" s="1" t="str">
        <f ca="1">IFERROR(__xludf.DUMMYFUNCTION("""COMPUTED_VALUE"""),"Female")</f>
        <v>Female</v>
      </c>
    </row>
    <row r="788" spans="13:17" x14ac:dyDescent="0.25">
      <c r="M788" s="1"/>
      <c r="N788" s="1" t="str">
        <f ca="1">IFERROR(__xludf.DUMMYFUNCTION("""COMPUTED_VALUE"""),"Male")</f>
        <v>Male</v>
      </c>
      <c r="P788" s="1" t="str">
        <f ca="1">IFERROR(__xludf.DUMMYFUNCTION("""COMPUTED_VALUE"""),"Work &lt;=6 People in the Team")</f>
        <v>Work &lt;=6 People in the Team</v>
      </c>
      <c r="Q788" s="1" t="str">
        <f ca="1">IFERROR(__xludf.DUMMYFUNCTION("""COMPUTED_VALUE"""),"Male")</f>
        <v>Male</v>
      </c>
    </row>
    <row r="789" spans="13:17" x14ac:dyDescent="0.25">
      <c r="M789" s="1"/>
      <c r="N789" s="1" t="str">
        <f ca="1">IFERROR(__xludf.DUMMYFUNCTION("""COMPUTED_VALUE"""),"Female")</f>
        <v>Female</v>
      </c>
      <c r="P789" s="1" t="str">
        <f ca="1">IFERROR(__xludf.DUMMYFUNCTION("""COMPUTED_VALUE"""),"Work Alone, &lt;67 people in team")</f>
        <v>Work Alone, &lt;67 people in team</v>
      </c>
      <c r="Q789" s="1" t="str">
        <f ca="1">IFERROR(__xludf.DUMMYFUNCTION("""COMPUTED_VALUE"""),"Female")</f>
        <v>Female</v>
      </c>
    </row>
    <row r="790" spans="13:17" x14ac:dyDescent="0.25">
      <c r="M790" s="1"/>
      <c r="N790" s="1" t="str">
        <f ca="1">IFERROR(__xludf.DUMMYFUNCTION("""COMPUTED_VALUE"""),"Female")</f>
        <v>Female</v>
      </c>
      <c r="P790" s="1" t="str">
        <f ca="1">IFERROR(__xludf.DUMMYFUNCTION("""COMPUTED_VALUE"""),"Work &gt;10 people in Team")</f>
        <v>Work &gt;10 people in Team</v>
      </c>
      <c r="Q790" s="1" t="str">
        <f ca="1">IFERROR(__xludf.DUMMYFUNCTION("""COMPUTED_VALUE"""),"Female")</f>
        <v>Female</v>
      </c>
    </row>
    <row r="791" spans="13:17" x14ac:dyDescent="0.25">
      <c r="M791" s="1"/>
      <c r="N791" s="1" t="str">
        <f ca="1">IFERROR(__xludf.DUMMYFUNCTION("""COMPUTED_VALUE"""),"Male")</f>
        <v>Male</v>
      </c>
      <c r="P791" s="1" t="str">
        <f ca="1">IFERROR(__xludf.DUMMYFUNCTION("""COMPUTED_VALUE"""),"Work &gt;=7 People in the Team")</f>
        <v>Work &gt;=7 People in the Team</v>
      </c>
      <c r="Q791" s="1" t="str">
        <f ca="1">IFERROR(__xludf.DUMMYFUNCTION("""COMPUTED_VALUE"""),"Male")</f>
        <v>Male</v>
      </c>
    </row>
    <row r="792" spans="13:17" x14ac:dyDescent="0.25">
      <c r="M792" s="1"/>
      <c r="N792" s="1" t="str">
        <f ca="1">IFERROR(__xludf.DUMMYFUNCTION("""COMPUTED_VALUE"""),"Female")</f>
        <v>Female</v>
      </c>
      <c r="P792" s="1" t="str">
        <f ca="1">IFERROR(__xludf.DUMMYFUNCTION("""COMPUTED_VALUE"""),"Work Alone, &lt;=6 in team")</f>
        <v>Work Alone, &lt;=6 in team</v>
      </c>
      <c r="Q792" s="1" t="str">
        <f ca="1">IFERROR(__xludf.DUMMYFUNCTION("""COMPUTED_VALUE"""),"Female")</f>
        <v>Female</v>
      </c>
    </row>
    <row r="793" spans="13:17" x14ac:dyDescent="0.25">
      <c r="M793" s="1"/>
      <c r="N793" s="1" t="str">
        <f ca="1">IFERROR(__xludf.DUMMYFUNCTION("""COMPUTED_VALUE"""),"Male")</f>
        <v>Male</v>
      </c>
      <c r="P793" s="1" t="str">
        <f ca="1">IFERROR(__xludf.DUMMYFUNCTION("""COMPUTED_VALUE"""),"Work &gt;=7 People in the Team")</f>
        <v>Work &gt;=7 People in the Team</v>
      </c>
      <c r="Q793" s="1" t="str">
        <f ca="1">IFERROR(__xludf.DUMMYFUNCTION("""COMPUTED_VALUE"""),"Male")</f>
        <v>Male</v>
      </c>
    </row>
    <row r="794" spans="13:17" x14ac:dyDescent="0.25">
      <c r="M794" s="1"/>
      <c r="N794" s="1" t="str">
        <f ca="1">IFERROR(__xludf.DUMMYFUNCTION("""COMPUTED_VALUE"""),"Female")</f>
        <v>Female</v>
      </c>
      <c r="P794" s="1" t="str">
        <f ca="1">IFERROR(__xludf.DUMMYFUNCTION("""COMPUTED_VALUE"""),"Work &lt;=6 People in the Team")</f>
        <v>Work &lt;=6 People in the Team</v>
      </c>
      <c r="Q794" s="1" t="str">
        <f ca="1">IFERROR(__xludf.DUMMYFUNCTION("""COMPUTED_VALUE"""),"Female")</f>
        <v>Female</v>
      </c>
    </row>
    <row r="795" spans="13:17" x14ac:dyDescent="0.25">
      <c r="M795" s="1"/>
      <c r="N795" s="1" t="str">
        <f ca="1">IFERROR(__xludf.DUMMYFUNCTION("""COMPUTED_VALUE"""),"Male")</f>
        <v>Male</v>
      </c>
      <c r="P795" s="1" t="str">
        <f ca="1">IFERROR(__xludf.DUMMYFUNCTION("""COMPUTED_VALUE"""),"Work &lt;=6 People in the Team")</f>
        <v>Work &lt;=6 People in the Team</v>
      </c>
      <c r="Q795" s="1" t="str">
        <f ca="1">IFERROR(__xludf.DUMMYFUNCTION("""COMPUTED_VALUE"""),"Male")</f>
        <v>Male</v>
      </c>
    </row>
    <row r="796" spans="13:17" x14ac:dyDescent="0.25">
      <c r="M796" s="1"/>
      <c r="N796" s="1" t="str">
        <f ca="1">IFERROR(__xludf.DUMMYFUNCTION("""COMPUTED_VALUE"""),"Female")</f>
        <v>Female</v>
      </c>
      <c r="P796" s="1" t="str">
        <f ca="1">IFERROR(__xludf.DUMMYFUNCTION("""COMPUTED_VALUE"""),"Work Alone, &lt;=6 in team")</f>
        <v>Work Alone, &lt;=6 in team</v>
      </c>
      <c r="Q796" s="1" t="str">
        <f ca="1">IFERROR(__xludf.DUMMYFUNCTION("""COMPUTED_VALUE"""),"Female")</f>
        <v>Female</v>
      </c>
    </row>
    <row r="797" spans="13:17" x14ac:dyDescent="0.25">
      <c r="M797" s="1"/>
      <c r="N797" s="1" t="str">
        <f ca="1">IFERROR(__xludf.DUMMYFUNCTION("""COMPUTED_VALUE"""),"Male")</f>
        <v>Male</v>
      </c>
      <c r="P797" s="1" t="str">
        <f ca="1">IFERROR(__xludf.DUMMYFUNCTION("""COMPUTED_VALUE"""),"Work &gt;10 people in Team")</f>
        <v>Work &gt;10 people in Team</v>
      </c>
      <c r="Q797" s="1" t="str">
        <f ca="1">IFERROR(__xludf.DUMMYFUNCTION("""COMPUTED_VALUE"""),"Male")</f>
        <v>Male</v>
      </c>
    </row>
    <row r="798" spans="13:17" x14ac:dyDescent="0.25">
      <c r="M798" s="1"/>
      <c r="N798" s="1" t="str">
        <f ca="1">IFERROR(__xludf.DUMMYFUNCTION("""COMPUTED_VALUE"""),"Female")</f>
        <v>Female</v>
      </c>
      <c r="P798" s="1" t="str">
        <f ca="1">IFERROR(__xludf.DUMMYFUNCTION("""COMPUTED_VALUE"""),"Work &lt;=6 People in the Team")</f>
        <v>Work &lt;=6 People in the Team</v>
      </c>
      <c r="Q798" s="1" t="str">
        <f ca="1">IFERROR(__xludf.DUMMYFUNCTION("""COMPUTED_VALUE"""),"Female")</f>
        <v>Female</v>
      </c>
    </row>
    <row r="799" spans="13:17" x14ac:dyDescent="0.25">
      <c r="M799" s="1"/>
      <c r="N799" s="1" t="str">
        <f ca="1">IFERROR(__xludf.DUMMYFUNCTION("""COMPUTED_VALUE"""),"Male")</f>
        <v>Male</v>
      </c>
      <c r="P799" s="1" t="str">
        <f ca="1">IFERROR(__xludf.DUMMYFUNCTION("""COMPUTED_VALUE"""),"Work &lt;=6 People in the Team")</f>
        <v>Work &lt;=6 People in the Team</v>
      </c>
      <c r="Q799" s="1" t="str">
        <f ca="1">IFERROR(__xludf.DUMMYFUNCTION("""COMPUTED_VALUE"""),"Male")</f>
        <v>Male</v>
      </c>
    </row>
    <row r="800" spans="13:17" x14ac:dyDescent="0.25">
      <c r="M800" s="1"/>
      <c r="N800" s="1" t="str">
        <f ca="1">IFERROR(__xludf.DUMMYFUNCTION("""COMPUTED_VALUE"""),"Male")</f>
        <v>Male</v>
      </c>
      <c r="P800" s="1" t="str">
        <f ca="1">IFERROR(__xludf.DUMMYFUNCTION("""COMPUTED_VALUE"""),"Work alone")</f>
        <v>Work alone</v>
      </c>
      <c r="Q800" s="1" t="str">
        <f ca="1">IFERROR(__xludf.DUMMYFUNCTION("""COMPUTED_VALUE"""),"Male")</f>
        <v>Male</v>
      </c>
    </row>
    <row r="801" spans="13:17" x14ac:dyDescent="0.25">
      <c r="M801" s="1"/>
      <c r="N801" s="1" t="str">
        <f ca="1">IFERROR(__xludf.DUMMYFUNCTION("""COMPUTED_VALUE"""),"Female")</f>
        <v>Female</v>
      </c>
      <c r="P801" s="1" t="str">
        <f ca="1">IFERROR(__xludf.DUMMYFUNCTION("""COMPUTED_VALUE"""),"Work Alone, &lt;=6 in team")</f>
        <v>Work Alone, &lt;=6 in team</v>
      </c>
      <c r="Q801" s="1" t="str">
        <f ca="1">IFERROR(__xludf.DUMMYFUNCTION("""COMPUTED_VALUE"""),"Female")</f>
        <v>Female</v>
      </c>
    </row>
    <row r="802" spans="13:17" x14ac:dyDescent="0.25">
      <c r="M802" s="1"/>
      <c r="N802" s="1" t="str">
        <f ca="1">IFERROR(__xludf.DUMMYFUNCTION("""COMPUTED_VALUE"""),"Female")</f>
        <v>Female</v>
      </c>
      <c r="P802" s="1" t="str">
        <f ca="1">IFERROR(__xludf.DUMMYFUNCTION("""COMPUTED_VALUE"""),"Work &lt;=6 People in the Team")</f>
        <v>Work &lt;=6 People in the Team</v>
      </c>
      <c r="Q802" s="1" t="str">
        <f ca="1">IFERROR(__xludf.DUMMYFUNCTION("""COMPUTED_VALUE"""),"Female")</f>
        <v>Female</v>
      </c>
    </row>
    <row r="803" spans="13:17" x14ac:dyDescent="0.25">
      <c r="M803" s="1"/>
      <c r="N803" s="1" t="str">
        <f ca="1">IFERROR(__xludf.DUMMYFUNCTION("""COMPUTED_VALUE"""),"Male")</f>
        <v>Male</v>
      </c>
      <c r="P803" s="1" t="str">
        <f ca="1">IFERROR(__xludf.DUMMYFUNCTION("""COMPUTED_VALUE"""),"Work &gt;10 people in Team")</f>
        <v>Work &gt;10 people in Team</v>
      </c>
      <c r="Q803" s="1" t="str">
        <f ca="1">IFERROR(__xludf.DUMMYFUNCTION("""COMPUTED_VALUE"""),"Male")</f>
        <v>Male</v>
      </c>
    </row>
    <row r="804" spans="13:17" x14ac:dyDescent="0.25">
      <c r="M804" s="1"/>
      <c r="N804" s="1" t="str">
        <f ca="1">IFERROR(__xludf.DUMMYFUNCTION("""COMPUTED_VALUE"""),"Female")</f>
        <v>Female</v>
      </c>
      <c r="P804" s="1" t="str">
        <f ca="1">IFERROR(__xludf.DUMMYFUNCTION("""COMPUTED_VALUE"""),"Work &lt;=6 People in the Team")</f>
        <v>Work &lt;=6 People in the Team</v>
      </c>
      <c r="Q804" s="1" t="str">
        <f ca="1">IFERROR(__xludf.DUMMYFUNCTION("""COMPUTED_VALUE"""),"Female")</f>
        <v>Female</v>
      </c>
    </row>
    <row r="805" spans="13:17" x14ac:dyDescent="0.25">
      <c r="M805" s="1"/>
      <c r="N805" s="1" t="str">
        <f ca="1">IFERROR(__xludf.DUMMYFUNCTION("""COMPUTED_VALUE"""),"Female")</f>
        <v>Female</v>
      </c>
      <c r="P805" s="1" t="str">
        <f ca="1">IFERROR(__xludf.DUMMYFUNCTION("""COMPUTED_VALUE"""),"Work &gt;10 people in Team")</f>
        <v>Work &gt;10 people in Team</v>
      </c>
      <c r="Q805" s="1" t="str">
        <f ca="1">IFERROR(__xludf.DUMMYFUNCTION("""COMPUTED_VALUE"""),"Female")</f>
        <v>Female</v>
      </c>
    </row>
    <row r="806" spans="13:17" x14ac:dyDescent="0.25">
      <c r="M806" s="1"/>
      <c r="N806" s="1" t="str">
        <f ca="1">IFERROR(__xludf.DUMMYFUNCTION("""COMPUTED_VALUE"""),"Male")</f>
        <v>Male</v>
      </c>
      <c r="P806" s="1" t="str">
        <f ca="1">IFERROR(__xludf.DUMMYFUNCTION("""COMPUTED_VALUE"""),"Work &gt;=7 People in the Team")</f>
        <v>Work &gt;=7 People in the Team</v>
      </c>
      <c r="Q806" s="1" t="str">
        <f ca="1">IFERROR(__xludf.DUMMYFUNCTION("""COMPUTED_VALUE"""),"Male")</f>
        <v>Male</v>
      </c>
    </row>
    <row r="807" spans="13:17" x14ac:dyDescent="0.25">
      <c r="M807" s="1"/>
      <c r="N807" s="1" t="str">
        <f ca="1">IFERROR(__xludf.DUMMYFUNCTION("""COMPUTED_VALUE"""),"Female")</f>
        <v>Female</v>
      </c>
      <c r="P807" s="1" t="str">
        <f ca="1">IFERROR(__xludf.DUMMYFUNCTION("""COMPUTED_VALUE"""),"Work &lt;=6 People in the Team")</f>
        <v>Work &lt;=6 People in the Team</v>
      </c>
      <c r="Q807" s="1" t="str">
        <f ca="1">IFERROR(__xludf.DUMMYFUNCTION("""COMPUTED_VALUE"""),"Female")</f>
        <v>Female</v>
      </c>
    </row>
    <row r="808" spans="13:17" x14ac:dyDescent="0.25">
      <c r="M808" s="1"/>
      <c r="N808" s="1" t="str">
        <f ca="1">IFERROR(__xludf.DUMMYFUNCTION("""COMPUTED_VALUE"""),"Female")</f>
        <v>Female</v>
      </c>
      <c r="P808" s="1" t="str">
        <f ca="1">IFERROR(__xludf.DUMMYFUNCTION("""COMPUTED_VALUE"""),"Work &lt;=6 People in the Team")</f>
        <v>Work &lt;=6 People in the Team</v>
      </c>
      <c r="Q808" s="1" t="str">
        <f ca="1">IFERROR(__xludf.DUMMYFUNCTION("""COMPUTED_VALUE"""),"Female")</f>
        <v>Female</v>
      </c>
    </row>
    <row r="809" spans="13:17" x14ac:dyDescent="0.25">
      <c r="M809" s="1"/>
      <c r="N809" s="1" t="str">
        <f ca="1">IFERROR(__xludf.DUMMYFUNCTION("""COMPUTED_VALUE"""),"Female")</f>
        <v>Female</v>
      </c>
      <c r="P809" s="1" t="str">
        <f ca="1">IFERROR(__xludf.DUMMYFUNCTION("""COMPUTED_VALUE"""),"Work &lt;=6 People in the Team")</f>
        <v>Work &lt;=6 People in the Team</v>
      </c>
      <c r="Q809" s="1" t="str">
        <f ca="1">IFERROR(__xludf.DUMMYFUNCTION("""COMPUTED_VALUE"""),"Female")</f>
        <v>Female</v>
      </c>
    </row>
    <row r="810" spans="13:17" x14ac:dyDescent="0.25">
      <c r="M810" s="1"/>
      <c r="N810" s="1" t="str">
        <f ca="1">IFERROR(__xludf.DUMMYFUNCTION("""COMPUTED_VALUE"""),"Male")</f>
        <v>Male</v>
      </c>
      <c r="P810" s="1" t="str">
        <f ca="1">IFERROR(__xludf.DUMMYFUNCTION("""COMPUTED_VALUE"""),"Work &lt;=6 People in the Team")</f>
        <v>Work &lt;=6 People in the Team</v>
      </c>
      <c r="Q810" s="1" t="str">
        <f ca="1">IFERROR(__xludf.DUMMYFUNCTION("""COMPUTED_VALUE"""),"Male")</f>
        <v>Male</v>
      </c>
    </row>
    <row r="811" spans="13:17" x14ac:dyDescent="0.25">
      <c r="M811" s="1"/>
      <c r="N811" s="1" t="str">
        <f ca="1">IFERROR(__xludf.DUMMYFUNCTION("""COMPUTED_VALUE"""),"Male")</f>
        <v>Male</v>
      </c>
      <c r="P811" s="1" t="str">
        <f ca="1">IFERROR(__xludf.DUMMYFUNCTION("""COMPUTED_VALUE"""),"Work &gt;=7 People in the Team")</f>
        <v>Work &gt;=7 People in the Team</v>
      </c>
      <c r="Q811" s="1" t="str">
        <f ca="1">IFERROR(__xludf.DUMMYFUNCTION("""COMPUTED_VALUE"""),"Male")</f>
        <v>Male</v>
      </c>
    </row>
    <row r="812" spans="13:17" x14ac:dyDescent="0.25">
      <c r="M812" s="1"/>
      <c r="N812" s="1" t="str">
        <f ca="1">IFERROR(__xludf.DUMMYFUNCTION("""COMPUTED_VALUE"""),"Male")</f>
        <v>Male</v>
      </c>
      <c r="P812" s="1" t="str">
        <f ca="1">IFERROR(__xludf.DUMMYFUNCTION("""COMPUTED_VALUE"""),"Work &lt;=6 People in the Team")</f>
        <v>Work &lt;=6 People in the Team</v>
      </c>
      <c r="Q812" s="1" t="str">
        <f ca="1">IFERROR(__xludf.DUMMYFUNCTION("""COMPUTED_VALUE"""),"Male")</f>
        <v>Male</v>
      </c>
    </row>
    <row r="813" spans="13:17" x14ac:dyDescent="0.25">
      <c r="M813" s="1"/>
      <c r="N813" s="1" t="str">
        <f ca="1">IFERROR(__xludf.DUMMYFUNCTION("""COMPUTED_VALUE"""),"Male")</f>
        <v>Male</v>
      </c>
      <c r="P813" s="1" t="str">
        <f ca="1">IFERROR(__xludf.DUMMYFUNCTION("""COMPUTED_VALUE"""),"Work &lt;=6 People in the Team")</f>
        <v>Work &lt;=6 People in the Team</v>
      </c>
      <c r="Q813" s="1" t="str">
        <f ca="1">IFERROR(__xludf.DUMMYFUNCTION("""COMPUTED_VALUE"""),"Male")</f>
        <v>Male</v>
      </c>
    </row>
    <row r="814" spans="13:17" x14ac:dyDescent="0.25">
      <c r="M814" s="1"/>
      <c r="N814" s="1" t="str">
        <f ca="1">IFERROR(__xludf.DUMMYFUNCTION("""COMPUTED_VALUE"""),"Female")</f>
        <v>Female</v>
      </c>
      <c r="P814" s="1" t="str">
        <f ca="1">IFERROR(__xludf.DUMMYFUNCTION("""COMPUTED_VALUE"""),"Work &lt;=6 People in the Team")</f>
        <v>Work &lt;=6 People in the Team</v>
      </c>
      <c r="Q814" s="1" t="str">
        <f ca="1">IFERROR(__xludf.DUMMYFUNCTION("""COMPUTED_VALUE"""),"Female")</f>
        <v>Female</v>
      </c>
    </row>
    <row r="815" spans="13:17" x14ac:dyDescent="0.25">
      <c r="M815" s="1"/>
      <c r="N815" s="1" t="str">
        <f ca="1">IFERROR(__xludf.DUMMYFUNCTION("""COMPUTED_VALUE"""),"Male")</f>
        <v>Male</v>
      </c>
      <c r="P815" s="1" t="str">
        <f ca="1">IFERROR(__xludf.DUMMYFUNCTION("""COMPUTED_VALUE"""),"Work &lt;67 People in the Team")</f>
        <v>Work &lt;67 People in the Team</v>
      </c>
      <c r="Q815" s="1" t="str">
        <f ca="1">IFERROR(__xludf.DUMMYFUNCTION("""COMPUTED_VALUE"""),"Male")</f>
        <v>Male</v>
      </c>
    </row>
    <row r="816" spans="13:17" x14ac:dyDescent="0.25">
      <c r="M816" s="1"/>
      <c r="N816" s="1" t="str">
        <f ca="1">IFERROR(__xludf.DUMMYFUNCTION("""COMPUTED_VALUE"""),"Female")</f>
        <v>Female</v>
      </c>
      <c r="P816" s="1" t="str">
        <f ca="1">IFERROR(__xludf.DUMMYFUNCTION("""COMPUTED_VALUE"""),"Work Alone, &lt;=6 in team")</f>
        <v>Work Alone, &lt;=6 in team</v>
      </c>
      <c r="Q816" s="1" t="str">
        <f ca="1">IFERROR(__xludf.DUMMYFUNCTION("""COMPUTED_VALUE"""),"Female")</f>
        <v>Female</v>
      </c>
    </row>
    <row r="817" spans="13:17" x14ac:dyDescent="0.25">
      <c r="M817" s="1"/>
      <c r="N817" s="1" t="str">
        <f ca="1">IFERROR(__xludf.DUMMYFUNCTION("""COMPUTED_VALUE"""),"Male")</f>
        <v>Male</v>
      </c>
      <c r="P817" s="1" t="str">
        <f ca="1">IFERROR(__xludf.DUMMYFUNCTION("""COMPUTED_VALUE"""),"Work &lt;=6 People in the Team")</f>
        <v>Work &lt;=6 People in the Team</v>
      </c>
      <c r="Q817" s="1" t="str">
        <f ca="1">IFERROR(__xludf.DUMMYFUNCTION("""COMPUTED_VALUE"""),"Male")</f>
        <v>Male</v>
      </c>
    </row>
    <row r="818" spans="13:17" x14ac:dyDescent="0.25">
      <c r="M818" s="1"/>
      <c r="N818" s="1" t="str">
        <f ca="1">IFERROR(__xludf.DUMMYFUNCTION("""COMPUTED_VALUE"""),"Male")</f>
        <v>Male</v>
      </c>
      <c r="P818" s="1" t="str">
        <f ca="1">IFERROR(__xludf.DUMMYFUNCTION("""COMPUTED_VALUE"""),"Work &lt;=6 People in the Team")</f>
        <v>Work &lt;=6 People in the Team</v>
      </c>
      <c r="Q818" s="1" t="str">
        <f ca="1">IFERROR(__xludf.DUMMYFUNCTION("""COMPUTED_VALUE"""),"Male")</f>
        <v>Male</v>
      </c>
    </row>
    <row r="819" spans="13:17" x14ac:dyDescent="0.25">
      <c r="M819" s="1"/>
      <c r="N819" s="1" t="str">
        <f ca="1">IFERROR(__xludf.DUMMYFUNCTION("""COMPUTED_VALUE"""),"Male")</f>
        <v>Male</v>
      </c>
      <c r="P819" s="1" t="str">
        <f ca="1">IFERROR(__xludf.DUMMYFUNCTION("""COMPUTED_VALUE"""),"Work &lt;67 People in the Team")</f>
        <v>Work &lt;67 People in the Team</v>
      </c>
      <c r="Q819" s="1" t="str">
        <f ca="1">IFERROR(__xludf.DUMMYFUNCTION("""COMPUTED_VALUE"""),"Male")</f>
        <v>Male</v>
      </c>
    </row>
    <row r="820" spans="13:17" x14ac:dyDescent="0.25">
      <c r="M820" s="1"/>
      <c r="N820" s="1" t="str">
        <f ca="1">IFERROR(__xludf.DUMMYFUNCTION("""COMPUTED_VALUE"""),"Female")</f>
        <v>Female</v>
      </c>
      <c r="P820" s="1" t="str">
        <f ca="1">IFERROR(__xludf.DUMMYFUNCTION("""COMPUTED_VALUE"""),"Work &gt;10 people in Team")</f>
        <v>Work &gt;10 people in Team</v>
      </c>
      <c r="Q820" s="1" t="str">
        <f ca="1">IFERROR(__xludf.DUMMYFUNCTION("""COMPUTED_VALUE"""),"Female")</f>
        <v>Female</v>
      </c>
    </row>
    <row r="821" spans="13:17" x14ac:dyDescent="0.25">
      <c r="M821" s="1"/>
      <c r="N821" s="1" t="str">
        <f ca="1">IFERROR(__xludf.DUMMYFUNCTION("""COMPUTED_VALUE"""),"Male")</f>
        <v>Male</v>
      </c>
      <c r="P821" s="1" t="str">
        <f ca="1">IFERROR(__xludf.DUMMYFUNCTION("""COMPUTED_VALUE"""),"Work &gt;10 people in Team")</f>
        <v>Work &gt;10 people in Team</v>
      </c>
      <c r="Q821" s="1" t="str">
        <f ca="1">IFERROR(__xludf.DUMMYFUNCTION("""COMPUTED_VALUE"""),"Male")</f>
        <v>Male</v>
      </c>
    </row>
    <row r="822" spans="13:17" x14ac:dyDescent="0.25">
      <c r="M822" s="1"/>
      <c r="N822" s="1" t="str">
        <f ca="1">IFERROR(__xludf.DUMMYFUNCTION("""COMPUTED_VALUE"""),"Male")</f>
        <v>Male</v>
      </c>
      <c r="P822" s="1" t="str">
        <f ca="1">IFERROR(__xludf.DUMMYFUNCTION("""COMPUTED_VALUE"""),"Work &lt;=6 People in the Team")</f>
        <v>Work &lt;=6 People in the Team</v>
      </c>
      <c r="Q822" s="1" t="str">
        <f ca="1">IFERROR(__xludf.DUMMYFUNCTION("""COMPUTED_VALUE"""),"Male")</f>
        <v>Male</v>
      </c>
    </row>
    <row r="823" spans="13:17" x14ac:dyDescent="0.25">
      <c r="M823" s="1"/>
      <c r="N823" s="1" t="str">
        <f ca="1">IFERROR(__xludf.DUMMYFUNCTION("""COMPUTED_VALUE"""),"Female")</f>
        <v>Female</v>
      </c>
      <c r="P823" s="1" t="str">
        <f ca="1">IFERROR(__xludf.DUMMYFUNCTION("""COMPUTED_VALUE"""),"Work &lt;=6 People in the Team")</f>
        <v>Work &lt;=6 People in the Team</v>
      </c>
      <c r="Q823" s="1" t="str">
        <f ca="1">IFERROR(__xludf.DUMMYFUNCTION("""COMPUTED_VALUE"""),"Female")</f>
        <v>Female</v>
      </c>
    </row>
    <row r="824" spans="13:17" x14ac:dyDescent="0.25">
      <c r="M824" s="1"/>
      <c r="N824" s="1" t="str">
        <f ca="1">IFERROR(__xludf.DUMMYFUNCTION("""COMPUTED_VALUE"""),"Female")</f>
        <v>Female</v>
      </c>
      <c r="P824" s="1" t="str">
        <f ca="1">IFERROR(__xludf.DUMMYFUNCTION("""COMPUTED_VALUE"""),"Work &gt;=7 People in the Team")</f>
        <v>Work &gt;=7 People in the Team</v>
      </c>
      <c r="Q824" s="1" t="str">
        <f ca="1">IFERROR(__xludf.DUMMYFUNCTION("""COMPUTED_VALUE"""),"Female")</f>
        <v>Female</v>
      </c>
    </row>
    <row r="825" spans="13:17" x14ac:dyDescent="0.25">
      <c r="M825" s="1"/>
      <c r="N825" s="1" t="str">
        <f ca="1">IFERROR(__xludf.DUMMYFUNCTION("""COMPUTED_VALUE"""),"Male")</f>
        <v>Male</v>
      </c>
      <c r="P825" s="1" t="str">
        <f ca="1">IFERROR(__xludf.DUMMYFUNCTION("""COMPUTED_VALUE"""),"Work &lt;=6 People in the Team")</f>
        <v>Work &lt;=6 People in the Team</v>
      </c>
      <c r="Q825" s="1" t="str">
        <f ca="1">IFERROR(__xludf.DUMMYFUNCTION("""COMPUTED_VALUE"""),"Male")</f>
        <v>Male</v>
      </c>
    </row>
    <row r="826" spans="13:17" x14ac:dyDescent="0.25">
      <c r="M826" s="1"/>
      <c r="N826" s="1" t="str">
        <f ca="1">IFERROR(__xludf.DUMMYFUNCTION("""COMPUTED_VALUE"""),"Female")</f>
        <v>Female</v>
      </c>
      <c r="P826" s="1" t="str">
        <f ca="1">IFERROR(__xludf.DUMMYFUNCTION("""COMPUTED_VALUE"""),"Work &lt;=6 People in the Team")</f>
        <v>Work &lt;=6 People in the Team</v>
      </c>
      <c r="Q826" s="1" t="str">
        <f ca="1">IFERROR(__xludf.DUMMYFUNCTION("""COMPUTED_VALUE"""),"Female")</f>
        <v>Female</v>
      </c>
    </row>
    <row r="827" spans="13:17" x14ac:dyDescent="0.25">
      <c r="M827" s="1"/>
      <c r="N827" s="1" t="str">
        <f ca="1">IFERROR(__xludf.DUMMYFUNCTION("""COMPUTED_VALUE"""),"Male")</f>
        <v>Male</v>
      </c>
      <c r="P827" s="1" t="str">
        <f ca="1">IFERROR(__xludf.DUMMYFUNCTION("""COMPUTED_VALUE"""),"Work &gt;=7 People in the Team")</f>
        <v>Work &gt;=7 People in the Team</v>
      </c>
      <c r="Q827" s="1" t="str">
        <f ca="1">IFERROR(__xludf.DUMMYFUNCTION("""COMPUTED_VALUE"""),"Male")</f>
        <v>Male</v>
      </c>
    </row>
    <row r="828" spans="13:17" x14ac:dyDescent="0.25">
      <c r="M828" s="1"/>
      <c r="N828" s="1" t="str">
        <f ca="1">IFERROR(__xludf.DUMMYFUNCTION("""COMPUTED_VALUE"""),"Male")</f>
        <v>Male</v>
      </c>
      <c r="P828" s="1" t="str">
        <f ca="1">IFERROR(__xludf.DUMMYFUNCTION("""COMPUTED_VALUE"""),"Work &lt;=6 People in the Team")</f>
        <v>Work &lt;=6 People in the Team</v>
      </c>
      <c r="Q828" s="1" t="str">
        <f ca="1">IFERROR(__xludf.DUMMYFUNCTION("""COMPUTED_VALUE"""),"Male")</f>
        <v>Male</v>
      </c>
    </row>
    <row r="829" spans="13:17" x14ac:dyDescent="0.25">
      <c r="M829" s="1"/>
      <c r="N829" s="1" t="str">
        <f ca="1">IFERROR(__xludf.DUMMYFUNCTION("""COMPUTED_VALUE"""),"Female")</f>
        <v>Female</v>
      </c>
      <c r="P829" s="1" t="str">
        <f ca="1">IFERROR(__xludf.DUMMYFUNCTION("""COMPUTED_VALUE"""),"Work &lt;=6 People in the Team")</f>
        <v>Work &lt;=6 People in the Team</v>
      </c>
      <c r="Q829" s="1" t="str">
        <f ca="1">IFERROR(__xludf.DUMMYFUNCTION("""COMPUTED_VALUE"""),"Female")</f>
        <v>Female</v>
      </c>
    </row>
    <row r="830" spans="13:17" x14ac:dyDescent="0.25">
      <c r="M830" s="1"/>
      <c r="N830" s="1" t="str">
        <f ca="1">IFERROR(__xludf.DUMMYFUNCTION("""COMPUTED_VALUE"""),"Female")</f>
        <v>Female</v>
      </c>
      <c r="P830" s="1" t="str">
        <f ca="1">IFERROR(__xludf.DUMMYFUNCTION("""COMPUTED_VALUE"""),"Work &lt;=6 People in the Team")</f>
        <v>Work &lt;=6 People in the Team</v>
      </c>
      <c r="Q830" s="1" t="str">
        <f ca="1">IFERROR(__xludf.DUMMYFUNCTION("""COMPUTED_VALUE"""),"Female")</f>
        <v>Female</v>
      </c>
    </row>
    <row r="831" spans="13:17" x14ac:dyDescent="0.25">
      <c r="M831" s="1"/>
      <c r="N831" s="1" t="str">
        <f ca="1">IFERROR(__xludf.DUMMYFUNCTION("""COMPUTED_VALUE"""),"Female")</f>
        <v>Female</v>
      </c>
      <c r="P831" s="1" t="str">
        <f ca="1">IFERROR(__xludf.DUMMYFUNCTION("""COMPUTED_VALUE"""),"Work &gt;=7 People in the Team")</f>
        <v>Work &gt;=7 People in the Team</v>
      </c>
      <c r="Q831" s="1" t="str">
        <f ca="1">IFERROR(__xludf.DUMMYFUNCTION("""COMPUTED_VALUE"""),"Female")</f>
        <v>Female</v>
      </c>
    </row>
    <row r="832" spans="13:17" x14ac:dyDescent="0.25">
      <c r="M832" s="1"/>
      <c r="N832" s="1" t="str">
        <f ca="1">IFERROR(__xludf.DUMMYFUNCTION("""COMPUTED_VALUE"""),"Male")</f>
        <v>Male</v>
      </c>
      <c r="P832" s="1" t="str">
        <f ca="1">IFERROR(__xludf.DUMMYFUNCTION("""COMPUTED_VALUE"""),"Work &lt;=6 People in the Team")</f>
        <v>Work &lt;=6 People in the Team</v>
      </c>
      <c r="Q832" s="1" t="str">
        <f ca="1">IFERROR(__xludf.DUMMYFUNCTION("""COMPUTED_VALUE"""),"Male")</f>
        <v>Male</v>
      </c>
    </row>
    <row r="833" spans="13:17" x14ac:dyDescent="0.25">
      <c r="M833" s="1"/>
      <c r="N833" s="1" t="str">
        <f ca="1">IFERROR(__xludf.DUMMYFUNCTION("""COMPUTED_VALUE"""),"Male")</f>
        <v>Male</v>
      </c>
      <c r="P833" s="1" t="str">
        <f ca="1">IFERROR(__xludf.DUMMYFUNCTION("""COMPUTED_VALUE"""),"Work &lt;=6 People in the Team")</f>
        <v>Work &lt;=6 People in the Team</v>
      </c>
      <c r="Q833" s="1" t="str">
        <f ca="1">IFERROR(__xludf.DUMMYFUNCTION("""COMPUTED_VALUE"""),"Male")</f>
        <v>Male</v>
      </c>
    </row>
    <row r="834" spans="13:17" x14ac:dyDescent="0.25">
      <c r="M834" s="1"/>
      <c r="N834" s="1" t="str">
        <f ca="1">IFERROR(__xludf.DUMMYFUNCTION("""COMPUTED_VALUE"""),"Female")</f>
        <v>Female</v>
      </c>
      <c r="P834" s="1" t="str">
        <f ca="1">IFERROR(__xludf.DUMMYFUNCTION("""COMPUTED_VALUE"""),"Work &lt;=6 People in the Team")</f>
        <v>Work &lt;=6 People in the Team</v>
      </c>
      <c r="Q834" s="1" t="str">
        <f ca="1">IFERROR(__xludf.DUMMYFUNCTION("""COMPUTED_VALUE"""),"Female")</f>
        <v>Female</v>
      </c>
    </row>
    <row r="835" spans="13:17" x14ac:dyDescent="0.25">
      <c r="M835" s="1"/>
      <c r="N835" s="1" t="str">
        <f ca="1">IFERROR(__xludf.DUMMYFUNCTION("""COMPUTED_VALUE"""),"Female")</f>
        <v>Female</v>
      </c>
      <c r="P835" s="1" t="str">
        <f ca="1">IFERROR(__xludf.DUMMYFUNCTION("""COMPUTED_VALUE"""),"Work &gt;=7 People in the Team")</f>
        <v>Work &gt;=7 People in the Team</v>
      </c>
      <c r="Q835" s="1" t="str">
        <f ca="1">IFERROR(__xludf.DUMMYFUNCTION("""COMPUTED_VALUE"""),"Female")</f>
        <v>Female</v>
      </c>
    </row>
    <row r="836" spans="13:17" x14ac:dyDescent="0.25">
      <c r="M836" s="1"/>
      <c r="N836" s="1" t="str">
        <f ca="1">IFERROR(__xludf.DUMMYFUNCTION("""COMPUTED_VALUE"""),"Female")</f>
        <v>Female</v>
      </c>
      <c r="P836" s="1" t="str">
        <f ca="1">IFERROR(__xludf.DUMMYFUNCTION("""COMPUTED_VALUE"""),"Work Alone, &lt;=6 in team")</f>
        <v>Work Alone, &lt;=6 in team</v>
      </c>
      <c r="Q836" s="1" t="str">
        <f ca="1">IFERROR(__xludf.DUMMYFUNCTION("""COMPUTED_VALUE"""),"Female")</f>
        <v>Female</v>
      </c>
    </row>
    <row r="837" spans="13:17" x14ac:dyDescent="0.25">
      <c r="M837" s="1"/>
      <c r="N837" s="1" t="str">
        <f ca="1">IFERROR(__xludf.DUMMYFUNCTION("""COMPUTED_VALUE"""),"Male")</f>
        <v>Male</v>
      </c>
      <c r="P837" s="1" t="str">
        <f ca="1">IFERROR(__xludf.DUMMYFUNCTION("""COMPUTED_VALUE"""),"Work &gt;=7 People in the Team")</f>
        <v>Work &gt;=7 People in the Team</v>
      </c>
      <c r="Q837" s="1" t="str">
        <f ca="1">IFERROR(__xludf.DUMMYFUNCTION("""COMPUTED_VALUE"""),"Male")</f>
        <v>Male</v>
      </c>
    </row>
    <row r="838" spans="13:17" x14ac:dyDescent="0.25">
      <c r="M838" s="1"/>
      <c r="N838" s="1" t="str">
        <f ca="1">IFERROR(__xludf.DUMMYFUNCTION("""COMPUTED_VALUE"""),"Male")</f>
        <v>Male</v>
      </c>
      <c r="P838" s="1" t="str">
        <f ca="1">IFERROR(__xludf.DUMMYFUNCTION("""COMPUTED_VALUE"""),"Work &lt;=6 People in the Team")</f>
        <v>Work &lt;=6 People in the Team</v>
      </c>
      <c r="Q838" s="1" t="str">
        <f ca="1">IFERROR(__xludf.DUMMYFUNCTION("""COMPUTED_VALUE"""),"Male")</f>
        <v>Male</v>
      </c>
    </row>
    <row r="839" spans="13:17" x14ac:dyDescent="0.25">
      <c r="M839" s="1"/>
      <c r="N839" s="1" t="str">
        <f ca="1">IFERROR(__xludf.DUMMYFUNCTION("""COMPUTED_VALUE"""),"Male")</f>
        <v>Male</v>
      </c>
      <c r="P839" s="1" t="str">
        <f ca="1">IFERROR(__xludf.DUMMYFUNCTION("""COMPUTED_VALUE"""),"Work &lt;=6 People in the Team")</f>
        <v>Work &lt;=6 People in the Team</v>
      </c>
      <c r="Q839" s="1" t="str">
        <f ca="1">IFERROR(__xludf.DUMMYFUNCTION("""COMPUTED_VALUE"""),"Male")</f>
        <v>Male</v>
      </c>
    </row>
    <row r="840" spans="13:17" x14ac:dyDescent="0.25">
      <c r="M840" s="1"/>
      <c r="N840" s="1" t="str">
        <f ca="1">IFERROR(__xludf.DUMMYFUNCTION("""COMPUTED_VALUE"""),"Female")</f>
        <v>Female</v>
      </c>
      <c r="P840" s="1" t="str">
        <f ca="1">IFERROR(__xludf.DUMMYFUNCTION("""COMPUTED_VALUE"""),"Work &lt;=6 People in the Team")</f>
        <v>Work &lt;=6 People in the Team</v>
      </c>
      <c r="Q840" s="1" t="str">
        <f ca="1">IFERROR(__xludf.DUMMYFUNCTION("""COMPUTED_VALUE"""),"Female")</f>
        <v>Female</v>
      </c>
    </row>
    <row r="841" spans="13:17" x14ac:dyDescent="0.25">
      <c r="M841" s="1"/>
      <c r="N841" s="1" t="str">
        <f ca="1">IFERROR(__xludf.DUMMYFUNCTION("""COMPUTED_VALUE"""),"Male")</f>
        <v>Male</v>
      </c>
      <c r="P841" s="1" t="str">
        <f ca="1">IFERROR(__xludf.DUMMYFUNCTION("""COMPUTED_VALUE"""),"Work &gt;10 people in Team")</f>
        <v>Work &gt;10 people in Team</v>
      </c>
      <c r="Q841" s="1" t="str">
        <f ca="1">IFERROR(__xludf.DUMMYFUNCTION("""COMPUTED_VALUE"""),"Male")</f>
        <v>Male</v>
      </c>
    </row>
    <row r="842" spans="13:17" x14ac:dyDescent="0.25">
      <c r="M842" s="1"/>
      <c r="N842" s="1" t="str">
        <f ca="1">IFERROR(__xludf.DUMMYFUNCTION("""COMPUTED_VALUE"""),"Male")</f>
        <v>Male</v>
      </c>
      <c r="P842" s="1" t="str">
        <f ca="1">IFERROR(__xludf.DUMMYFUNCTION("""COMPUTED_VALUE"""),"Work &gt;=7 People in the Team")</f>
        <v>Work &gt;=7 People in the Team</v>
      </c>
      <c r="Q842" s="1" t="str">
        <f ca="1">IFERROR(__xludf.DUMMYFUNCTION("""COMPUTED_VALUE"""),"Male")</f>
        <v>Male</v>
      </c>
    </row>
    <row r="843" spans="13:17" x14ac:dyDescent="0.25">
      <c r="M843" s="1"/>
      <c r="N843" s="1" t="str">
        <f ca="1">IFERROR(__xludf.DUMMYFUNCTION("""COMPUTED_VALUE"""),"Male")</f>
        <v>Male</v>
      </c>
      <c r="P843" s="1" t="str">
        <f ca="1">IFERROR(__xludf.DUMMYFUNCTION("""COMPUTED_VALUE"""),"Work &gt;10 people in Team")</f>
        <v>Work &gt;10 people in Team</v>
      </c>
      <c r="Q843" s="1" t="str">
        <f ca="1">IFERROR(__xludf.DUMMYFUNCTION("""COMPUTED_VALUE"""),"Male")</f>
        <v>Male</v>
      </c>
    </row>
    <row r="844" spans="13:17" x14ac:dyDescent="0.25">
      <c r="M844" s="1"/>
      <c r="N844" s="1" t="str">
        <f ca="1">IFERROR(__xludf.DUMMYFUNCTION("""COMPUTED_VALUE"""),"Male")</f>
        <v>Male</v>
      </c>
      <c r="P844" s="1" t="str">
        <f ca="1">IFERROR(__xludf.DUMMYFUNCTION("""COMPUTED_VALUE"""),"Work &gt;10 people in Team")</f>
        <v>Work &gt;10 people in Team</v>
      </c>
      <c r="Q844" s="1" t="str">
        <f ca="1">IFERROR(__xludf.DUMMYFUNCTION("""COMPUTED_VALUE"""),"Male")</f>
        <v>Male</v>
      </c>
    </row>
    <row r="845" spans="13:17" x14ac:dyDescent="0.25">
      <c r="M845" s="1"/>
      <c r="N845" s="1" t="str">
        <f ca="1">IFERROR(__xludf.DUMMYFUNCTION("""COMPUTED_VALUE"""),"Male")</f>
        <v>Male</v>
      </c>
      <c r="P845" s="1" t="str">
        <f ca="1">IFERROR(__xludf.DUMMYFUNCTION("""COMPUTED_VALUE"""),"Work &gt;10 people in Team")</f>
        <v>Work &gt;10 people in Team</v>
      </c>
      <c r="Q845" s="1" t="str">
        <f ca="1">IFERROR(__xludf.DUMMYFUNCTION("""COMPUTED_VALUE"""),"Male")</f>
        <v>Male</v>
      </c>
    </row>
    <row r="846" spans="13:17" x14ac:dyDescent="0.25">
      <c r="M846" s="1"/>
      <c r="N846" s="1" t="str">
        <f ca="1">IFERROR(__xludf.DUMMYFUNCTION("""COMPUTED_VALUE"""),"Male")</f>
        <v>Male</v>
      </c>
      <c r="P846" s="1" t="str">
        <f ca="1">IFERROR(__xludf.DUMMYFUNCTION("""COMPUTED_VALUE"""),"Work &lt;=6 People in the Team")</f>
        <v>Work &lt;=6 People in the Team</v>
      </c>
      <c r="Q846" s="1" t="str">
        <f ca="1">IFERROR(__xludf.DUMMYFUNCTION("""COMPUTED_VALUE"""),"Male")</f>
        <v>Male</v>
      </c>
    </row>
    <row r="847" spans="13:17" x14ac:dyDescent="0.25">
      <c r="M847" s="1"/>
      <c r="N847" s="1" t="str">
        <f ca="1">IFERROR(__xludf.DUMMYFUNCTION("""COMPUTED_VALUE"""),"Female")</f>
        <v>Female</v>
      </c>
      <c r="P847" s="1" t="str">
        <f ca="1">IFERROR(__xludf.DUMMYFUNCTION("""COMPUTED_VALUE"""),"Work &lt;=6 People in the Team")</f>
        <v>Work &lt;=6 People in the Team</v>
      </c>
      <c r="Q847" s="1" t="str">
        <f ca="1">IFERROR(__xludf.DUMMYFUNCTION("""COMPUTED_VALUE"""),"Female")</f>
        <v>Female</v>
      </c>
    </row>
    <row r="848" spans="13:17" x14ac:dyDescent="0.25">
      <c r="M848" s="1"/>
      <c r="N848" s="1" t="str">
        <f ca="1">IFERROR(__xludf.DUMMYFUNCTION("""COMPUTED_VALUE"""),"Male")</f>
        <v>Male</v>
      </c>
      <c r="P848" s="1" t="str">
        <f ca="1">IFERROR(__xludf.DUMMYFUNCTION("""COMPUTED_VALUE"""),"Work &gt;10 people in Team")</f>
        <v>Work &gt;10 people in Team</v>
      </c>
      <c r="Q848" s="1" t="str">
        <f ca="1">IFERROR(__xludf.DUMMYFUNCTION("""COMPUTED_VALUE"""),"Male")</f>
        <v>Male</v>
      </c>
    </row>
    <row r="849" spans="13:17" x14ac:dyDescent="0.25">
      <c r="M849" s="1"/>
      <c r="N849" s="1" t="str">
        <f ca="1">IFERROR(__xludf.DUMMYFUNCTION("""COMPUTED_VALUE"""),"Female")</f>
        <v>Female</v>
      </c>
      <c r="P849" s="1" t="str">
        <f ca="1">IFERROR(__xludf.DUMMYFUNCTION("""COMPUTED_VALUE"""),"Work &gt;=7 People in the Team")</f>
        <v>Work &gt;=7 People in the Team</v>
      </c>
      <c r="Q849" s="1" t="str">
        <f ca="1">IFERROR(__xludf.DUMMYFUNCTION("""COMPUTED_VALUE"""),"Female")</f>
        <v>Female</v>
      </c>
    </row>
    <row r="850" spans="13:17" x14ac:dyDescent="0.25">
      <c r="M850" s="1"/>
      <c r="N850" s="1" t="str">
        <f ca="1">IFERROR(__xludf.DUMMYFUNCTION("""COMPUTED_VALUE"""),"Female")</f>
        <v>Female</v>
      </c>
      <c r="P850" s="1" t="str">
        <f ca="1">IFERROR(__xludf.DUMMYFUNCTION("""COMPUTED_VALUE"""),"Work &lt;=6 People in the Team")</f>
        <v>Work &lt;=6 People in the Team</v>
      </c>
      <c r="Q850" s="1" t="str">
        <f ca="1">IFERROR(__xludf.DUMMYFUNCTION("""COMPUTED_VALUE"""),"Female")</f>
        <v>Female</v>
      </c>
    </row>
    <row r="851" spans="13:17" x14ac:dyDescent="0.25">
      <c r="M851" s="1"/>
      <c r="N851" s="1" t="str">
        <f ca="1">IFERROR(__xludf.DUMMYFUNCTION("""COMPUTED_VALUE"""),"Female")</f>
        <v>Female</v>
      </c>
      <c r="P851" s="1" t="str">
        <f ca="1">IFERROR(__xludf.DUMMYFUNCTION("""COMPUTED_VALUE"""),"Work &lt;=6 People in the Team")</f>
        <v>Work &lt;=6 People in the Team</v>
      </c>
      <c r="Q851" s="1" t="str">
        <f ca="1">IFERROR(__xludf.DUMMYFUNCTION("""COMPUTED_VALUE"""),"Female")</f>
        <v>Female</v>
      </c>
    </row>
    <row r="852" spans="13:17" x14ac:dyDescent="0.25">
      <c r="M852" s="1"/>
      <c r="N852" s="1" t="str">
        <f ca="1">IFERROR(__xludf.DUMMYFUNCTION("""COMPUTED_VALUE"""),"Male")</f>
        <v>Male</v>
      </c>
      <c r="P852" s="1" t="str">
        <f ca="1">IFERROR(__xludf.DUMMYFUNCTION("""COMPUTED_VALUE"""),"Work &gt;10 people in Team")</f>
        <v>Work &gt;10 people in Team</v>
      </c>
      <c r="Q852" s="1" t="str">
        <f ca="1">IFERROR(__xludf.DUMMYFUNCTION("""COMPUTED_VALUE"""),"Male")</f>
        <v>Male</v>
      </c>
    </row>
    <row r="853" spans="13:17" x14ac:dyDescent="0.25">
      <c r="M853" s="1"/>
      <c r="N853" s="1" t="str">
        <f ca="1">IFERROR(__xludf.DUMMYFUNCTION("""COMPUTED_VALUE"""),"Male")</f>
        <v>Male</v>
      </c>
      <c r="P853" s="1" t="str">
        <f ca="1">IFERROR(__xludf.DUMMYFUNCTION("""COMPUTED_VALUE"""),"Work alone")</f>
        <v>Work alone</v>
      </c>
      <c r="Q853" s="1" t="str">
        <f ca="1">IFERROR(__xludf.DUMMYFUNCTION("""COMPUTED_VALUE"""),"Male")</f>
        <v>Male</v>
      </c>
    </row>
    <row r="854" spans="13:17" x14ac:dyDescent="0.25">
      <c r="M854" s="1"/>
      <c r="N854" s="1" t="str">
        <f ca="1">IFERROR(__xludf.DUMMYFUNCTION("""COMPUTED_VALUE"""),"Female")</f>
        <v>Female</v>
      </c>
      <c r="P854" s="1" t="str">
        <f ca="1">IFERROR(__xludf.DUMMYFUNCTION("""COMPUTED_VALUE"""),"Work &lt;=6 People in the Team")</f>
        <v>Work &lt;=6 People in the Team</v>
      </c>
      <c r="Q854" s="1" t="str">
        <f ca="1">IFERROR(__xludf.DUMMYFUNCTION("""COMPUTED_VALUE"""),"Female")</f>
        <v>Female</v>
      </c>
    </row>
    <row r="855" spans="13:17" x14ac:dyDescent="0.25">
      <c r="M855" s="1"/>
      <c r="N855" s="1" t="str">
        <f ca="1">IFERROR(__xludf.DUMMYFUNCTION("""COMPUTED_VALUE"""),"Male")</f>
        <v>Male</v>
      </c>
      <c r="P855" s="1" t="str">
        <f ca="1">IFERROR(__xludf.DUMMYFUNCTION("""COMPUTED_VALUE"""),"Work Alone, &lt;67 people in team")</f>
        <v>Work Alone, &lt;67 people in team</v>
      </c>
      <c r="Q855" s="1" t="str">
        <f ca="1">IFERROR(__xludf.DUMMYFUNCTION("""COMPUTED_VALUE"""),"Male")</f>
        <v>Male</v>
      </c>
    </row>
    <row r="856" spans="13:17" x14ac:dyDescent="0.25">
      <c r="M856" s="1"/>
      <c r="N856" s="1" t="str">
        <f ca="1">IFERROR(__xludf.DUMMYFUNCTION("""COMPUTED_VALUE"""),"Female")</f>
        <v>Female</v>
      </c>
      <c r="P856" s="1" t="str">
        <f ca="1">IFERROR(__xludf.DUMMYFUNCTION("""COMPUTED_VALUE"""),"Work &lt;=6 People in the Team")</f>
        <v>Work &lt;=6 People in the Team</v>
      </c>
      <c r="Q856" s="1" t="str">
        <f ca="1">IFERROR(__xludf.DUMMYFUNCTION("""COMPUTED_VALUE"""),"Female")</f>
        <v>Female</v>
      </c>
    </row>
    <row r="857" spans="13:17" x14ac:dyDescent="0.25">
      <c r="M857" s="1"/>
      <c r="N857" s="1" t="str">
        <f ca="1">IFERROR(__xludf.DUMMYFUNCTION("""COMPUTED_VALUE"""),"Male")</f>
        <v>Male</v>
      </c>
      <c r="P857" s="1" t="str">
        <f ca="1">IFERROR(__xludf.DUMMYFUNCTION("""COMPUTED_VALUE"""),"Work Alone, &lt;67 people in team")</f>
        <v>Work Alone, &lt;67 people in team</v>
      </c>
      <c r="Q857" s="1" t="str">
        <f ca="1">IFERROR(__xludf.DUMMYFUNCTION("""COMPUTED_VALUE"""),"Male")</f>
        <v>Male</v>
      </c>
    </row>
    <row r="858" spans="13:17" x14ac:dyDescent="0.25">
      <c r="M858" s="1"/>
      <c r="N858" s="1" t="str">
        <f ca="1">IFERROR(__xludf.DUMMYFUNCTION("""COMPUTED_VALUE"""),"Female")</f>
        <v>Female</v>
      </c>
      <c r="P858" s="1" t="str">
        <f ca="1">IFERROR(__xludf.DUMMYFUNCTION("""COMPUTED_VALUE"""),"Work &lt;=6 People in the Team")</f>
        <v>Work &lt;=6 People in the Team</v>
      </c>
      <c r="Q858" s="1" t="str">
        <f ca="1">IFERROR(__xludf.DUMMYFUNCTION("""COMPUTED_VALUE"""),"Female")</f>
        <v>Female</v>
      </c>
    </row>
    <row r="859" spans="13:17" x14ac:dyDescent="0.25">
      <c r="M859" s="1"/>
      <c r="N859" s="1" t="str">
        <f ca="1">IFERROR(__xludf.DUMMYFUNCTION("""COMPUTED_VALUE"""),"Female")</f>
        <v>Female</v>
      </c>
      <c r="P859" s="1" t="str">
        <f ca="1">IFERROR(__xludf.DUMMYFUNCTION("""COMPUTED_VALUE"""),"Work &lt;=6 People in the Team")</f>
        <v>Work &lt;=6 People in the Team</v>
      </c>
      <c r="Q859" s="1" t="str">
        <f ca="1">IFERROR(__xludf.DUMMYFUNCTION("""COMPUTED_VALUE"""),"Female")</f>
        <v>Female</v>
      </c>
    </row>
    <row r="860" spans="13:17" x14ac:dyDescent="0.25">
      <c r="M860" s="1"/>
      <c r="N860" s="1" t="str">
        <f ca="1">IFERROR(__xludf.DUMMYFUNCTION("""COMPUTED_VALUE"""),"Male")</f>
        <v>Male</v>
      </c>
      <c r="P860" s="1" t="str">
        <f ca="1">IFERROR(__xludf.DUMMYFUNCTION("""COMPUTED_VALUE"""),"Work &gt;10 people in Team")</f>
        <v>Work &gt;10 people in Team</v>
      </c>
      <c r="Q860" s="1" t="str">
        <f ca="1">IFERROR(__xludf.DUMMYFUNCTION("""COMPUTED_VALUE"""),"Male")</f>
        <v>Male</v>
      </c>
    </row>
    <row r="861" spans="13:17" x14ac:dyDescent="0.25">
      <c r="M861" s="1"/>
      <c r="N861" s="1" t="str">
        <f ca="1">IFERROR(__xludf.DUMMYFUNCTION("""COMPUTED_VALUE"""),"Female")</f>
        <v>Female</v>
      </c>
      <c r="P861" s="1" t="str">
        <f ca="1">IFERROR(__xludf.DUMMYFUNCTION("""COMPUTED_VALUE"""),"Work &gt;10 people in Team")</f>
        <v>Work &gt;10 people in Team</v>
      </c>
      <c r="Q861" s="1" t="str">
        <f ca="1">IFERROR(__xludf.DUMMYFUNCTION("""COMPUTED_VALUE"""),"Female")</f>
        <v>Female</v>
      </c>
    </row>
    <row r="862" spans="13:17" x14ac:dyDescent="0.25">
      <c r="M862" s="1"/>
      <c r="N862" s="1" t="str">
        <f ca="1">IFERROR(__xludf.DUMMYFUNCTION("""COMPUTED_VALUE"""),"Female")</f>
        <v>Female</v>
      </c>
      <c r="P862" s="1" t="str">
        <f ca="1">IFERROR(__xludf.DUMMYFUNCTION("""COMPUTED_VALUE"""),"Work &gt;10 people in Team")</f>
        <v>Work &gt;10 people in Team</v>
      </c>
      <c r="Q862" s="1" t="str">
        <f ca="1">IFERROR(__xludf.DUMMYFUNCTION("""COMPUTED_VALUE"""),"Female")</f>
        <v>Female</v>
      </c>
    </row>
    <row r="863" spans="13:17" x14ac:dyDescent="0.25">
      <c r="M863" s="1"/>
      <c r="N863" s="1" t="str">
        <f ca="1">IFERROR(__xludf.DUMMYFUNCTION("""COMPUTED_VALUE"""),"Male")</f>
        <v>Male</v>
      </c>
      <c r="P863" s="1" t="str">
        <f ca="1">IFERROR(__xludf.DUMMYFUNCTION("""COMPUTED_VALUE"""),"Work &lt;=6 People in the Team")</f>
        <v>Work &lt;=6 People in the Team</v>
      </c>
      <c r="Q863" s="1" t="str">
        <f ca="1">IFERROR(__xludf.DUMMYFUNCTION("""COMPUTED_VALUE"""),"Male")</f>
        <v>Male</v>
      </c>
    </row>
    <row r="864" spans="13:17" x14ac:dyDescent="0.25">
      <c r="M864" s="1"/>
      <c r="N864" s="1" t="str">
        <f ca="1">IFERROR(__xludf.DUMMYFUNCTION("""COMPUTED_VALUE"""),"Male")</f>
        <v>Male</v>
      </c>
      <c r="P864" s="1" t="str">
        <f ca="1">IFERROR(__xludf.DUMMYFUNCTION("""COMPUTED_VALUE"""),"Work &lt;=6 People in the Team")</f>
        <v>Work &lt;=6 People in the Team</v>
      </c>
      <c r="Q864" s="1" t="str">
        <f ca="1">IFERROR(__xludf.DUMMYFUNCTION("""COMPUTED_VALUE"""),"Male")</f>
        <v>Male</v>
      </c>
    </row>
    <row r="865" spans="13:17" x14ac:dyDescent="0.25">
      <c r="M865" s="1"/>
      <c r="N865" s="1" t="str">
        <f ca="1">IFERROR(__xludf.DUMMYFUNCTION("""COMPUTED_VALUE"""),"Female")</f>
        <v>Female</v>
      </c>
      <c r="P865" s="1" t="str">
        <f ca="1">IFERROR(__xludf.DUMMYFUNCTION("""COMPUTED_VALUE"""),"Work &lt;=6 People in the Team")</f>
        <v>Work &lt;=6 People in the Team</v>
      </c>
      <c r="Q865" s="1" t="str">
        <f ca="1">IFERROR(__xludf.DUMMYFUNCTION("""COMPUTED_VALUE"""),"Female")</f>
        <v>Female</v>
      </c>
    </row>
    <row r="866" spans="13:17" x14ac:dyDescent="0.25">
      <c r="M866" s="1"/>
      <c r="N866" s="1" t="str">
        <f ca="1">IFERROR(__xludf.DUMMYFUNCTION("""COMPUTED_VALUE"""),"Female")</f>
        <v>Female</v>
      </c>
      <c r="P866" s="1" t="str">
        <f ca="1">IFERROR(__xludf.DUMMYFUNCTION("""COMPUTED_VALUE"""),"Work &lt;=6 People in the Team")</f>
        <v>Work &lt;=6 People in the Team</v>
      </c>
      <c r="Q866" s="1" t="str">
        <f ca="1">IFERROR(__xludf.DUMMYFUNCTION("""COMPUTED_VALUE"""),"Female")</f>
        <v>Female</v>
      </c>
    </row>
    <row r="867" spans="13:17" x14ac:dyDescent="0.25">
      <c r="M867" s="1"/>
      <c r="N867" s="1" t="str">
        <f ca="1">IFERROR(__xludf.DUMMYFUNCTION("""COMPUTED_VALUE"""),"Male")</f>
        <v>Male</v>
      </c>
      <c r="P867" s="1" t="str">
        <f ca="1">IFERROR(__xludf.DUMMYFUNCTION("""COMPUTED_VALUE"""),"Work &lt;=6 People in the Team")</f>
        <v>Work &lt;=6 People in the Team</v>
      </c>
      <c r="Q867" s="1" t="str">
        <f ca="1">IFERROR(__xludf.DUMMYFUNCTION("""COMPUTED_VALUE"""),"Male")</f>
        <v>Male</v>
      </c>
    </row>
    <row r="868" spans="13:17" x14ac:dyDescent="0.25">
      <c r="M868" s="1"/>
      <c r="N868" s="1" t="str">
        <f ca="1">IFERROR(__xludf.DUMMYFUNCTION("""COMPUTED_VALUE"""),"Female")</f>
        <v>Female</v>
      </c>
      <c r="P868" s="1" t="str">
        <f ca="1">IFERROR(__xludf.DUMMYFUNCTION("""COMPUTED_VALUE"""),"Work &lt;=6 People in the Team")</f>
        <v>Work &lt;=6 People in the Team</v>
      </c>
      <c r="Q868" s="1" t="str">
        <f ca="1">IFERROR(__xludf.DUMMYFUNCTION("""COMPUTED_VALUE"""),"Female")</f>
        <v>Female</v>
      </c>
    </row>
    <row r="869" spans="13:17" x14ac:dyDescent="0.25">
      <c r="M869" s="1"/>
      <c r="N869" s="1" t="str">
        <f ca="1">IFERROR(__xludf.DUMMYFUNCTION("""COMPUTED_VALUE"""),"Female")</f>
        <v>Female</v>
      </c>
      <c r="P869" s="1" t="str">
        <f ca="1">IFERROR(__xludf.DUMMYFUNCTION("""COMPUTED_VALUE"""),"Work &lt;=6 People in the Team")</f>
        <v>Work &lt;=6 People in the Team</v>
      </c>
      <c r="Q869" s="1" t="str">
        <f ca="1">IFERROR(__xludf.DUMMYFUNCTION("""COMPUTED_VALUE"""),"Female")</f>
        <v>Female</v>
      </c>
    </row>
    <row r="870" spans="13:17" x14ac:dyDescent="0.25">
      <c r="M870" s="1"/>
      <c r="N870" s="1" t="str">
        <f ca="1">IFERROR(__xludf.DUMMYFUNCTION("""COMPUTED_VALUE"""),"Female")</f>
        <v>Female</v>
      </c>
      <c r="P870" s="1" t="str">
        <f ca="1">IFERROR(__xludf.DUMMYFUNCTION("""COMPUTED_VALUE"""),"Work &lt;=6 People in the Team")</f>
        <v>Work &lt;=6 People in the Team</v>
      </c>
      <c r="Q870" s="1" t="str">
        <f ca="1">IFERROR(__xludf.DUMMYFUNCTION("""COMPUTED_VALUE"""),"Female")</f>
        <v>Female</v>
      </c>
    </row>
    <row r="871" spans="13:17" x14ac:dyDescent="0.25">
      <c r="M871" s="1"/>
      <c r="N871" s="1" t="str">
        <f ca="1">IFERROR(__xludf.DUMMYFUNCTION("""COMPUTED_VALUE"""),"Male")</f>
        <v>Male</v>
      </c>
      <c r="P871" s="1" t="str">
        <f ca="1">IFERROR(__xludf.DUMMYFUNCTION("""COMPUTED_VALUE"""),"Work Alone, &lt;67 people in team")</f>
        <v>Work Alone, &lt;67 people in team</v>
      </c>
      <c r="Q871" s="1" t="str">
        <f ca="1">IFERROR(__xludf.DUMMYFUNCTION("""COMPUTED_VALUE"""),"Male")</f>
        <v>Male</v>
      </c>
    </row>
    <row r="872" spans="13:17" x14ac:dyDescent="0.25">
      <c r="M872" s="1"/>
      <c r="N872" s="1" t="str">
        <f ca="1">IFERROR(__xludf.DUMMYFUNCTION("""COMPUTED_VALUE"""),"Female")</f>
        <v>Female</v>
      </c>
      <c r="P872" s="1" t="str">
        <f ca="1">IFERROR(__xludf.DUMMYFUNCTION("""COMPUTED_VALUE"""),"Work &lt;=6 People in the Team")</f>
        <v>Work &lt;=6 People in the Team</v>
      </c>
      <c r="Q872" s="1" t="str">
        <f ca="1">IFERROR(__xludf.DUMMYFUNCTION("""COMPUTED_VALUE"""),"Female")</f>
        <v>Female</v>
      </c>
    </row>
    <row r="873" spans="13:17" x14ac:dyDescent="0.25">
      <c r="M873" s="1"/>
      <c r="N873" s="1" t="str">
        <f ca="1">IFERROR(__xludf.DUMMYFUNCTION("""COMPUTED_VALUE"""),"Female")</f>
        <v>Female</v>
      </c>
      <c r="P873" s="1" t="str">
        <f ca="1">IFERROR(__xludf.DUMMYFUNCTION("""COMPUTED_VALUE"""),"Work &lt;=6 People in the Team")</f>
        <v>Work &lt;=6 People in the Team</v>
      </c>
      <c r="Q873" s="1" t="str">
        <f ca="1">IFERROR(__xludf.DUMMYFUNCTION("""COMPUTED_VALUE"""),"Female")</f>
        <v>Female</v>
      </c>
    </row>
    <row r="874" spans="13:17" x14ac:dyDescent="0.25">
      <c r="M874" s="1"/>
      <c r="N874" s="1" t="str">
        <f ca="1">IFERROR(__xludf.DUMMYFUNCTION("""COMPUTED_VALUE"""),"Male")</f>
        <v>Male</v>
      </c>
      <c r="P874" s="1" t="str">
        <f ca="1">IFERROR(__xludf.DUMMYFUNCTION("""COMPUTED_VALUE"""),"Work &lt;=6 People in the Team")</f>
        <v>Work &lt;=6 People in the Team</v>
      </c>
      <c r="Q874" s="1" t="str">
        <f ca="1">IFERROR(__xludf.DUMMYFUNCTION("""COMPUTED_VALUE"""),"Male")</f>
        <v>Male</v>
      </c>
    </row>
    <row r="875" spans="13:17" x14ac:dyDescent="0.25">
      <c r="M875" s="1"/>
      <c r="N875" s="1" t="str">
        <f ca="1">IFERROR(__xludf.DUMMYFUNCTION("""COMPUTED_VALUE"""),"Female")</f>
        <v>Female</v>
      </c>
      <c r="P875" s="1" t="str">
        <f ca="1">IFERROR(__xludf.DUMMYFUNCTION("""COMPUTED_VALUE"""),"Work &lt;=6 People in the Team")</f>
        <v>Work &lt;=6 People in the Team</v>
      </c>
      <c r="Q875" s="1" t="str">
        <f ca="1">IFERROR(__xludf.DUMMYFUNCTION("""COMPUTED_VALUE"""),"Female")</f>
        <v>Female</v>
      </c>
    </row>
    <row r="876" spans="13:17" x14ac:dyDescent="0.25">
      <c r="M876" s="1"/>
      <c r="N876" s="1" t="str">
        <f ca="1">IFERROR(__xludf.DUMMYFUNCTION("""COMPUTED_VALUE"""),"Male")</f>
        <v>Male</v>
      </c>
      <c r="P876" s="1" t="str">
        <f ca="1">IFERROR(__xludf.DUMMYFUNCTION("""COMPUTED_VALUE"""),"Work &gt;10 people in Team")</f>
        <v>Work &gt;10 people in Team</v>
      </c>
      <c r="Q876" s="1" t="str">
        <f ca="1">IFERROR(__xludf.DUMMYFUNCTION("""COMPUTED_VALUE"""),"Male")</f>
        <v>Male</v>
      </c>
    </row>
    <row r="877" spans="13:17" x14ac:dyDescent="0.25">
      <c r="M877" s="1"/>
      <c r="N877" s="1" t="str">
        <f ca="1">IFERROR(__xludf.DUMMYFUNCTION("""COMPUTED_VALUE"""),"Male")</f>
        <v>Male</v>
      </c>
      <c r="P877" s="1" t="str">
        <f ca="1">IFERROR(__xludf.DUMMYFUNCTION("""COMPUTED_VALUE"""),"Work &lt;=6 People in the Team")</f>
        <v>Work &lt;=6 People in the Team</v>
      </c>
      <c r="Q877" s="1" t="str">
        <f ca="1">IFERROR(__xludf.DUMMYFUNCTION("""COMPUTED_VALUE"""),"Male")</f>
        <v>Male</v>
      </c>
    </row>
    <row r="878" spans="13:17" x14ac:dyDescent="0.25">
      <c r="M878" s="1"/>
      <c r="N878" s="1" t="str">
        <f ca="1">IFERROR(__xludf.DUMMYFUNCTION("""COMPUTED_VALUE"""),"Female")</f>
        <v>Female</v>
      </c>
      <c r="P878" s="1" t="str">
        <f ca="1">IFERROR(__xludf.DUMMYFUNCTION("""COMPUTED_VALUE"""),"Work Alone, &lt;67 people in team")</f>
        <v>Work Alone, &lt;67 people in team</v>
      </c>
      <c r="Q878" s="1" t="str">
        <f ca="1">IFERROR(__xludf.DUMMYFUNCTION("""COMPUTED_VALUE"""),"Female")</f>
        <v>Female</v>
      </c>
    </row>
    <row r="879" spans="13:17" x14ac:dyDescent="0.25">
      <c r="M879" s="1"/>
      <c r="N879" s="1" t="str">
        <f ca="1">IFERROR(__xludf.DUMMYFUNCTION("""COMPUTED_VALUE"""),"Male")</f>
        <v>Male</v>
      </c>
      <c r="P879" s="1" t="str">
        <f ca="1">IFERROR(__xludf.DUMMYFUNCTION("""COMPUTED_VALUE"""),"Work &lt;=6 People in the Team")</f>
        <v>Work &lt;=6 People in the Team</v>
      </c>
      <c r="Q879" s="1" t="str">
        <f ca="1">IFERROR(__xludf.DUMMYFUNCTION("""COMPUTED_VALUE"""),"Male")</f>
        <v>Male</v>
      </c>
    </row>
    <row r="880" spans="13:17" x14ac:dyDescent="0.25">
      <c r="M880" s="1"/>
      <c r="N880" s="1" t="str">
        <f ca="1">IFERROR(__xludf.DUMMYFUNCTION("""COMPUTED_VALUE"""),"Male")</f>
        <v>Male</v>
      </c>
      <c r="P880" s="1" t="str">
        <f ca="1">IFERROR(__xludf.DUMMYFUNCTION("""COMPUTED_VALUE"""),"Work &lt;=6 People in the Team")</f>
        <v>Work &lt;=6 People in the Team</v>
      </c>
      <c r="Q880" s="1" t="str">
        <f ca="1">IFERROR(__xludf.DUMMYFUNCTION("""COMPUTED_VALUE"""),"Male")</f>
        <v>Male</v>
      </c>
    </row>
    <row r="881" spans="13:17" x14ac:dyDescent="0.25">
      <c r="M881" s="1"/>
      <c r="N881" s="1" t="str">
        <f ca="1">IFERROR(__xludf.DUMMYFUNCTION("""COMPUTED_VALUE"""),"Male")</f>
        <v>Male</v>
      </c>
      <c r="P881" s="1" t="str">
        <f ca="1">IFERROR(__xludf.DUMMYFUNCTION("""COMPUTED_VALUE"""),"Work &lt;=6 People in the Team")</f>
        <v>Work &lt;=6 People in the Team</v>
      </c>
      <c r="Q881" s="1" t="str">
        <f ca="1">IFERROR(__xludf.DUMMYFUNCTION("""COMPUTED_VALUE"""),"Male")</f>
        <v>Male</v>
      </c>
    </row>
    <row r="882" spans="13:17" x14ac:dyDescent="0.25">
      <c r="M882" s="1"/>
      <c r="N882" s="1" t="str">
        <f ca="1">IFERROR(__xludf.DUMMYFUNCTION("""COMPUTED_VALUE"""),"Male")</f>
        <v>Male</v>
      </c>
      <c r="P882" s="1" t="str">
        <f ca="1">IFERROR(__xludf.DUMMYFUNCTION("""COMPUTED_VALUE"""),"Work &lt;=6 People in the Team")</f>
        <v>Work &lt;=6 People in the Team</v>
      </c>
      <c r="Q882" s="1" t="str">
        <f ca="1">IFERROR(__xludf.DUMMYFUNCTION("""COMPUTED_VALUE"""),"Male")</f>
        <v>Male</v>
      </c>
    </row>
    <row r="883" spans="13:17" x14ac:dyDescent="0.25">
      <c r="M883" s="1"/>
      <c r="N883" s="1" t="str">
        <f ca="1">IFERROR(__xludf.DUMMYFUNCTION("""COMPUTED_VALUE"""),"Female")</f>
        <v>Female</v>
      </c>
      <c r="P883" s="1" t="str">
        <f ca="1">IFERROR(__xludf.DUMMYFUNCTION("""COMPUTED_VALUE"""),"Work &lt;=6 People in the Team")</f>
        <v>Work &lt;=6 People in the Team</v>
      </c>
      <c r="Q883" s="1" t="str">
        <f ca="1">IFERROR(__xludf.DUMMYFUNCTION("""COMPUTED_VALUE"""),"Female")</f>
        <v>Female</v>
      </c>
    </row>
    <row r="884" spans="13:17" x14ac:dyDescent="0.25">
      <c r="M884" s="1"/>
      <c r="N884" s="1" t="str">
        <f ca="1">IFERROR(__xludf.DUMMYFUNCTION("""COMPUTED_VALUE"""),"Female")</f>
        <v>Female</v>
      </c>
      <c r="P884" s="1" t="str">
        <f ca="1">IFERROR(__xludf.DUMMYFUNCTION("""COMPUTED_VALUE"""),"Work Alone, &lt;67 people in team")</f>
        <v>Work Alone, &lt;67 people in team</v>
      </c>
      <c r="Q884" s="1" t="str">
        <f ca="1">IFERROR(__xludf.DUMMYFUNCTION("""COMPUTED_VALUE"""),"Female")</f>
        <v>Female</v>
      </c>
    </row>
    <row r="885" spans="13:17" x14ac:dyDescent="0.25">
      <c r="M885" s="1"/>
      <c r="N885" s="1" t="str">
        <f ca="1">IFERROR(__xludf.DUMMYFUNCTION("""COMPUTED_VALUE"""),"Male")</f>
        <v>Male</v>
      </c>
      <c r="P885" s="1" t="str">
        <f ca="1">IFERROR(__xludf.DUMMYFUNCTION("""COMPUTED_VALUE"""),"Work Alone, &lt;=6 in team")</f>
        <v>Work Alone, &lt;=6 in team</v>
      </c>
      <c r="Q885" s="1" t="str">
        <f ca="1">IFERROR(__xludf.DUMMYFUNCTION("""COMPUTED_VALUE"""),"Male")</f>
        <v>Male</v>
      </c>
    </row>
    <row r="886" spans="13:17" x14ac:dyDescent="0.25">
      <c r="M886" s="1"/>
      <c r="N886" s="1" t="str">
        <f ca="1">IFERROR(__xludf.DUMMYFUNCTION("""COMPUTED_VALUE"""),"Male")</f>
        <v>Male</v>
      </c>
      <c r="P886" s="1" t="str">
        <f ca="1">IFERROR(__xludf.DUMMYFUNCTION("""COMPUTED_VALUE"""),"Work &lt;=6 People in the Team")</f>
        <v>Work &lt;=6 People in the Team</v>
      </c>
      <c r="Q886" s="1" t="str">
        <f ca="1">IFERROR(__xludf.DUMMYFUNCTION("""COMPUTED_VALUE"""),"Male")</f>
        <v>Male</v>
      </c>
    </row>
    <row r="887" spans="13:17" x14ac:dyDescent="0.25">
      <c r="M887" s="1"/>
      <c r="N887" s="1" t="str">
        <f ca="1">IFERROR(__xludf.DUMMYFUNCTION("""COMPUTED_VALUE"""),"Male")</f>
        <v>Male</v>
      </c>
      <c r="P887" s="1" t="str">
        <f ca="1">IFERROR(__xludf.DUMMYFUNCTION("""COMPUTED_VALUE"""),"Work &gt;10 people in Team")</f>
        <v>Work &gt;10 people in Team</v>
      </c>
      <c r="Q887" s="1" t="str">
        <f ca="1">IFERROR(__xludf.DUMMYFUNCTION("""COMPUTED_VALUE"""),"Male")</f>
        <v>Male</v>
      </c>
    </row>
    <row r="888" spans="13:17" x14ac:dyDescent="0.25">
      <c r="M888" s="1"/>
      <c r="N888" s="1" t="str">
        <f ca="1">IFERROR(__xludf.DUMMYFUNCTION("""COMPUTED_VALUE"""),"Male")</f>
        <v>Male</v>
      </c>
      <c r="P888" s="1" t="str">
        <f ca="1">IFERROR(__xludf.DUMMYFUNCTION("""COMPUTED_VALUE"""),"Work &lt;=6 People in the Team")</f>
        <v>Work &lt;=6 People in the Team</v>
      </c>
      <c r="Q888" s="1" t="str">
        <f ca="1">IFERROR(__xludf.DUMMYFUNCTION("""COMPUTED_VALUE"""),"Male")</f>
        <v>Male</v>
      </c>
    </row>
    <row r="889" spans="13:17" x14ac:dyDescent="0.25">
      <c r="M889" s="1"/>
      <c r="N889" s="1" t="str">
        <f ca="1">IFERROR(__xludf.DUMMYFUNCTION("""COMPUTED_VALUE"""),"Male")</f>
        <v>Male</v>
      </c>
      <c r="P889" s="1" t="str">
        <f ca="1">IFERROR(__xludf.DUMMYFUNCTION("""COMPUTED_VALUE"""),"Work &gt;10 people in Team")</f>
        <v>Work &gt;10 people in Team</v>
      </c>
      <c r="Q889" s="1" t="str">
        <f ca="1">IFERROR(__xludf.DUMMYFUNCTION("""COMPUTED_VALUE"""),"Male")</f>
        <v>Male</v>
      </c>
    </row>
    <row r="890" spans="13:17" x14ac:dyDescent="0.25">
      <c r="M890" s="1"/>
      <c r="N890" s="1" t="str">
        <f ca="1">IFERROR(__xludf.DUMMYFUNCTION("""COMPUTED_VALUE"""),"Female")</f>
        <v>Female</v>
      </c>
      <c r="P890" s="1" t="str">
        <f ca="1">IFERROR(__xludf.DUMMYFUNCTION("""COMPUTED_VALUE"""),"Work &lt;=6 People in the Team")</f>
        <v>Work &lt;=6 People in the Team</v>
      </c>
      <c r="Q890" s="1" t="str">
        <f ca="1">IFERROR(__xludf.DUMMYFUNCTION("""COMPUTED_VALUE"""),"Female")</f>
        <v>Female</v>
      </c>
    </row>
    <row r="891" spans="13:17" x14ac:dyDescent="0.25">
      <c r="M891" s="1"/>
      <c r="N891" s="1" t="str">
        <f ca="1">IFERROR(__xludf.DUMMYFUNCTION("""COMPUTED_VALUE"""),"Male")</f>
        <v>Male</v>
      </c>
      <c r="P891" s="1" t="str">
        <f ca="1">IFERROR(__xludf.DUMMYFUNCTION("""COMPUTED_VALUE"""),"Work &lt;=6 People in the Team")</f>
        <v>Work &lt;=6 People in the Team</v>
      </c>
      <c r="Q891" s="1" t="str">
        <f ca="1">IFERROR(__xludf.DUMMYFUNCTION("""COMPUTED_VALUE"""),"Male")</f>
        <v>Male</v>
      </c>
    </row>
    <row r="892" spans="13:17" x14ac:dyDescent="0.25">
      <c r="M892" s="1"/>
      <c r="N892" s="1" t="str">
        <f ca="1">IFERROR(__xludf.DUMMYFUNCTION("""COMPUTED_VALUE"""),"Male")</f>
        <v>Male</v>
      </c>
      <c r="P892" s="1" t="str">
        <f ca="1">IFERROR(__xludf.DUMMYFUNCTION("""COMPUTED_VALUE"""),"Work &lt;=6 People in the Team")</f>
        <v>Work &lt;=6 People in the Team</v>
      </c>
      <c r="Q892" s="1" t="str">
        <f ca="1">IFERROR(__xludf.DUMMYFUNCTION("""COMPUTED_VALUE"""),"Male")</f>
        <v>Male</v>
      </c>
    </row>
    <row r="893" spans="13:17" x14ac:dyDescent="0.25">
      <c r="M893" s="1"/>
      <c r="N893" s="1" t="str">
        <f ca="1">IFERROR(__xludf.DUMMYFUNCTION("""COMPUTED_VALUE"""),"Male")</f>
        <v>Male</v>
      </c>
      <c r="P893" s="1" t="str">
        <f ca="1">IFERROR(__xludf.DUMMYFUNCTION("""COMPUTED_VALUE"""),"Work &lt;=6 People in the Team")</f>
        <v>Work &lt;=6 People in the Team</v>
      </c>
      <c r="Q893" s="1" t="str">
        <f ca="1">IFERROR(__xludf.DUMMYFUNCTION("""COMPUTED_VALUE"""),"Male")</f>
        <v>Male</v>
      </c>
    </row>
    <row r="894" spans="13:17" x14ac:dyDescent="0.25">
      <c r="M894" s="1"/>
      <c r="N894" s="1" t="str">
        <f ca="1">IFERROR(__xludf.DUMMYFUNCTION("""COMPUTED_VALUE"""),"Female")</f>
        <v>Female</v>
      </c>
      <c r="P894" s="1" t="str">
        <f ca="1">IFERROR(__xludf.DUMMYFUNCTION("""COMPUTED_VALUE"""),"Work &lt;=6 People in the Team")</f>
        <v>Work &lt;=6 People in the Team</v>
      </c>
      <c r="Q894" s="1" t="str">
        <f ca="1">IFERROR(__xludf.DUMMYFUNCTION("""COMPUTED_VALUE"""),"Female")</f>
        <v>Female</v>
      </c>
    </row>
    <row r="895" spans="13:17" x14ac:dyDescent="0.25">
      <c r="M895" s="1"/>
      <c r="N895" s="1" t="str">
        <f ca="1">IFERROR(__xludf.DUMMYFUNCTION("""COMPUTED_VALUE"""),"Male")</f>
        <v>Male</v>
      </c>
      <c r="P895" s="1" t="str">
        <f ca="1">IFERROR(__xludf.DUMMYFUNCTION("""COMPUTED_VALUE"""),"Work &lt;=6 People in the Team")</f>
        <v>Work &lt;=6 People in the Team</v>
      </c>
      <c r="Q895" s="1" t="str">
        <f ca="1">IFERROR(__xludf.DUMMYFUNCTION("""COMPUTED_VALUE"""),"Male")</f>
        <v>Male</v>
      </c>
    </row>
    <row r="896" spans="13:17" x14ac:dyDescent="0.25">
      <c r="M896" s="1"/>
      <c r="N896" s="1" t="str">
        <f ca="1">IFERROR(__xludf.DUMMYFUNCTION("""COMPUTED_VALUE"""),"Female")</f>
        <v>Female</v>
      </c>
      <c r="P896" s="1" t="str">
        <f ca="1">IFERROR(__xludf.DUMMYFUNCTION("""COMPUTED_VALUE"""),"Work &lt;=6 People in the Team")</f>
        <v>Work &lt;=6 People in the Team</v>
      </c>
      <c r="Q896" s="1" t="str">
        <f ca="1">IFERROR(__xludf.DUMMYFUNCTION("""COMPUTED_VALUE"""),"Female")</f>
        <v>Female</v>
      </c>
    </row>
    <row r="897" spans="13:17" x14ac:dyDescent="0.25">
      <c r="M897" s="1"/>
      <c r="N897" s="1" t="str">
        <f ca="1">IFERROR(__xludf.DUMMYFUNCTION("""COMPUTED_VALUE"""),"Male")</f>
        <v>Male</v>
      </c>
      <c r="P897" s="1" t="str">
        <f ca="1">IFERROR(__xludf.DUMMYFUNCTION("""COMPUTED_VALUE"""),"Work &gt;10 people in Team")</f>
        <v>Work &gt;10 people in Team</v>
      </c>
      <c r="Q897" s="1" t="str">
        <f ca="1">IFERROR(__xludf.DUMMYFUNCTION("""COMPUTED_VALUE"""),"Male")</f>
        <v>Male</v>
      </c>
    </row>
    <row r="898" spans="13:17" x14ac:dyDescent="0.25">
      <c r="M898" s="1"/>
      <c r="N898" s="1" t="str">
        <f ca="1">IFERROR(__xludf.DUMMYFUNCTION("""COMPUTED_VALUE"""),"Male")</f>
        <v>Male</v>
      </c>
      <c r="P898" s="1" t="str">
        <f ca="1">IFERROR(__xludf.DUMMYFUNCTION("""COMPUTED_VALUE"""),"Work &lt;=6 People in the Team")</f>
        <v>Work &lt;=6 People in the Team</v>
      </c>
      <c r="Q898" s="1" t="str">
        <f ca="1">IFERROR(__xludf.DUMMYFUNCTION("""COMPUTED_VALUE"""),"Male")</f>
        <v>Male</v>
      </c>
    </row>
    <row r="899" spans="13:17" x14ac:dyDescent="0.25">
      <c r="M899" s="1"/>
      <c r="N899" s="1" t="str">
        <f ca="1">IFERROR(__xludf.DUMMYFUNCTION("""COMPUTED_VALUE"""),"Female")</f>
        <v>Female</v>
      </c>
      <c r="P899" s="1" t="str">
        <f ca="1">IFERROR(__xludf.DUMMYFUNCTION("""COMPUTED_VALUE"""),"Work &lt;=6 People in the Team")</f>
        <v>Work &lt;=6 People in the Team</v>
      </c>
      <c r="Q899" s="1" t="str">
        <f ca="1">IFERROR(__xludf.DUMMYFUNCTION("""COMPUTED_VALUE"""),"Female")</f>
        <v>Female</v>
      </c>
    </row>
    <row r="900" spans="13:17" x14ac:dyDescent="0.25">
      <c r="M900" s="1"/>
      <c r="N900" s="1" t="str">
        <f ca="1">IFERROR(__xludf.DUMMYFUNCTION("""COMPUTED_VALUE"""),"Male")</f>
        <v>Male</v>
      </c>
      <c r="P900" s="1" t="str">
        <f ca="1">IFERROR(__xludf.DUMMYFUNCTION("""COMPUTED_VALUE"""),"Work Alone, &lt;=6 in team")</f>
        <v>Work Alone, &lt;=6 in team</v>
      </c>
      <c r="Q900" s="1" t="str">
        <f ca="1">IFERROR(__xludf.DUMMYFUNCTION("""COMPUTED_VALUE"""),"Male")</f>
        <v>Male</v>
      </c>
    </row>
    <row r="901" spans="13:17" x14ac:dyDescent="0.25">
      <c r="M901" s="1"/>
      <c r="N901" s="1" t="str">
        <f ca="1">IFERROR(__xludf.DUMMYFUNCTION("""COMPUTED_VALUE"""),"Male")</f>
        <v>Male</v>
      </c>
      <c r="P901" s="1" t="str">
        <f ca="1">IFERROR(__xludf.DUMMYFUNCTION("""COMPUTED_VALUE"""),"Work &gt;=7 People in the Team")</f>
        <v>Work &gt;=7 People in the Team</v>
      </c>
      <c r="Q901" s="1" t="str">
        <f ca="1">IFERROR(__xludf.DUMMYFUNCTION("""COMPUTED_VALUE"""),"Male")</f>
        <v>Male</v>
      </c>
    </row>
    <row r="902" spans="13:17" x14ac:dyDescent="0.25">
      <c r="M902" s="1"/>
      <c r="N902" s="1" t="str">
        <f ca="1">IFERROR(__xludf.DUMMYFUNCTION("""COMPUTED_VALUE"""),"Male")</f>
        <v>Male</v>
      </c>
      <c r="P902" s="1" t="str">
        <f ca="1">IFERROR(__xludf.DUMMYFUNCTION("""COMPUTED_VALUE"""),"Work &lt;=6 People in the Team")</f>
        <v>Work &lt;=6 People in the Team</v>
      </c>
      <c r="Q902" s="1" t="str">
        <f ca="1">IFERROR(__xludf.DUMMYFUNCTION("""COMPUTED_VALUE"""),"Male")</f>
        <v>Male</v>
      </c>
    </row>
    <row r="903" spans="13:17" x14ac:dyDescent="0.25">
      <c r="M903" s="1"/>
      <c r="N903" s="1" t="str">
        <f ca="1">IFERROR(__xludf.DUMMYFUNCTION("""COMPUTED_VALUE"""),"Female")</f>
        <v>Female</v>
      </c>
      <c r="P903" s="1" t="str">
        <f ca="1">IFERROR(__xludf.DUMMYFUNCTION("""COMPUTED_VALUE"""),"Work &lt;67 People in the Team")</f>
        <v>Work &lt;67 People in the Team</v>
      </c>
      <c r="Q903" s="1" t="str">
        <f ca="1">IFERROR(__xludf.DUMMYFUNCTION("""COMPUTED_VALUE"""),"Female")</f>
        <v>Female</v>
      </c>
    </row>
    <row r="904" spans="13:17" x14ac:dyDescent="0.25">
      <c r="M904" s="1"/>
      <c r="N904" s="1" t="str">
        <f ca="1">IFERROR(__xludf.DUMMYFUNCTION("""COMPUTED_VALUE"""),"Male")</f>
        <v>Male</v>
      </c>
      <c r="P904" s="1" t="str">
        <f ca="1">IFERROR(__xludf.DUMMYFUNCTION("""COMPUTED_VALUE"""),"Work &lt;=6 People in the Team")</f>
        <v>Work &lt;=6 People in the Team</v>
      </c>
      <c r="Q904" s="1" t="str">
        <f ca="1">IFERROR(__xludf.DUMMYFUNCTION("""COMPUTED_VALUE"""),"Male")</f>
        <v>Male</v>
      </c>
    </row>
    <row r="905" spans="13:17" x14ac:dyDescent="0.25">
      <c r="M905" s="1"/>
      <c r="N905" s="1" t="str">
        <f ca="1">IFERROR(__xludf.DUMMYFUNCTION("""COMPUTED_VALUE"""),"Male")</f>
        <v>Male</v>
      </c>
      <c r="P905" s="1" t="str">
        <f ca="1">IFERROR(__xludf.DUMMYFUNCTION("""COMPUTED_VALUE"""),"Work &lt;=6 People in the Team")</f>
        <v>Work &lt;=6 People in the Team</v>
      </c>
      <c r="Q905" s="1" t="str">
        <f ca="1">IFERROR(__xludf.DUMMYFUNCTION("""COMPUTED_VALUE"""),"Male")</f>
        <v>Male</v>
      </c>
    </row>
    <row r="906" spans="13:17" x14ac:dyDescent="0.25">
      <c r="M906" s="1"/>
      <c r="N906" s="1" t="str">
        <f ca="1">IFERROR(__xludf.DUMMYFUNCTION("""COMPUTED_VALUE"""),"Female")</f>
        <v>Female</v>
      </c>
      <c r="P906" s="1" t="str">
        <f ca="1">IFERROR(__xludf.DUMMYFUNCTION("""COMPUTED_VALUE"""),"Work &lt;=6 People in the Team")</f>
        <v>Work &lt;=6 People in the Team</v>
      </c>
      <c r="Q906" s="1" t="str">
        <f ca="1">IFERROR(__xludf.DUMMYFUNCTION("""COMPUTED_VALUE"""),"Female")</f>
        <v>Female</v>
      </c>
    </row>
    <row r="907" spans="13:17" x14ac:dyDescent="0.25">
      <c r="M907" s="1"/>
      <c r="N907" s="1" t="str">
        <f ca="1">IFERROR(__xludf.DUMMYFUNCTION("""COMPUTED_VALUE"""),"Male")</f>
        <v>Male</v>
      </c>
      <c r="P907" s="1" t="str">
        <f ca="1">IFERROR(__xludf.DUMMYFUNCTION("""COMPUTED_VALUE"""),"Work &lt;=6 People in the Team")</f>
        <v>Work &lt;=6 People in the Team</v>
      </c>
      <c r="Q907" s="1" t="str">
        <f ca="1">IFERROR(__xludf.DUMMYFUNCTION("""COMPUTED_VALUE"""),"Male")</f>
        <v>Male</v>
      </c>
    </row>
    <row r="908" spans="13:17" x14ac:dyDescent="0.25">
      <c r="M908" s="1"/>
      <c r="N908" s="1" t="str">
        <f ca="1">IFERROR(__xludf.DUMMYFUNCTION("""COMPUTED_VALUE"""),"Female")</f>
        <v>Female</v>
      </c>
      <c r="P908" s="1" t="str">
        <f ca="1">IFERROR(__xludf.DUMMYFUNCTION("""COMPUTED_VALUE"""),"Work Alone, &lt;=6 in team")</f>
        <v>Work Alone, &lt;=6 in team</v>
      </c>
      <c r="Q908" s="1" t="str">
        <f ca="1">IFERROR(__xludf.DUMMYFUNCTION("""COMPUTED_VALUE"""),"Female")</f>
        <v>Female</v>
      </c>
    </row>
    <row r="909" spans="13:17" x14ac:dyDescent="0.25">
      <c r="M909" s="1"/>
      <c r="N909" s="1" t="str">
        <f ca="1">IFERROR(__xludf.DUMMYFUNCTION("""COMPUTED_VALUE"""),"Male")</f>
        <v>Male</v>
      </c>
      <c r="P909" s="1" t="str">
        <f ca="1">IFERROR(__xludf.DUMMYFUNCTION("""COMPUTED_VALUE"""),"Work &lt;=6 People in the Team")</f>
        <v>Work &lt;=6 People in the Team</v>
      </c>
      <c r="Q909" s="1" t="str">
        <f ca="1">IFERROR(__xludf.DUMMYFUNCTION("""COMPUTED_VALUE"""),"Male")</f>
        <v>Male</v>
      </c>
    </row>
    <row r="910" spans="13:17" x14ac:dyDescent="0.25">
      <c r="M910" s="1"/>
      <c r="N910" s="1" t="str">
        <f ca="1">IFERROR(__xludf.DUMMYFUNCTION("""COMPUTED_VALUE"""),"Male")</f>
        <v>Male</v>
      </c>
      <c r="P910" s="1" t="str">
        <f ca="1">IFERROR(__xludf.DUMMYFUNCTION("""COMPUTED_VALUE"""),"Work &gt;=7 People in the Team")</f>
        <v>Work &gt;=7 People in the Team</v>
      </c>
      <c r="Q910" s="1" t="str">
        <f ca="1">IFERROR(__xludf.DUMMYFUNCTION("""COMPUTED_VALUE"""),"Male")</f>
        <v>Male</v>
      </c>
    </row>
    <row r="911" spans="13:17" x14ac:dyDescent="0.25">
      <c r="M911" s="1"/>
      <c r="N911" s="1" t="str">
        <f ca="1">IFERROR(__xludf.DUMMYFUNCTION("""COMPUTED_VALUE"""),"Female")</f>
        <v>Female</v>
      </c>
      <c r="P911" s="1" t="str">
        <f ca="1">IFERROR(__xludf.DUMMYFUNCTION("""COMPUTED_VALUE"""),"Work &lt;=6 People in the Team")</f>
        <v>Work &lt;=6 People in the Team</v>
      </c>
      <c r="Q911" s="1" t="str">
        <f ca="1">IFERROR(__xludf.DUMMYFUNCTION("""COMPUTED_VALUE"""),"Female")</f>
        <v>Female</v>
      </c>
    </row>
    <row r="912" spans="13:17" x14ac:dyDescent="0.25">
      <c r="M912" s="1"/>
      <c r="N912" s="1" t="str">
        <f ca="1">IFERROR(__xludf.DUMMYFUNCTION("""COMPUTED_VALUE"""),"Male")</f>
        <v>Male</v>
      </c>
      <c r="P912" s="1" t="str">
        <f ca="1">IFERROR(__xludf.DUMMYFUNCTION("""COMPUTED_VALUE"""),"Work &lt;67 People in the Team")</f>
        <v>Work &lt;67 People in the Team</v>
      </c>
      <c r="Q912" s="1" t="str">
        <f ca="1">IFERROR(__xludf.DUMMYFUNCTION("""COMPUTED_VALUE"""),"Male")</f>
        <v>Male</v>
      </c>
    </row>
    <row r="913" spans="13:17" x14ac:dyDescent="0.25">
      <c r="M913" s="1"/>
      <c r="N913" s="1" t="str">
        <f ca="1">IFERROR(__xludf.DUMMYFUNCTION("""COMPUTED_VALUE"""),"Female")</f>
        <v>Female</v>
      </c>
      <c r="P913" s="1" t="str">
        <f ca="1">IFERROR(__xludf.DUMMYFUNCTION("""COMPUTED_VALUE"""),"Work &gt;10 people in Team")</f>
        <v>Work &gt;10 people in Team</v>
      </c>
      <c r="Q913" s="1" t="str">
        <f ca="1">IFERROR(__xludf.DUMMYFUNCTION("""COMPUTED_VALUE"""),"Female")</f>
        <v>Female</v>
      </c>
    </row>
    <row r="914" spans="13:17" x14ac:dyDescent="0.25">
      <c r="M914" s="1"/>
      <c r="N914" s="1" t="str">
        <f ca="1">IFERROR(__xludf.DUMMYFUNCTION("""COMPUTED_VALUE"""),"Male")</f>
        <v>Male</v>
      </c>
      <c r="P914" s="1" t="str">
        <f ca="1">IFERROR(__xludf.DUMMYFUNCTION("""COMPUTED_VALUE"""),"Work  &lt;67 people in team")</f>
        <v>Work  &lt;67 people in team</v>
      </c>
      <c r="Q914" s="1" t="str">
        <f ca="1">IFERROR(__xludf.DUMMYFUNCTION("""COMPUTED_VALUE"""),"Male")</f>
        <v>Male</v>
      </c>
    </row>
    <row r="915" spans="13:17" x14ac:dyDescent="0.25">
      <c r="M915" s="1"/>
      <c r="N915" s="1" t="str">
        <f ca="1">IFERROR(__xludf.DUMMYFUNCTION("""COMPUTED_VALUE"""),"Female")</f>
        <v>Female</v>
      </c>
      <c r="P915" s="1" t="str">
        <f ca="1">IFERROR(__xludf.DUMMYFUNCTION("""COMPUTED_VALUE"""),"Work &lt;=6 People in the Team")</f>
        <v>Work &lt;=6 People in the Team</v>
      </c>
      <c r="Q915" s="1" t="str">
        <f ca="1">IFERROR(__xludf.DUMMYFUNCTION("""COMPUTED_VALUE"""),"Female")</f>
        <v>Female</v>
      </c>
    </row>
    <row r="916" spans="13:17" x14ac:dyDescent="0.25">
      <c r="M916" s="1"/>
      <c r="N916" s="1" t="str">
        <f ca="1">IFERROR(__xludf.DUMMYFUNCTION("""COMPUTED_VALUE"""),"Male")</f>
        <v>Male</v>
      </c>
      <c r="P916" s="1" t="str">
        <f ca="1">IFERROR(__xludf.DUMMYFUNCTION("""COMPUTED_VALUE"""),"Work &lt;=6 People in the Team")</f>
        <v>Work &lt;=6 People in the Team</v>
      </c>
      <c r="Q916" s="1" t="str">
        <f ca="1">IFERROR(__xludf.DUMMYFUNCTION("""COMPUTED_VALUE"""),"Male")</f>
        <v>Male</v>
      </c>
    </row>
    <row r="917" spans="13:17" x14ac:dyDescent="0.25">
      <c r="M917" s="1"/>
      <c r="N917" s="1" t="str">
        <f ca="1">IFERROR(__xludf.DUMMYFUNCTION("""COMPUTED_VALUE"""),"Male")</f>
        <v>Male</v>
      </c>
      <c r="P917" s="1" t="str">
        <f ca="1">IFERROR(__xludf.DUMMYFUNCTION("""COMPUTED_VALUE"""),"Work &lt;=6 People in the Team")</f>
        <v>Work &lt;=6 People in the Team</v>
      </c>
      <c r="Q917" s="1" t="str">
        <f ca="1">IFERROR(__xludf.DUMMYFUNCTION("""COMPUTED_VALUE"""),"Male")</f>
        <v>Male</v>
      </c>
    </row>
    <row r="918" spans="13:17" x14ac:dyDescent="0.25">
      <c r="M918" s="1"/>
      <c r="N918" s="1" t="str">
        <f ca="1">IFERROR(__xludf.DUMMYFUNCTION("""COMPUTED_VALUE"""),"Male")</f>
        <v>Male</v>
      </c>
      <c r="P918" s="1" t="str">
        <f ca="1">IFERROR(__xludf.DUMMYFUNCTION("""COMPUTED_VALUE"""),"Work &lt;=6 People in the Team")</f>
        <v>Work &lt;=6 People in the Team</v>
      </c>
      <c r="Q918" s="1" t="str">
        <f ca="1">IFERROR(__xludf.DUMMYFUNCTION("""COMPUTED_VALUE"""),"Male")</f>
        <v>Male</v>
      </c>
    </row>
    <row r="919" spans="13:17" x14ac:dyDescent="0.25">
      <c r="M919" s="1"/>
      <c r="N919" s="1" t="str">
        <f ca="1">IFERROR(__xludf.DUMMYFUNCTION("""COMPUTED_VALUE"""),"Female")</f>
        <v>Female</v>
      </c>
      <c r="P919" s="1" t="str">
        <f ca="1">IFERROR(__xludf.DUMMYFUNCTION("""COMPUTED_VALUE"""),"Work Alone, &lt;=6 in team")</f>
        <v>Work Alone, &lt;=6 in team</v>
      </c>
      <c r="Q919" s="1" t="str">
        <f ca="1">IFERROR(__xludf.DUMMYFUNCTION("""COMPUTED_VALUE"""),"Female")</f>
        <v>Female</v>
      </c>
    </row>
    <row r="920" spans="13:17" x14ac:dyDescent="0.25">
      <c r="M920" s="1"/>
      <c r="N920" s="1" t="str">
        <f ca="1">IFERROR(__xludf.DUMMYFUNCTION("""COMPUTED_VALUE"""),"Male")</f>
        <v>Male</v>
      </c>
      <c r="P920" s="1" t="str">
        <f ca="1">IFERROR(__xludf.DUMMYFUNCTION("""COMPUTED_VALUE"""),"Work &lt;=6 People in the Team")</f>
        <v>Work &lt;=6 People in the Team</v>
      </c>
      <c r="Q920" s="1" t="str">
        <f ca="1">IFERROR(__xludf.DUMMYFUNCTION("""COMPUTED_VALUE"""),"Male")</f>
        <v>Male</v>
      </c>
    </row>
    <row r="921" spans="13:17" x14ac:dyDescent="0.25">
      <c r="M921" s="1"/>
      <c r="N921" s="1" t="str">
        <f ca="1">IFERROR(__xludf.DUMMYFUNCTION("""COMPUTED_VALUE"""),"Male")</f>
        <v>Male</v>
      </c>
      <c r="P921" s="1" t="str">
        <f ca="1">IFERROR(__xludf.DUMMYFUNCTION("""COMPUTED_VALUE"""),"Work &lt;=6 People in the Team")</f>
        <v>Work &lt;=6 People in the Team</v>
      </c>
      <c r="Q921" s="1" t="str">
        <f ca="1">IFERROR(__xludf.DUMMYFUNCTION("""COMPUTED_VALUE"""),"Male")</f>
        <v>Male</v>
      </c>
    </row>
    <row r="922" spans="13:17" x14ac:dyDescent="0.25">
      <c r="M922" s="1"/>
      <c r="N922" s="1" t="str">
        <f ca="1">IFERROR(__xludf.DUMMYFUNCTION("""COMPUTED_VALUE"""),"Male")</f>
        <v>Male</v>
      </c>
      <c r="P922" s="1" t="str">
        <f ca="1">IFERROR(__xludf.DUMMYFUNCTION("""COMPUTED_VALUE"""),"Work &lt;=6 People in the Team")</f>
        <v>Work &lt;=6 People in the Team</v>
      </c>
      <c r="Q922" s="1" t="str">
        <f ca="1">IFERROR(__xludf.DUMMYFUNCTION("""COMPUTED_VALUE"""),"Male")</f>
        <v>Male</v>
      </c>
    </row>
    <row r="923" spans="13:17" x14ac:dyDescent="0.25">
      <c r="M923" s="1"/>
      <c r="N923" s="1" t="str">
        <f ca="1">IFERROR(__xludf.DUMMYFUNCTION("""COMPUTED_VALUE"""),"Male")</f>
        <v>Male</v>
      </c>
      <c r="P923" s="1" t="str">
        <f ca="1">IFERROR(__xludf.DUMMYFUNCTION("""COMPUTED_VALUE"""),"Work &lt;=6 People in the Team")</f>
        <v>Work &lt;=6 People in the Team</v>
      </c>
      <c r="Q923" s="1" t="str">
        <f ca="1">IFERROR(__xludf.DUMMYFUNCTION("""COMPUTED_VALUE"""),"Male")</f>
        <v>Male</v>
      </c>
    </row>
    <row r="924" spans="13:17" x14ac:dyDescent="0.25">
      <c r="M924" s="1"/>
      <c r="N924" s="1" t="str">
        <f ca="1">IFERROR(__xludf.DUMMYFUNCTION("""COMPUTED_VALUE"""),"Male")</f>
        <v>Male</v>
      </c>
      <c r="P924" s="1" t="str">
        <f ca="1">IFERROR(__xludf.DUMMYFUNCTION("""COMPUTED_VALUE"""),"Work &lt;=6 People in the Team")</f>
        <v>Work &lt;=6 People in the Team</v>
      </c>
      <c r="Q924" s="1" t="str">
        <f ca="1">IFERROR(__xludf.DUMMYFUNCTION("""COMPUTED_VALUE"""),"Male")</f>
        <v>Male</v>
      </c>
    </row>
    <row r="925" spans="13:17" x14ac:dyDescent="0.25">
      <c r="M925" s="1"/>
      <c r="N925" s="1" t="str">
        <f ca="1">IFERROR(__xludf.DUMMYFUNCTION("""COMPUTED_VALUE"""),"Male")</f>
        <v>Male</v>
      </c>
      <c r="P925" s="1" t="str">
        <f ca="1">IFERROR(__xludf.DUMMYFUNCTION("""COMPUTED_VALUE"""),"Work &lt;=6 People in the Team")</f>
        <v>Work &lt;=6 People in the Team</v>
      </c>
      <c r="Q925" s="1" t="str">
        <f ca="1">IFERROR(__xludf.DUMMYFUNCTION("""COMPUTED_VALUE"""),"Male")</f>
        <v>Male</v>
      </c>
    </row>
    <row r="926" spans="13:17" x14ac:dyDescent="0.25">
      <c r="M926" s="1"/>
      <c r="N926" s="1" t="str">
        <f ca="1">IFERROR(__xludf.DUMMYFUNCTION("""COMPUTED_VALUE"""),"Female")</f>
        <v>Female</v>
      </c>
      <c r="P926" s="1" t="str">
        <f ca="1">IFERROR(__xludf.DUMMYFUNCTION("""COMPUTED_VALUE"""),"Work &gt;=7 People in the Team")</f>
        <v>Work &gt;=7 People in the Team</v>
      </c>
      <c r="Q926" s="1" t="str">
        <f ca="1">IFERROR(__xludf.DUMMYFUNCTION("""COMPUTED_VALUE"""),"Female")</f>
        <v>Female</v>
      </c>
    </row>
    <row r="927" spans="13:17" x14ac:dyDescent="0.25">
      <c r="M927" s="1"/>
      <c r="N927" s="1" t="str">
        <f ca="1">IFERROR(__xludf.DUMMYFUNCTION("""COMPUTED_VALUE"""),"Male")</f>
        <v>Male</v>
      </c>
      <c r="P927" s="1" t="str">
        <f ca="1">IFERROR(__xludf.DUMMYFUNCTION("""COMPUTED_VALUE"""),"Work Alone, &lt;67 people in team")</f>
        <v>Work Alone, &lt;67 people in team</v>
      </c>
      <c r="Q927" s="1" t="str">
        <f ca="1">IFERROR(__xludf.DUMMYFUNCTION("""COMPUTED_VALUE"""),"Male")</f>
        <v>Male</v>
      </c>
    </row>
    <row r="928" spans="13:17" x14ac:dyDescent="0.25">
      <c r="M928" s="1"/>
      <c r="N928" s="1" t="str">
        <f ca="1">IFERROR(__xludf.DUMMYFUNCTION("""COMPUTED_VALUE"""),"Male")</f>
        <v>Male</v>
      </c>
      <c r="P928" s="1" t="str">
        <f ca="1">IFERROR(__xludf.DUMMYFUNCTION("""COMPUTED_VALUE"""),"Work &lt;=6 People in the Team")</f>
        <v>Work &lt;=6 People in the Team</v>
      </c>
      <c r="Q928" s="1" t="str">
        <f ca="1">IFERROR(__xludf.DUMMYFUNCTION("""COMPUTED_VALUE"""),"Male")</f>
        <v>Male</v>
      </c>
    </row>
    <row r="929" spans="13:17" x14ac:dyDescent="0.25">
      <c r="M929" s="1"/>
      <c r="N929" s="1" t="str">
        <f ca="1">IFERROR(__xludf.DUMMYFUNCTION("""COMPUTED_VALUE"""),"Male")</f>
        <v>Male</v>
      </c>
      <c r="P929" s="1" t="str">
        <f ca="1">IFERROR(__xludf.DUMMYFUNCTION("""COMPUTED_VALUE"""),"Work &lt;=6 People in the Team")</f>
        <v>Work &lt;=6 People in the Team</v>
      </c>
      <c r="Q929" s="1" t="str">
        <f ca="1">IFERROR(__xludf.DUMMYFUNCTION("""COMPUTED_VALUE"""),"Male")</f>
        <v>Male</v>
      </c>
    </row>
    <row r="930" spans="13:17" x14ac:dyDescent="0.25">
      <c r="M930" s="1"/>
      <c r="N930" s="1" t="str">
        <f ca="1">IFERROR(__xludf.DUMMYFUNCTION("""COMPUTED_VALUE"""),"Male")</f>
        <v>Male</v>
      </c>
      <c r="P930" s="1" t="str">
        <f ca="1">IFERROR(__xludf.DUMMYFUNCTION("""COMPUTED_VALUE"""),"Work &lt;=6 People in the Team")</f>
        <v>Work &lt;=6 People in the Team</v>
      </c>
      <c r="Q930" s="1" t="str">
        <f ca="1">IFERROR(__xludf.DUMMYFUNCTION("""COMPUTED_VALUE"""),"Male")</f>
        <v>Male</v>
      </c>
    </row>
    <row r="931" spans="13:17" x14ac:dyDescent="0.25">
      <c r="M931" s="1"/>
      <c r="N931" s="1" t="str">
        <f ca="1">IFERROR(__xludf.DUMMYFUNCTION("""COMPUTED_VALUE"""),"Male")</f>
        <v>Male</v>
      </c>
      <c r="P931" s="1" t="str">
        <f ca="1">IFERROR(__xludf.DUMMYFUNCTION("""COMPUTED_VALUE"""),"Work &gt;10 people in Team")</f>
        <v>Work &gt;10 people in Team</v>
      </c>
      <c r="Q931" s="1" t="str">
        <f ca="1">IFERROR(__xludf.DUMMYFUNCTION("""COMPUTED_VALUE"""),"Male")</f>
        <v>Male</v>
      </c>
    </row>
    <row r="932" spans="13:17" x14ac:dyDescent="0.25">
      <c r="M932" s="1"/>
      <c r="N932" s="1" t="str">
        <f ca="1">IFERROR(__xludf.DUMMYFUNCTION("""COMPUTED_VALUE"""),"Female")</f>
        <v>Female</v>
      </c>
      <c r="P932" s="1" t="str">
        <f ca="1">IFERROR(__xludf.DUMMYFUNCTION("""COMPUTED_VALUE"""),"Work &lt;=6 People in the Team")</f>
        <v>Work &lt;=6 People in the Team</v>
      </c>
      <c r="Q932" s="1" t="str">
        <f ca="1">IFERROR(__xludf.DUMMYFUNCTION("""COMPUTED_VALUE"""),"Female")</f>
        <v>Female</v>
      </c>
    </row>
    <row r="933" spans="13:17" x14ac:dyDescent="0.25">
      <c r="M933" s="1"/>
      <c r="N933" s="1" t="str">
        <f ca="1">IFERROR(__xludf.DUMMYFUNCTION("""COMPUTED_VALUE"""),"Male")</f>
        <v>Male</v>
      </c>
      <c r="P933" s="1" t="str">
        <f ca="1">IFERROR(__xludf.DUMMYFUNCTION("""COMPUTED_VALUE"""),"Work &lt;67 People in the Team")</f>
        <v>Work &lt;67 People in the Team</v>
      </c>
      <c r="Q933" s="1" t="str">
        <f ca="1">IFERROR(__xludf.DUMMYFUNCTION("""COMPUTED_VALUE"""),"Male")</f>
        <v>Male</v>
      </c>
    </row>
    <row r="934" spans="13:17" x14ac:dyDescent="0.25">
      <c r="M934" s="1"/>
      <c r="N934" s="1" t="str">
        <f ca="1">IFERROR(__xludf.DUMMYFUNCTION("""COMPUTED_VALUE"""),"Male")</f>
        <v>Male</v>
      </c>
      <c r="P934" s="1" t="str">
        <f ca="1">IFERROR(__xludf.DUMMYFUNCTION("""COMPUTED_VALUE"""),"Work &lt;=6 People in the Team")</f>
        <v>Work &lt;=6 People in the Team</v>
      </c>
      <c r="Q934" s="1" t="str">
        <f ca="1">IFERROR(__xludf.DUMMYFUNCTION("""COMPUTED_VALUE"""),"Male")</f>
        <v>Male</v>
      </c>
    </row>
    <row r="935" spans="13:17" x14ac:dyDescent="0.25">
      <c r="M935" s="1"/>
      <c r="N935" s="1" t="str">
        <f ca="1">IFERROR(__xludf.DUMMYFUNCTION("""COMPUTED_VALUE"""),"Female")</f>
        <v>Female</v>
      </c>
      <c r="P935" s="1" t="str">
        <f ca="1">IFERROR(__xludf.DUMMYFUNCTION("""COMPUTED_VALUE"""),"Work &lt;=6 People in the Team")</f>
        <v>Work &lt;=6 People in the Team</v>
      </c>
      <c r="Q935" s="1" t="str">
        <f ca="1">IFERROR(__xludf.DUMMYFUNCTION("""COMPUTED_VALUE"""),"Female")</f>
        <v>Female</v>
      </c>
    </row>
    <row r="936" spans="13:17" x14ac:dyDescent="0.25">
      <c r="M936" s="1"/>
      <c r="N936" s="1" t="str">
        <f ca="1">IFERROR(__xludf.DUMMYFUNCTION("""COMPUTED_VALUE"""),"Female")</f>
        <v>Female</v>
      </c>
      <c r="P936" s="1" t="str">
        <f ca="1">IFERROR(__xludf.DUMMYFUNCTION("""COMPUTED_VALUE"""),"Work &gt;10 people in Team")</f>
        <v>Work &gt;10 people in Team</v>
      </c>
      <c r="Q936" s="1" t="str">
        <f ca="1">IFERROR(__xludf.DUMMYFUNCTION("""COMPUTED_VALUE"""),"Female")</f>
        <v>Female</v>
      </c>
    </row>
    <row r="937" spans="13:17" x14ac:dyDescent="0.25">
      <c r="M937" s="1"/>
      <c r="N937" s="1" t="str">
        <f ca="1">IFERROR(__xludf.DUMMYFUNCTION("""COMPUTED_VALUE"""),"Female")</f>
        <v>Female</v>
      </c>
      <c r="P937" s="1" t="str">
        <f ca="1">IFERROR(__xludf.DUMMYFUNCTION("""COMPUTED_VALUE"""),"Work alone")</f>
        <v>Work alone</v>
      </c>
      <c r="Q937" s="1" t="str">
        <f ca="1">IFERROR(__xludf.DUMMYFUNCTION("""COMPUTED_VALUE"""),"Female")</f>
        <v>Female</v>
      </c>
    </row>
    <row r="938" spans="13:17" x14ac:dyDescent="0.25">
      <c r="M938" s="1"/>
      <c r="N938" s="1" t="str">
        <f ca="1">IFERROR(__xludf.DUMMYFUNCTION("""COMPUTED_VALUE"""),"Female")</f>
        <v>Female</v>
      </c>
      <c r="P938" s="1" t="str">
        <f ca="1">IFERROR(__xludf.DUMMYFUNCTION("""COMPUTED_VALUE"""),"Work &lt;=6 People in the Team")</f>
        <v>Work &lt;=6 People in the Team</v>
      </c>
      <c r="Q938" s="1" t="str">
        <f ca="1">IFERROR(__xludf.DUMMYFUNCTION("""COMPUTED_VALUE"""),"Female")</f>
        <v>Female</v>
      </c>
    </row>
    <row r="939" spans="13:17" x14ac:dyDescent="0.25">
      <c r="M939" s="1"/>
      <c r="N939" s="1" t="str">
        <f ca="1">IFERROR(__xludf.DUMMYFUNCTION("""COMPUTED_VALUE"""),"Male")</f>
        <v>Male</v>
      </c>
      <c r="P939" s="1" t="str">
        <f ca="1">IFERROR(__xludf.DUMMYFUNCTION("""COMPUTED_VALUE"""),"Work &gt;=7 People in the Team")</f>
        <v>Work &gt;=7 People in the Team</v>
      </c>
      <c r="Q939" s="1" t="str">
        <f ca="1">IFERROR(__xludf.DUMMYFUNCTION("""COMPUTED_VALUE"""),"Male")</f>
        <v>Male</v>
      </c>
    </row>
    <row r="940" spans="13:17" x14ac:dyDescent="0.25">
      <c r="M940" s="1"/>
      <c r="N940" s="1" t="str">
        <f ca="1">IFERROR(__xludf.DUMMYFUNCTION("""COMPUTED_VALUE"""),"Female")</f>
        <v>Female</v>
      </c>
      <c r="P940" s="1" t="str">
        <f ca="1">IFERROR(__xludf.DUMMYFUNCTION("""COMPUTED_VALUE"""),"Work &gt;10 people in Team")</f>
        <v>Work &gt;10 people in Team</v>
      </c>
      <c r="Q940" s="1" t="str">
        <f ca="1">IFERROR(__xludf.DUMMYFUNCTION("""COMPUTED_VALUE"""),"Female")</f>
        <v>Female</v>
      </c>
    </row>
    <row r="941" spans="13:17" x14ac:dyDescent="0.25">
      <c r="M941" s="1"/>
      <c r="N941" s="1" t="str">
        <f ca="1">IFERROR(__xludf.DUMMYFUNCTION("""COMPUTED_VALUE"""),"Female")</f>
        <v>Female</v>
      </c>
      <c r="P941" s="1" t="str">
        <f ca="1">IFERROR(__xludf.DUMMYFUNCTION("""COMPUTED_VALUE"""),"Work &lt;=6 People in the Team")</f>
        <v>Work &lt;=6 People in the Team</v>
      </c>
      <c r="Q941" s="1" t="str">
        <f ca="1">IFERROR(__xludf.DUMMYFUNCTION("""COMPUTED_VALUE"""),"Female")</f>
        <v>Female</v>
      </c>
    </row>
    <row r="942" spans="13:17" x14ac:dyDescent="0.25">
      <c r="M942" s="1"/>
      <c r="N942" s="1" t="str">
        <f ca="1">IFERROR(__xludf.DUMMYFUNCTION("""COMPUTED_VALUE"""),"Male")</f>
        <v>Male</v>
      </c>
      <c r="P942" s="1" t="str">
        <f ca="1">IFERROR(__xludf.DUMMYFUNCTION("""COMPUTED_VALUE"""),"Work &lt;=6 People in the Team")</f>
        <v>Work &lt;=6 People in the Team</v>
      </c>
      <c r="Q942" s="1" t="str">
        <f ca="1">IFERROR(__xludf.DUMMYFUNCTION("""COMPUTED_VALUE"""),"Male")</f>
        <v>Male</v>
      </c>
    </row>
    <row r="943" spans="13:17" x14ac:dyDescent="0.25">
      <c r="M943" s="1"/>
      <c r="N943" s="1" t="str">
        <f ca="1">IFERROR(__xludf.DUMMYFUNCTION("""COMPUTED_VALUE"""),"Male")</f>
        <v>Male</v>
      </c>
      <c r="P943" s="1" t="str">
        <f ca="1">IFERROR(__xludf.DUMMYFUNCTION("""COMPUTED_VALUE"""),"Work alone")</f>
        <v>Work alone</v>
      </c>
      <c r="Q943" s="1" t="str">
        <f ca="1">IFERROR(__xludf.DUMMYFUNCTION("""COMPUTED_VALUE"""),"Male")</f>
        <v>Male</v>
      </c>
    </row>
    <row r="944" spans="13:17" x14ac:dyDescent="0.25">
      <c r="M944" s="1"/>
      <c r="N944" s="1" t="str">
        <f ca="1">IFERROR(__xludf.DUMMYFUNCTION("""COMPUTED_VALUE"""),"Male")</f>
        <v>Male</v>
      </c>
      <c r="P944" s="1" t="str">
        <f ca="1">IFERROR(__xludf.DUMMYFUNCTION("""COMPUTED_VALUE"""),"Work alone")</f>
        <v>Work alone</v>
      </c>
      <c r="Q944" s="1" t="str">
        <f ca="1">IFERROR(__xludf.DUMMYFUNCTION("""COMPUTED_VALUE"""),"Male")</f>
        <v>Male</v>
      </c>
    </row>
    <row r="945" spans="13:17" x14ac:dyDescent="0.25">
      <c r="M945" s="1"/>
      <c r="N945" s="1" t="str">
        <f ca="1">IFERROR(__xludf.DUMMYFUNCTION("""COMPUTED_VALUE"""),"Female")</f>
        <v>Female</v>
      </c>
      <c r="P945" s="1" t="str">
        <f ca="1">IFERROR(__xludf.DUMMYFUNCTION("""COMPUTED_VALUE"""),"Work alone")</f>
        <v>Work alone</v>
      </c>
      <c r="Q945" s="1" t="str">
        <f ca="1">IFERROR(__xludf.DUMMYFUNCTION("""COMPUTED_VALUE"""),"Female")</f>
        <v>Female</v>
      </c>
    </row>
    <row r="946" spans="13:17" x14ac:dyDescent="0.25">
      <c r="M946" s="1"/>
      <c r="N946" s="1" t="str">
        <f ca="1">IFERROR(__xludf.DUMMYFUNCTION("""COMPUTED_VALUE"""),"Female")</f>
        <v>Female</v>
      </c>
      <c r="P946" s="1" t="str">
        <f ca="1">IFERROR(__xludf.DUMMYFUNCTION("""COMPUTED_VALUE"""),"Work &lt;=6 People in the Team")</f>
        <v>Work &lt;=6 People in the Team</v>
      </c>
      <c r="Q946" s="1" t="str">
        <f ca="1">IFERROR(__xludf.DUMMYFUNCTION("""COMPUTED_VALUE"""),"Female")</f>
        <v>Female</v>
      </c>
    </row>
    <row r="947" spans="13:17" x14ac:dyDescent="0.25">
      <c r="M947" s="1"/>
      <c r="N947" s="1" t="str">
        <f ca="1">IFERROR(__xludf.DUMMYFUNCTION("""COMPUTED_VALUE"""),"Male")</f>
        <v>Male</v>
      </c>
      <c r="P947" s="1" t="str">
        <f ca="1">IFERROR(__xludf.DUMMYFUNCTION("""COMPUTED_VALUE"""),"Work &lt;=6 People in the Team")</f>
        <v>Work &lt;=6 People in the Team</v>
      </c>
      <c r="Q947" s="1" t="str">
        <f ca="1">IFERROR(__xludf.DUMMYFUNCTION("""COMPUTED_VALUE"""),"Male")</f>
        <v>Male</v>
      </c>
    </row>
    <row r="948" spans="13:17" x14ac:dyDescent="0.25">
      <c r="M948" s="1"/>
      <c r="N948" s="1" t="str">
        <f ca="1">IFERROR(__xludf.DUMMYFUNCTION("""COMPUTED_VALUE"""),"Male")</f>
        <v>Male</v>
      </c>
      <c r="P948" s="1" t="str">
        <f ca="1">IFERROR(__xludf.DUMMYFUNCTION("""COMPUTED_VALUE"""),"Work &lt;=6 People in the Team")</f>
        <v>Work &lt;=6 People in the Team</v>
      </c>
      <c r="Q948" s="1" t="str">
        <f ca="1">IFERROR(__xludf.DUMMYFUNCTION("""COMPUTED_VALUE"""),"Male")</f>
        <v>Male</v>
      </c>
    </row>
    <row r="949" spans="13:17" x14ac:dyDescent="0.25">
      <c r="M949" s="1"/>
      <c r="N949" s="1" t="str">
        <f ca="1">IFERROR(__xludf.DUMMYFUNCTION("""COMPUTED_VALUE"""),"Male")</f>
        <v>Male</v>
      </c>
      <c r="P949" s="1" t="str">
        <f ca="1">IFERROR(__xludf.DUMMYFUNCTION("""COMPUTED_VALUE"""),"Work &lt;=6 People in the Team")</f>
        <v>Work &lt;=6 People in the Team</v>
      </c>
      <c r="Q949" s="1" t="str">
        <f ca="1">IFERROR(__xludf.DUMMYFUNCTION("""COMPUTED_VALUE"""),"Male")</f>
        <v>Male</v>
      </c>
    </row>
    <row r="950" spans="13:17" x14ac:dyDescent="0.25">
      <c r="M950" s="1"/>
      <c r="N950" s="1" t="str">
        <f ca="1">IFERROR(__xludf.DUMMYFUNCTION("""COMPUTED_VALUE"""),"Female")</f>
        <v>Female</v>
      </c>
      <c r="P950" s="1" t="str">
        <f ca="1">IFERROR(__xludf.DUMMYFUNCTION("""COMPUTED_VALUE"""),"Work &lt;=6 People in the Team")</f>
        <v>Work &lt;=6 People in the Team</v>
      </c>
      <c r="Q950" s="1" t="str">
        <f ca="1">IFERROR(__xludf.DUMMYFUNCTION("""COMPUTED_VALUE"""),"Female")</f>
        <v>Female</v>
      </c>
    </row>
    <row r="951" spans="13:17" x14ac:dyDescent="0.25">
      <c r="M951" s="1"/>
      <c r="N951" s="1" t="str">
        <f ca="1">IFERROR(__xludf.DUMMYFUNCTION("""COMPUTED_VALUE"""),"Male")</f>
        <v>Male</v>
      </c>
      <c r="P951" s="1" t="str">
        <f ca="1">IFERROR(__xludf.DUMMYFUNCTION("""COMPUTED_VALUE"""),"Work &lt;=6 People in the Team")</f>
        <v>Work &lt;=6 People in the Team</v>
      </c>
      <c r="Q951" s="1" t="str">
        <f ca="1">IFERROR(__xludf.DUMMYFUNCTION("""COMPUTED_VALUE"""),"Male")</f>
        <v>Male</v>
      </c>
    </row>
    <row r="952" spans="13:17" x14ac:dyDescent="0.25">
      <c r="M952" s="1"/>
      <c r="N952" s="1" t="str">
        <f ca="1">IFERROR(__xludf.DUMMYFUNCTION("""COMPUTED_VALUE"""),"Female")</f>
        <v>Female</v>
      </c>
      <c r="P952" s="1" t="str">
        <f ca="1">IFERROR(__xludf.DUMMYFUNCTION("""COMPUTED_VALUE"""),"Work &lt;=6 People in the Team")</f>
        <v>Work &lt;=6 People in the Team</v>
      </c>
      <c r="Q952" s="1" t="str">
        <f ca="1">IFERROR(__xludf.DUMMYFUNCTION("""COMPUTED_VALUE"""),"Female")</f>
        <v>Female</v>
      </c>
    </row>
    <row r="953" spans="13:17" x14ac:dyDescent="0.25">
      <c r="M953" s="1"/>
      <c r="N953" s="1" t="str">
        <f ca="1">IFERROR(__xludf.DUMMYFUNCTION("""COMPUTED_VALUE"""),"Male")</f>
        <v>Male</v>
      </c>
      <c r="P953" s="1" t="str">
        <f ca="1">IFERROR(__xludf.DUMMYFUNCTION("""COMPUTED_VALUE"""),"Work &lt;=6 People in the Team")</f>
        <v>Work &lt;=6 People in the Team</v>
      </c>
      <c r="Q953" s="1" t="str">
        <f ca="1">IFERROR(__xludf.DUMMYFUNCTION("""COMPUTED_VALUE"""),"Male")</f>
        <v>Male</v>
      </c>
    </row>
    <row r="954" spans="13:17" x14ac:dyDescent="0.25">
      <c r="M954" s="1"/>
      <c r="N954" s="1" t="str">
        <f ca="1">IFERROR(__xludf.DUMMYFUNCTION("""COMPUTED_VALUE"""),"Male")</f>
        <v>Male</v>
      </c>
      <c r="P954" s="1" t="str">
        <f ca="1">IFERROR(__xludf.DUMMYFUNCTION("""COMPUTED_VALUE"""),"Work &lt;=6 People in the Team")</f>
        <v>Work &lt;=6 People in the Team</v>
      </c>
      <c r="Q954" s="1" t="str">
        <f ca="1">IFERROR(__xludf.DUMMYFUNCTION("""COMPUTED_VALUE"""),"Male")</f>
        <v>Male</v>
      </c>
    </row>
    <row r="955" spans="13:17" x14ac:dyDescent="0.25">
      <c r="M955" s="1"/>
      <c r="N955" s="1" t="str">
        <f ca="1">IFERROR(__xludf.DUMMYFUNCTION("""COMPUTED_VALUE"""),"Female")</f>
        <v>Female</v>
      </c>
      <c r="P955" s="1" t="str">
        <f ca="1">IFERROR(__xludf.DUMMYFUNCTION("""COMPUTED_VALUE"""),"Work &gt;10 people in Team")</f>
        <v>Work &gt;10 people in Team</v>
      </c>
      <c r="Q955" s="1" t="str">
        <f ca="1">IFERROR(__xludf.DUMMYFUNCTION("""COMPUTED_VALUE"""),"Female")</f>
        <v>Female</v>
      </c>
    </row>
    <row r="956" spans="13:17" x14ac:dyDescent="0.25">
      <c r="M956" s="1"/>
      <c r="N956" s="1" t="str">
        <f ca="1">IFERROR(__xludf.DUMMYFUNCTION("""COMPUTED_VALUE"""),"Female")</f>
        <v>Female</v>
      </c>
      <c r="P956" s="1" t="str">
        <f ca="1">IFERROR(__xludf.DUMMYFUNCTION("""COMPUTED_VALUE"""),"Work &lt;=6 People in the Team")</f>
        <v>Work &lt;=6 People in the Team</v>
      </c>
      <c r="Q956" s="1" t="str">
        <f ca="1">IFERROR(__xludf.DUMMYFUNCTION("""COMPUTED_VALUE"""),"Female")</f>
        <v>Female</v>
      </c>
    </row>
    <row r="957" spans="13:17" x14ac:dyDescent="0.25">
      <c r="M957" s="1"/>
      <c r="N957" s="1" t="str">
        <f ca="1">IFERROR(__xludf.DUMMYFUNCTION("""COMPUTED_VALUE"""),"Male")</f>
        <v>Male</v>
      </c>
      <c r="P957" s="1" t="str">
        <f ca="1">IFERROR(__xludf.DUMMYFUNCTION("""COMPUTED_VALUE"""),"Work &gt;=7 People in the Team")</f>
        <v>Work &gt;=7 People in the Team</v>
      </c>
      <c r="Q957" s="1" t="str">
        <f ca="1">IFERROR(__xludf.DUMMYFUNCTION("""COMPUTED_VALUE"""),"Male")</f>
        <v>Male</v>
      </c>
    </row>
    <row r="958" spans="13:17" x14ac:dyDescent="0.25">
      <c r="M958" s="1"/>
      <c r="N958" s="1" t="str">
        <f ca="1">IFERROR(__xludf.DUMMYFUNCTION("""COMPUTED_VALUE"""),"Male")</f>
        <v>Male</v>
      </c>
      <c r="P958" s="1" t="str">
        <f ca="1">IFERROR(__xludf.DUMMYFUNCTION("""COMPUTED_VALUE"""),"Work &gt;=7 People in the Team")</f>
        <v>Work &gt;=7 People in the Team</v>
      </c>
      <c r="Q958" s="1" t="str">
        <f ca="1">IFERROR(__xludf.DUMMYFUNCTION("""COMPUTED_VALUE"""),"Male")</f>
        <v>Male</v>
      </c>
    </row>
    <row r="959" spans="13:17" x14ac:dyDescent="0.25">
      <c r="M959" s="1"/>
      <c r="N959" s="1" t="str">
        <f ca="1">IFERROR(__xludf.DUMMYFUNCTION("""COMPUTED_VALUE"""),"Male")</f>
        <v>Male</v>
      </c>
      <c r="P959" s="1" t="str">
        <f ca="1">IFERROR(__xludf.DUMMYFUNCTION("""COMPUTED_VALUE"""),"Work &lt;=6 People in the Team")</f>
        <v>Work &lt;=6 People in the Team</v>
      </c>
      <c r="Q959" s="1" t="str">
        <f ca="1">IFERROR(__xludf.DUMMYFUNCTION("""COMPUTED_VALUE"""),"Male")</f>
        <v>Male</v>
      </c>
    </row>
    <row r="960" spans="13:17" x14ac:dyDescent="0.25">
      <c r="M960" s="1"/>
      <c r="N960" s="1" t="str">
        <f ca="1">IFERROR(__xludf.DUMMYFUNCTION("""COMPUTED_VALUE"""),"Female")</f>
        <v>Female</v>
      </c>
      <c r="P960" s="1" t="str">
        <f ca="1">IFERROR(__xludf.DUMMYFUNCTION("""COMPUTED_VALUE"""),"Work &gt;10 people in Team")</f>
        <v>Work &gt;10 people in Team</v>
      </c>
      <c r="Q960" s="1" t="str">
        <f ca="1">IFERROR(__xludf.DUMMYFUNCTION("""COMPUTED_VALUE"""),"Female")</f>
        <v>Female</v>
      </c>
    </row>
    <row r="961" spans="13:17" x14ac:dyDescent="0.25">
      <c r="M961" s="1"/>
      <c r="N961" s="1" t="str">
        <f ca="1">IFERROR(__xludf.DUMMYFUNCTION("""COMPUTED_VALUE"""),"Male")</f>
        <v>Male</v>
      </c>
      <c r="P961" s="1" t="str">
        <f ca="1">IFERROR(__xludf.DUMMYFUNCTION("""COMPUTED_VALUE"""),"Work alone")</f>
        <v>Work alone</v>
      </c>
      <c r="Q961" s="1" t="str">
        <f ca="1">IFERROR(__xludf.DUMMYFUNCTION("""COMPUTED_VALUE"""),"Male")</f>
        <v>Male</v>
      </c>
    </row>
    <row r="962" spans="13:17" x14ac:dyDescent="0.25">
      <c r="M962" s="1"/>
      <c r="N962" s="1" t="str">
        <f ca="1">IFERROR(__xludf.DUMMYFUNCTION("""COMPUTED_VALUE"""),"Male")</f>
        <v>Male</v>
      </c>
      <c r="P962" s="1" t="str">
        <f ca="1">IFERROR(__xludf.DUMMYFUNCTION("""COMPUTED_VALUE"""),"Work  &lt;67 people in team")</f>
        <v>Work  &lt;67 people in team</v>
      </c>
      <c r="Q962" s="1" t="str">
        <f ca="1">IFERROR(__xludf.DUMMYFUNCTION("""COMPUTED_VALUE"""),"Male")</f>
        <v>Male</v>
      </c>
    </row>
    <row r="963" spans="13:17" x14ac:dyDescent="0.25">
      <c r="M963" s="1"/>
      <c r="N963" s="1" t="str">
        <f ca="1">IFERROR(__xludf.DUMMYFUNCTION("""COMPUTED_VALUE"""),"Male")</f>
        <v>Male</v>
      </c>
      <c r="P963" s="1" t="str">
        <f ca="1">IFERROR(__xludf.DUMMYFUNCTION("""COMPUTED_VALUE"""),"Work &lt;=6 People in the Team")</f>
        <v>Work &lt;=6 People in the Team</v>
      </c>
      <c r="Q963" s="1" t="str">
        <f ca="1">IFERROR(__xludf.DUMMYFUNCTION("""COMPUTED_VALUE"""),"Male")</f>
        <v>Male</v>
      </c>
    </row>
    <row r="964" spans="13:17" x14ac:dyDescent="0.25">
      <c r="M964" s="1"/>
      <c r="N964" s="1" t="str">
        <f ca="1">IFERROR(__xludf.DUMMYFUNCTION("""COMPUTED_VALUE"""),"Male")</f>
        <v>Male</v>
      </c>
      <c r="P964" s="1" t="str">
        <f ca="1">IFERROR(__xludf.DUMMYFUNCTION("""COMPUTED_VALUE"""),"Work &lt;=6 People in the Team")</f>
        <v>Work &lt;=6 People in the Team</v>
      </c>
      <c r="Q964" s="1" t="str">
        <f ca="1">IFERROR(__xludf.DUMMYFUNCTION("""COMPUTED_VALUE"""),"Male")</f>
        <v>Male</v>
      </c>
    </row>
    <row r="965" spans="13:17" x14ac:dyDescent="0.25">
      <c r="M965" s="1"/>
      <c r="N965" s="1" t="str">
        <f ca="1">IFERROR(__xludf.DUMMYFUNCTION("""COMPUTED_VALUE"""),"Female")</f>
        <v>Female</v>
      </c>
      <c r="P965" s="1" t="str">
        <f ca="1">IFERROR(__xludf.DUMMYFUNCTION("""COMPUTED_VALUE"""),"Work Alone, &lt;67 people in team")</f>
        <v>Work Alone, &lt;67 people in team</v>
      </c>
      <c r="Q965" s="1" t="str">
        <f ca="1">IFERROR(__xludf.DUMMYFUNCTION("""COMPUTED_VALUE"""),"Female")</f>
        <v>Female</v>
      </c>
    </row>
    <row r="966" spans="13:17" x14ac:dyDescent="0.25">
      <c r="M966" s="1"/>
      <c r="N966" s="1" t="str">
        <f ca="1">IFERROR(__xludf.DUMMYFUNCTION("""COMPUTED_VALUE"""),"Female")</f>
        <v>Female</v>
      </c>
      <c r="P966" s="1" t="str">
        <f ca="1">IFERROR(__xludf.DUMMYFUNCTION("""COMPUTED_VALUE"""),"Work &lt;=6 People in the Team")</f>
        <v>Work &lt;=6 People in the Team</v>
      </c>
      <c r="Q966" s="1" t="str">
        <f ca="1">IFERROR(__xludf.DUMMYFUNCTION("""COMPUTED_VALUE"""),"Female")</f>
        <v>Female</v>
      </c>
    </row>
    <row r="967" spans="13:17" x14ac:dyDescent="0.25">
      <c r="M967" s="1"/>
      <c r="N967" s="1" t="str">
        <f ca="1">IFERROR(__xludf.DUMMYFUNCTION("""COMPUTED_VALUE"""),"Female")</f>
        <v>Female</v>
      </c>
      <c r="P967" s="1" t="str">
        <f ca="1">IFERROR(__xludf.DUMMYFUNCTION("""COMPUTED_VALUE"""),"Work &lt;=6 People in the Team")</f>
        <v>Work &lt;=6 People in the Team</v>
      </c>
      <c r="Q967" s="1" t="str">
        <f ca="1">IFERROR(__xludf.DUMMYFUNCTION("""COMPUTED_VALUE"""),"Female")</f>
        <v>Female</v>
      </c>
    </row>
    <row r="968" spans="13:17" x14ac:dyDescent="0.25">
      <c r="M968" s="1"/>
      <c r="N968" s="1" t="str">
        <f ca="1">IFERROR(__xludf.DUMMYFUNCTION("""COMPUTED_VALUE"""),"Female")</f>
        <v>Female</v>
      </c>
      <c r="P968" s="1" t="str">
        <f ca="1">IFERROR(__xludf.DUMMYFUNCTION("""COMPUTED_VALUE"""),"Work &lt;=6 People in the Team")</f>
        <v>Work &lt;=6 People in the Team</v>
      </c>
      <c r="Q968" s="1" t="str">
        <f ca="1">IFERROR(__xludf.DUMMYFUNCTION("""COMPUTED_VALUE"""),"Female")</f>
        <v>Female</v>
      </c>
    </row>
    <row r="969" spans="13:17" x14ac:dyDescent="0.25">
      <c r="M969" s="1"/>
      <c r="N969" s="1" t="str">
        <f ca="1">IFERROR(__xludf.DUMMYFUNCTION("""COMPUTED_VALUE"""),"Female")</f>
        <v>Female</v>
      </c>
      <c r="P969" s="1" t="str">
        <f ca="1">IFERROR(__xludf.DUMMYFUNCTION("""COMPUTED_VALUE"""),"Work &lt;=6 People in the Team")</f>
        <v>Work &lt;=6 People in the Team</v>
      </c>
      <c r="Q969" s="1" t="str">
        <f ca="1">IFERROR(__xludf.DUMMYFUNCTION("""COMPUTED_VALUE"""),"Female")</f>
        <v>Female</v>
      </c>
    </row>
    <row r="970" spans="13:17" x14ac:dyDescent="0.25">
      <c r="M970" s="1"/>
      <c r="N970" s="1" t="str">
        <f ca="1">IFERROR(__xludf.DUMMYFUNCTION("""COMPUTED_VALUE"""),"Male")</f>
        <v>Male</v>
      </c>
      <c r="P970" s="1" t="str">
        <f ca="1">IFERROR(__xludf.DUMMYFUNCTION("""COMPUTED_VALUE"""),"Work &gt;10 people in Team")</f>
        <v>Work &gt;10 people in Team</v>
      </c>
      <c r="Q970" s="1" t="str">
        <f ca="1">IFERROR(__xludf.DUMMYFUNCTION("""COMPUTED_VALUE"""),"Male")</f>
        <v>Male</v>
      </c>
    </row>
    <row r="971" spans="13:17" x14ac:dyDescent="0.25">
      <c r="M971" s="1"/>
      <c r="N971" s="1" t="str">
        <f ca="1">IFERROR(__xludf.DUMMYFUNCTION("""COMPUTED_VALUE"""),"Male")</f>
        <v>Male</v>
      </c>
      <c r="P971" s="1" t="str">
        <f ca="1">IFERROR(__xludf.DUMMYFUNCTION("""COMPUTED_VALUE"""),"Work &lt;=6 People in the Team")</f>
        <v>Work &lt;=6 People in the Team</v>
      </c>
      <c r="Q971" s="1" t="str">
        <f ca="1">IFERROR(__xludf.DUMMYFUNCTION("""COMPUTED_VALUE"""),"Male")</f>
        <v>Male</v>
      </c>
    </row>
    <row r="972" spans="13:17" x14ac:dyDescent="0.25">
      <c r="M972" s="1"/>
      <c r="N972" s="1" t="str">
        <f ca="1">IFERROR(__xludf.DUMMYFUNCTION("""COMPUTED_VALUE"""),"Male")</f>
        <v>Male</v>
      </c>
      <c r="P972" s="1" t="str">
        <f ca="1">IFERROR(__xludf.DUMMYFUNCTION("""COMPUTED_VALUE"""),"Work &lt;=6 People in the Team")</f>
        <v>Work &lt;=6 People in the Team</v>
      </c>
      <c r="Q972" s="1" t="str">
        <f ca="1">IFERROR(__xludf.DUMMYFUNCTION("""COMPUTED_VALUE"""),"Male")</f>
        <v>Male</v>
      </c>
    </row>
    <row r="973" spans="13:17" x14ac:dyDescent="0.25">
      <c r="M973" s="1"/>
      <c r="N973" s="1" t="str">
        <f ca="1">IFERROR(__xludf.DUMMYFUNCTION("""COMPUTED_VALUE"""),"Male")</f>
        <v>Male</v>
      </c>
      <c r="P973" s="1" t="str">
        <f ca="1">IFERROR(__xludf.DUMMYFUNCTION("""COMPUTED_VALUE"""),"Work &lt;=6 People in the Team")</f>
        <v>Work &lt;=6 People in the Team</v>
      </c>
      <c r="Q973" s="1" t="str">
        <f ca="1">IFERROR(__xludf.DUMMYFUNCTION("""COMPUTED_VALUE"""),"Male")</f>
        <v>Male</v>
      </c>
    </row>
    <row r="974" spans="13:17" x14ac:dyDescent="0.25">
      <c r="M974" s="1"/>
      <c r="N974" s="1" t="str">
        <f ca="1">IFERROR(__xludf.DUMMYFUNCTION("""COMPUTED_VALUE"""),"Female")</f>
        <v>Female</v>
      </c>
      <c r="P974" s="1" t="str">
        <f ca="1">IFERROR(__xludf.DUMMYFUNCTION("""COMPUTED_VALUE"""),"Work &lt;=6 People in the Team")</f>
        <v>Work &lt;=6 People in the Team</v>
      </c>
      <c r="Q974" s="1" t="str">
        <f ca="1">IFERROR(__xludf.DUMMYFUNCTION("""COMPUTED_VALUE"""),"Female")</f>
        <v>Female</v>
      </c>
    </row>
    <row r="975" spans="13:17" x14ac:dyDescent="0.25">
      <c r="M975" s="1"/>
      <c r="N975" s="1" t="str">
        <f ca="1">IFERROR(__xludf.DUMMYFUNCTION("""COMPUTED_VALUE"""),"Male")</f>
        <v>Male</v>
      </c>
      <c r="P975" s="1" t="str">
        <f ca="1">IFERROR(__xludf.DUMMYFUNCTION("""COMPUTED_VALUE"""),"Work &lt;=6 People in the Team")</f>
        <v>Work &lt;=6 People in the Team</v>
      </c>
      <c r="Q975" s="1" t="str">
        <f ca="1">IFERROR(__xludf.DUMMYFUNCTION("""COMPUTED_VALUE"""),"Male")</f>
        <v>Male</v>
      </c>
    </row>
    <row r="976" spans="13:17" x14ac:dyDescent="0.25">
      <c r="M976" s="1"/>
      <c r="N976" s="1" t="str">
        <f ca="1">IFERROR(__xludf.DUMMYFUNCTION("""COMPUTED_VALUE"""),"Female")</f>
        <v>Female</v>
      </c>
      <c r="P976" s="1" t="str">
        <f ca="1">IFERROR(__xludf.DUMMYFUNCTION("""COMPUTED_VALUE"""),"Work &lt;=6 People in the Team")</f>
        <v>Work &lt;=6 People in the Team</v>
      </c>
      <c r="Q976" s="1" t="str">
        <f ca="1">IFERROR(__xludf.DUMMYFUNCTION("""COMPUTED_VALUE"""),"Female")</f>
        <v>Female</v>
      </c>
    </row>
    <row r="977" spans="13:17" x14ac:dyDescent="0.25">
      <c r="M977" s="1"/>
      <c r="N977" s="1" t="str">
        <f ca="1">IFERROR(__xludf.DUMMYFUNCTION("""COMPUTED_VALUE"""),"Male")</f>
        <v>Male</v>
      </c>
      <c r="P977" s="1" t="str">
        <f ca="1">IFERROR(__xludf.DUMMYFUNCTION("""COMPUTED_VALUE"""),"Work &lt;=6 People in the Team")</f>
        <v>Work &lt;=6 People in the Team</v>
      </c>
      <c r="Q977" s="1" t="str">
        <f ca="1">IFERROR(__xludf.DUMMYFUNCTION("""COMPUTED_VALUE"""),"Male")</f>
        <v>Male</v>
      </c>
    </row>
    <row r="978" spans="13:17" x14ac:dyDescent="0.25">
      <c r="M978" s="1"/>
      <c r="N978" s="1" t="str">
        <f ca="1">IFERROR(__xludf.DUMMYFUNCTION("""COMPUTED_VALUE"""),"Male")</f>
        <v>Male</v>
      </c>
      <c r="P978" s="1" t="str">
        <f ca="1">IFERROR(__xludf.DUMMYFUNCTION("""COMPUTED_VALUE"""),"Work &lt;=6 People in the Team")</f>
        <v>Work &lt;=6 People in the Team</v>
      </c>
      <c r="Q978" s="1" t="str">
        <f ca="1">IFERROR(__xludf.DUMMYFUNCTION("""COMPUTED_VALUE"""),"Male")</f>
        <v>Male</v>
      </c>
    </row>
    <row r="979" spans="13:17" x14ac:dyDescent="0.25">
      <c r="M979" s="1"/>
      <c r="N979" s="1" t="str">
        <f ca="1">IFERROR(__xludf.DUMMYFUNCTION("""COMPUTED_VALUE"""),"Male")</f>
        <v>Male</v>
      </c>
      <c r="P979" s="1" t="str">
        <f ca="1">IFERROR(__xludf.DUMMYFUNCTION("""COMPUTED_VALUE"""),"Work &lt;=6 People in the Team")</f>
        <v>Work &lt;=6 People in the Team</v>
      </c>
      <c r="Q979" s="1" t="str">
        <f ca="1">IFERROR(__xludf.DUMMYFUNCTION("""COMPUTED_VALUE"""),"Male")</f>
        <v>Male</v>
      </c>
    </row>
    <row r="980" spans="13:17" x14ac:dyDescent="0.25">
      <c r="M980" s="1"/>
      <c r="N980" s="1" t="str">
        <f ca="1">IFERROR(__xludf.DUMMYFUNCTION("""COMPUTED_VALUE"""),"Male")</f>
        <v>Male</v>
      </c>
      <c r="P980" s="1" t="str">
        <f ca="1">IFERROR(__xludf.DUMMYFUNCTION("""COMPUTED_VALUE"""),"Work Alone, &lt;67 people in team")</f>
        <v>Work Alone, &lt;67 people in team</v>
      </c>
      <c r="Q980" s="1" t="str">
        <f ca="1">IFERROR(__xludf.DUMMYFUNCTION("""COMPUTED_VALUE"""),"Male")</f>
        <v>Male</v>
      </c>
    </row>
    <row r="981" spans="13:17" x14ac:dyDescent="0.25">
      <c r="M981" s="1"/>
      <c r="N981" s="1" t="str">
        <f ca="1">IFERROR(__xludf.DUMMYFUNCTION("""COMPUTED_VALUE"""),"Male")</f>
        <v>Male</v>
      </c>
      <c r="P981" s="1" t="str">
        <f ca="1">IFERROR(__xludf.DUMMYFUNCTION("""COMPUTED_VALUE"""),"Work &gt;10 people in Team")</f>
        <v>Work &gt;10 people in Team</v>
      </c>
      <c r="Q981" s="1" t="str">
        <f ca="1">IFERROR(__xludf.DUMMYFUNCTION("""COMPUTED_VALUE"""),"Male")</f>
        <v>Male</v>
      </c>
    </row>
    <row r="982" spans="13:17" x14ac:dyDescent="0.25">
      <c r="M982" s="1"/>
      <c r="N982" s="1" t="str">
        <f ca="1">IFERROR(__xludf.DUMMYFUNCTION("""COMPUTED_VALUE"""),"Male")</f>
        <v>Male</v>
      </c>
      <c r="P982" s="1" t="str">
        <f ca="1">IFERROR(__xludf.DUMMYFUNCTION("""COMPUTED_VALUE"""),"Work &lt;=6 People in the Team")</f>
        <v>Work &lt;=6 People in the Team</v>
      </c>
      <c r="Q982" s="1" t="str">
        <f ca="1">IFERROR(__xludf.DUMMYFUNCTION("""COMPUTED_VALUE"""),"Male")</f>
        <v>Male</v>
      </c>
    </row>
    <row r="983" spans="13:17" x14ac:dyDescent="0.25">
      <c r="M983" s="1"/>
      <c r="N983" s="1" t="str">
        <f ca="1">IFERROR(__xludf.DUMMYFUNCTION("""COMPUTED_VALUE"""),"Female")</f>
        <v>Female</v>
      </c>
      <c r="P983" s="1" t="str">
        <f ca="1">IFERROR(__xludf.DUMMYFUNCTION("""COMPUTED_VALUE"""),"Work &lt;=6 People in the Team")</f>
        <v>Work &lt;=6 People in the Team</v>
      </c>
      <c r="Q983" s="1" t="str">
        <f ca="1">IFERROR(__xludf.DUMMYFUNCTION("""COMPUTED_VALUE"""),"Female")</f>
        <v>Female</v>
      </c>
    </row>
    <row r="984" spans="13:17" x14ac:dyDescent="0.25">
      <c r="M984" s="1"/>
      <c r="N984" s="1" t="str">
        <f ca="1">IFERROR(__xludf.DUMMYFUNCTION("""COMPUTED_VALUE"""),"Male")</f>
        <v>Male</v>
      </c>
      <c r="P984" s="1" t="str">
        <f ca="1">IFERROR(__xludf.DUMMYFUNCTION("""COMPUTED_VALUE"""),"Work &lt;=6 People in the Team")</f>
        <v>Work &lt;=6 People in the Team</v>
      </c>
      <c r="Q984" s="1" t="str">
        <f ca="1">IFERROR(__xludf.DUMMYFUNCTION("""COMPUTED_VALUE"""),"Male")</f>
        <v>Male</v>
      </c>
    </row>
    <row r="985" spans="13:17" x14ac:dyDescent="0.25">
      <c r="M985" s="1"/>
      <c r="N985" s="1" t="str">
        <f ca="1">IFERROR(__xludf.DUMMYFUNCTION("""COMPUTED_VALUE"""),"Male")</f>
        <v>Male</v>
      </c>
      <c r="P985" s="1" t="str">
        <f ca="1">IFERROR(__xludf.DUMMYFUNCTION("""COMPUTED_VALUE"""),"Work &gt;10 people in Team")</f>
        <v>Work &gt;10 people in Team</v>
      </c>
      <c r="Q985" s="1" t="str">
        <f ca="1">IFERROR(__xludf.DUMMYFUNCTION("""COMPUTED_VALUE"""),"Male")</f>
        <v>Male</v>
      </c>
    </row>
    <row r="986" spans="13:17" x14ac:dyDescent="0.25">
      <c r="M986" s="1"/>
      <c r="N986" s="1" t="str">
        <f ca="1">IFERROR(__xludf.DUMMYFUNCTION("""COMPUTED_VALUE"""),"Male")</f>
        <v>Male</v>
      </c>
      <c r="P986" s="1" t="str">
        <f ca="1">IFERROR(__xludf.DUMMYFUNCTION("""COMPUTED_VALUE"""),"Work Alone, &lt;=6 in team")</f>
        <v>Work Alone, &lt;=6 in team</v>
      </c>
      <c r="Q986" s="1" t="str">
        <f ca="1">IFERROR(__xludf.DUMMYFUNCTION("""COMPUTED_VALUE"""),"Male")</f>
        <v>Male</v>
      </c>
    </row>
    <row r="987" spans="13:17" x14ac:dyDescent="0.25">
      <c r="M987" s="1"/>
      <c r="N987" s="1" t="str">
        <f ca="1">IFERROR(__xludf.DUMMYFUNCTION("""COMPUTED_VALUE"""),"Male")</f>
        <v>Male</v>
      </c>
      <c r="P987" s="1" t="str">
        <f ca="1">IFERROR(__xludf.DUMMYFUNCTION("""COMPUTED_VALUE"""),"Work &lt;=6 People in the Team")</f>
        <v>Work &lt;=6 People in the Team</v>
      </c>
      <c r="Q987" s="1" t="str">
        <f ca="1">IFERROR(__xludf.DUMMYFUNCTION("""COMPUTED_VALUE"""),"Male")</f>
        <v>Male</v>
      </c>
    </row>
    <row r="988" spans="13:17" x14ac:dyDescent="0.25">
      <c r="M988" s="1"/>
      <c r="N988" s="1" t="str">
        <f ca="1">IFERROR(__xludf.DUMMYFUNCTION("""COMPUTED_VALUE"""),"Male")</f>
        <v>Male</v>
      </c>
      <c r="P988" s="1" t="str">
        <f ca="1">IFERROR(__xludf.DUMMYFUNCTION("""COMPUTED_VALUE"""),"Work &lt;=6 People in the Team")</f>
        <v>Work &lt;=6 People in the Team</v>
      </c>
      <c r="Q988" s="1" t="str">
        <f ca="1">IFERROR(__xludf.DUMMYFUNCTION("""COMPUTED_VALUE"""),"Male")</f>
        <v>Male</v>
      </c>
    </row>
    <row r="989" spans="13:17" x14ac:dyDescent="0.25">
      <c r="M989" s="1"/>
      <c r="N989" s="1" t="str">
        <f ca="1">IFERROR(__xludf.DUMMYFUNCTION("""COMPUTED_VALUE"""),"Male")</f>
        <v>Male</v>
      </c>
      <c r="P989" s="1" t="str">
        <f ca="1">IFERROR(__xludf.DUMMYFUNCTION("""COMPUTED_VALUE"""),"Work  &lt;67 people in team")</f>
        <v>Work  &lt;67 people in team</v>
      </c>
      <c r="Q989" s="1" t="str">
        <f ca="1">IFERROR(__xludf.DUMMYFUNCTION("""COMPUTED_VALUE"""),"Male")</f>
        <v>Male</v>
      </c>
    </row>
    <row r="990" spans="13:17" x14ac:dyDescent="0.25">
      <c r="M990" s="1"/>
      <c r="N990" s="1" t="str">
        <f ca="1">IFERROR(__xludf.DUMMYFUNCTION("""COMPUTED_VALUE"""),"Female")</f>
        <v>Female</v>
      </c>
      <c r="P990" s="1" t="str">
        <f ca="1">IFERROR(__xludf.DUMMYFUNCTION("""COMPUTED_VALUE"""),"Work &gt;=7 People in the Team")</f>
        <v>Work &gt;=7 People in the Team</v>
      </c>
      <c r="Q990" s="1" t="str">
        <f ca="1">IFERROR(__xludf.DUMMYFUNCTION("""COMPUTED_VALUE"""),"Female")</f>
        <v>Female</v>
      </c>
    </row>
    <row r="991" spans="13:17" x14ac:dyDescent="0.25">
      <c r="M991" s="1"/>
      <c r="N991" s="1" t="str">
        <f ca="1">IFERROR(__xludf.DUMMYFUNCTION("""COMPUTED_VALUE"""),"Male")</f>
        <v>Male</v>
      </c>
      <c r="P991" s="1" t="str">
        <f ca="1">IFERROR(__xludf.DUMMYFUNCTION("""COMPUTED_VALUE"""),"Work &lt;=6 People in the Team")</f>
        <v>Work &lt;=6 People in the Team</v>
      </c>
      <c r="Q991" s="1" t="str">
        <f ca="1">IFERROR(__xludf.DUMMYFUNCTION("""COMPUTED_VALUE"""),"Male")</f>
        <v>Male</v>
      </c>
    </row>
    <row r="992" spans="13:17" x14ac:dyDescent="0.25">
      <c r="M992" s="1"/>
      <c r="N992" s="1" t="str">
        <f ca="1">IFERROR(__xludf.DUMMYFUNCTION("""COMPUTED_VALUE"""),"Male")</f>
        <v>Male</v>
      </c>
      <c r="P992" s="1" t="str">
        <f ca="1">IFERROR(__xludf.DUMMYFUNCTION("""COMPUTED_VALUE"""),"Work &lt;=6 People in the Team")</f>
        <v>Work &lt;=6 People in the Team</v>
      </c>
      <c r="Q992" s="1" t="str">
        <f ca="1">IFERROR(__xludf.DUMMYFUNCTION("""COMPUTED_VALUE"""),"Male")</f>
        <v>Male</v>
      </c>
    </row>
    <row r="993" spans="13:17" x14ac:dyDescent="0.25">
      <c r="M993" s="1"/>
      <c r="N993" s="1" t="str">
        <f ca="1">IFERROR(__xludf.DUMMYFUNCTION("""COMPUTED_VALUE"""),"Male")</f>
        <v>Male</v>
      </c>
      <c r="P993" s="1" t="str">
        <f ca="1">IFERROR(__xludf.DUMMYFUNCTION("""COMPUTED_VALUE"""),"Work &lt;=6 People in the Team")</f>
        <v>Work &lt;=6 People in the Team</v>
      </c>
      <c r="Q993" s="1" t="str">
        <f ca="1">IFERROR(__xludf.DUMMYFUNCTION("""COMPUTED_VALUE"""),"Male")</f>
        <v>Male</v>
      </c>
    </row>
    <row r="994" spans="13:17" x14ac:dyDescent="0.25">
      <c r="M994" s="1"/>
      <c r="N994" s="1" t="str">
        <f ca="1">IFERROR(__xludf.DUMMYFUNCTION("""COMPUTED_VALUE"""),"Male")</f>
        <v>Male</v>
      </c>
      <c r="P994" s="1" t="str">
        <f ca="1">IFERROR(__xludf.DUMMYFUNCTION("""COMPUTED_VALUE"""),"Work &gt;10 people in Team")</f>
        <v>Work &gt;10 people in Team</v>
      </c>
      <c r="Q994" s="1" t="str">
        <f ca="1">IFERROR(__xludf.DUMMYFUNCTION("""COMPUTED_VALUE"""),"Male")</f>
        <v>Male</v>
      </c>
    </row>
    <row r="995" spans="13:17" x14ac:dyDescent="0.25">
      <c r="M995" s="1"/>
      <c r="N995" s="1" t="str">
        <f ca="1">IFERROR(__xludf.DUMMYFUNCTION("""COMPUTED_VALUE"""),"Female")</f>
        <v>Female</v>
      </c>
      <c r="P995" s="1" t="str">
        <f ca="1">IFERROR(__xludf.DUMMYFUNCTION("""COMPUTED_VALUE"""),"Work  &lt;67 people in team")</f>
        <v>Work  &lt;67 people in team</v>
      </c>
      <c r="Q995" s="1" t="str">
        <f ca="1">IFERROR(__xludf.DUMMYFUNCTION("""COMPUTED_VALUE"""),"Female")</f>
        <v>Female</v>
      </c>
    </row>
    <row r="996" spans="13:17" x14ac:dyDescent="0.25">
      <c r="M996" s="1"/>
      <c r="N996" s="1" t="str">
        <f ca="1">IFERROR(__xludf.DUMMYFUNCTION("""COMPUTED_VALUE"""),"Female")</f>
        <v>Female</v>
      </c>
      <c r="P996" s="1" t="str">
        <f ca="1">IFERROR(__xludf.DUMMYFUNCTION("""COMPUTED_VALUE"""),"Work &lt;=6 People in the Team")</f>
        <v>Work &lt;=6 People in the Team</v>
      </c>
      <c r="Q996" s="1" t="str">
        <f ca="1">IFERROR(__xludf.DUMMYFUNCTION("""COMPUTED_VALUE"""),"Female")</f>
        <v>Female</v>
      </c>
    </row>
    <row r="997" spans="13:17" x14ac:dyDescent="0.25">
      <c r="M997" s="1"/>
      <c r="N997" s="1" t="str">
        <f ca="1">IFERROR(__xludf.DUMMYFUNCTION("""COMPUTED_VALUE"""),"Male")</f>
        <v>Male</v>
      </c>
      <c r="P997" s="1" t="str">
        <f ca="1">IFERROR(__xludf.DUMMYFUNCTION("""COMPUTED_VALUE"""),"Work &lt;=6 People in the Team")</f>
        <v>Work &lt;=6 People in the Team</v>
      </c>
      <c r="Q997" s="1" t="str">
        <f ca="1">IFERROR(__xludf.DUMMYFUNCTION("""COMPUTED_VALUE"""),"Male")</f>
        <v>Male</v>
      </c>
    </row>
    <row r="998" spans="13:17" x14ac:dyDescent="0.25">
      <c r="M998" s="1"/>
      <c r="N998" s="1" t="str">
        <f ca="1">IFERROR(__xludf.DUMMYFUNCTION("""COMPUTED_VALUE"""),"Female")</f>
        <v>Female</v>
      </c>
      <c r="P998" s="1" t="str">
        <f ca="1">IFERROR(__xludf.DUMMYFUNCTION("""COMPUTED_VALUE"""),"Work &lt;=6 People in the Team")</f>
        <v>Work &lt;=6 People in the Team</v>
      </c>
      <c r="Q998" s="1" t="str">
        <f ca="1">IFERROR(__xludf.DUMMYFUNCTION("""COMPUTED_VALUE"""),"Female")</f>
        <v>Female</v>
      </c>
    </row>
    <row r="999" spans="13:17" x14ac:dyDescent="0.25">
      <c r="M999" s="1"/>
      <c r="N999" s="1" t="str">
        <f ca="1">IFERROR(__xludf.DUMMYFUNCTION("""COMPUTED_VALUE"""),"Male")</f>
        <v>Male</v>
      </c>
      <c r="P999" s="1" t="str">
        <f ca="1">IFERROR(__xludf.DUMMYFUNCTION("""COMPUTED_VALUE"""),"Work &lt;=6 People in the Team")</f>
        <v>Work &lt;=6 People in the Team</v>
      </c>
      <c r="Q999" s="1" t="str">
        <f ca="1">IFERROR(__xludf.DUMMYFUNCTION("""COMPUTED_VALUE"""),"Male")</f>
        <v>Male</v>
      </c>
    </row>
    <row r="1000" spans="13:17" x14ac:dyDescent="0.25">
      <c r="M1000" s="1"/>
      <c r="N1000" s="1" t="str">
        <f ca="1">IFERROR(__xludf.DUMMYFUNCTION("""COMPUTED_VALUE"""),"Male")</f>
        <v>Male</v>
      </c>
      <c r="P1000" s="1" t="str">
        <f ca="1">IFERROR(__xludf.DUMMYFUNCTION("""COMPUTED_VALUE"""),"Work &lt;=6 People in the Team")</f>
        <v>Work &lt;=6 People in the Team</v>
      </c>
      <c r="Q1000" s="1" t="str">
        <f ca="1">IFERROR(__xludf.DUMMYFUNCTION("""COMPUTED_VALUE"""),"Male")</f>
        <v>Male</v>
      </c>
    </row>
    <row r="1001" spans="13:17" x14ac:dyDescent="0.25">
      <c r="M1001" s="1"/>
      <c r="N1001" s="1" t="str">
        <f ca="1">IFERROR(__xludf.DUMMYFUNCTION("""COMPUTED_VALUE"""),"Male")</f>
        <v>Male</v>
      </c>
      <c r="P1001" s="1" t="str">
        <f ca="1">IFERROR(__xludf.DUMMYFUNCTION("""COMPUTED_VALUE"""),"Work &lt;=6 People in the Team")</f>
        <v>Work &lt;=6 People in the Team</v>
      </c>
      <c r="Q1001" s="1" t="str">
        <f ca="1">IFERROR(__xludf.DUMMYFUNCTION("""COMPUTED_VALUE"""),"Male")</f>
        <v>Male</v>
      </c>
    </row>
    <row r="1002" spans="13:17" x14ac:dyDescent="0.25">
      <c r="M1002" s="1"/>
      <c r="N1002" s="1" t="str">
        <f ca="1">IFERROR(__xludf.DUMMYFUNCTION("""COMPUTED_VALUE"""),"Female")</f>
        <v>Female</v>
      </c>
      <c r="P1002" s="1" t="str">
        <f ca="1">IFERROR(__xludf.DUMMYFUNCTION("""COMPUTED_VALUE"""),"Work Alone, &lt;=6 in team")</f>
        <v>Work Alone, &lt;=6 in team</v>
      </c>
      <c r="Q1002" s="1" t="str">
        <f ca="1">IFERROR(__xludf.DUMMYFUNCTION("""COMPUTED_VALUE"""),"Female")</f>
        <v>Female</v>
      </c>
    </row>
    <row r="1003" spans="13:17" x14ac:dyDescent="0.25">
      <c r="M1003" s="1"/>
      <c r="N1003" s="1" t="str">
        <f ca="1">IFERROR(__xludf.DUMMYFUNCTION("""COMPUTED_VALUE"""),"Male")</f>
        <v>Male</v>
      </c>
      <c r="P1003" s="1" t="str">
        <f ca="1">IFERROR(__xludf.DUMMYFUNCTION("""COMPUTED_VALUE"""),"Work &lt;=6 People in the Team")</f>
        <v>Work &lt;=6 People in the Team</v>
      </c>
      <c r="Q1003" s="1" t="str">
        <f ca="1">IFERROR(__xludf.DUMMYFUNCTION("""COMPUTED_VALUE"""),"Male")</f>
        <v>Male</v>
      </c>
    </row>
    <row r="1004" spans="13:17" x14ac:dyDescent="0.25">
      <c r="M1004" s="1"/>
      <c r="N1004" s="1" t="str">
        <f ca="1">IFERROR(__xludf.DUMMYFUNCTION("""COMPUTED_VALUE"""),"Female")</f>
        <v>Female</v>
      </c>
      <c r="P1004" s="1" t="str">
        <f ca="1">IFERROR(__xludf.DUMMYFUNCTION("""COMPUTED_VALUE"""),"Work &lt;=6 People in the Team")</f>
        <v>Work &lt;=6 People in the Team</v>
      </c>
      <c r="Q1004" s="1" t="str">
        <f ca="1">IFERROR(__xludf.DUMMYFUNCTION("""COMPUTED_VALUE"""),"Female")</f>
        <v>Female</v>
      </c>
    </row>
    <row r="1005" spans="13:17" x14ac:dyDescent="0.25">
      <c r="M1005" s="1"/>
      <c r="N1005" s="1" t="str">
        <f ca="1">IFERROR(__xludf.DUMMYFUNCTION("""COMPUTED_VALUE"""),"Female")</f>
        <v>Female</v>
      </c>
      <c r="P1005" s="1" t="str">
        <f ca="1">IFERROR(__xludf.DUMMYFUNCTION("""COMPUTED_VALUE"""),"Work Alone, &lt;=6 in team")</f>
        <v>Work Alone, &lt;=6 in team</v>
      </c>
      <c r="Q1005" s="1" t="str">
        <f ca="1">IFERROR(__xludf.DUMMYFUNCTION("""COMPUTED_VALUE"""),"Female")</f>
        <v>Female</v>
      </c>
    </row>
    <row r="1006" spans="13:17" x14ac:dyDescent="0.25">
      <c r="M1006" s="1"/>
      <c r="N1006" s="1" t="str">
        <f ca="1">IFERROR(__xludf.DUMMYFUNCTION("""COMPUTED_VALUE"""),"Female")</f>
        <v>Female</v>
      </c>
      <c r="P1006" s="1" t="str">
        <f ca="1">IFERROR(__xludf.DUMMYFUNCTION("""COMPUTED_VALUE"""),"Work &lt;=6 People in the Team")</f>
        <v>Work &lt;=6 People in the Team</v>
      </c>
      <c r="Q1006" s="1" t="str">
        <f ca="1">IFERROR(__xludf.DUMMYFUNCTION("""COMPUTED_VALUE"""),"Female")</f>
        <v>Female</v>
      </c>
    </row>
    <row r="1007" spans="13:17" x14ac:dyDescent="0.25">
      <c r="M1007" s="1"/>
      <c r="N1007" s="1" t="str">
        <f ca="1">IFERROR(__xludf.DUMMYFUNCTION("""COMPUTED_VALUE"""),"Female")</f>
        <v>Female</v>
      </c>
      <c r="P1007" s="1" t="str">
        <f ca="1">IFERROR(__xludf.DUMMYFUNCTION("""COMPUTED_VALUE"""),"Work &lt;=6 People in the Team")</f>
        <v>Work &lt;=6 People in the Team</v>
      </c>
      <c r="Q1007" s="1" t="str">
        <f ca="1">IFERROR(__xludf.DUMMYFUNCTION("""COMPUTED_VALUE"""),"Female")</f>
        <v>Female</v>
      </c>
    </row>
    <row r="1008" spans="13:17" x14ac:dyDescent="0.25">
      <c r="M1008" s="1"/>
      <c r="N1008" s="1" t="str">
        <f ca="1">IFERROR(__xludf.DUMMYFUNCTION("""COMPUTED_VALUE"""),"Female")</f>
        <v>Female</v>
      </c>
      <c r="P1008" s="1" t="str">
        <f ca="1">IFERROR(__xludf.DUMMYFUNCTION("""COMPUTED_VALUE"""),"Work &lt;=6 People in the Team")</f>
        <v>Work &lt;=6 People in the Team</v>
      </c>
      <c r="Q1008" s="1" t="str">
        <f ca="1">IFERROR(__xludf.DUMMYFUNCTION("""COMPUTED_VALUE"""),"Female")</f>
        <v>Female</v>
      </c>
    </row>
    <row r="1009" spans="13:17" x14ac:dyDescent="0.25">
      <c r="M1009" s="1"/>
      <c r="N1009" s="1" t="str">
        <f ca="1">IFERROR(__xludf.DUMMYFUNCTION("""COMPUTED_VALUE"""),"Female")</f>
        <v>Female</v>
      </c>
      <c r="P1009" s="1" t="str">
        <f ca="1">IFERROR(__xludf.DUMMYFUNCTION("""COMPUTED_VALUE"""),"Work Alone, &lt;=6 in team")</f>
        <v>Work Alone, &lt;=6 in team</v>
      </c>
      <c r="Q1009" s="1" t="str">
        <f ca="1">IFERROR(__xludf.DUMMYFUNCTION("""COMPUTED_VALUE"""),"Female")</f>
        <v>Female</v>
      </c>
    </row>
    <row r="1010" spans="13:17" x14ac:dyDescent="0.25">
      <c r="M1010" s="1"/>
      <c r="N1010" s="1" t="str">
        <f ca="1">IFERROR(__xludf.DUMMYFUNCTION("""COMPUTED_VALUE"""),"Male")</f>
        <v>Male</v>
      </c>
      <c r="P1010" s="1" t="str">
        <f ca="1">IFERROR(__xludf.DUMMYFUNCTION("""COMPUTED_VALUE"""),"Work &lt;=6 People in the Team")</f>
        <v>Work &lt;=6 People in the Team</v>
      </c>
      <c r="Q1010" s="1" t="str">
        <f ca="1">IFERROR(__xludf.DUMMYFUNCTION("""COMPUTED_VALUE"""),"Male")</f>
        <v>Male</v>
      </c>
    </row>
    <row r="1011" spans="13:17" x14ac:dyDescent="0.25">
      <c r="M1011" s="1"/>
      <c r="N1011" s="1" t="str">
        <f ca="1">IFERROR(__xludf.DUMMYFUNCTION("""COMPUTED_VALUE"""),"Male")</f>
        <v>Male</v>
      </c>
      <c r="P1011" s="1" t="str">
        <f ca="1">IFERROR(__xludf.DUMMYFUNCTION("""COMPUTED_VALUE"""),"Work Alone, &lt;67 people in team")</f>
        <v>Work Alone, &lt;67 people in team</v>
      </c>
      <c r="Q1011" s="1" t="str">
        <f ca="1">IFERROR(__xludf.DUMMYFUNCTION("""COMPUTED_VALUE"""),"Male")</f>
        <v>Male</v>
      </c>
    </row>
    <row r="1012" spans="13:17" x14ac:dyDescent="0.25">
      <c r="M1012" s="1"/>
      <c r="N1012" s="1" t="str">
        <f ca="1">IFERROR(__xludf.DUMMYFUNCTION("""COMPUTED_VALUE"""),"Male")</f>
        <v>Male</v>
      </c>
      <c r="P1012" s="1" t="str">
        <f ca="1">IFERROR(__xludf.DUMMYFUNCTION("""COMPUTED_VALUE"""),"Work Alone, &lt;67 people in team")</f>
        <v>Work Alone, &lt;67 people in team</v>
      </c>
      <c r="Q1012" s="1" t="str">
        <f ca="1">IFERROR(__xludf.DUMMYFUNCTION("""COMPUTED_VALUE"""),"Male")</f>
        <v>Male</v>
      </c>
    </row>
    <row r="1013" spans="13:17" x14ac:dyDescent="0.25">
      <c r="M1013" s="1"/>
      <c r="N1013" s="1" t="str">
        <f ca="1">IFERROR(__xludf.DUMMYFUNCTION("""COMPUTED_VALUE"""),"Female")</f>
        <v>Female</v>
      </c>
      <c r="P1013" s="1" t="str">
        <f ca="1">IFERROR(__xludf.DUMMYFUNCTION("""COMPUTED_VALUE"""),"Work Alone, &lt;=6 in team")</f>
        <v>Work Alone, &lt;=6 in team</v>
      </c>
      <c r="Q1013" s="1" t="str">
        <f ca="1">IFERROR(__xludf.DUMMYFUNCTION("""COMPUTED_VALUE"""),"Female")</f>
        <v>Female</v>
      </c>
    </row>
    <row r="1014" spans="13:17" x14ac:dyDescent="0.25">
      <c r="M1014" s="1"/>
      <c r="N1014" s="1" t="str">
        <f ca="1">IFERROR(__xludf.DUMMYFUNCTION("""COMPUTED_VALUE"""),"Female")</f>
        <v>Female</v>
      </c>
      <c r="P1014" s="1" t="str">
        <f ca="1">IFERROR(__xludf.DUMMYFUNCTION("""COMPUTED_VALUE"""),"Work &gt;10 people in Team")</f>
        <v>Work &gt;10 people in Team</v>
      </c>
      <c r="Q1014" s="1" t="str">
        <f ca="1">IFERROR(__xludf.DUMMYFUNCTION("""COMPUTED_VALUE"""),"Female")</f>
        <v>Female</v>
      </c>
    </row>
    <row r="1015" spans="13:17" x14ac:dyDescent="0.25">
      <c r="M1015" s="1"/>
      <c r="N1015" s="1" t="str">
        <f ca="1">IFERROR(__xludf.DUMMYFUNCTION("""COMPUTED_VALUE"""),"Male")</f>
        <v>Male</v>
      </c>
      <c r="P1015" s="1" t="str">
        <f ca="1">IFERROR(__xludf.DUMMYFUNCTION("""COMPUTED_VALUE"""),"Work &lt;=6 People in the Team")</f>
        <v>Work &lt;=6 People in the Team</v>
      </c>
      <c r="Q1015" s="1" t="str">
        <f ca="1">IFERROR(__xludf.DUMMYFUNCTION("""COMPUTED_VALUE"""),"Male")</f>
        <v>Male</v>
      </c>
    </row>
    <row r="1016" spans="13:17" x14ac:dyDescent="0.25">
      <c r="M1016" s="1"/>
      <c r="N1016" s="1" t="str">
        <f ca="1">IFERROR(__xludf.DUMMYFUNCTION("""COMPUTED_VALUE"""),"Female")</f>
        <v>Female</v>
      </c>
      <c r="P1016" s="1" t="str">
        <f ca="1">IFERROR(__xludf.DUMMYFUNCTION("""COMPUTED_VALUE"""),"Work &lt;=6 People in the Team")</f>
        <v>Work &lt;=6 People in the Team</v>
      </c>
      <c r="Q1016" s="1" t="str">
        <f ca="1">IFERROR(__xludf.DUMMYFUNCTION("""COMPUTED_VALUE"""),"Female")</f>
        <v>Female</v>
      </c>
    </row>
    <row r="1017" spans="13:17" x14ac:dyDescent="0.25">
      <c r="M1017" s="1"/>
      <c r="N1017" s="1" t="str">
        <f ca="1">IFERROR(__xludf.DUMMYFUNCTION("""COMPUTED_VALUE"""),"Female")</f>
        <v>Female</v>
      </c>
      <c r="P1017" s="1" t="str">
        <f ca="1">IFERROR(__xludf.DUMMYFUNCTION("""COMPUTED_VALUE"""),"Work &lt;=6 People in the Team")</f>
        <v>Work &lt;=6 People in the Team</v>
      </c>
      <c r="Q1017" s="1" t="str">
        <f ca="1">IFERROR(__xludf.DUMMYFUNCTION("""COMPUTED_VALUE"""),"Female")</f>
        <v>Female</v>
      </c>
    </row>
    <row r="1018" spans="13:17" x14ac:dyDescent="0.25">
      <c r="M1018" s="1"/>
      <c r="N1018" s="1" t="str">
        <f ca="1">IFERROR(__xludf.DUMMYFUNCTION("""COMPUTED_VALUE"""),"Male")</f>
        <v>Male</v>
      </c>
      <c r="P1018" s="1" t="str">
        <f ca="1">IFERROR(__xludf.DUMMYFUNCTION("""COMPUTED_VALUE"""),"Work alone")</f>
        <v>Work alone</v>
      </c>
      <c r="Q1018" s="1" t="str">
        <f ca="1">IFERROR(__xludf.DUMMYFUNCTION("""COMPUTED_VALUE"""),"Male")</f>
        <v>Male</v>
      </c>
    </row>
    <row r="1019" spans="13:17" x14ac:dyDescent="0.25">
      <c r="M1019" s="1"/>
      <c r="N1019" s="1" t="str">
        <f ca="1">IFERROR(__xludf.DUMMYFUNCTION("""COMPUTED_VALUE"""),"Male")</f>
        <v>Male</v>
      </c>
      <c r="P1019" s="1" t="str">
        <f ca="1">IFERROR(__xludf.DUMMYFUNCTION("""COMPUTED_VALUE"""),"Work &lt;=6 People in the Team")</f>
        <v>Work &lt;=6 People in the Team</v>
      </c>
      <c r="Q1019" s="1" t="str">
        <f ca="1">IFERROR(__xludf.DUMMYFUNCTION("""COMPUTED_VALUE"""),"Male")</f>
        <v>Male</v>
      </c>
    </row>
    <row r="1020" spans="13:17" x14ac:dyDescent="0.25">
      <c r="M1020" s="1"/>
      <c r="N1020" s="1" t="str">
        <f ca="1">IFERROR(__xludf.DUMMYFUNCTION("""COMPUTED_VALUE"""),"Male")</f>
        <v>Male</v>
      </c>
      <c r="P1020" s="1" t="str">
        <f ca="1">IFERROR(__xludf.DUMMYFUNCTION("""COMPUTED_VALUE"""),"Work &gt;=7 People in the Team")</f>
        <v>Work &gt;=7 People in the Team</v>
      </c>
      <c r="Q1020" s="1" t="str">
        <f ca="1">IFERROR(__xludf.DUMMYFUNCTION("""COMPUTED_VALUE"""),"Male")</f>
        <v>Male</v>
      </c>
    </row>
    <row r="1021" spans="13:17" x14ac:dyDescent="0.25">
      <c r="M1021" s="1"/>
      <c r="N1021" s="1" t="str">
        <f ca="1">IFERROR(__xludf.DUMMYFUNCTION("""COMPUTED_VALUE"""),"Male")</f>
        <v>Male</v>
      </c>
      <c r="P1021" s="1" t="str">
        <f ca="1">IFERROR(__xludf.DUMMYFUNCTION("""COMPUTED_VALUE"""),"Work &lt;=6 People in the Team")</f>
        <v>Work &lt;=6 People in the Team</v>
      </c>
      <c r="Q1021" s="1" t="str">
        <f ca="1">IFERROR(__xludf.DUMMYFUNCTION("""COMPUTED_VALUE"""),"Male")</f>
        <v>Male</v>
      </c>
    </row>
    <row r="1022" spans="13:17" x14ac:dyDescent="0.25">
      <c r="M1022" s="1"/>
      <c r="N1022" s="1" t="str">
        <f ca="1">IFERROR(__xludf.DUMMYFUNCTION("""COMPUTED_VALUE"""),"Male")</f>
        <v>Male</v>
      </c>
      <c r="P1022" s="1" t="str">
        <f ca="1">IFERROR(__xludf.DUMMYFUNCTION("""COMPUTED_VALUE"""),"Work &lt;=6 People in the Team")</f>
        <v>Work &lt;=6 People in the Team</v>
      </c>
      <c r="Q1022" s="1" t="str">
        <f ca="1">IFERROR(__xludf.DUMMYFUNCTION("""COMPUTED_VALUE"""),"Male")</f>
        <v>Male</v>
      </c>
    </row>
    <row r="1023" spans="13:17" x14ac:dyDescent="0.25">
      <c r="M1023" s="1"/>
      <c r="N1023" s="1" t="str">
        <f ca="1">IFERROR(__xludf.DUMMYFUNCTION("""COMPUTED_VALUE"""),"Male")</f>
        <v>Male</v>
      </c>
      <c r="P1023" s="1" t="str">
        <f ca="1">IFERROR(__xludf.DUMMYFUNCTION("""COMPUTED_VALUE"""),"Work &gt;10 people in Team")</f>
        <v>Work &gt;10 people in Team</v>
      </c>
      <c r="Q1023" s="1" t="str">
        <f ca="1">IFERROR(__xludf.DUMMYFUNCTION("""COMPUTED_VALUE"""),"Male")</f>
        <v>Male</v>
      </c>
    </row>
    <row r="1024" spans="13:17" x14ac:dyDescent="0.25">
      <c r="M1024" s="1"/>
      <c r="N1024" s="1" t="str">
        <f ca="1">IFERROR(__xludf.DUMMYFUNCTION("""COMPUTED_VALUE"""),"Male")</f>
        <v>Male</v>
      </c>
      <c r="P1024" s="1" t="str">
        <f ca="1">IFERROR(__xludf.DUMMYFUNCTION("""COMPUTED_VALUE"""),"Work Alone, &lt;=6 in team")</f>
        <v>Work Alone, &lt;=6 in team</v>
      </c>
      <c r="Q1024" s="1" t="str">
        <f ca="1">IFERROR(__xludf.DUMMYFUNCTION("""COMPUTED_VALUE"""),"Male")</f>
        <v>Male</v>
      </c>
    </row>
    <row r="1025" spans="13:17" x14ac:dyDescent="0.25">
      <c r="M1025" s="1"/>
      <c r="N1025" s="1" t="str">
        <f ca="1">IFERROR(__xludf.DUMMYFUNCTION("""COMPUTED_VALUE"""),"Male")</f>
        <v>Male</v>
      </c>
      <c r="P1025" s="1" t="str">
        <f ca="1">IFERROR(__xludf.DUMMYFUNCTION("""COMPUTED_VALUE"""),"Work Alone, &lt;=6 in team")</f>
        <v>Work Alone, &lt;=6 in team</v>
      </c>
      <c r="Q1025" s="1" t="str">
        <f ca="1">IFERROR(__xludf.DUMMYFUNCTION("""COMPUTED_VALUE"""),"Male")</f>
        <v>Male</v>
      </c>
    </row>
    <row r="1026" spans="13:17" x14ac:dyDescent="0.25">
      <c r="M1026" s="1"/>
      <c r="N1026" s="1" t="str">
        <f ca="1">IFERROR(__xludf.DUMMYFUNCTION("""COMPUTED_VALUE"""),"Female")</f>
        <v>Female</v>
      </c>
      <c r="P1026" s="1" t="str">
        <f ca="1">IFERROR(__xludf.DUMMYFUNCTION("""COMPUTED_VALUE"""),"Work &lt;=6 People in the Team")</f>
        <v>Work &lt;=6 People in the Team</v>
      </c>
      <c r="Q1026" s="1" t="str">
        <f ca="1">IFERROR(__xludf.DUMMYFUNCTION("""COMPUTED_VALUE"""),"Female")</f>
        <v>Female</v>
      </c>
    </row>
    <row r="1027" spans="13:17" x14ac:dyDescent="0.25">
      <c r="M1027" s="1"/>
      <c r="N1027" s="1" t="str">
        <f ca="1">IFERROR(__xludf.DUMMYFUNCTION("""COMPUTED_VALUE"""),"Male")</f>
        <v>Male</v>
      </c>
      <c r="P1027" s="1" t="str">
        <f ca="1">IFERROR(__xludf.DUMMYFUNCTION("""COMPUTED_VALUE"""),"Work &lt;=6 People in the Team")</f>
        <v>Work &lt;=6 People in the Team</v>
      </c>
      <c r="Q1027" s="1" t="str">
        <f ca="1">IFERROR(__xludf.DUMMYFUNCTION("""COMPUTED_VALUE"""),"Male")</f>
        <v>Male</v>
      </c>
    </row>
    <row r="1028" spans="13:17" x14ac:dyDescent="0.25">
      <c r="M1028" s="1"/>
      <c r="N1028" s="1" t="str">
        <f ca="1">IFERROR(__xludf.DUMMYFUNCTION("""COMPUTED_VALUE"""),"Male")</f>
        <v>Male</v>
      </c>
      <c r="P1028" s="1" t="str">
        <f ca="1">IFERROR(__xludf.DUMMYFUNCTION("""COMPUTED_VALUE"""),"Work &lt;=6 People in the Team")</f>
        <v>Work &lt;=6 People in the Team</v>
      </c>
      <c r="Q1028" s="1" t="str">
        <f ca="1">IFERROR(__xludf.DUMMYFUNCTION("""COMPUTED_VALUE"""),"Male")</f>
        <v>Male</v>
      </c>
    </row>
    <row r="1029" spans="13:17" x14ac:dyDescent="0.25">
      <c r="M1029" s="1"/>
      <c r="N1029" s="1" t="str">
        <f ca="1">IFERROR(__xludf.DUMMYFUNCTION("""COMPUTED_VALUE"""),"Female")</f>
        <v>Female</v>
      </c>
      <c r="P1029" s="1" t="str">
        <f ca="1">IFERROR(__xludf.DUMMYFUNCTION("""COMPUTED_VALUE"""),"Work &gt;=7 People in the Team")</f>
        <v>Work &gt;=7 People in the Team</v>
      </c>
      <c r="Q1029" s="1" t="str">
        <f ca="1">IFERROR(__xludf.DUMMYFUNCTION("""COMPUTED_VALUE"""),"Female")</f>
        <v>Female</v>
      </c>
    </row>
    <row r="1030" spans="13:17" x14ac:dyDescent="0.25">
      <c r="M1030" s="1"/>
      <c r="N1030" s="1" t="str">
        <f ca="1">IFERROR(__xludf.DUMMYFUNCTION("""COMPUTED_VALUE"""),"Male")</f>
        <v>Male</v>
      </c>
      <c r="P1030" s="1" t="str">
        <f ca="1">IFERROR(__xludf.DUMMYFUNCTION("""COMPUTED_VALUE"""),"Work &gt;=7 People in the Team")</f>
        <v>Work &gt;=7 People in the Team</v>
      </c>
      <c r="Q1030" s="1" t="str">
        <f ca="1">IFERROR(__xludf.DUMMYFUNCTION("""COMPUTED_VALUE"""),"Male")</f>
        <v>Male</v>
      </c>
    </row>
    <row r="1031" spans="13:17" x14ac:dyDescent="0.25">
      <c r="M1031" s="1"/>
      <c r="N1031" s="1" t="str">
        <f ca="1">IFERROR(__xludf.DUMMYFUNCTION("""COMPUTED_VALUE"""),"Female")</f>
        <v>Female</v>
      </c>
      <c r="P1031" s="1" t="str">
        <f ca="1">IFERROR(__xludf.DUMMYFUNCTION("""COMPUTED_VALUE"""),"Work  &lt;67 people in team")</f>
        <v>Work  &lt;67 people in team</v>
      </c>
      <c r="Q1031" s="1" t="str">
        <f ca="1">IFERROR(__xludf.DUMMYFUNCTION("""COMPUTED_VALUE"""),"Female")</f>
        <v>Female</v>
      </c>
    </row>
    <row r="1032" spans="13:17" x14ac:dyDescent="0.25">
      <c r="M1032" s="1"/>
      <c r="N1032" s="1" t="str">
        <f ca="1">IFERROR(__xludf.DUMMYFUNCTION("""COMPUTED_VALUE"""),"Male")</f>
        <v>Male</v>
      </c>
      <c r="P1032" s="1" t="str">
        <f ca="1">IFERROR(__xludf.DUMMYFUNCTION("""COMPUTED_VALUE"""),"Work &lt;=6 People in the Team")</f>
        <v>Work &lt;=6 People in the Team</v>
      </c>
      <c r="Q1032" s="1" t="str">
        <f ca="1">IFERROR(__xludf.DUMMYFUNCTION("""COMPUTED_VALUE"""),"Male")</f>
        <v>Male</v>
      </c>
    </row>
    <row r="1033" spans="13:17" x14ac:dyDescent="0.25">
      <c r="M1033" s="1"/>
      <c r="N1033" s="1" t="str">
        <f ca="1">IFERROR(__xludf.DUMMYFUNCTION("""COMPUTED_VALUE"""),"Female")</f>
        <v>Female</v>
      </c>
      <c r="P1033" s="1" t="str">
        <f ca="1">IFERROR(__xludf.DUMMYFUNCTION("""COMPUTED_VALUE"""),"Work &lt;=6 People in the Team")</f>
        <v>Work &lt;=6 People in the Team</v>
      </c>
      <c r="Q1033" s="1" t="str">
        <f ca="1">IFERROR(__xludf.DUMMYFUNCTION("""COMPUTED_VALUE"""),"Female")</f>
        <v>Female</v>
      </c>
    </row>
    <row r="1034" spans="13:17" x14ac:dyDescent="0.25">
      <c r="M1034" s="1"/>
      <c r="N1034" s="1" t="str">
        <f ca="1">IFERROR(__xludf.DUMMYFUNCTION("""COMPUTED_VALUE"""),"Female")</f>
        <v>Female</v>
      </c>
      <c r="P1034" s="1" t="str">
        <f ca="1">IFERROR(__xludf.DUMMYFUNCTION("""COMPUTED_VALUE"""),"Work &gt;10 people in Team")</f>
        <v>Work &gt;10 people in Team</v>
      </c>
      <c r="Q1034" s="1" t="str">
        <f ca="1">IFERROR(__xludf.DUMMYFUNCTION("""COMPUTED_VALUE"""),"Female")</f>
        <v>Female</v>
      </c>
    </row>
    <row r="1035" spans="13:17" x14ac:dyDescent="0.25">
      <c r="M1035" s="1"/>
      <c r="N1035" s="1" t="str">
        <f ca="1">IFERROR(__xludf.DUMMYFUNCTION("""COMPUTED_VALUE"""),"Female")</f>
        <v>Female</v>
      </c>
      <c r="P1035" s="1" t="str">
        <f ca="1">IFERROR(__xludf.DUMMYFUNCTION("""COMPUTED_VALUE"""),"Work &lt;=6 People in the Team")</f>
        <v>Work &lt;=6 People in the Team</v>
      </c>
      <c r="Q1035" s="1" t="str">
        <f ca="1">IFERROR(__xludf.DUMMYFUNCTION("""COMPUTED_VALUE"""),"Female")</f>
        <v>Female</v>
      </c>
    </row>
    <row r="1036" spans="13:17" x14ac:dyDescent="0.25">
      <c r="M1036" s="1"/>
      <c r="N1036" s="1" t="str">
        <f ca="1">IFERROR(__xludf.DUMMYFUNCTION("""COMPUTED_VALUE"""),"Male")</f>
        <v>Male</v>
      </c>
      <c r="P1036" s="1" t="str">
        <f ca="1">IFERROR(__xludf.DUMMYFUNCTION("""COMPUTED_VALUE"""),"Work &lt;=6 People in the Team")</f>
        <v>Work &lt;=6 People in the Team</v>
      </c>
      <c r="Q1036" s="1" t="str">
        <f ca="1">IFERROR(__xludf.DUMMYFUNCTION("""COMPUTED_VALUE"""),"Male")</f>
        <v>Male</v>
      </c>
    </row>
    <row r="1037" spans="13:17" x14ac:dyDescent="0.25">
      <c r="M1037" s="1"/>
      <c r="N1037" s="1" t="str">
        <f ca="1">IFERROR(__xludf.DUMMYFUNCTION("""COMPUTED_VALUE"""),"Female")</f>
        <v>Female</v>
      </c>
      <c r="P1037" s="1" t="str">
        <f ca="1">IFERROR(__xludf.DUMMYFUNCTION("""COMPUTED_VALUE"""),"Work &lt;=6 People in the Team")</f>
        <v>Work &lt;=6 People in the Team</v>
      </c>
      <c r="Q1037" s="1" t="str">
        <f ca="1">IFERROR(__xludf.DUMMYFUNCTION("""COMPUTED_VALUE"""),"Female")</f>
        <v>Female</v>
      </c>
    </row>
    <row r="1038" spans="13:17" x14ac:dyDescent="0.25">
      <c r="M1038" s="1"/>
      <c r="N1038" s="1" t="str">
        <f ca="1">IFERROR(__xludf.DUMMYFUNCTION("""COMPUTED_VALUE"""),"Male")</f>
        <v>Male</v>
      </c>
      <c r="P1038" s="1" t="str">
        <f ca="1">IFERROR(__xludf.DUMMYFUNCTION("""COMPUTED_VALUE"""),"Work &lt;=6 People in the Team")</f>
        <v>Work &lt;=6 People in the Team</v>
      </c>
      <c r="Q1038" s="1" t="str">
        <f ca="1">IFERROR(__xludf.DUMMYFUNCTION("""COMPUTED_VALUE"""),"Male")</f>
        <v>Male</v>
      </c>
    </row>
    <row r="1039" spans="13:17" x14ac:dyDescent="0.25">
      <c r="M1039" s="1"/>
      <c r="N1039" s="1" t="str">
        <f ca="1">IFERROR(__xludf.DUMMYFUNCTION("""COMPUTED_VALUE"""),"Female")</f>
        <v>Female</v>
      </c>
      <c r="P1039" s="1" t="str">
        <f ca="1">IFERROR(__xludf.DUMMYFUNCTION("""COMPUTED_VALUE"""),"Work &lt;=6 People in the Team")</f>
        <v>Work &lt;=6 People in the Team</v>
      </c>
      <c r="Q1039" s="1" t="str">
        <f ca="1">IFERROR(__xludf.DUMMYFUNCTION("""COMPUTED_VALUE"""),"Female")</f>
        <v>Female</v>
      </c>
    </row>
    <row r="1040" spans="13:17" x14ac:dyDescent="0.25">
      <c r="M1040" s="1"/>
      <c r="N1040" s="1" t="str">
        <f ca="1">IFERROR(__xludf.DUMMYFUNCTION("""COMPUTED_VALUE"""),"Female")</f>
        <v>Female</v>
      </c>
      <c r="P1040" s="1" t="str">
        <f ca="1">IFERROR(__xludf.DUMMYFUNCTION("""COMPUTED_VALUE"""),"Work &lt;=6 People in the Team")</f>
        <v>Work &lt;=6 People in the Team</v>
      </c>
      <c r="Q1040" s="1" t="str">
        <f ca="1">IFERROR(__xludf.DUMMYFUNCTION("""COMPUTED_VALUE"""),"Female")</f>
        <v>Female</v>
      </c>
    </row>
    <row r="1041" spans="13:17" x14ac:dyDescent="0.25">
      <c r="M1041" s="1"/>
      <c r="N1041" s="1" t="str">
        <f ca="1">IFERROR(__xludf.DUMMYFUNCTION("""COMPUTED_VALUE"""),"Female")</f>
        <v>Female</v>
      </c>
      <c r="P1041" s="1" t="str">
        <f ca="1">IFERROR(__xludf.DUMMYFUNCTION("""COMPUTED_VALUE"""),"Work &lt;=6 People in the Team")</f>
        <v>Work &lt;=6 People in the Team</v>
      </c>
      <c r="Q1041" s="1" t="str">
        <f ca="1">IFERROR(__xludf.DUMMYFUNCTION("""COMPUTED_VALUE"""),"Female")</f>
        <v>Female</v>
      </c>
    </row>
    <row r="1042" spans="13:17" x14ac:dyDescent="0.25">
      <c r="M1042" s="1"/>
      <c r="N1042" s="1" t="str">
        <f ca="1">IFERROR(__xludf.DUMMYFUNCTION("""COMPUTED_VALUE"""),"Female")</f>
        <v>Female</v>
      </c>
      <c r="P1042" s="1" t="str">
        <f ca="1">IFERROR(__xludf.DUMMYFUNCTION("""COMPUTED_VALUE"""),"Work &gt;10 people in Team")</f>
        <v>Work &gt;10 people in Team</v>
      </c>
      <c r="Q1042" s="1" t="str">
        <f ca="1">IFERROR(__xludf.DUMMYFUNCTION("""COMPUTED_VALUE"""),"Female")</f>
        <v>Female</v>
      </c>
    </row>
    <row r="1043" spans="13:17" x14ac:dyDescent="0.25">
      <c r="M1043" s="1"/>
      <c r="N1043" s="1" t="str">
        <f ca="1">IFERROR(__xludf.DUMMYFUNCTION("""COMPUTED_VALUE"""),"Male")</f>
        <v>Male</v>
      </c>
      <c r="P1043" s="1" t="str">
        <f ca="1">IFERROR(__xludf.DUMMYFUNCTION("""COMPUTED_VALUE"""),"Work &lt;67 People in the Team")</f>
        <v>Work &lt;67 People in the Team</v>
      </c>
      <c r="Q1043" s="1" t="str">
        <f ca="1">IFERROR(__xludf.DUMMYFUNCTION("""COMPUTED_VALUE"""),"Male")</f>
        <v>Male</v>
      </c>
    </row>
    <row r="1044" spans="13:17" x14ac:dyDescent="0.25">
      <c r="M1044" s="1"/>
      <c r="N1044" s="1" t="str">
        <f ca="1">IFERROR(__xludf.DUMMYFUNCTION("""COMPUTED_VALUE"""),"Female")</f>
        <v>Female</v>
      </c>
      <c r="P1044" s="1" t="str">
        <f ca="1">IFERROR(__xludf.DUMMYFUNCTION("""COMPUTED_VALUE"""),"Work Alone, &lt;=6 in team")</f>
        <v>Work Alone, &lt;=6 in team</v>
      </c>
      <c r="Q1044" s="1" t="str">
        <f ca="1">IFERROR(__xludf.DUMMYFUNCTION("""COMPUTED_VALUE"""),"Female")</f>
        <v>Female</v>
      </c>
    </row>
    <row r="1045" spans="13:17" x14ac:dyDescent="0.25">
      <c r="M1045" s="1"/>
      <c r="N1045" s="1" t="str">
        <f ca="1">IFERROR(__xludf.DUMMYFUNCTION("""COMPUTED_VALUE"""),"Male")</f>
        <v>Male</v>
      </c>
      <c r="P1045" s="1" t="str">
        <f ca="1">IFERROR(__xludf.DUMMYFUNCTION("""COMPUTED_VALUE"""),"Work &lt;=6 People in the Team")</f>
        <v>Work &lt;=6 People in the Team</v>
      </c>
      <c r="Q1045" s="1" t="str">
        <f ca="1">IFERROR(__xludf.DUMMYFUNCTION("""COMPUTED_VALUE"""),"Male")</f>
        <v>Male</v>
      </c>
    </row>
    <row r="1046" spans="13:17" x14ac:dyDescent="0.25">
      <c r="M1046" s="1"/>
      <c r="N1046" s="1" t="str">
        <f ca="1">IFERROR(__xludf.DUMMYFUNCTION("""COMPUTED_VALUE"""),"Female")</f>
        <v>Female</v>
      </c>
      <c r="P1046" s="1" t="str">
        <f ca="1">IFERROR(__xludf.DUMMYFUNCTION("""COMPUTED_VALUE"""),"Work Alone, &lt;=6 in team")</f>
        <v>Work Alone, &lt;=6 in team</v>
      </c>
      <c r="Q1046" s="1" t="str">
        <f ca="1">IFERROR(__xludf.DUMMYFUNCTION("""COMPUTED_VALUE"""),"Female")</f>
        <v>Female</v>
      </c>
    </row>
    <row r="1047" spans="13:17" x14ac:dyDescent="0.25">
      <c r="M1047" s="1"/>
      <c r="N1047" s="1" t="str">
        <f ca="1">IFERROR(__xludf.DUMMYFUNCTION("""COMPUTED_VALUE"""),"Male")</f>
        <v>Male</v>
      </c>
      <c r="P1047" s="1" t="str">
        <f ca="1">IFERROR(__xludf.DUMMYFUNCTION("""COMPUTED_VALUE"""),"Work &gt;10 people in Team")</f>
        <v>Work &gt;10 people in Team</v>
      </c>
      <c r="Q1047" s="1" t="str">
        <f ca="1">IFERROR(__xludf.DUMMYFUNCTION("""COMPUTED_VALUE"""),"Male")</f>
        <v>Male</v>
      </c>
    </row>
    <row r="1048" spans="13:17" x14ac:dyDescent="0.25">
      <c r="M1048" s="1"/>
      <c r="N1048" s="1" t="str">
        <f ca="1">IFERROR(__xludf.DUMMYFUNCTION("""COMPUTED_VALUE"""),"Female")</f>
        <v>Female</v>
      </c>
      <c r="P1048" s="1" t="str">
        <f ca="1">IFERROR(__xludf.DUMMYFUNCTION("""COMPUTED_VALUE"""),"Work &gt;10 people in Team")</f>
        <v>Work &gt;10 people in Team</v>
      </c>
      <c r="Q1048" s="1" t="str">
        <f ca="1">IFERROR(__xludf.DUMMYFUNCTION("""COMPUTED_VALUE"""),"Female")</f>
        <v>Female</v>
      </c>
    </row>
    <row r="1049" spans="13:17" x14ac:dyDescent="0.25">
      <c r="M1049" s="1"/>
      <c r="N1049" s="1" t="str">
        <f ca="1">IFERROR(__xludf.DUMMYFUNCTION("""COMPUTED_VALUE"""),"Male")</f>
        <v>Male</v>
      </c>
      <c r="P1049" s="1" t="str">
        <f ca="1">IFERROR(__xludf.DUMMYFUNCTION("""COMPUTED_VALUE"""),"Work &lt;=6 People in the Team")</f>
        <v>Work &lt;=6 People in the Team</v>
      </c>
      <c r="Q1049" s="1" t="str">
        <f ca="1">IFERROR(__xludf.DUMMYFUNCTION("""COMPUTED_VALUE"""),"Male")</f>
        <v>Male</v>
      </c>
    </row>
    <row r="1050" spans="13:17" x14ac:dyDescent="0.25">
      <c r="M1050" s="1"/>
      <c r="N1050" s="1" t="str">
        <f ca="1">IFERROR(__xludf.DUMMYFUNCTION("""COMPUTED_VALUE"""),"Female")</f>
        <v>Female</v>
      </c>
      <c r="P1050" s="1" t="str">
        <f ca="1">IFERROR(__xludf.DUMMYFUNCTION("""COMPUTED_VALUE"""),"Work &lt;=6 People in the Team")</f>
        <v>Work &lt;=6 People in the Team</v>
      </c>
      <c r="Q1050" s="1" t="str">
        <f ca="1">IFERROR(__xludf.DUMMYFUNCTION("""COMPUTED_VALUE"""),"Female")</f>
        <v>Female</v>
      </c>
    </row>
    <row r="1051" spans="13:17" x14ac:dyDescent="0.25">
      <c r="M1051" s="1"/>
      <c r="N1051" s="1" t="str">
        <f ca="1">IFERROR(__xludf.DUMMYFUNCTION("""COMPUTED_VALUE"""),"Female")</f>
        <v>Female</v>
      </c>
      <c r="P1051" s="1" t="str">
        <f ca="1">IFERROR(__xludf.DUMMYFUNCTION("""COMPUTED_VALUE"""),"Work &gt;=7 People in the Team")</f>
        <v>Work &gt;=7 People in the Team</v>
      </c>
      <c r="Q1051" s="1" t="str">
        <f ca="1">IFERROR(__xludf.DUMMYFUNCTION("""COMPUTED_VALUE"""),"Female")</f>
        <v>Female</v>
      </c>
    </row>
    <row r="1052" spans="13:17" x14ac:dyDescent="0.25">
      <c r="M1052" s="1"/>
      <c r="N1052" s="1" t="str">
        <f ca="1">IFERROR(__xludf.DUMMYFUNCTION("""COMPUTED_VALUE"""),"Male")</f>
        <v>Male</v>
      </c>
      <c r="P1052" s="1" t="str">
        <f ca="1">IFERROR(__xludf.DUMMYFUNCTION("""COMPUTED_VALUE"""),"Work &lt;=6 People in the Team")</f>
        <v>Work &lt;=6 People in the Team</v>
      </c>
      <c r="Q1052" s="1" t="str">
        <f ca="1">IFERROR(__xludf.DUMMYFUNCTION("""COMPUTED_VALUE"""),"Male")</f>
        <v>Male</v>
      </c>
    </row>
    <row r="1053" spans="13:17" x14ac:dyDescent="0.25">
      <c r="M1053" s="1"/>
      <c r="N1053" s="1" t="str">
        <f ca="1">IFERROR(__xludf.DUMMYFUNCTION("""COMPUTED_VALUE"""),"Female")</f>
        <v>Female</v>
      </c>
      <c r="P1053" s="1" t="str">
        <f ca="1">IFERROR(__xludf.DUMMYFUNCTION("""COMPUTED_VALUE"""),"Work alone")</f>
        <v>Work alone</v>
      </c>
      <c r="Q1053" s="1" t="str">
        <f ca="1">IFERROR(__xludf.DUMMYFUNCTION("""COMPUTED_VALUE"""),"Female")</f>
        <v>Female</v>
      </c>
    </row>
    <row r="1054" spans="13:17" x14ac:dyDescent="0.25">
      <c r="M1054" s="1"/>
      <c r="N1054" s="1" t="str">
        <f ca="1">IFERROR(__xludf.DUMMYFUNCTION("""COMPUTED_VALUE"""),"Female")</f>
        <v>Female</v>
      </c>
      <c r="P1054" s="1" t="str">
        <f ca="1">IFERROR(__xludf.DUMMYFUNCTION("""COMPUTED_VALUE"""),"Work &lt;=6 People in the Team")</f>
        <v>Work &lt;=6 People in the Team</v>
      </c>
      <c r="Q1054" s="1" t="str">
        <f ca="1">IFERROR(__xludf.DUMMYFUNCTION("""COMPUTED_VALUE"""),"Female")</f>
        <v>Female</v>
      </c>
    </row>
    <row r="1055" spans="13:17" x14ac:dyDescent="0.25">
      <c r="M1055" s="1"/>
      <c r="N1055" s="1" t="str">
        <f ca="1">IFERROR(__xludf.DUMMYFUNCTION("""COMPUTED_VALUE"""),"Male")</f>
        <v>Male</v>
      </c>
      <c r="P1055" s="1" t="str">
        <f ca="1">IFERROR(__xludf.DUMMYFUNCTION("""COMPUTED_VALUE"""),"Work alone")</f>
        <v>Work alone</v>
      </c>
      <c r="Q1055" s="1" t="str">
        <f ca="1">IFERROR(__xludf.DUMMYFUNCTION("""COMPUTED_VALUE"""),"Male")</f>
        <v>Male</v>
      </c>
    </row>
    <row r="1056" spans="13:17" x14ac:dyDescent="0.25">
      <c r="M1056" s="1"/>
      <c r="N1056" s="1" t="str">
        <f ca="1">IFERROR(__xludf.DUMMYFUNCTION("""COMPUTED_VALUE"""),"Female")</f>
        <v>Female</v>
      </c>
      <c r="P1056" s="1" t="str">
        <f ca="1">IFERROR(__xludf.DUMMYFUNCTION("""COMPUTED_VALUE"""),"Work &gt;=7 People in the Team")</f>
        <v>Work &gt;=7 People in the Team</v>
      </c>
      <c r="Q1056" s="1" t="str">
        <f ca="1">IFERROR(__xludf.DUMMYFUNCTION("""COMPUTED_VALUE"""),"Female")</f>
        <v>Female</v>
      </c>
    </row>
    <row r="1057" spans="13:17" x14ac:dyDescent="0.25">
      <c r="M1057" s="1"/>
      <c r="N1057" s="1" t="str">
        <f ca="1">IFERROR(__xludf.DUMMYFUNCTION("""COMPUTED_VALUE"""),"Male")</f>
        <v>Male</v>
      </c>
      <c r="P1057" s="1" t="str">
        <f ca="1">IFERROR(__xludf.DUMMYFUNCTION("""COMPUTED_VALUE"""),"Work &lt;=6 People in the Team")</f>
        <v>Work &lt;=6 People in the Team</v>
      </c>
      <c r="Q1057" s="1" t="str">
        <f ca="1">IFERROR(__xludf.DUMMYFUNCTION("""COMPUTED_VALUE"""),"Male")</f>
        <v>Male</v>
      </c>
    </row>
    <row r="1058" spans="13:17" x14ac:dyDescent="0.25">
      <c r="M1058" s="1"/>
      <c r="N1058" s="1" t="str">
        <f ca="1">IFERROR(__xludf.DUMMYFUNCTION("""COMPUTED_VALUE"""),"Female")</f>
        <v>Female</v>
      </c>
      <c r="P1058" s="1" t="str">
        <f ca="1">IFERROR(__xludf.DUMMYFUNCTION("""COMPUTED_VALUE"""),"Work &lt;=6 People in the Team")</f>
        <v>Work &lt;=6 People in the Team</v>
      </c>
      <c r="Q1058" s="1" t="str">
        <f ca="1">IFERROR(__xludf.DUMMYFUNCTION("""COMPUTED_VALUE"""),"Female")</f>
        <v>Female</v>
      </c>
    </row>
    <row r="1059" spans="13:17" x14ac:dyDescent="0.25">
      <c r="M1059" s="1"/>
      <c r="N1059" s="1" t="str">
        <f ca="1">IFERROR(__xludf.DUMMYFUNCTION("""COMPUTED_VALUE"""),"Female")</f>
        <v>Female</v>
      </c>
      <c r="P1059" s="1" t="str">
        <f ca="1">IFERROR(__xludf.DUMMYFUNCTION("""COMPUTED_VALUE"""),"Work &lt;=6 People in the Team")</f>
        <v>Work &lt;=6 People in the Team</v>
      </c>
      <c r="Q1059" s="1" t="str">
        <f ca="1">IFERROR(__xludf.DUMMYFUNCTION("""COMPUTED_VALUE"""),"Female")</f>
        <v>Female</v>
      </c>
    </row>
    <row r="1060" spans="13:17" x14ac:dyDescent="0.25">
      <c r="M1060" s="1"/>
      <c r="N1060" s="1" t="str">
        <f ca="1">IFERROR(__xludf.DUMMYFUNCTION("""COMPUTED_VALUE"""),"Female")</f>
        <v>Female</v>
      </c>
      <c r="P1060" s="1" t="str">
        <f ca="1">IFERROR(__xludf.DUMMYFUNCTION("""COMPUTED_VALUE"""),"Work &lt;67 People in the Team")</f>
        <v>Work &lt;67 People in the Team</v>
      </c>
      <c r="Q1060" s="1" t="str">
        <f ca="1">IFERROR(__xludf.DUMMYFUNCTION("""COMPUTED_VALUE"""),"Female")</f>
        <v>Female</v>
      </c>
    </row>
    <row r="1061" spans="13:17" x14ac:dyDescent="0.25">
      <c r="M1061" s="1"/>
      <c r="N1061" s="1" t="str">
        <f ca="1">IFERROR(__xludf.DUMMYFUNCTION("""COMPUTED_VALUE"""),"Female")</f>
        <v>Female</v>
      </c>
      <c r="P1061" s="1" t="str">
        <f ca="1">IFERROR(__xludf.DUMMYFUNCTION("""COMPUTED_VALUE"""),"Work &lt;=6 People in the Team")</f>
        <v>Work &lt;=6 People in the Team</v>
      </c>
      <c r="Q1061" s="1" t="str">
        <f ca="1">IFERROR(__xludf.DUMMYFUNCTION("""COMPUTED_VALUE"""),"Female")</f>
        <v>Female</v>
      </c>
    </row>
    <row r="1062" spans="13:17" x14ac:dyDescent="0.25">
      <c r="M1062" s="1"/>
      <c r="N1062" s="1" t="str">
        <f ca="1">IFERROR(__xludf.DUMMYFUNCTION("""COMPUTED_VALUE"""),"Male")</f>
        <v>Male</v>
      </c>
      <c r="P1062" s="1" t="str">
        <f ca="1">IFERROR(__xludf.DUMMYFUNCTION("""COMPUTED_VALUE"""),"Work &gt;10 people in Team")</f>
        <v>Work &gt;10 people in Team</v>
      </c>
      <c r="Q1062" s="1" t="str">
        <f ca="1">IFERROR(__xludf.DUMMYFUNCTION("""COMPUTED_VALUE"""),"Male")</f>
        <v>Male</v>
      </c>
    </row>
    <row r="1063" spans="13:17" x14ac:dyDescent="0.25">
      <c r="M1063" s="1"/>
      <c r="N1063" s="1" t="str">
        <f ca="1">IFERROR(__xludf.DUMMYFUNCTION("""COMPUTED_VALUE"""),"Female")</f>
        <v>Female</v>
      </c>
      <c r="P1063" s="1" t="str">
        <f ca="1">IFERROR(__xludf.DUMMYFUNCTION("""COMPUTED_VALUE"""),"Work Alone, &lt;=6 in team")</f>
        <v>Work Alone, &lt;=6 in team</v>
      </c>
      <c r="Q1063" s="1" t="str">
        <f ca="1">IFERROR(__xludf.DUMMYFUNCTION("""COMPUTED_VALUE"""),"Female")</f>
        <v>Female</v>
      </c>
    </row>
    <row r="1064" spans="13:17" x14ac:dyDescent="0.25">
      <c r="M1064" s="1"/>
      <c r="N1064" s="1" t="str">
        <f ca="1">IFERROR(__xludf.DUMMYFUNCTION("""COMPUTED_VALUE"""),"Female")</f>
        <v>Female</v>
      </c>
      <c r="P1064" s="1" t="str">
        <f ca="1">IFERROR(__xludf.DUMMYFUNCTION("""COMPUTED_VALUE"""),"Work &lt;=6 People in the Team")</f>
        <v>Work &lt;=6 People in the Team</v>
      </c>
      <c r="Q1064" s="1" t="str">
        <f ca="1">IFERROR(__xludf.DUMMYFUNCTION("""COMPUTED_VALUE"""),"Female")</f>
        <v>Female</v>
      </c>
    </row>
    <row r="1065" spans="13:17" x14ac:dyDescent="0.25">
      <c r="M1065" s="1"/>
      <c r="N1065" s="1" t="str">
        <f ca="1">IFERROR(__xludf.DUMMYFUNCTION("""COMPUTED_VALUE"""),"Male")</f>
        <v>Male</v>
      </c>
      <c r="P1065" s="1" t="str">
        <f ca="1">IFERROR(__xludf.DUMMYFUNCTION("""COMPUTED_VALUE"""),"Work &gt;10 people in Team")</f>
        <v>Work &gt;10 people in Team</v>
      </c>
      <c r="Q1065" s="1" t="str">
        <f ca="1">IFERROR(__xludf.DUMMYFUNCTION("""COMPUTED_VALUE"""),"Male")</f>
        <v>Male</v>
      </c>
    </row>
    <row r="1066" spans="13:17" x14ac:dyDescent="0.25">
      <c r="M1066" s="1"/>
      <c r="N1066" s="1" t="str">
        <f ca="1">IFERROR(__xludf.DUMMYFUNCTION("""COMPUTED_VALUE"""),"Female")</f>
        <v>Female</v>
      </c>
      <c r="P1066" s="1" t="str">
        <f ca="1">IFERROR(__xludf.DUMMYFUNCTION("""COMPUTED_VALUE"""),"Work Alone, &lt;=6 in team")</f>
        <v>Work Alone, &lt;=6 in team</v>
      </c>
      <c r="Q1066" s="1" t="str">
        <f ca="1">IFERROR(__xludf.DUMMYFUNCTION("""COMPUTED_VALUE"""),"Female")</f>
        <v>Female</v>
      </c>
    </row>
    <row r="1067" spans="13:17" x14ac:dyDescent="0.25">
      <c r="M1067" s="1"/>
      <c r="N1067" s="1" t="str">
        <f ca="1">IFERROR(__xludf.DUMMYFUNCTION("""COMPUTED_VALUE"""),"Male")</f>
        <v>Male</v>
      </c>
      <c r="P1067" s="1" t="str">
        <f ca="1">IFERROR(__xludf.DUMMYFUNCTION("""COMPUTED_VALUE"""),"Work &lt;=6 People in the Team")</f>
        <v>Work &lt;=6 People in the Team</v>
      </c>
      <c r="Q1067" s="1" t="str">
        <f ca="1">IFERROR(__xludf.DUMMYFUNCTION("""COMPUTED_VALUE"""),"Male")</f>
        <v>Male</v>
      </c>
    </row>
    <row r="1068" spans="13:17" x14ac:dyDescent="0.25">
      <c r="M1068" s="1"/>
      <c r="N1068" s="1" t="str">
        <f ca="1">IFERROR(__xludf.DUMMYFUNCTION("""COMPUTED_VALUE"""),"Male")</f>
        <v>Male</v>
      </c>
      <c r="P1068" s="1" t="str">
        <f ca="1">IFERROR(__xludf.DUMMYFUNCTION("""COMPUTED_VALUE"""),"Work alone")</f>
        <v>Work alone</v>
      </c>
      <c r="Q1068" s="1" t="str">
        <f ca="1">IFERROR(__xludf.DUMMYFUNCTION("""COMPUTED_VALUE"""),"Male")</f>
        <v>Male</v>
      </c>
    </row>
    <row r="1069" spans="13:17" x14ac:dyDescent="0.25">
      <c r="M1069" s="1"/>
      <c r="N1069" s="1" t="str">
        <f ca="1">IFERROR(__xludf.DUMMYFUNCTION("""COMPUTED_VALUE"""),"Male")</f>
        <v>Male</v>
      </c>
      <c r="P1069" s="1" t="str">
        <f ca="1">IFERROR(__xludf.DUMMYFUNCTION("""COMPUTED_VALUE"""),"Work &gt;=7 People in the Team")</f>
        <v>Work &gt;=7 People in the Team</v>
      </c>
      <c r="Q1069" s="1" t="str">
        <f ca="1">IFERROR(__xludf.DUMMYFUNCTION("""COMPUTED_VALUE"""),"Male")</f>
        <v>Male</v>
      </c>
    </row>
    <row r="1070" spans="13:17" x14ac:dyDescent="0.25">
      <c r="M1070" s="1"/>
      <c r="N1070" s="1" t="str">
        <f ca="1">IFERROR(__xludf.DUMMYFUNCTION("""COMPUTED_VALUE"""),"Male")</f>
        <v>Male</v>
      </c>
      <c r="P1070" s="1" t="str">
        <f ca="1">IFERROR(__xludf.DUMMYFUNCTION("""COMPUTED_VALUE"""),"Work &lt;=6 People in the Team")</f>
        <v>Work &lt;=6 People in the Team</v>
      </c>
      <c r="Q1070" s="1" t="str">
        <f ca="1">IFERROR(__xludf.DUMMYFUNCTION("""COMPUTED_VALUE"""),"Male")</f>
        <v>Male</v>
      </c>
    </row>
    <row r="1071" spans="13:17" x14ac:dyDescent="0.25">
      <c r="M1071" s="1"/>
      <c r="N1071" s="1" t="str">
        <f ca="1">IFERROR(__xludf.DUMMYFUNCTION("""COMPUTED_VALUE"""),"Male")</f>
        <v>Male</v>
      </c>
      <c r="P1071" s="1" t="str">
        <f ca="1">IFERROR(__xludf.DUMMYFUNCTION("""COMPUTED_VALUE"""),"Work &lt;=6 People in the Team")</f>
        <v>Work &lt;=6 People in the Team</v>
      </c>
      <c r="Q1071" s="1" t="str">
        <f ca="1">IFERROR(__xludf.DUMMYFUNCTION("""COMPUTED_VALUE"""),"Male")</f>
        <v>Male</v>
      </c>
    </row>
    <row r="1072" spans="13:17" x14ac:dyDescent="0.25">
      <c r="M1072" s="1"/>
      <c r="N1072" s="1" t="str">
        <f ca="1">IFERROR(__xludf.DUMMYFUNCTION("""COMPUTED_VALUE"""),"Male")</f>
        <v>Male</v>
      </c>
      <c r="P1072" s="1" t="str">
        <f ca="1">IFERROR(__xludf.DUMMYFUNCTION("""COMPUTED_VALUE"""),"Work &lt;=6 People in the Team")</f>
        <v>Work &lt;=6 People in the Team</v>
      </c>
      <c r="Q1072" s="1" t="str">
        <f ca="1">IFERROR(__xludf.DUMMYFUNCTION("""COMPUTED_VALUE"""),"Male")</f>
        <v>Male</v>
      </c>
    </row>
    <row r="1073" spans="13:17" x14ac:dyDescent="0.25">
      <c r="M1073" s="1"/>
      <c r="N1073" s="1" t="str">
        <f ca="1">IFERROR(__xludf.DUMMYFUNCTION("""COMPUTED_VALUE"""),"Male")</f>
        <v>Male</v>
      </c>
      <c r="P1073" s="1" t="str">
        <f ca="1">IFERROR(__xludf.DUMMYFUNCTION("""COMPUTED_VALUE"""),"Work &lt;=6 People in the Team")</f>
        <v>Work &lt;=6 People in the Team</v>
      </c>
      <c r="Q1073" s="1" t="str">
        <f ca="1">IFERROR(__xludf.DUMMYFUNCTION("""COMPUTED_VALUE"""),"Male")</f>
        <v>Male</v>
      </c>
    </row>
    <row r="1074" spans="13:17" x14ac:dyDescent="0.25">
      <c r="M1074" s="1"/>
      <c r="N1074" s="1" t="str">
        <f ca="1">IFERROR(__xludf.DUMMYFUNCTION("""COMPUTED_VALUE"""),"Male")</f>
        <v>Male</v>
      </c>
      <c r="P1074" s="1" t="str">
        <f ca="1">IFERROR(__xludf.DUMMYFUNCTION("""COMPUTED_VALUE"""),"Work Alone, &lt;67 people in team")</f>
        <v>Work Alone, &lt;67 people in team</v>
      </c>
      <c r="Q1074" s="1" t="str">
        <f ca="1">IFERROR(__xludf.DUMMYFUNCTION("""COMPUTED_VALUE"""),"Male")</f>
        <v>Male</v>
      </c>
    </row>
    <row r="1075" spans="13:17" x14ac:dyDescent="0.25">
      <c r="M1075" s="1"/>
      <c r="N1075" s="1" t="str">
        <f ca="1">IFERROR(__xludf.DUMMYFUNCTION("""COMPUTED_VALUE"""),"Male")</f>
        <v>Male</v>
      </c>
      <c r="P1075" s="1" t="str">
        <f ca="1">IFERROR(__xludf.DUMMYFUNCTION("""COMPUTED_VALUE"""),"Work &lt;=6 People in the Team")</f>
        <v>Work &lt;=6 People in the Team</v>
      </c>
      <c r="Q1075" s="1" t="str">
        <f ca="1">IFERROR(__xludf.DUMMYFUNCTION("""COMPUTED_VALUE"""),"Male")</f>
        <v>Male</v>
      </c>
    </row>
    <row r="1076" spans="13:17" x14ac:dyDescent="0.25">
      <c r="M1076" s="1"/>
      <c r="N1076" s="1" t="str">
        <f ca="1">IFERROR(__xludf.DUMMYFUNCTION("""COMPUTED_VALUE"""),"Female")</f>
        <v>Female</v>
      </c>
      <c r="P1076" s="1" t="str">
        <f ca="1">IFERROR(__xludf.DUMMYFUNCTION("""COMPUTED_VALUE"""),"Work &lt;=6 People in the Team")</f>
        <v>Work &lt;=6 People in the Team</v>
      </c>
      <c r="Q1076" s="1" t="str">
        <f ca="1">IFERROR(__xludf.DUMMYFUNCTION("""COMPUTED_VALUE"""),"Female")</f>
        <v>Female</v>
      </c>
    </row>
    <row r="1077" spans="13:17" x14ac:dyDescent="0.25">
      <c r="M1077" s="1"/>
      <c r="N1077" s="1" t="str">
        <f ca="1">IFERROR(__xludf.DUMMYFUNCTION("""COMPUTED_VALUE"""),"Female")</f>
        <v>Female</v>
      </c>
      <c r="P1077" s="1" t="str">
        <f ca="1">IFERROR(__xludf.DUMMYFUNCTION("""COMPUTED_VALUE"""),"Work &lt;=6 People in the Team")</f>
        <v>Work &lt;=6 People in the Team</v>
      </c>
      <c r="Q1077" s="1" t="str">
        <f ca="1">IFERROR(__xludf.DUMMYFUNCTION("""COMPUTED_VALUE"""),"Female")</f>
        <v>Female</v>
      </c>
    </row>
    <row r="1078" spans="13:17" x14ac:dyDescent="0.25">
      <c r="M1078" s="1"/>
      <c r="N1078" s="1" t="str">
        <f ca="1">IFERROR(__xludf.DUMMYFUNCTION("""COMPUTED_VALUE"""),"Male")</f>
        <v>Male</v>
      </c>
      <c r="P1078" s="1" t="str">
        <f ca="1">IFERROR(__xludf.DUMMYFUNCTION("""COMPUTED_VALUE"""),"Work &lt;=6 People in the Team")</f>
        <v>Work &lt;=6 People in the Team</v>
      </c>
      <c r="Q1078" s="1" t="str">
        <f ca="1">IFERROR(__xludf.DUMMYFUNCTION("""COMPUTED_VALUE"""),"Male")</f>
        <v>Male</v>
      </c>
    </row>
    <row r="1079" spans="13:17" x14ac:dyDescent="0.25">
      <c r="M1079" s="1"/>
      <c r="N1079" s="1" t="str">
        <f ca="1">IFERROR(__xludf.DUMMYFUNCTION("""COMPUTED_VALUE"""),"Male")</f>
        <v>Male</v>
      </c>
      <c r="P1079" s="1" t="str">
        <f ca="1">IFERROR(__xludf.DUMMYFUNCTION("""COMPUTED_VALUE"""),"Work &lt;67 People in the Team")</f>
        <v>Work &lt;67 People in the Team</v>
      </c>
      <c r="Q1079" s="1" t="str">
        <f ca="1">IFERROR(__xludf.DUMMYFUNCTION("""COMPUTED_VALUE"""),"Male")</f>
        <v>Male</v>
      </c>
    </row>
    <row r="1080" spans="13:17" x14ac:dyDescent="0.25">
      <c r="M1080" s="1"/>
      <c r="N1080" s="1" t="str">
        <f ca="1">IFERROR(__xludf.DUMMYFUNCTION("""COMPUTED_VALUE"""),"Female")</f>
        <v>Female</v>
      </c>
      <c r="P1080" s="1" t="str">
        <f ca="1">IFERROR(__xludf.DUMMYFUNCTION("""COMPUTED_VALUE"""),"Work &lt;=6 People in the Team")</f>
        <v>Work &lt;=6 People in the Team</v>
      </c>
      <c r="Q1080" s="1" t="str">
        <f ca="1">IFERROR(__xludf.DUMMYFUNCTION("""COMPUTED_VALUE"""),"Female")</f>
        <v>Female</v>
      </c>
    </row>
    <row r="1081" spans="13:17" x14ac:dyDescent="0.25">
      <c r="M1081" s="1"/>
      <c r="N1081" s="1" t="str">
        <f ca="1">IFERROR(__xludf.DUMMYFUNCTION("""COMPUTED_VALUE"""),"Male")</f>
        <v>Male</v>
      </c>
      <c r="P1081" s="1" t="str">
        <f ca="1">IFERROR(__xludf.DUMMYFUNCTION("""COMPUTED_VALUE"""),"Work &gt;=7 People in the Team")</f>
        <v>Work &gt;=7 People in the Team</v>
      </c>
      <c r="Q1081" s="1" t="str">
        <f ca="1">IFERROR(__xludf.DUMMYFUNCTION("""COMPUTED_VALUE"""),"Male")</f>
        <v>Male</v>
      </c>
    </row>
    <row r="1082" spans="13:17" x14ac:dyDescent="0.25">
      <c r="M1082" s="1"/>
      <c r="N1082" s="1" t="str">
        <f ca="1">IFERROR(__xludf.DUMMYFUNCTION("""COMPUTED_VALUE"""),"Male")</f>
        <v>Male</v>
      </c>
      <c r="P1082" s="1" t="str">
        <f ca="1">IFERROR(__xludf.DUMMYFUNCTION("""COMPUTED_VALUE"""),"Work &lt;67 People in the Team")</f>
        <v>Work &lt;67 People in the Team</v>
      </c>
      <c r="Q1082" s="1" t="str">
        <f ca="1">IFERROR(__xludf.DUMMYFUNCTION("""COMPUTED_VALUE"""),"Male")</f>
        <v>Male</v>
      </c>
    </row>
    <row r="1083" spans="13:17" x14ac:dyDescent="0.25">
      <c r="M1083" s="1"/>
      <c r="N1083" s="1" t="str">
        <f ca="1">IFERROR(__xludf.DUMMYFUNCTION("""COMPUTED_VALUE"""),"Male")</f>
        <v>Male</v>
      </c>
      <c r="P1083" s="1" t="str">
        <f ca="1">IFERROR(__xludf.DUMMYFUNCTION("""COMPUTED_VALUE"""),"Work &lt;=6 People in the Team")</f>
        <v>Work &lt;=6 People in the Team</v>
      </c>
      <c r="Q1083" s="1" t="str">
        <f ca="1">IFERROR(__xludf.DUMMYFUNCTION("""COMPUTED_VALUE"""),"Male")</f>
        <v>Male</v>
      </c>
    </row>
    <row r="1084" spans="13:17" x14ac:dyDescent="0.25">
      <c r="M1084" s="1"/>
      <c r="N1084" s="1" t="str">
        <f ca="1">IFERROR(__xludf.DUMMYFUNCTION("""COMPUTED_VALUE"""),"Female")</f>
        <v>Female</v>
      </c>
      <c r="P1084" s="1" t="str">
        <f ca="1">IFERROR(__xludf.DUMMYFUNCTION("""COMPUTED_VALUE"""),"Work &lt;=6 People in the Team")</f>
        <v>Work &lt;=6 People in the Team</v>
      </c>
      <c r="Q1084" s="1" t="str">
        <f ca="1">IFERROR(__xludf.DUMMYFUNCTION("""COMPUTED_VALUE"""),"Female")</f>
        <v>Female</v>
      </c>
    </row>
    <row r="1085" spans="13:17" x14ac:dyDescent="0.25">
      <c r="M1085" s="1"/>
      <c r="N1085" s="1" t="str">
        <f ca="1">IFERROR(__xludf.DUMMYFUNCTION("""COMPUTED_VALUE"""),"Male")</f>
        <v>Male</v>
      </c>
      <c r="P1085" s="1" t="str">
        <f ca="1">IFERROR(__xludf.DUMMYFUNCTION("""COMPUTED_VALUE"""),"Work &lt;=6 People in the Team")</f>
        <v>Work &lt;=6 People in the Team</v>
      </c>
      <c r="Q1085" s="1" t="str">
        <f ca="1">IFERROR(__xludf.DUMMYFUNCTION("""COMPUTED_VALUE"""),"Male")</f>
        <v>Male</v>
      </c>
    </row>
    <row r="1086" spans="13:17" x14ac:dyDescent="0.25">
      <c r="M1086" s="1"/>
      <c r="N1086" s="1" t="str">
        <f ca="1">IFERROR(__xludf.DUMMYFUNCTION("""COMPUTED_VALUE"""),"Male")</f>
        <v>Male</v>
      </c>
      <c r="P1086" s="1" t="str">
        <f ca="1">IFERROR(__xludf.DUMMYFUNCTION("""COMPUTED_VALUE"""),"Work Alone, &lt;67 people in team")</f>
        <v>Work Alone, &lt;67 people in team</v>
      </c>
      <c r="Q1086" s="1" t="str">
        <f ca="1">IFERROR(__xludf.DUMMYFUNCTION("""COMPUTED_VALUE"""),"Male")</f>
        <v>Male</v>
      </c>
    </row>
    <row r="1087" spans="13:17" x14ac:dyDescent="0.25">
      <c r="M1087" s="1"/>
      <c r="N1087" s="1" t="str">
        <f ca="1">IFERROR(__xludf.DUMMYFUNCTION("""COMPUTED_VALUE"""),"Male")</f>
        <v>Male</v>
      </c>
      <c r="P1087" s="1" t="str">
        <f ca="1">IFERROR(__xludf.DUMMYFUNCTION("""COMPUTED_VALUE"""),"Work &gt;10 people in Team")</f>
        <v>Work &gt;10 people in Team</v>
      </c>
      <c r="Q1087" s="1" t="str">
        <f ca="1">IFERROR(__xludf.DUMMYFUNCTION("""COMPUTED_VALUE"""),"Male")</f>
        <v>Male</v>
      </c>
    </row>
    <row r="1088" spans="13:17" x14ac:dyDescent="0.25">
      <c r="M1088" s="1"/>
      <c r="N1088" s="1" t="str">
        <f ca="1">IFERROR(__xludf.DUMMYFUNCTION("""COMPUTED_VALUE"""),"Female")</f>
        <v>Female</v>
      </c>
      <c r="P1088" s="1" t="str">
        <f ca="1">IFERROR(__xludf.DUMMYFUNCTION("""COMPUTED_VALUE"""),"Work &lt;=6 People in the Team")</f>
        <v>Work &lt;=6 People in the Team</v>
      </c>
      <c r="Q1088" s="1" t="str">
        <f ca="1">IFERROR(__xludf.DUMMYFUNCTION("""COMPUTED_VALUE"""),"Female")</f>
        <v>Female</v>
      </c>
    </row>
    <row r="1089" spans="13:17" x14ac:dyDescent="0.25">
      <c r="M1089" s="1"/>
      <c r="N1089" s="1" t="str">
        <f ca="1">IFERROR(__xludf.DUMMYFUNCTION("""COMPUTED_VALUE"""),"Male")</f>
        <v>Male</v>
      </c>
      <c r="P1089" s="1" t="str">
        <f ca="1">IFERROR(__xludf.DUMMYFUNCTION("""COMPUTED_VALUE"""),"Work &gt;10 people in Team")</f>
        <v>Work &gt;10 people in Team</v>
      </c>
      <c r="Q1089" s="1" t="str">
        <f ca="1">IFERROR(__xludf.DUMMYFUNCTION("""COMPUTED_VALUE"""),"Male")</f>
        <v>Male</v>
      </c>
    </row>
    <row r="1090" spans="13:17" x14ac:dyDescent="0.25">
      <c r="M1090" s="1"/>
      <c r="N1090" s="1" t="str">
        <f ca="1">IFERROR(__xludf.DUMMYFUNCTION("""COMPUTED_VALUE"""),"Female")</f>
        <v>Female</v>
      </c>
      <c r="P1090" s="1" t="str">
        <f ca="1">IFERROR(__xludf.DUMMYFUNCTION("""COMPUTED_VALUE"""),"Work &lt;=6 People in the Team")</f>
        <v>Work &lt;=6 People in the Team</v>
      </c>
      <c r="Q1090" s="1" t="str">
        <f ca="1">IFERROR(__xludf.DUMMYFUNCTION("""COMPUTED_VALUE"""),"Female")</f>
        <v>Female</v>
      </c>
    </row>
    <row r="1091" spans="13:17" x14ac:dyDescent="0.25">
      <c r="M1091" s="1"/>
      <c r="N1091" s="1" t="str">
        <f ca="1">IFERROR(__xludf.DUMMYFUNCTION("""COMPUTED_VALUE"""),"Female")</f>
        <v>Female</v>
      </c>
      <c r="P1091" s="1" t="str">
        <f ca="1">IFERROR(__xludf.DUMMYFUNCTION("""COMPUTED_VALUE"""),"Work alone")</f>
        <v>Work alone</v>
      </c>
      <c r="Q1091" s="1" t="str">
        <f ca="1">IFERROR(__xludf.DUMMYFUNCTION("""COMPUTED_VALUE"""),"Female")</f>
        <v>Female</v>
      </c>
    </row>
    <row r="1092" spans="13:17" x14ac:dyDescent="0.25">
      <c r="M1092" s="1"/>
      <c r="N1092" s="1" t="str">
        <f ca="1">IFERROR(__xludf.DUMMYFUNCTION("""COMPUTED_VALUE"""),"Male")</f>
        <v>Male</v>
      </c>
      <c r="P1092" s="1" t="str">
        <f ca="1">IFERROR(__xludf.DUMMYFUNCTION("""COMPUTED_VALUE"""),"Work &lt;=6 People in the Team")</f>
        <v>Work &lt;=6 People in the Team</v>
      </c>
      <c r="Q1092" s="1" t="str">
        <f ca="1">IFERROR(__xludf.DUMMYFUNCTION("""COMPUTED_VALUE"""),"Male")</f>
        <v>Male</v>
      </c>
    </row>
    <row r="1093" spans="13:17" x14ac:dyDescent="0.25">
      <c r="M1093" s="1"/>
      <c r="N1093" s="1" t="str">
        <f ca="1">IFERROR(__xludf.DUMMYFUNCTION("""COMPUTED_VALUE"""),"Female")</f>
        <v>Female</v>
      </c>
      <c r="P1093" s="1" t="str">
        <f ca="1">IFERROR(__xludf.DUMMYFUNCTION("""COMPUTED_VALUE"""),"Work &gt;10 people in Team")</f>
        <v>Work &gt;10 people in Team</v>
      </c>
      <c r="Q1093" s="1" t="str">
        <f ca="1">IFERROR(__xludf.DUMMYFUNCTION("""COMPUTED_VALUE"""),"Female")</f>
        <v>Female</v>
      </c>
    </row>
    <row r="1094" spans="13:17" x14ac:dyDescent="0.25">
      <c r="M1094" s="1"/>
      <c r="N1094" s="1" t="str">
        <f ca="1">IFERROR(__xludf.DUMMYFUNCTION("""COMPUTED_VALUE"""),"Female")</f>
        <v>Female</v>
      </c>
      <c r="P1094" s="1" t="str">
        <f ca="1">IFERROR(__xludf.DUMMYFUNCTION("""COMPUTED_VALUE"""),"Work &gt;=7 People in the Team")</f>
        <v>Work &gt;=7 People in the Team</v>
      </c>
      <c r="Q1094" s="1" t="str">
        <f ca="1">IFERROR(__xludf.DUMMYFUNCTION("""COMPUTED_VALUE"""),"Female")</f>
        <v>Female</v>
      </c>
    </row>
    <row r="1095" spans="13:17" x14ac:dyDescent="0.25">
      <c r="M1095" s="1"/>
      <c r="N1095" s="1" t="str">
        <f ca="1">IFERROR(__xludf.DUMMYFUNCTION("""COMPUTED_VALUE"""),"Female")</f>
        <v>Female</v>
      </c>
      <c r="P1095" s="1" t="str">
        <f ca="1">IFERROR(__xludf.DUMMYFUNCTION("""COMPUTED_VALUE"""),"Work &gt;10 people in Team")</f>
        <v>Work &gt;10 people in Team</v>
      </c>
      <c r="Q1095" s="1" t="str">
        <f ca="1">IFERROR(__xludf.DUMMYFUNCTION("""COMPUTED_VALUE"""),"Female")</f>
        <v>Female</v>
      </c>
    </row>
    <row r="1096" spans="13:17" x14ac:dyDescent="0.25">
      <c r="M1096" s="1"/>
      <c r="N1096" s="1" t="str">
        <f ca="1">IFERROR(__xludf.DUMMYFUNCTION("""COMPUTED_VALUE"""),"Female")</f>
        <v>Female</v>
      </c>
      <c r="P1096" s="1" t="str">
        <f ca="1">IFERROR(__xludf.DUMMYFUNCTION("""COMPUTED_VALUE"""),"Work &lt;=6 People in the Team")</f>
        <v>Work &lt;=6 People in the Team</v>
      </c>
      <c r="Q1096" s="1" t="str">
        <f ca="1">IFERROR(__xludf.DUMMYFUNCTION("""COMPUTED_VALUE"""),"Female")</f>
        <v>Female</v>
      </c>
    </row>
    <row r="1097" spans="13:17" x14ac:dyDescent="0.25">
      <c r="M1097" s="1"/>
      <c r="N1097" s="1" t="str">
        <f ca="1">IFERROR(__xludf.DUMMYFUNCTION("""COMPUTED_VALUE"""),"Female")</f>
        <v>Female</v>
      </c>
      <c r="P1097" s="1" t="str">
        <f ca="1">IFERROR(__xludf.DUMMYFUNCTION("""COMPUTED_VALUE"""),"Work &lt;67 People in the Team")</f>
        <v>Work &lt;67 People in the Team</v>
      </c>
      <c r="Q1097" s="1" t="str">
        <f ca="1">IFERROR(__xludf.DUMMYFUNCTION("""COMPUTED_VALUE"""),"Female")</f>
        <v>Female</v>
      </c>
    </row>
    <row r="1098" spans="13:17" x14ac:dyDescent="0.25">
      <c r="M1098" s="1"/>
      <c r="N1098" s="1" t="str">
        <f ca="1">IFERROR(__xludf.DUMMYFUNCTION("""COMPUTED_VALUE"""),"Male")</f>
        <v>Male</v>
      </c>
      <c r="P1098" s="1" t="str">
        <f ca="1">IFERROR(__xludf.DUMMYFUNCTION("""COMPUTED_VALUE"""),"Work &lt;=6 People in the Team")</f>
        <v>Work &lt;=6 People in the Team</v>
      </c>
      <c r="Q1098" s="1" t="str">
        <f ca="1">IFERROR(__xludf.DUMMYFUNCTION("""COMPUTED_VALUE"""),"Male")</f>
        <v>Male</v>
      </c>
    </row>
    <row r="1099" spans="13:17" x14ac:dyDescent="0.25">
      <c r="M1099" s="1"/>
      <c r="N1099" s="1" t="str">
        <f ca="1">IFERROR(__xludf.DUMMYFUNCTION("""COMPUTED_VALUE"""),"Female")</f>
        <v>Female</v>
      </c>
      <c r="P1099" s="1" t="str">
        <f ca="1">IFERROR(__xludf.DUMMYFUNCTION("""COMPUTED_VALUE"""),"Work &lt;=6 People in the Team")</f>
        <v>Work &lt;=6 People in the Team</v>
      </c>
      <c r="Q1099" s="1" t="str">
        <f ca="1">IFERROR(__xludf.DUMMYFUNCTION("""COMPUTED_VALUE"""),"Female")</f>
        <v>Female</v>
      </c>
    </row>
    <row r="1100" spans="13:17" x14ac:dyDescent="0.25">
      <c r="M1100" s="1"/>
      <c r="N1100" s="1" t="str">
        <f ca="1">IFERROR(__xludf.DUMMYFUNCTION("""COMPUTED_VALUE"""),"Female")</f>
        <v>Female</v>
      </c>
      <c r="P1100" s="1" t="str">
        <f ca="1">IFERROR(__xludf.DUMMYFUNCTION("""COMPUTED_VALUE"""),"Work &lt;=6 People in the Team")</f>
        <v>Work &lt;=6 People in the Team</v>
      </c>
      <c r="Q1100" s="1" t="str">
        <f ca="1">IFERROR(__xludf.DUMMYFUNCTION("""COMPUTED_VALUE"""),"Female")</f>
        <v>Female</v>
      </c>
    </row>
    <row r="1101" spans="13:17" x14ac:dyDescent="0.25">
      <c r="M1101" s="1"/>
      <c r="N1101" s="1" t="str">
        <f ca="1">IFERROR(__xludf.DUMMYFUNCTION("""COMPUTED_VALUE"""),"Male")</f>
        <v>Male</v>
      </c>
      <c r="P1101" s="1" t="str">
        <f ca="1">IFERROR(__xludf.DUMMYFUNCTION("""COMPUTED_VALUE"""),"Work Alone, &lt;=6 in team")</f>
        <v>Work Alone, &lt;=6 in team</v>
      </c>
      <c r="Q1101" s="1" t="str">
        <f ca="1">IFERROR(__xludf.DUMMYFUNCTION("""COMPUTED_VALUE"""),"Male")</f>
        <v>Male</v>
      </c>
    </row>
    <row r="1102" spans="13:17" x14ac:dyDescent="0.25">
      <c r="M1102" s="1"/>
      <c r="N1102" s="1" t="str">
        <f ca="1">IFERROR(__xludf.DUMMYFUNCTION("""COMPUTED_VALUE"""),"Male")</f>
        <v>Male</v>
      </c>
      <c r="P1102" s="1" t="str">
        <f ca="1">IFERROR(__xludf.DUMMYFUNCTION("""COMPUTED_VALUE"""),"Work &lt;=6 People in the Team")</f>
        <v>Work &lt;=6 People in the Team</v>
      </c>
      <c r="Q1102" s="1" t="str">
        <f ca="1">IFERROR(__xludf.DUMMYFUNCTION("""COMPUTED_VALUE"""),"Male")</f>
        <v>Male</v>
      </c>
    </row>
    <row r="1103" spans="13:17" x14ac:dyDescent="0.25">
      <c r="M1103" s="1"/>
      <c r="N1103" s="1" t="str">
        <f ca="1">IFERROR(__xludf.DUMMYFUNCTION("""COMPUTED_VALUE"""),"Female")</f>
        <v>Female</v>
      </c>
      <c r="P1103" s="1" t="str">
        <f ca="1">IFERROR(__xludf.DUMMYFUNCTION("""COMPUTED_VALUE"""),"Work alone")</f>
        <v>Work alone</v>
      </c>
      <c r="Q1103" s="1" t="str">
        <f ca="1">IFERROR(__xludf.DUMMYFUNCTION("""COMPUTED_VALUE"""),"Female")</f>
        <v>Female</v>
      </c>
    </row>
    <row r="1104" spans="13:17" x14ac:dyDescent="0.25">
      <c r="M1104" s="1"/>
      <c r="N1104" s="1" t="str">
        <f ca="1">IFERROR(__xludf.DUMMYFUNCTION("""COMPUTED_VALUE"""),"Male")</f>
        <v>Male</v>
      </c>
      <c r="P1104" s="1" t="str">
        <f ca="1">IFERROR(__xludf.DUMMYFUNCTION("""COMPUTED_VALUE"""),"Work &lt;=6 People in the Team")</f>
        <v>Work &lt;=6 People in the Team</v>
      </c>
      <c r="Q1104" s="1" t="str">
        <f ca="1">IFERROR(__xludf.DUMMYFUNCTION("""COMPUTED_VALUE"""),"Male")</f>
        <v>Male</v>
      </c>
    </row>
    <row r="1105" spans="13:17" x14ac:dyDescent="0.25">
      <c r="M1105" s="1"/>
      <c r="N1105" s="1" t="str">
        <f ca="1">IFERROR(__xludf.DUMMYFUNCTION("""COMPUTED_VALUE"""),"Male")</f>
        <v>Male</v>
      </c>
      <c r="P1105" s="1" t="str">
        <f ca="1">IFERROR(__xludf.DUMMYFUNCTION("""COMPUTED_VALUE"""),"Work &lt;=6 People in the Team")</f>
        <v>Work &lt;=6 People in the Team</v>
      </c>
      <c r="Q1105" s="1" t="str">
        <f ca="1">IFERROR(__xludf.DUMMYFUNCTION("""COMPUTED_VALUE"""),"Male")</f>
        <v>Male</v>
      </c>
    </row>
    <row r="1106" spans="13:17" x14ac:dyDescent="0.25">
      <c r="M1106" s="1"/>
      <c r="N1106" s="1" t="str">
        <f ca="1">IFERROR(__xludf.DUMMYFUNCTION("""COMPUTED_VALUE"""),"Female")</f>
        <v>Female</v>
      </c>
      <c r="P1106" s="1" t="str">
        <f ca="1">IFERROR(__xludf.DUMMYFUNCTION("""COMPUTED_VALUE"""),"Work &lt;=6 People in the Team")</f>
        <v>Work &lt;=6 People in the Team</v>
      </c>
      <c r="Q1106" s="1" t="str">
        <f ca="1">IFERROR(__xludf.DUMMYFUNCTION("""COMPUTED_VALUE"""),"Female")</f>
        <v>Female</v>
      </c>
    </row>
    <row r="1107" spans="13:17" x14ac:dyDescent="0.25">
      <c r="M1107" s="1"/>
      <c r="N1107" s="1" t="str">
        <f ca="1">IFERROR(__xludf.DUMMYFUNCTION("""COMPUTED_VALUE"""),"Male")</f>
        <v>Male</v>
      </c>
      <c r="P1107" s="1" t="str">
        <f ca="1">IFERROR(__xludf.DUMMYFUNCTION("""COMPUTED_VALUE"""),"Work &gt;10 people in Team")</f>
        <v>Work &gt;10 people in Team</v>
      </c>
      <c r="Q1107" s="1" t="str">
        <f ca="1">IFERROR(__xludf.DUMMYFUNCTION("""COMPUTED_VALUE"""),"Male")</f>
        <v>Male</v>
      </c>
    </row>
    <row r="1108" spans="13:17" x14ac:dyDescent="0.25">
      <c r="M1108" s="1"/>
      <c r="N1108" s="1" t="str">
        <f ca="1">IFERROR(__xludf.DUMMYFUNCTION("""COMPUTED_VALUE"""),"Female")</f>
        <v>Female</v>
      </c>
      <c r="P1108" s="1" t="str">
        <f ca="1">IFERROR(__xludf.DUMMYFUNCTION("""COMPUTED_VALUE"""),"Work &gt;=7 People in the Team")</f>
        <v>Work &gt;=7 People in the Team</v>
      </c>
      <c r="Q1108" s="1" t="str">
        <f ca="1">IFERROR(__xludf.DUMMYFUNCTION("""COMPUTED_VALUE"""),"Female")</f>
        <v>Female</v>
      </c>
    </row>
    <row r="1109" spans="13:17" x14ac:dyDescent="0.25">
      <c r="M1109" s="1"/>
      <c r="N1109" s="1" t="str">
        <f ca="1">IFERROR(__xludf.DUMMYFUNCTION("""COMPUTED_VALUE"""),"Male")</f>
        <v>Male</v>
      </c>
      <c r="P1109" s="1" t="str">
        <f ca="1">IFERROR(__xludf.DUMMYFUNCTION("""COMPUTED_VALUE"""),"Work alone")</f>
        <v>Work alone</v>
      </c>
      <c r="Q1109" s="1" t="str">
        <f ca="1">IFERROR(__xludf.DUMMYFUNCTION("""COMPUTED_VALUE"""),"Male")</f>
        <v>Male</v>
      </c>
    </row>
    <row r="1110" spans="13:17" x14ac:dyDescent="0.25">
      <c r="M1110" s="1"/>
      <c r="N1110" s="1" t="str">
        <f ca="1">IFERROR(__xludf.DUMMYFUNCTION("""COMPUTED_VALUE"""),"Female")</f>
        <v>Female</v>
      </c>
      <c r="P1110" s="1" t="str">
        <f ca="1">IFERROR(__xludf.DUMMYFUNCTION("""COMPUTED_VALUE"""),"Work &lt;=6 People in the Team")</f>
        <v>Work &lt;=6 People in the Team</v>
      </c>
      <c r="Q1110" s="1" t="str">
        <f ca="1">IFERROR(__xludf.DUMMYFUNCTION("""COMPUTED_VALUE"""),"Female")</f>
        <v>Female</v>
      </c>
    </row>
    <row r="1111" spans="13:17" x14ac:dyDescent="0.25">
      <c r="M1111" s="1"/>
      <c r="N1111" s="1" t="str">
        <f ca="1">IFERROR(__xludf.DUMMYFUNCTION("""COMPUTED_VALUE"""),"Male")</f>
        <v>Male</v>
      </c>
      <c r="P1111" s="1" t="str">
        <f ca="1">IFERROR(__xludf.DUMMYFUNCTION("""COMPUTED_VALUE"""),"Work &lt;=6 People in the Team")</f>
        <v>Work &lt;=6 People in the Team</v>
      </c>
      <c r="Q1111" s="1" t="str">
        <f ca="1">IFERROR(__xludf.DUMMYFUNCTION("""COMPUTED_VALUE"""),"Male")</f>
        <v>Male</v>
      </c>
    </row>
    <row r="1112" spans="13:17" x14ac:dyDescent="0.25">
      <c r="M1112" s="1"/>
      <c r="N1112" s="1" t="str">
        <f ca="1">IFERROR(__xludf.DUMMYFUNCTION("""COMPUTED_VALUE"""),"Male")</f>
        <v>Male</v>
      </c>
      <c r="P1112" s="1" t="str">
        <f ca="1">IFERROR(__xludf.DUMMYFUNCTION("""COMPUTED_VALUE"""),"Work Alone, &lt;=6 in team")</f>
        <v>Work Alone, &lt;=6 in team</v>
      </c>
      <c r="Q1112" s="1" t="str">
        <f ca="1">IFERROR(__xludf.DUMMYFUNCTION("""COMPUTED_VALUE"""),"Male")</f>
        <v>Male</v>
      </c>
    </row>
    <row r="1113" spans="13:17" x14ac:dyDescent="0.25">
      <c r="M1113" s="1"/>
      <c r="N1113" s="1" t="str">
        <f ca="1">IFERROR(__xludf.DUMMYFUNCTION("""COMPUTED_VALUE"""),"Male")</f>
        <v>Male</v>
      </c>
      <c r="P1113" s="1" t="str">
        <f ca="1">IFERROR(__xludf.DUMMYFUNCTION("""COMPUTED_VALUE"""),"Work &gt;=7 People in the Team")</f>
        <v>Work &gt;=7 People in the Team</v>
      </c>
      <c r="Q1113" s="1" t="str">
        <f ca="1">IFERROR(__xludf.DUMMYFUNCTION("""COMPUTED_VALUE"""),"Male")</f>
        <v>Male</v>
      </c>
    </row>
    <row r="1114" spans="13:17" x14ac:dyDescent="0.25">
      <c r="M1114" s="1"/>
      <c r="N1114" s="1" t="str">
        <f ca="1">IFERROR(__xludf.DUMMYFUNCTION("""COMPUTED_VALUE"""),"Male")</f>
        <v>Male</v>
      </c>
      <c r="P1114" s="1" t="str">
        <f ca="1">IFERROR(__xludf.DUMMYFUNCTION("""COMPUTED_VALUE"""),"Work &lt;=6 People in the Team")</f>
        <v>Work &lt;=6 People in the Team</v>
      </c>
      <c r="Q1114" s="1" t="str">
        <f ca="1">IFERROR(__xludf.DUMMYFUNCTION("""COMPUTED_VALUE"""),"Male")</f>
        <v>Male</v>
      </c>
    </row>
    <row r="1115" spans="13:17" x14ac:dyDescent="0.25">
      <c r="M1115" s="1"/>
      <c r="N1115" s="1" t="str">
        <f ca="1">IFERROR(__xludf.DUMMYFUNCTION("""COMPUTED_VALUE"""),"Male")</f>
        <v>Male</v>
      </c>
      <c r="P1115" s="1" t="str">
        <f ca="1">IFERROR(__xludf.DUMMYFUNCTION("""COMPUTED_VALUE"""),"Work &gt;10 people in Team")</f>
        <v>Work &gt;10 people in Team</v>
      </c>
      <c r="Q1115" s="1" t="str">
        <f ca="1">IFERROR(__xludf.DUMMYFUNCTION("""COMPUTED_VALUE"""),"Male")</f>
        <v>Male</v>
      </c>
    </row>
    <row r="1116" spans="13:17" x14ac:dyDescent="0.25">
      <c r="M1116" s="1"/>
      <c r="N1116" s="1" t="str">
        <f ca="1">IFERROR(__xludf.DUMMYFUNCTION("""COMPUTED_VALUE"""),"Male")</f>
        <v>Male</v>
      </c>
      <c r="P1116" s="1" t="str">
        <f ca="1">IFERROR(__xludf.DUMMYFUNCTION("""COMPUTED_VALUE"""),"Work alone")</f>
        <v>Work alone</v>
      </c>
      <c r="Q1116" s="1" t="str">
        <f ca="1">IFERROR(__xludf.DUMMYFUNCTION("""COMPUTED_VALUE"""),"Male")</f>
        <v>Male</v>
      </c>
    </row>
    <row r="1117" spans="13:17" x14ac:dyDescent="0.25">
      <c r="M1117" s="1"/>
      <c r="N1117" s="1" t="str">
        <f ca="1">IFERROR(__xludf.DUMMYFUNCTION("""COMPUTED_VALUE"""),"Female")</f>
        <v>Female</v>
      </c>
      <c r="P1117" s="1" t="str">
        <f ca="1">IFERROR(__xludf.DUMMYFUNCTION("""COMPUTED_VALUE"""),"Work &lt;=6 People in the Team")</f>
        <v>Work &lt;=6 People in the Team</v>
      </c>
      <c r="Q1117" s="1" t="str">
        <f ca="1">IFERROR(__xludf.DUMMYFUNCTION("""COMPUTED_VALUE"""),"Female")</f>
        <v>Female</v>
      </c>
    </row>
    <row r="1118" spans="13:17" x14ac:dyDescent="0.25">
      <c r="M1118" s="1"/>
      <c r="N1118" s="1" t="str">
        <f ca="1">IFERROR(__xludf.DUMMYFUNCTION("""COMPUTED_VALUE"""),"Female")</f>
        <v>Female</v>
      </c>
      <c r="P1118" s="1" t="str">
        <f ca="1">IFERROR(__xludf.DUMMYFUNCTION("""COMPUTED_VALUE"""),"Work &lt;=6 People in the Team")</f>
        <v>Work &lt;=6 People in the Team</v>
      </c>
      <c r="Q1118" s="1" t="str">
        <f ca="1">IFERROR(__xludf.DUMMYFUNCTION("""COMPUTED_VALUE"""),"Female")</f>
        <v>Female</v>
      </c>
    </row>
    <row r="1119" spans="13:17" x14ac:dyDescent="0.25">
      <c r="M1119" s="1"/>
      <c r="N1119" s="1" t="str">
        <f ca="1">IFERROR(__xludf.DUMMYFUNCTION("""COMPUTED_VALUE"""),"Female")</f>
        <v>Female</v>
      </c>
      <c r="P1119" s="1" t="str">
        <f ca="1">IFERROR(__xludf.DUMMYFUNCTION("""COMPUTED_VALUE"""),"Work &lt;=6 People in the Team")</f>
        <v>Work &lt;=6 People in the Team</v>
      </c>
      <c r="Q1119" s="1" t="str">
        <f ca="1">IFERROR(__xludf.DUMMYFUNCTION("""COMPUTED_VALUE"""),"Female")</f>
        <v>Female</v>
      </c>
    </row>
    <row r="1120" spans="13:17" x14ac:dyDescent="0.25">
      <c r="M1120" s="1"/>
      <c r="N1120" s="1" t="str">
        <f ca="1">IFERROR(__xludf.DUMMYFUNCTION("""COMPUTED_VALUE"""),"Female")</f>
        <v>Female</v>
      </c>
      <c r="P1120" s="1" t="str">
        <f ca="1">IFERROR(__xludf.DUMMYFUNCTION("""COMPUTED_VALUE"""),"Work &lt;=6 People in the Team")</f>
        <v>Work &lt;=6 People in the Team</v>
      </c>
      <c r="Q1120" s="1" t="str">
        <f ca="1">IFERROR(__xludf.DUMMYFUNCTION("""COMPUTED_VALUE"""),"Female")</f>
        <v>Female</v>
      </c>
    </row>
    <row r="1121" spans="13:17" x14ac:dyDescent="0.25">
      <c r="M1121" s="1"/>
      <c r="N1121" s="1" t="str">
        <f ca="1">IFERROR(__xludf.DUMMYFUNCTION("""COMPUTED_VALUE"""),"Male")</f>
        <v>Male</v>
      </c>
      <c r="P1121" s="1" t="str">
        <f ca="1">IFERROR(__xludf.DUMMYFUNCTION("""COMPUTED_VALUE"""),"Work &lt;=6 People in the Team")</f>
        <v>Work &lt;=6 People in the Team</v>
      </c>
      <c r="Q1121" s="1" t="str">
        <f ca="1">IFERROR(__xludf.DUMMYFUNCTION("""COMPUTED_VALUE"""),"Male")</f>
        <v>Male</v>
      </c>
    </row>
    <row r="1122" spans="13:17" x14ac:dyDescent="0.25">
      <c r="M1122" s="1"/>
      <c r="N1122" s="1" t="str">
        <f ca="1">IFERROR(__xludf.DUMMYFUNCTION("""COMPUTED_VALUE"""),"Female")</f>
        <v>Female</v>
      </c>
      <c r="P1122" s="1" t="str">
        <f ca="1">IFERROR(__xludf.DUMMYFUNCTION("""COMPUTED_VALUE"""),"Work &lt;67 People in the Team")</f>
        <v>Work &lt;67 People in the Team</v>
      </c>
      <c r="Q1122" s="1" t="str">
        <f ca="1">IFERROR(__xludf.DUMMYFUNCTION("""COMPUTED_VALUE"""),"Female")</f>
        <v>Female</v>
      </c>
    </row>
    <row r="1123" spans="13:17" x14ac:dyDescent="0.25">
      <c r="M1123" s="1"/>
      <c r="N1123" s="1" t="str">
        <f ca="1">IFERROR(__xludf.DUMMYFUNCTION("""COMPUTED_VALUE"""),"Female")</f>
        <v>Female</v>
      </c>
      <c r="P1123" s="1" t="str">
        <f ca="1">IFERROR(__xludf.DUMMYFUNCTION("""COMPUTED_VALUE"""),"Work &lt;=6 People in the Team")</f>
        <v>Work &lt;=6 People in the Team</v>
      </c>
      <c r="Q1123" s="1" t="str">
        <f ca="1">IFERROR(__xludf.DUMMYFUNCTION("""COMPUTED_VALUE"""),"Female")</f>
        <v>Female</v>
      </c>
    </row>
    <row r="1124" spans="13:17" x14ac:dyDescent="0.25">
      <c r="M1124" s="1"/>
      <c r="N1124" s="1" t="str">
        <f ca="1">IFERROR(__xludf.DUMMYFUNCTION("""COMPUTED_VALUE"""),"Female")</f>
        <v>Female</v>
      </c>
      <c r="P1124" s="1" t="str">
        <f ca="1">IFERROR(__xludf.DUMMYFUNCTION("""COMPUTED_VALUE"""),"Work &lt;=6 People in the Team")</f>
        <v>Work &lt;=6 People in the Team</v>
      </c>
      <c r="Q1124" s="1" t="str">
        <f ca="1">IFERROR(__xludf.DUMMYFUNCTION("""COMPUTED_VALUE"""),"Female")</f>
        <v>Female</v>
      </c>
    </row>
    <row r="1125" spans="13:17" x14ac:dyDescent="0.25">
      <c r="M1125" s="1"/>
      <c r="N1125" s="1" t="str">
        <f ca="1">IFERROR(__xludf.DUMMYFUNCTION("""COMPUTED_VALUE"""),"Female")</f>
        <v>Female</v>
      </c>
      <c r="P1125" s="1" t="str">
        <f ca="1">IFERROR(__xludf.DUMMYFUNCTION("""COMPUTED_VALUE"""),"Work &gt;=7 People in the Team")</f>
        <v>Work &gt;=7 People in the Team</v>
      </c>
      <c r="Q1125" s="1" t="str">
        <f ca="1">IFERROR(__xludf.DUMMYFUNCTION("""COMPUTED_VALUE"""),"Female")</f>
        <v>Female</v>
      </c>
    </row>
    <row r="1126" spans="13:17" x14ac:dyDescent="0.25">
      <c r="M1126" s="1"/>
      <c r="N1126" s="1" t="str">
        <f ca="1">IFERROR(__xludf.DUMMYFUNCTION("""COMPUTED_VALUE"""),"Female")</f>
        <v>Female</v>
      </c>
      <c r="P1126" s="1" t="str">
        <f ca="1">IFERROR(__xludf.DUMMYFUNCTION("""COMPUTED_VALUE"""),"Work Alone, &lt;=6 in team")</f>
        <v>Work Alone, &lt;=6 in team</v>
      </c>
      <c r="Q1126" s="1" t="str">
        <f ca="1">IFERROR(__xludf.DUMMYFUNCTION("""COMPUTED_VALUE"""),"Female")</f>
        <v>Female</v>
      </c>
    </row>
    <row r="1127" spans="13:17" x14ac:dyDescent="0.25">
      <c r="M1127" s="1"/>
      <c r="N1127" s="1" t="str">
        <f ca="1">IFERROR(__xludf.DUMMYFUNCTION("""COMPUTED_VALUE"""),"Male")</f>
        <v>Male</v>
      </c>
      <c r="P1127" s="1" t="str">
        <f ca="1">IFERROR(__xludf.DUMMYFUNCTION("""COMPUTED_VALUE"""),"Work &lt;=6 People in the Team")</f>
        <v>Work &lt;=6 People in the Team</v>
      </c>
      <c r="Q1127" s="1" t="str">
        <f ca="1">IFERROR(__xludf.DUMMYFUNCTION("""COMPUTED_VALUE"""),"Male")</f>
        <v>Male</v>
      </c>
    </row>
    <row r="1128" spans="13:17" x14ac:dyDescent="0.25">
      <c r="M1128" s="1"/>
      <c r="N1128" s="1" t="str">
        <f ca="1">IFERROR(__xludf.DUMMYFUNCTION("""COMPUTED_VALUE"""),"Female")</f>
        <v>Female</v>
      </c>
      <c r="P1128" s="1" t="str">
        <f ca="1">IFERROR(__xludf.DUMMYFUNCTION("""COMPUTED_VALUE"""),"Work &gt;=7 People in the Team")</f>
        <v>Work &gt;=7 People in the Team</v>
      </c>
      <c r="Q1128" s="1" t="str">
        <f ca="1">IFERROR(__xludf.DUMMYFUNCTION("""COMPUTED_VALUE"""),"Female")</f>
        <v>Female</v>
      </c>
    </row>
    <row r="1129" spans="13:17" x14ac:dyDescent="0.25">
      <c r="M1129" s="1"/>
      <c r="N1129" s="1" t="str">
        <f ca="1">IFERROR(__xludf.DUMMYFUNCTION("""COMPUTED_VALUE"""),"Male")</f>
        <v>Male</v>
      </c>
      <c r="P1129" s="1" t="str">
        <f ca="1">IFERROR(__xludf.DUMMYFUNCTION("""COMPUTED_VALUE"""),"Work &lt;=6 People in the Team")</f>
        <v>Work &lt;=6 People in the Team</v>
      </c>
      <c r="Q1129" s="1" t="str">
        <f ca="1">IFERROR(__xludf.DUMMYFUNCTION("""COMPUTED_VALUE"""),"Male")</f>
        <v>Male</v>
      </c>
    </row>
    <row r="1130" spans="13:17" x14ac:dyDescent="0.25">
      <c r="M1130" s="1"/>
      <c r="N1130" s="1" t="str">
        <f ca="1">IFERROR(__xludf.DUMMYFUNCTION("""COMPUTED_VALUE"""),"Female")</f>
        <v>Female</v>
      </c>
      <c r="P1130" s="1" t="str">
        <f ca="1">IFERROR(__xludf.DUMMYFUNCTION("""COMPUTED_VALUE"""),"Work &lt;=6 People in the Team")</f>
        <v>Work &lt;=6 People in the Team</v>
      </c>
      <c r="Q1130" s="1" t="str">
        <f ca="1">IFERROR(__xludf.DUMMYFUNCTION("""COMPUTED_VALUE"""),"Female")</f>
        <v>Female</v>
      </c>
    </row>
    <row r="1131" spans="13:17" x14ac:dyDescent="0.25">
      <c r="M1131" s="1"/>
      <c r="N1131" s="1" t="str">
        <f ca="1">IFERROR(__xludf.DUMMYFUNCTION("""COMPUTED_VALUE"""),"Female")</f>
        <v>Female</v>
      </c>
      <c r="P1131" s="1" t="str">
        <f ca="1">IFERROR(__xludf.DUMMYFUNCTION("""COMPUTED_VALUE"""),"Work &lt;=6 People in the Team")</f>
        <v>Work &lt;=6 People in the Team</v>
      </c>
      <c r="Q1131" s="1" t="str">
        <f ca="1">IFERROR(__xludf.DUMMYFUNCTION("""COMPUTED_VALUE"""),"Female")</f>
        <v>Female</v>
      </c>
    </row>
    <row r="1132" spans="13:17" x14ac:dyDescent="0.25">
      <c r="M1132" s="1"/>
      <c r="N1132" s="1" t="str">
        <f ca="1">IFERROR(__xludf.DUMMYFUNCTION("""COMPUTED_VALUE"""),"Male")</f>
        <v>Male</v>
      </c>
      <c r="P1132" s="1" t="str">
        <f ca="1">IFERROR(__xludf.DUMMYFUNCTION("""COMPUTED_VALUE"""),"Work &lt;=6 People in the Team")</f>
        <v>Work &lt;=6 People in the Team</v>
      </c>
      <c r="Q1132" s="1" t="str">
        <f ca="1">IFERROR(__xludf.DUMMYFUNCTION("""COMPUTED_VALUE"""),"Male")</f>
        <v>Male</v>
      </c>
    </row>
    <row r="1133" spans="13:17" x14ac:dyDescent="0.25">
      <c r="M1133" s="1"/>
      <c r="N1133" s="1" t="str">
        <f ca="1">IFERROR(__xludf.DUMMYFUNCTION("""COMPUTED_VALUE"""),"Female")</f>
        <v>Female</v>
      </c>
      <c r="P1133" s="1" t="str">
        <f ca="1">IFERROR(__xludf.DUMMYFUNCTION("""COMPUTED_VALUE"""),"Work &lt;=6 People in the Team")</f>
        <v>Work &lt;=6 People in the Team</v>
      </c>
      <c r="Q1133" s="1" t="str">
        <f ca="1">IFERROR(__xludf.DUMMYFUNCTION("""COMPUTED_VALUE"""),"Female")</f>
        <v>Female</v>
      </c>
    </row>
    <row r="1134" spans="13:17" x14ac:dyDescent="0.25">
      <c r="M1134" s="1"/>
      <c r="N1134" s="1" t="str">
        <f ca="1">IFERROR(__xludf.DUMMYFUNCTION("""COMPUTED_VALUE"""),"Female")</f>
        <v>Female</v>
      </c>
      <c r="P1134" s="1" t="str">
        <f ca="1">IFERROR(__xludf.DUMMYFUNCTION("""COMPUTED_VALUE"""),"Work &lt;=6 People in the Team")</f>
        <v>Work &lt;=6 People in the Team</v>
      </c>
      <c r="Q1134" s="1" t="str">
        <f ca="1">IFERROR(__xludf.DUMMYFUNCTION("""COMPUTED_VALUE"""),"Female")</f>
        <v>Female</v>
      </c>
    </row>
    <row r="1135" spans="13:17" x14ac:dyDescent="0.25">
      <c r="M1135" s="1"/>
      <c r="N1135" s="1" t="str">
        <f ca="1">IFERROR(__xludf.DUMMYFUNCTION("""COMPUTED_VALUE"""),"Male")</f>
        <v>Male</v>
      </c>
      <c r="P1135" s="1" t="str">
        <f ca="1">IFERROR(__xludf.DUMMYFUNCTION("""COMPUTED_VALUE"""),"Work &lt;=6 People in the Team")</f>
        <v>Work &lt;=6 People in the Team</v>
      </c>
      <c r="Q1135" s="1" t="str">
        <f ca="1">IFERROR(__xludf.DUMMYFUNCTION("""COMPUTED_VALUE"""),"Male")</f>
        <v>Male</v>
      </c>
    </row>
    <row r="1136" spans="13:17" x14ac:dyDescent="0.25">
      <c r="M1136" s="1"/>
      <c r="N1136" s="1" t="str">
        <f ca="1">IFERROR(__xludf.DUMMYFUNCTION("""COMPUTED_VALUE"""),"Female")</f>
        <v>Female</v>
      </c>
      <c r="P1136" s="1" t="str">
        <f ca="1">IFERROR(__xludf.DUMMYFUNCTION("""COMPUTED_VALUE"""),"Work alone")</f>
        <v>Work alone</v>
      </c>
      <c r="Q1136" s="1" t="str">
        <f ca="1">IFERROR(__xludf.DUMMYFUNCTION("""COMPUTED_VALUE"""),"Female")</f>
        <v>Female</v>
      </c>
    </row>
    <row r="1137" spans="13:17" x14ac:dyDescent="0.25">
      <c r="M1137" s="1"/>
      <c r="N1137" s="1" t="str">
        <f ca="1">IFERROR(__xludf.DUMMYFUNCTION("""COMPUTED_VALUE"""),"Female")</f>
        <v>Female</v>
      </c>
      <c r="P1137" s="1" t="str">
        <f ca="1">IFERROR(__xludf.DUMMYFUNCTION("""COMPUTED_VALUE"""),"Work &lt;=6 People in the Team")</f>
        <v>Work &lt;=6 People in the Team</v>
      </c>
      <c r="Q1137" s="1" t="str">
        <f ca="1">IFERROR(__xludf.DUMMYFUNCTION("""COMPUTED_VALUE"""),"Female")</f>
        <v>Female</v>
      </c>
    </row>
    <row r="1138" spans="13:17" x14ac:dyDescent="0.25">
      <c r="M1138" s="1"/>
      <c r="N1138" s="1" t="str">
        <f ca="1">IFERROR(__xludf.DUMMYFUNCTION("""COMPUTED_VALUE"""),"Male")</f>
        <v>Male</v>
      </c>
      <c r="P1138" s="1" t="str">
        <f ca="1">IFERROR(__xludf.DUMMYFUNCTION("""COMPUTED_VALUE"""),"Work Alone, &lt;67 people in team")</f>
        <v>Work Alone, &lt;67 people in team</v>
      </c>
      <c r="Q1138" s="1" t="str">
        <f ca="1">IFERROR(__xludf.DUMMYFUNCTION("""COMPUTED_VALUE"""),"Male")</f>
        <v>Male</v>
      </c>
    </row>
    <row r="1139" spans="13:17" x14ac:dyDescent="0.25">
      <c r="M1139" s="1"/>
      <c r="N1139" s="1" t="str">
        <f ca="1">IFERROR(__xludf.DUMMYFUNCTION("""COMPUTED_VALUE"""),"Male")</f>
        <v>Male</v>
      </c>
      <c r="P1139" s="1" t="str">
        <f ca="1">IFERROR(__xludf.DUMMYFUNCTION("""COMPUTED_VALUE"""),"Work &lt;=6 People in the Team")</f>
        <v>Work &lt;=6 People in the Team</v>
      </c>
      <c r="Q1139" s="1" t="str">
        <f ca="1">IFERROR(__xludf.DUMMYFUNCTION("""COMPUTED_VALUE"""),"Male")</f>
        <v>Male</v>
      </c>
    </row>
    <row r="1140" spans="13:17" x14ac:dyDescent="0.25">
      <c r="M1140" s="1"/>
      <c r="N1140" s="1" t="str">
        <f ca="1">IFERROR(__xludf.DUMMYFUNCTION("""COMPUTED_VALUE"""),"Female")</f>
        <v>Female</v>
      </c>
      <c r="P1140" s="1" t="str">
        <f ca="1">IFERROR(__xludf.DUMMYFUNCTION("""COMPUTED_VALUE"""),"Work &gt;10 people in Team")</f>
        <v>Work &gt;10 people in Team</v>
      </c>
      <c r="Q1140" s="1" t="str">
        <f ca="1">IFERROR(__xludf.DUMMYFUNCTION("""COMPUTED_VALUE"""),"Female")</f>
        <v>Female</v>
      </c>
    </row>
    <row r="1141" spans="13:17" x14ac:dyDescent="0.25">
      <c r="M1141" s="1"/>
      <c r="N1141" s="1" t="str">
        <f ca="1">IFERROR(__xludf.DUMMYFUNCTION("""COMPUTED_VALUE"""),"Female")</f>
        <v>Female</v>
      </c>
      <c r="P1141" s="1" t="str">
        <f ca="1">IFERROR(__xludf.DUMMYFUNCTION("""COMPUTED_VALUE"""),"Work &lt;=6 People in the Team")</f>
        <v>Work &lt;=6 People in the Team</v>
      </c>
      <c r="Q1141" s="1" t="str">
        <f ca="1">IFERROR(__xludf.DUMMYFUNCTION("""COMPUTED_VALUE"""),"Female")</f>
        <v>Female</v>
      </c>
    </row>
    <row r="1142" spans="13:17" x14ac:dyDescent="0.25">
      <c r="M1142" s="1"/>
      <c r="N1142" s="1" t="str">
        <f ca="1">IFERROR(__xludf.DUMMYFUNCTION("""COMPUTED_VALUE"""),"Female")</f>
        <v>Female</v>
      </c>
      <c r="P1142" s="1" t="str">
        <f ca="1">IFERROR(__xludf.DUMMYFUNCTION("""COMPUTED_VALUE"""),"Work &lt;=6 People in the Team")</f>
        <v>Work &lt;=6 People in the Team</v>
      </c>
      <c r="Q1142" s="1" t="str">
        <f ca="1">IFERROR(__xludf.DUMMYFUNCTION("""COMPUTED_VALUE"""),"Female")</f>
        <v>Female</v>
      </c>
    </row>
    <row r="1143" spans="13:17" x14ac:dyDescent="0.25">
      <c r="M1143" s="1"/>
      <c r="N1143" s="1" t="str">
        <f ca="1">IFERROR(__xludf.DUMMYFUNCTION("""COMPUTED_VALUE"""),"Male")</f>
        <v>Male</v>
      </c>
      <c r="P1143" s="1" t="str">
        <f ca="1">IFERROR(__xludf.DUMMYFUNCTION("""COMPUTED_VALUE"""),"Work alone")</f>
        <v>Work alone</v>
      </c>
      <c r="Q1143" s="1" t="str">
        <f ca="1">IFERROR(__xludf.DUMMYFUNCTION("""COMPUTED_VALUE"""),"Male")</f>
        <v>Male</v>
      </c>
    </row>
    <row r="1144" spans="13:17" x14ac:dyDescent="0.25">
      <c r="M1144" s="1"/>
      <c r="N1144" s="1" t="str">
        <f ca="1">IFERROR(__xludf.DUMMYFUNCTION("""COMPUTED_VALUE"""),"Male")</f>
        <v>Male</v>
      </c>
      <c r="P1144" s="1" t="str">
        <f ca="1">IFERROR(__xludf.DUMMYFUNCTION("""COMPUTED_VALUE"""),"Work &lt;=6 People in the Team")</f>
        <v>Work &lt;=6 People in the Team</v>
      </c>
      <c r="Q1144" s="1" t="str">
        <f ca="1">IFERROR(__xludf.DUMMYFUNCTION("""COMPUTED_VALUE"""),"Male")</f>
        <v>Male</v>
      </c>
    </row>
    <row r="1145" spans="13:17" x14ac:dyDescent="0.25">
      <c r="M1145" s="1"/>
      <c r="N1145" s="1" t="str">
        <f ca="1">IFERROR(__xludf.DUMMYFUNCTION("""COMPUTED_VALUE"""),"Female")</f>
        <v>Female</v>
      </c>
      <c r="P1145" s="1" t="str">
        <f ca="1">IFERROR(__xludf.DUMMYFUNCTION("""COMPUTED_VALUE"""),"Work &lt;=6 People in the Team")</f>
        <v>Work &lt;=6 People in the Team</v>
      </c>
      <c r="Q1145" s="1" t="str">
        <f ca="1">IFERROR(__xludf.DUMMYFUNCTION("""COMPUTED_VALUE"""),"Female")</f>
        <v>Female</v>
      </c>
    </row>
    <row r="1146" spans="13:17" x14ac:dyDescent="0.25">
      <c r="M1146" s="1"/>
      <c r="N1146" s="1" t="str">
        <f ca="1">IFERROR(__xludf.DUMMYFUNCTION("""COMPUTED_VALUE"""),"Female")</f>
        <v>Female</v>
      </c>
      <c r="P1146" s="1" t="str">
        <f ca="1">IFERROR(__xludf.DUMMYFUNCTION("""COMPUTED_VALUE"""),"Work &gt;10 people in Team")</f>
        <v>Work &gt;10 people in Team</v>
      </c>
      <c r="Q1146" s="1" t="str">
        <f ca="1">IFERROR(__xludf.DUMMYFUNCTION("""COMPUTED_VALUE"""),"Female")</f>
        <v>Female</v>
      </c>
    </row>
    <row r="1147" spans="13:17" x14ac:dyDescent="0.25">
      <c r="M1147" s="1"/>
      <c r="N1147" s="1" t="str">
        <f ca="1">IFERROR(__xludf.DUMMYFUNCTION("""COMPUTED_VALUE"""),"Male")</f>
        <v>Male</v>
      </c>
      <c r="P1147" s="1" t="str">
        <f ca="1">IFERROR(__xludf.DUMMYFUNCTION("""COMPUTED_VALUE"""),"Work Alone, &lt;=6 in team")</f>
        <v>Work Alone, &lt;=6 in team</v>
      </c>
      <c r="Q1147" s="1" t="str">
        <f ca="1">IFERROR(__xludf.DUMMYFUNCTION("""COMPUTED_VALUE"""),"Male")</f>
        <v>Male</v>
      </c>
    </row>
    <row r="1148" spans="13:17" x14ac:dyDescent="0.25">
      <c r="M1148" s="1"/>
      <c r="N1148" s="1" t="str">
        <f ca="1">IFERROR(__xludf.DUMMYFUNCTION("""COMPUTED_VALUE"""),"Female")</f>
        <v>Female</v>
      </c>
      <c r="P1148" s="1" t="str">
        <f ca="1">IFERROR(__xludf.DUMMYFUNCTION("""COMPUTED_VALUE"""),"Work &lt;=6 People in the Team")</f>
        <v>Work &lt;=6 People in the Team</v>
      </c>
      <c r="Q1148" s="1" t="str">
        <f ca="1">IFERROR(__xludf.DUMMYFUNCTION("""COMPUTED_VALUE"""),"Female")</f>
        <v>Female</v>
      </c>
    </row>
    <row r="1149" spans="13:17" x14ac:dyDescent="0.25">
      <c r="M1149" s="1"/>
      <c r="N1149" s="1" t="str">
        <f ca="1">IFERROR(__xludf.DUMMYFUNCTION("""COMPUTED_VALUE"""),"Female")</f>
        <v>Female</v>
      </c>
      <c r="P1149" s="1" t="str">
        <f ca="1">IFERROR(__xludf.DUMMYFUNCTION("""COMPUTED_VALUE"""),"Work &lt;=6 People in the Team")</f>
        <v>Work &lt;=6 People in the Team</v>
      </c>
      <c r="Q1149" s="1" t="str">
        <f ca="1">IFERROR(__xludf.DUMMYFUNCTION("""COMPUTED_VALUE"""),"Female")</f>
        <v>Female</v>
      </c>
    </row>
    <row r="1150" spans="13:17" x14ac:dyDescent="0.25">
      <c r="M1150" s="1"/>
      <c r="N1150" s="1" t="str">
        <f ca="1">IFERROR(__xludf.DUMMYFUNCTION("""COMPUTED_VALUE"""),"Female")</f>
        <v>Female</v>
      </c>
      <c r="P1150" s="1" t="str">
        <f ca="1">IFERROR(__xludf.DUMMYFUNCTION("""COMPUTED_VALUE"""),"Work &lt;=6 People in the Team")</f>
        <v>Work &lt;=6 People in the Team</v>
      </c>
      <c r="Q1150" s="1" t="str">
        <f ca="1">IFERROR(__xludf.DUMMYFUNCTION("""COMPUTED_VALUE"""),"Female")</f>
        <v>Female</v>
      </c>
    </row>
    <row r="1151" spans="13:17" x14ac:dyDescent="0.25">
      <c r="M1151" s="1"/>
      <c r="N1151" s="1" t="str">
        <f ca="1">IFERROR(__xludf.DUMMYFUNCTION("""COMPUTED_VALUE"""),"Male")</f>
        <v>Male</v>
      </c>
      <c r="P1151" s="1" t="str">
        <f ca="1">IFERROR(__xludf.DUMMYFUNCTION("""COMPUTED_VALUE"""),"Work &gt;=7 People in the Team")</f>
        <v>Work &gt;=7 People in the Team</v>
      </c>
      <c r="Q1151" s="1" t="str">
        <f ca="1">IFERROR(__xludf.DUMMYFUNCTION("""COMPUTED_VALUE"""),"Male")</f>
        <v>Male</v>
      </c>
    </row>
    <row r="1152" spans="13:17" x14ac:dyDescent="0.25">
      <c r="M1152" s="1"/>
      <c r="N1152" s="1" t="str">
        <f ca="1">IFERROR(__xludf.DUMMYFUNCTION("""COMPUTED_VALUE"""),"Male")</f>
        <v>Male</v>
      </c>
      <c r="P1152" s="1" t="str">
        <f ca="1">IFERROR(__xludf.DUMMYFUNCTION("""COMPUTED_VALUE"""),"Work &gt;10 people in Team")</f>
        <v>Work &gt;10 people in Team</v>
      </c>
      <c r="Q1152" s="1" t="str">
        <f ca="1">IFERROR(__xludf.DUMMYFUNCTION("""COMPUTED_VALUE"""),"Male")</f>
        <v>Male</v>
      </c>
    </row>
    <row r="1153" spans="13:17" x14ac:dyDescent="0.25">
      <c r="M1153" s="1"/>
      <c r="N1153" s="1" t="str">
        <f ca="1">IFERROR(__xludf.DUMMYFUNCTION("""COMPUTED_VALUE"""),"Female")</f>
        <v>Female</v>
      </c>
      <c r="P1153" s="1" t="str">
        <f ca="1">IFERROR(__xludf.DUMMYFUNCTION("""COMPUTED_VALUE"""),"Work &lt;=6 People in the Team")</f>
        <v>Work &lt;=6 People in the Team</v>
      </c>
      <c r="Q1153" s="1" t="str">
        <f ca="1">IFERROR(__xludf.DUMMYFUNCTION("""COMPUTED_VALUE"""),"Female")</f>
        <v>Female</v>
      </c>
    </row>
    <row r="1154" spans="13:17" x14ac:dyDescent="0.25">
      <c r="M1154" s="1"/>
      <c r="N1154" s="1" t="str">
        <f ca="1">IFERROR(__xludf.DUMMYFUNCTION("""COMPUTED_VALUE"""),"Male")</f>
        <v>Male</v>
      </c>
      <c r="P1154" s="1" t="str">
        <f ca="1">IFERROR(__xludf.DUMMYFUNCTION("""COMPUTED_VALUE"""),"Work &lt;=6 People in the Team")</f>
        <v>Work &lt;=6 People in the Team</v>
      </c>
      <c r="Q1154" s="1" t="str">
        <f ca="1">IFERROR(__xludf.DUMMYFUNCTION("""COMPUTED_VALUE"""),"Male")</f>
        <v>Male</v>
      </c>
    </row>
    <row r="1155" spans="13:17" x14ac:dyDescent="0.25">
      <c r="M1155" s="1"/>
      <c r="N1155" s="1" t="str">
        <f ca="1">IFERROR(__xludf.DUMMYFUNCTION("""COMPUTED_VALUE"""),"Male")</f>
        <v>Male</v>
      </c>
      <c r="P1155" s="1" t="str">
        <f ca="1">IFERROR(__xludf.DUMMYFUNCTION("""COMPUTED_VALUE"""),"Work &lt;=6 People in the Team")</f>
        <v>Work &lt;=6 People in the Team</v>
      </c>
      <c r="Q1155" s="1" t="str">
        <f ca="1">IFERROR(__xludf.DUMMYFUNCTION("""COMPUTED_VALUE"""),"Male")</f>
        <v>Male</v>
      </c>
    </row>
    <row r="1156" spans="13:17" x14ac:dyDescent="0.25">
      <c r="M1156" s="1"/>
      <c r="N1156" s="1" t="str">
        <f ca="1">IFERROR(__xludf.DUMMYFUNCTION("""COMPUTED_VALUE"""),"Female")</f>
        <v>Female</v>
      </c>
      <c r="P1156" s="1" t="str">
        <f ca="1">IFERROR(__xludf.DUMMYFUNCTION("""COMPUTED_VALUE"""),"Work &gt;10 people in Team")</f>
        <v>Work &gt;10 people in Team</v>
      </c>
      <c r="Q1156" s="1" t="str">
        <f ca="1">IFERROR(__xludf.DUMMYFUNCTION("""COMPUTED_VALUE"""),"Female")</f>
        <v>Female</v>
      </c>
    </row>
    <row r="1157" spans="13:17" x14ac:dyDescent="0.25">
      <c r="M1157" s="1"/>
      <c r="N1157" s="1" t="str">
        <f ca="1">IFERROR(__xludf.DUMMYFUNCTION("""COMPUTED_VALUE"""),"Female")</f>
        <v>Female</v>
      </c>
      <c r="P1157" s="1" t="str">
        <f ca="1">IFERROR(__xludf.DUMMYFUNCTION("""COMPUTED_VALUE"""),"Work &lt;=6 People in the Team")</f>
        <v>Work &lt;=6 People in the Team</v>
      </c>
      <c r="Q1157" s="1" t="str">
        <f ca="1">IFERROR(__xludf.DUMMYFUNCTION("""COMPUTED_VALUE"""),"Female")</f>
        <v>Female</v>
      </c>
    </row>
    <row r="1158" spans="13:17" x14ac:dyDescent="0.25">
      <c r="M1158" s="1"/>
      <c r="N1158" s="1" t="str">
        <f ca="1">IFERROR(__xludf.DUMMYFUNCTION("""COMPUTED_VALUE"""),"Male")</f>
        <v>Male</v>
      </c>
      <c r="P1158" s="1" t="str">
        <f ca="1">IFERROR(__xludf.DUMMYFUNCTION("""COMPUTED_VALUE"""),"Work &lt;=6 People in the Team")</f>
        <v>Work &lt;=6 People in the Team</v>
      </c>
      <c r="Q1158" s="1" t="str">
        <f ca="1">IFERROR(__xludf.DUMMYFUNCTION("""COMPUTED_VALUE"""),"Male")</f>
        <v>Male</v>
      </c>
    </row>
    <row r="1159" spans="13:17" x14ac:dyDescent="0.25">
      <c r="M1159" s="1"/>
      <c r="N1159" s="1" t="str">
        <f ca="1">IFERROR(__xludf.DUMMYFUNCTION("""COMPUTED_VALUE"""),"Male")</f>
        <v>Male</v>
      </c>
      <c r="P1159" s="1" t="str">
        <f ca="1">IFERROR(__xludf.DUMMYFUNCTION("""COMPUTED_VALUE"""),"Work &lt;=6 People in the Team")</f>
        <v>Work &lt;=6 People in the Team</v>
      </c>
      <c r="Q1159" s="1" t="str">
        <f ca="1">IFERROR(__xludf.DUMMYFUNCTION("""COMPUTED_VALUE"""),"Male")</f>
        <v>Male</v>
      </c>
    </row>
    <row r="1160" spans="13:17" x14ac:dyDescent="0.25">
      <c r="M1160" s="1"/>
      <c r="N1160" s="1" t="str">
        <f ca="1">IFERROR(__xludf.DUMMYFUNCTION("""COMPUTED_VALUE"""),"Male")</f>
        <v>Male</v>
      </c>
      <c r="P1160" s="1" t="str">
        <f ca="1">IFERROR(__xludf.DUMMYFUNCTION("""COMPUTED_VALUE"""),"Work &lt;=6 People in the Team")</f>
        <v>Work &lt;=6 People in the Team</v>
      </c>
      <c r="Q1160" s="1" t="str">
        <f ca="1">IFERROR(__xludf.DUMMYFUNCTION("""COMPUTED_VALUE"""),"Male")</f>
        <v>Male</v>
      </c>
    </row>
    <row r="1161" spans="13:17" x14ac:dyDescent="0.25">
      <c r="M1161" s="1"/>
      <c r="N1161" s="1" t="str">
        <f ca="1">IFERROR(__xludf.DUMMYFUNCTION("""COMPUTED_VALUE"""),"Female")</f>
        <v>Female</v>
      </c>
      <c r="P1161" s="1" t="str">
        <f ca="1">IFERROR(__xludf.DUMMYFUNCTION("""COMPUTED_VALUE"""),"Work &lt;=6 People in the Team")</f>
        <v>Work &lt;=6 People in the Team</v>
      </c>
      <c r="Q1161" s="1" t="str">
        <f ca="1">IFERROR(__xludf.DUMMYFUNCTION("""COMPUTED_VALUE"""),"Female")</f>
        <v>Female</v>
      </c>
    </row>
    <row r="1162" spans="13:17" x14ac:dyDescent="0.25">
      <c r="M1162" s="1"/>
      <c r="N1162" s="1" t="str">
        <f ca="1">IFERROR(__xludf.DUMMYFUNCTION("""COMPUTED_VALUE"""),"Male")</f>
        <v>Male</v>
      </c>
      <c r="P1162" s="1" t="str">
        <f ca="1">IFERROR(__xludf.DUMMYFUNCTION("""COMPUTED_VALUE"""),"Work &lt;=6 People in the Team")</f>
        <v>Work &lt;=6 People in the Team</v>
      </c>
      <c r="Q1162" s="1" t="str">
        <f ca="1">IFERROR(__xludf.DUMMYFUNCTION("""COMPUTED_VALUE"""),"Male")</f>
        <v>Male</v>
      </c>
    </row>
    <row r="1163" spans="13:17" x14ac:dyDescent="0.25">
      <c r="M1163" s="1"/>
      <c r="N1163" s="1" t="str">
        <f ca="1">IFERROR(__xludf.DUMMYFUNCTION("""COMPUTED_VALUE"""),"Female")</f>
        <v>Female</v>
      </c>
      <c r="P1163" s="1" t="str">
        <f ca="1">IFERROR(__xludf.DUMMYFUNCTION("""COMPUTED_VALUE"""),"Work alone")</f>
        <v>Work alone</v>
      </c>
      <c r="Q1163" s="1" t="str">
        <f ca="1">IFERROR(__xludf.DUMMYFUNCTION("""COMPUTED_VALUE"""),"Female")</f>
        <v>Female</v>
      </c>
    </row>
    <row r="1164" spans="13:17" x14ac:dyDescent="0.25">
      <c r="M1164" s="1"/>
      <c r="N1164" s="1" t="str">
        <f ca="1">IFERROR(__xludf.DUMMYFUNCTION("""COMPUTED_VALUE"""),"Female")</f>
        <v>Female</v>
      </c>
      <c r="P1164" s="1" t="str">
        <f ca="1">IFERROR(__xludf.DUMMYFUNCTION("""COMPUTED_VALUE"""),"Work Alone, &lt;67 people in team")</f>
        <v>Work Alone, &lt;67 people in team</v>
      </c>
      <c r="Q1164" s="1" t="str">
        <f ca="1">IFERROR(__xludf.DUMMYFUNCTION("""COMPUTED_VALUE"""),"Female")</f>
        <v>Female</v>
      </c>
    </row>
    <row r="1165" spans="13:17" x14ac:dyDescent="0.25">
      <c r="M1165" s="1"/>
      <c r="N1165" s="1" t="str">
        <f ca="1">IFERROR(__xludf.DUMMYFUNCTION("""COMPUTED_VALUE"""),"Female")</f>
        <v>Female</v>
      </c>
      <c r="P1165" s="1" t="str">
        <f ca="1">IFERROR(__xludf.DUMMYFUNCTION("""COMPUTED_VALUE"""),"Work &lt;=6 People in the Team")</f>
        <v>Work &lt;=6 People in the Team</v>
      </c>
      <c r="Q1165" s="1" t="str">
        <f ca="1">IFERROR(__xludf.DUMMYFUNCTION("""COMPUTED_VALUE"""),"Female")</f>
        <v>Female</v>
      </c>
    </row>
    <row r="1166" spans="13:17" x14ac:dyDescent="0.25">
      <c r="M1166" s="1"/>
      <c r="N1166" s="1" t="str">
        <f ca="1">IFERROR(__xludf.DUMMYFUNCTION("""COMPUTED_VALUE"""),"Female")</f>
        <v>Female</v>
      </c>
      <c r="P1166" s="1" t="str">
        <f ca="1">IFERROR(__xludf.DUMMYFUNCTION("""COMPUTED_VALUE"""),"Work &lt;=6 People in the Team")</f>
        <v>Work &lt;=6 People in the Team</v>
      </c>
      <c r="Q1166" s="1" t="str">
        <f ca="1">IFERROR(__xludf.DUMMYFUNCTION("""COMPUTED_VALUE"""),"Female")</f>
        <v>Female</v>
      </c>
    </row>
    <row r="1167" spans="13:17" x14ac:dyDescent="0.25">
      <c r="M1167" s="1"/>
      <c r="N1167" s="1" t="str">
        <f ca="1">IFERROR(__xludf.DUMMYFUNCTION("""COMPUTED_VALUE"""),"Male")</f>
        <v>Male</v>
      </c>
      <c r="P1167" s="1" t="str">
        <f ca="1">IFERROR(__xludf.DUMMYFUNCTION("""COMPUTED_VALUE"""),"Work &gt;=7 People in the Team")</f>
        <v>Work &gt;=7 People in the Team</v>
      </c>
      <c r="Q1167" s="1" t="str">
        <f ca="1">IFERROR(__xludf.DUMMYFUNCTION("""COMPUTED_VALUE"""),"Male")</f>
        <v>Male</v>
      </c>
    </row>
    <row r="1168" spans="13:17" x14ac:dyDescent="0.25">
      <c r="M1168" s="1"/>
      <c r="N1168" s="1" t="str">
        <f ca="1">IFERROR(__xludf.DUMMYFUNCTION("""COMPUTED_VALUE"""),"Female")</f>
        <v>Female</v>
      </c>
      <c r="P1168" s="1" t="str">
        <f ca="1">IFERROR(__xludf.DUMMYFUNCTION("""COMPUTED_VALUE"""),"Work &lt;=6 People in the Team")</f>
        <v>Work &lt;=6 People in the Team</v>
      </c>
      <c r="Q1168" s="1" t="str">
        <f ca="1">IFERROR(__xludf.DUMMYFUNCTION("""COMPUTED_VALUE"""),"Female")</f>
        <v>Female</v>
      </c>
    </row>
    <row r="1169" spans="13:17" x14ac:dyDescent="0.25">
      <c r="M1169" s="1"/>
      <c r="N1169" s="1" t="str">
        <f ca="1">IFERROR(__xludf.DUMMYFUNCTION("""COMPUTED_VALUE"""),"Male")</f>
        <v>Male</v>
      </c>
      <c r="P1169" s="1" t="str">
        <f ca="1">IFERROR(__xludf.DUMMYFUNCTION("""COMPUTED_VALUE"""),"Work &lt;=6 People in the Team")</f>
        <v>Work &lt;=6 People in the Team</v>
      </c>
      <c r="Q1169" s="1" t="str">
        <f ca="1">IFERROR(__xludf.DUMMYFUNCTION("""COMPUTED_VALUE"""),"Male")</f>
        <v>Male</v>
      </c>
    </row>
    <row r="1170" spans="13:17" x14ac:dyDescent="0.25">
      <c r="M1170" s="1"/>
      <c r="N1170" s="1" t="str">
        <f ca="1">IFERROR(__xludf.DUMMYFUNCTION("""COMPUTED_VALUE"""),"Male")</f>
        <v>Male</v>
      </c>
      <c r="P1170" s="1" t="str">
        <f ca="1">IFERROR(__xludf.DUMMYFUNCTION("""COMPUTED_VALUE"""),"Work alone")</f>
        <v>Work alone</v>
      </c>
      <c r="Q1170" s="1" t="str">
        <f ca="1">IFERROR(__xludf.DUMMYFUNCTION("""COMPUTED_VALUE"""),"Male")</f>
        <v>Male</v>
      </c>
    </row>
    <row r="1171" spans="13:17" x14ac:dyDescent="0.25">
      <c r="M1171" s="1"/>
      <c r="N1171" s="1" t="str">
        <f ca="1">IFERROR(__xludf.DUMMYFUNCTION("""COMPUTED_VALUE"""),"Male")</f>
        <v>Male</v>
      </c>
      <c r="P1171" s="1" t="str">
        <f ca="1">IFERROR(__xludf.DUMMYFUNCTION("""COMPUTED_VALUE"""),"Work &lt;=6 People in the Team")</f>
        <v>Work &lt;=6 People in the Team</v>
      </c>
      <c r="Q1171" s="1" t="str">
        <f ca="1">IFERROR(__xludf.DUMMYFUNCTION("""COMPUTED_VALUE"""),"Male")</f>
        <v>Male</v>
      </c>
    </row>
    <row r="1172" spans="13:17" x14ac:dyDescent="0.25">
      <c r="M1172" s="1"/>
      <c r="N1172" s="1" t="str">
        <f ca="1">IFERROR(__xludf.DUMMYFUNCTION("""COMPUTED_VALUE"""),"Female")</f>
        <v>Female</v>
      </c>
      <c r="P1172" s="1" t="str">
        <f ca="1">IFERROR(__xludf.DUMMYFUNCTION("""COMPUTED_VALUE"""),"Work &lt;=6 People in the Team")</f>
        <v>Work &lt;=6 People in the Team</v>
      </c>
      <c r="Q1172" s="1" t="str">
        <f ca="1">IFERROR(__xludf.DUMMYFUNCTION("""COMPUTED_VALUE"""),"Female")</f>
        <v>Female</v>
      </c>
    </row>
    <row r="1173" spans="13:17" x14ac:dyDescent="0.25">
      <c r="M1173" s="1"/>
      <c r="N1173" s="1" t="str">
        <f ca="1">IFERROR(__xludf.DUMMYFUNCTION("""COMPUTED_VALUE"""),"Male")</f>
        <v>Male</v>
      </c>
      <c r="P1173" s="1" t="str">
        <f ca="1">IFERROR(__xludf.DUMMYFUNCTION("""COMPUTED_VALUE"""),"Work Alone, &lt;=6 in team")</f>
        <v>Work Alone, &lt;=6 in team</v>
      </c>
      <c r="Q1173" s="1" t="str">
        <f ca="1">IFERROR(__xludf.DUMMYFUNCTION("""COMPUTED_VALUE"""),"Male")</f>
        <v>Male</v>
      </c>
    </row>
    <row r="1174" spans="13:17" x14ac:dyDescent="0.25">
      <c r="M1174" s="1"/>
      <c r="N1174" s="1" t="str">
        <f ca="1">IFERROR(__xludf.DUMMYFUNCTION("""COMPUTED_VALUE"""),"Male")</f>
        <v>Male</v>
      </c>
      <c r="P1174" s="1" t="str">
        <f ca="1">IFERROR(__xludf.DUMMYFUNCTION("""COMPUTED_VALUE"""),"Work Alone, &lt;=6 in team")</f>
        <v>Work Alone, &lt;=6 in team</v>
      </c>
      <c r="Q1174" s="1" t="str">
        <f ca="1">IFERROR(__xludf.DUMMYFUNCTION("""COMPUTED_VALUE"""),"Male")</f>
        <v>Male</v>
      </c>
    </row>
    <row r="1175" spans="13:17" x14ac:dyDescent="0.25">
      <c r="M1175" s="1"/>
      <c r="N1175" s="1" t="str">
        <f ca="1">IFERROR(__xludf.DUMMYFUNCTION("""COMPUTED_VALUE"""),"Male")</f>
        <v>Male</v>
      </c>
      <c r="P1175" s="1" t="str">
        <f ca="1">IFERROR(__xludf.DUMMYFUNCTION("""COMPUTED_VALUE"""),"Work &gt;=7 People in the Team")</f>
        <v>Work &gt;=7 People in the Team</v>
      </c>
      <c r="Q1175" s="1" t="str">
        <f ca="1">IFERROR(__xludf.DUMMYFUNCTION("""COMPUTED_VALUE"""),"Male")</f>
        <v>Male</v>
      </c>
    </row>
    <row r="1176" spans="13:17" x14ac:dyDescent="0.25">
      <c r="M1176" s="1"/>
      <c r="N1176" s="1" t="str">
        <f ca="1">IFERROR(__xludf.DUMMYFUNCTION("""COMPUTED_VALUE"""),"Male")</f>
        <v>Male</v>
      </c>
      <c r="P1176" s="1" t="str">
        <f ca="1">IFERROR(__xludf.DUMMYFUNCTION("""COMPUTED_VALUE"""),"Work &gt;10 people in Team")</f>
        <v>Work &gt;10 people in Team</v>
      </c>
      <c r="Q1176" s="1" t="str">
        <f ca="1">IFERROR(__xludf.DUMMYFUNCTION("""COMPUTED_VALUE"""),"Male")</f>
        <v>Male</v>
      </c>
    </row>
    <row r="1177" spans="13:17" x14ac:dyDescent="0.25">
      <c r="M1177" s="1"/>
      <c r="N1177" s="1" t="str">
        <f ca="1">IFERROR(__xludf.DUMMYFUNCTION("""COMPUTED_VALUE"""),"Male")</f>
        <v>Male</v>
      </c>
      <c r="P1177" s="1" t="str">
        <f ca="1">IFERROR(__xludf.DUMMYFUNCTION("""COMPUTED_VALUE"""),"Work &gt;10 people in Team")</f>
        <v>Work &gt;10 people in Team</v>
      </c>
      <c r="Q1177" s="1" t="str">
        <f ca="1">IFERROR(__xludf.DUMMYFUNCTION("""COMPUTED_VALUE"""),"Male")</f>
        <v>Male</v>
      </c>
    </row>
    <row r="1178" spans="13:17" x14ac:dyDescent="0.25">
      <c r="M1178" s="1"/>
      <c r="N1178" s="1" t="str">
        <f ca="1">IFERROR(__xludf.DUMMYFUNCTION("""COMPUTED_VALUE"""),"Female")</f>
        <v>Female</v>
      </c>
      <c r="P1178" s="1" t="str">
        <f ca="1">IFERROR(__xludf.DUMMYFUNCTION("""COMPUTED_VALUE"""),"Work &lt;=6 People in the Team")</f>
        <v>Work &lt;=6 People in the Team</v>
      </c>
      <c r="Q1178" s="1" t="str">
        <f ca="1">IFERROR(__xludf.DUMMYFUNCTION("""COMPUTED_VALUE"""),"Female")</f>
        <v>Female</v>
      </c>
    </row>
    <row r="1179" spans="13:17" x14ac:dyDescent="0.25">
      <c r="M1179" s="1"/>
      <c r="N1179" s="1" t="str">
        <f ca="1">IFERROR(__xludf.DUMMYFUNCTION("""COMPUTED_VALUE"""),"Male")</f>
        <v>Male</v>
      </c>
      <c r="P1179" s="1" t="str">
        <f ca="1">IFERROR(__xludf.DUMMYFUNCTION("""COMPUTED_VALUE"""),"Work &lt;=6 People in the Team")</f>
        <v>Work &lt;=6 People in the Team</v>
      </c>
      <c r="Q1179" s="1" t="str">
        <f ca="1">IFERROR(__xludf.DUMMYFUNCTION("""COMPUTED_VALUE"""),"Male")</f>
        <v>Male</v>
      </c>
    </row>
    <row r="1180" spans="13:17" x14ac:dyDescent="0.25">
      <c r="M1180" s="1"/>
      <c r="N1180" s="1" t="str">
        <f ca="1">IFERROR(__xludf.DUMMYFUNCTION("""COMPUTED_VALUE"""),"Male")</f>
        <v>Male</v>
      </c>
      <c r="P1180" s="1" t="str">
        <f ca="1">IFERROR(__xludf.DUMMYFUNCTION("""COMPUTED_VALUE"""),"Work &gt;10 people in Team")</f>
        <v>Work &gt;10 people in Team</v>
      </c>
      <c r="Q1180" s="1" t="str">
        <f ca="1">IFERROR(__xludf.DUMMYFUNCTION("""COMPUTED_VALUE"""),"Male")</f>
        <v>Male</v>
      </c>
    </row>
    <row r="1181" spans="13:17" x14ac:dyDescent="0.25">
      <c r="M1181" s="1"/>
      <c r="N1181" s="1" t="str">
        <f ca="1">IFERROR(__xludf.DUMMYFUNCTION("""COMPUTED_VALUE"""),"Male")</f>
        <v>Male</v>
      </c>
      <c r="P1181" s="1" t="str">
        <f ca="1">IFERROR(__xludf.DUMMYFUNCTION("""COMPUTED_VALUE"""),"Work alone")</f>
        <v>Work alone</v>
      </c>
      <c r="Q1181" s="1" t="str">
        <f ca="1">IFERROR(__xludf.DUMMYFUNCTION("""COMPUTED_VALUE"""),"Male")</f>
        <v>Male</v>
      </c>
    </row>
    <row r="1182" spans="13:17" x14ac:dyDescent="0.25">
      <c r="M1182" s="1"/>
      <c r="N1182" s="1" t="str">
        <f ca="1">IFERROR(__xludf.DUMMYFUNCTION("""COMPUTED_VALUE"""),"Male")</f>
        <v>Male</v>
      </c>
      <c r="P1182" s="1" t="str">
        <f ca="1">IFERROR(__xludf.DUMMYFUNCTION("""COMPUTED_VALUE"""),"Work &lt;=6 People in the Team")</f>
        <v>Work &lt;=6 People in the Team</v>
      </c>
      <c r="Q1182" s="1" t="str">
        <f ca="1">IFERROR(__xludf.DUMMYFUNCTION("""COMPUTED_VALUE"""),"Male")</f>
        <v>Male</v>
      </c>
    </row>
    <row r="1183" spans="13:17" x14ac:dyDescent="0.25">
      <c r="M1183" s="1"/>
      <c r="N1183" s="1" t="str">
        <f ca="1">IFERROR(__xludf.DUMMYFUNCTION("""COMPUTED_VALUE"""),"Female")</f>
        <v>Female</v>
      </c>
      <c r="P1183" s="1" t="str">
        <f ca="1">IFERROR(__xludf.DUMMYFUNCTION("""COMPUTED_VALUE"""),"Work Alone, &lt;=6 in team")</f>
        <v>Work Alone, &lt;=6 in team</v>
      </c>
      <c r="Q1183" s="1" t="str">
        <f ca="1">IFERROR(__xludf.DUMMYFUNCTION("""COMPUTED_VALUE"""),"Female")</f>
        <v>Female</v>
      </c>
    </row>
    <row r="1184" spans="13:17" x14ac:dyDescent="0.25">
      <c r="M1184" s="1"/>
      <c r="N1184" s="1" t="str">
        <f ca="1">IFERROR(__xludf.DUMMYFUNCTION("""COMPUTED_VALUE"""),"Male")</f>
        <v>Male</v>
      </c>
      <c r="P1184" s="1" t="str">
        <f ca="1">IFERROR(__xludf.DUMMYFUNCTION("""COMPUTED_VALUE"""),"Work Alone, &lt;=6 in team")</f>
        <v>Work Alone, &lt;=6 in team</v>
      </c>
      <c r="Q1184" s="1" t="str">
        <f ca="1">IFERROR(__xludf.DUMMYFUNCTION("""COMPUTED_VALUE"""),"Male")</f>
        <v>Male</v>
      </c>
    </row>
    <row r="1185" spans="13:17" x14ac:dyDescent="0.25">
      <c r="M1185" s="1"/>
      <c r="N1185" s="1" t="str">
        <f ca="1">IFERROR(__xludf.DUMMYFUNCTION("""COMPUTED_VALUE"""),"Male")</f>
        <v>Male</v>
      </c>
      <c r="P1185" s="1" t="str">
        <f ca="1">IFERROR(__xludf.DUMMYFUNCTION("""COMPUTED_VALUE"""),"Work &lt;=6 People in the Team")</f>
        <v>Work &lt;=6 People in the Team</v>
      </c>
      <c r="Q1185" s="1" t="str">
        <f ca="1">IFERROR(__xludf.DUMMYFUNCTION("""COMPUTED_VALUE"""),"Male")</f>
        <v>Male</v>
      </c>
    </row>
    <row r="1186" spans="13:17" x14ac:dyDescent="0.25">
      <c r="M1186" s="1"/>
      <c r="N1186" s="1" t="str">
        <f ca="1">IFERROR(__xludf.DUMMYFUNCTION("""COMPUTED_VALUE"""),"Male")</f>
        <v>Male</v>
      </c>
      <c r="P1186" s="1" t="str">
        <f ca="1">IFERROR(__xludf.DUMMYFUNCTION("""COMPUTED_VALUE"""),"Work Alone, &lt;=6 in team")</f>
        <v>Work Alone, &lt;=6 in team</v>
      </c>
      <c r="Q1186" s="1" t="str">
        <f ca="1">IFERROR(__xludf.DUMMYFUNCTION("""COMPUTED_VALUE"""),"Male")</f>
        <v>Male</v>
      </c>
    </row>
    <row r="1187" spans="13:17" x14ac:dyDescent="0.25">
      <c r="M1187" s="1"/>
      <c r="N1187" s="1" t="str">
        <f ca="1">IFERROR(__xludf.DUMMYFUNCTION("""COMPUTED_VALUE"""),"Male")</f>
        <v>Male</v>
      </c>
      <c r="P1187" s="1" t="str">
        <f ca="1">IFERROR(__xludf.DUMMYFUNCTION("""COMPUTED_VALUE"""),"Work &lt;=6 People in the Team")</f>
        <v>Work &lt;=6 People in the Team</v>
      </c>
      <c r="Q1187" s="1" t="str">
        <f ca="1">IFERROR(__xludf.DUMMYFUNCTION("""COMPUTED_VALUE"""),"Male")</f>
        <v>Male</v>
      </c>
    </row>
    <row r="1188" spans="13:17" x14ac:dyDescent="0.25">
      <c r="M1188" s="1"/>
      <c r="N1188" s="1" t="str">
        <f ca="1">IFERROR(__xludf.DUMMYFUNCTION("""COMPUTED_VALUE"""),"Male")</f>
        <v>Male</v>
      </c>
      <c r="P1188" s="1" t="str">
        <f ca="1">IFERROR(__xludf.DUMMYFUNCTION("""COMPUTED_VALUE"""),"Work &lt;=6 People in the Team")</f>
        <v>Work &lt;=6 People in the Team</v>
      </c>
      <c r="Q1188" s="1" t="str">
        <f ca="1">IFERROR(__xludf.DUMMYFUNCTION("""COMPUTED_VALUE"""),"Male")</f>
        <v>Male</v>
      </c>
    </row>
    <row r="1189" spans="13:17" x14ac:dyDescent="0.25">
      <c r="M1189" s="1"/>
      <c r="N1189" s="1" t="str">
        <f ca="1">IFERROR(__xludf.DUMMYFUNCTION("""COMPUTED_VALUE"""),"Female")</f>
        <v>Female</v>
      </c>
      <c r="P1189" s="1" t="str">
        <f ca="1">IFERROR(__xludf.DUMMYFUNCTION("""COMPUTED_VALUE"""),"Work &gt;=7 People in the Team")</f>
        <v>Work &gt;=7 People in the Team</v>
      </c>
      <c r="Q1189" s="1" t="str">
        <f ca="1">IFERROR(__xludf.DUMMYFUNCTION("""COMPUTED_VALUE"""),"Female")</f>
        <v>Female</v>
      </c>
    </row>
    <row r="1190" spans="13:17" x14ac:dyDescent="0.25">
      <c r="M1190" s="1"/>
      <c r="N1190" s="1" t="str">
        <f ca="1">IFERROR(__xludf.DUMMYFUNCTION("""COMPUTED_VALUE"""),"Male")</f>
        <v>Male</v>
      </c>
      <c r="P1190" s="1" t="str">
        <f ca="1">IFERROR(__xludf.DUMMYFUNCTION("""COMPUTED_VALUE"""),"Work &lt;=6 People in the Team")</f>
        <v>Work &lt;=6 People in the Team</v>
      </c>
      <c r="Q1190" s="1" t="str">
        <f ca="1">IFERROR(__xludf.DUMMYFUNCTION("""COMPUTED_VALUE"""),"Male")</f>
        <v>Male</v>
      </c>
    </row>
    <row r="1191" spans="13:17" x14ac:dyDescent="0.25">
      <c r="M1191" s="1"/>
      <c r="N1191" s="1" t="str">
        <f ca="1">IFERROR(__xludf.DUMMYFUNCTION("""COMPUTED_VALUE"""),"Male")</f>
        <v>Male</v>
      </c>
      <c r="P1191" s="1" t="str">
        <f ca="1">IFERROR(__xludf.DUMMYFUNCTION("""COMPUTED_VALUE"""),"Work &lt;=6 People in the Team")</f>
        <v>Work &lt;=6 People in the Team</v>
      </c>
      <c r="Q1191" s="1" t="str">
        <f ca="1">IFERROR(__xludf.DUMMYFUNCTION("""COMPUTED_VALUE"""),"Male")</f>
        <v>Male</v>
      </c>
    </row>
    <row r="1192" spans="13:17" x14ac:dyDescent="0.25">
      <c r="M1192" s="1"/>
      <c r="N1192" s="1" t="str">
        <f ca="1">IFERROR(__xludf.DUMMYFUNCTION("""COMPUTED_VALUE"""),"Female")</f>
        <v>Female</v>
      </c>
      <c r="P1192" s="1" t="str">
        <f ca="1">IFERROR(__xludf.DUMMYFUNCTION("""COMPUTED_VALUE"""),"Work &gt;10 people in Team")</f>
        <v>Work &gt;10 people in Team</v>
      </c>
      <c r="Q1192" s="1" t="str">
        <f ca="1">IFERROR(__xludf.DUMMYFUNCTION("""COMPUTED_VALUE"""),"Female")</f>
        <v>Female</v>
      </c>
    </row>
    <row r="1193" spans="13:17" x14ac:dyDescent="0.25">
      <c r="M1193" s="1"/>
      <c r="N1193" s="1" t="str">
        <f ca="1">IFERROR(__xludf.DUMMYFUNCTION("""COMPUTED_VALUE"""),"Male")</f>
        <v>Male</v>
      </c>
      <c r="P1193" s="1" t="str">
        <f ca="1">IFERROR(__xludf.DUMMYFUNCTION("""COMPUTED_VALUE"""),"Work &lt;=6 People in the Team")</f>
        <v>Work &lt;=6 People in the Team</v>
      </c>
      <c r="Q1193" s="1" t="str">
        <f ca="1">IFERROR(__xludf.DUMMYFUNCTION("""COMPUTED_VALUE"""),"Male")</f>
        <v>Male</v>
      </c>
    </row>
    <row r="1194" spans="13:17" x14ac:dyDescent="0.25">
      <c r="M1194" s="1"/>
      <c r="N1194" s="1" t="str">
        <f ca="1">IFERROR(__xludf.DUMMYFUNCTION("""COMPUTED_VALUE"""),"Male")</f>
        <v>Male</v>
      </c>
      <c r="P1194" s="1" t="str">
        <f ca="1">IFERROR(__xludf.DUMMYFUNCTION("""COMPUTED_VALUE"""),"Work &lt;=6 People in the Team")</f>
        <v>Work &lt;=6 People in the Team</v>
      </c>
      <c r="Q1194" s="1" t="str">
        <f ca="1">IFERROR(__xludf.DUMMYFUNCTION("""COMPUTED_VALUE"""),"Male")</f>
        <v>Male</v>
      </c>
    </row>
    <row r="1195" spans="13:17" x14ac:dyDescent="0.25">
      <c r="M1195" s="1"/>
      <c r="N1195" s="1" t="str">
        <f ca="1">IFERROR(__xludf.DUMMYFUNCTION("""COMPUTED_VALUE"""),"Male")</f>
        <v>Male</v>
      </c>
      <c r="P1195" s="1" t="str">
        <f ca="1">IFERROR(__xludf.DUMMYFUNCTION("""COMPUTED_VALUE"""),"Work &lt;=6 People in the Team")</f>
        <v>Work &lt;=6 People in the Team</v>
      </c>
      <c r="Q1195" s="1" t="str">
        <f ca="1">IFERROR(__xludf.DUMMYFUNCTION("""COMPUTED_VALUE"""),"Male")</f>
        <v>Male</v>
      </c>
    </row>
    <row r="1196" spans="13:17" x14ac:dyDescent="0.25">
      <c r="M1196" s="1"/>
      <c r="N1196" s="1" t="str">
        <f ca="1">IFERROR(__xludf.DUMMYFUNCTION("""COMPUTED_VALUE"""),"Male")</f>
        <v>Male</v>
      </c>
      <c r="P1196" s="1" t="str">
        <f ca="1">IFERROR(__xludf.DUMMYFUNCTION("""COMPUTED_VALUE"""),"Work &gt;10 people in Team")</f>
        <v>Work &gt;10 people in Team</v>
      </c>
      <c r="Q1196" s="1" t="str">
        <f ca="1">IFERROR(__xludf.DUMMYFUNCTION("""COMPUTED_VALUE"""),"Male")</f>
        <v>Male</v>
      </c>
    </row>
    <row r="1197" spans="13:17" x14ac:dyDescent="0.25">
      <c r="M1197" s="1"/>
      <c r="N1197" s="1" t="str">
        <f ca="1">IFERROR(__xludf.DUMMYFUNCTION("""COMPUTED_VALUE"""),"Male")</f>
        <v>Male</v>
      </c>
      <c r="P1197" s="1" t="str">
        <f ca="1">IFERROR(__xludf.DUMMYFUNCTION("""COMPUTED_VALUE"""),"Work &lt;=6 People in the Team")</f>
        <v>Work &lt;=6 People in the Team</v>
      </c>
      <c r="Q1197" s="1" t="str">
        <f ca="1">IFERROR(__xludf.DUMMYFUNCTION("""COMPUTED_VALUE"""),"Male")</f>
        <v>Male</v>
      </c>
    </row>
    <row r="1198" spans="13:17" x14ac:dyDescent="0.25">
      <c r="M1198" s="1"/>
      <c r="N1198" s="1" t="str">
        <f ca="1">IFERROR(__xludf.DUMMYFUNCTION("""COMPUTED_VALUE"""),"Male")</f>
        <v>Male</v>
      </c>
      <c r="P1198" s="1" t="str">
        <f ca="1">IFERROR(__xludf.DUMMYFUNCTION("""COMPUTED_VALUE"""),"Work &lt;=6 People in the Team")</f>
        <v>Work &lt;=6 People in the Team</v>
      </c>
      <c r="Q1198" s="1" t="str">
        <f ca="1">IFERROR(__xludf.DUMMYFUNCTION("""COMPUTED_VALUE"""),"Male")</f>
        <v>Male</v>
      </c>
    </row>
    <row r="1199" spans="13:17" x14ac:dyDescent="0.25">
      <c r="M1199" s="1"/>
      <c r="N1199" s="1" t="str">
        <f ca="1">IFERROR(__xludf.DUMMYFUNCTION("""COMPUTED_VALUE"""),"Male")</f>
        <v>Male</v>
      </c>
      <c r="P1199" s="1" t="str">
        <f ca="1">IFERROR(__xludf.DUMMYFUNCTION("""COMPUTED_VALUE"""),"Work &gt;10 people in Team")</f>
        <v>Work &gt;10 people in Team</v>
      </c>
      <c r="Q1199" s="1" t="str">
        <f ca="1">IFERROR(__xludf.DUMMYFUNCTION("""COMPUTED_VALUE"""),"Male")</f>
        <v>Male</v>
      </c>
    </row>
    <row r="1200" spans="13:17" x14ac:dyDescent="0.25">
      <c r="M1200" s="1"/>
      <c r="N1200" s="1" t="str">
        <f ca="1">IFERROR(__xludf.DUMMYFUNCTION("""COMPUTED_VALUE"""),"Male")</f>
        <v>Male</v>
      </c>
      <c r="P1200" s="1" t="str">
        <f ca="1">IFERROR(__xludf.DUMMYFUNCTION("""COMPUTED_VALUE"""),"Work &lt;=6 People in the Team")</f>
        <v>Work &lt;=6 People in the Team</v>
      </c>
      <c r="Q1200" s="1" t="str">
        <f ca="1">IFERROR(__xludf.DUMMYFUNCTION("""COMPUTED_VALUE"""),"Male")</f>
        <v>Male</v>
      </c>
    </row>
    <row r="1201" spans="13:17" x14ac:dyDescent="0.25">
      <c r="M1201" s="1"/>
      <c r="N1201" s="1" t="str">
        <f ca="1">IFERROR(__xludf.DUMMYFUNCTION("""COMPUTED_VALUE"""),"Male")</f>
        <v>Male</v>
      </c>
      <c r="P1201" s="1" t="str">
        <f ca="1">IFERROR(__xludf.DUMMYFUNCTION("""COMPUTED_VALUE"""),"Work &gt;10 people in Team")</f>
        <v>Work &gt;10 people in Team</v>
      </c>
      <c r="Q1201" s="1" t="str">
        <f ca="1">IFERROR(__xludf.DUMMYFUNCTION("""COMPUTED_VALUE"""),"Male")</f>
        <v>Male</v>
      </c>
    </row>
    <row r="1202" spans="13:17" x14ac:dyDescent="0.25">
      <c r="M1202" s="1"/>
      <c r="N1202" s="1" t="str">
        <f ca="1">IFERROR(__xludf.DUMMYFUNCTION("""COMPUTED_VALUE"""),"Male")</f>
        <v>Male</v>
      </c>
      <c r="P1202" s="1" t="str">
        <f ca="1">IFERROR(__xludf.DUMMYFUNCTION("""COMPUTED_VALUE"""),"Work &lt;=6 People in the Team")</f>
        <v>Work &lt;=6 People in the Team</v>
      </c>
      <c r="Q1202" s="1" t="str">
        <f ca="1">IFERROR(__xludf.DUMMYFUNCTION("""COMPUTED_VALUE"""),"Male")</f>
        <v>Male</v>
      </c>
    </row>
    <row r="1203" spans="13:17" x14ac:dyDescent="0.25">
      <c r="M1203" s="1"/>
      <c r="N1203" s="1" t="str">
        <f ca="1">IFERROR(__xludf.DUMMYFUNCTION("""COMPUTED_VALUE"""),"Female")</f>
        <v>Female</v>
      </c>
      <c r="P1203" s="1" t="str">
        <f ca="1">IFERROR(__xludf.DUMMYFUNCTION("""COMPUTED_VALUE"""),"Work &lt;67 People in the Team")</f>
        <v>Work &lt;67 People in the Team</v>
      </c>
      <c r="Q1203" s="1" t="str">
        <f ca="1">IFERROR(__xludf.DUMMYFUNCTION("""COMPUTED_VALUE"""),"Female")</f>
        <v>Female</v>
      </c>
    </row>
    <row r="1204" spans="13:17" x14ac:dyDescent="0.25">
      <c r="M1204" s="1"/>
      <c r="N1204" s="1" t="str">
        <f ca="1">IFERROR(__xludf.DUMMYFUNCTION("""COMPUTED_VALUE"""),"Female")</f>
        <v>Female</v>
      </c>
      <c r="P1204" s="1" t="str">
        <f ca="1">IFERROR(__xludf.DUMMYFUNCTION("""COMPUTED_VALUE"""),"Work &lt;=6 People in the Team")</f>
        <v>Work &lt;=6 People in the Team</v>
      </c>
      <c r="Q1204" s="1" t="str">
        <f ca="1">IFERROR(__xludf.DUMMYFUNCTION("""COMPUTED_VALUE"""),"Female")</f>
        <v>Female</v>
      </c>
    </row>
    <row r="1205" spans="13:17" x14ac:dyDescent="0.25">
      <c r="M1205" s="1"/>
      <c r="N1205" s="1" t="str">
        <f ca="1">IFERROR(__xludf.DUMMYFUNCTION("""COMPUTED_VALUE"""),"Male")</f>
        <v>Male</v>
      </c>
      <c r="P1205" s="1" t="str">
        <f ca="1">IFERROR(__xludf.DUMMYFUNCTION("""COMPUTED_VALUE"""),"Work &lt;=6 People in the Team")</f>
        <v>Work &lt;=6 People in the Team</v>
      </c>
      <c r="Q1205" s="1" t="str">
        <f ca="1">IFERROR(__xludf.DUMMYFUNCTION("""COMPUTED_VALUE"""),"Male")</f>
        <v>Male</v>
      </c>
    </row>
    <row r="1206" spans="13:17" x14ac:dyDescent="0.25">
      <c r="M1206" s="1"/>
      <c r="N1206" s="1" t="str">
        <f ca="1">IFERROR(__xludf.DUMMYFUNCTION("""COMPUTED_VALUE"""),"Female")</f>
        <v>Female</v>
      </c>
      <c r="P1206" s="1" t="str">
        <f ca="1">IFERROR(__xludf.DUMMYFUNCTION("""COMPUTED_VALUE"""),"Work &gt;10 people in Team")</f>
        <v>Work &gt;10 people in Team</v>
      </c>
      <c r="Q1206" s="1" t="str">
        <f ca="1">IFERROR(__xludf.DUMMYFUNCTION("""COMPUTED_VALUE"""),"Female")</f>
        <v>Female</v>
      </c>
    </row>
    <row r="1207" spans="13:17" x14ac:dyDescent="0.25">
      <c r="M1207" s="1"/>
      <c r="N1207" s="1" t="str">
        <f ca="1">IFERROR(__xludf.DUMMYFUNCTION("""COMPUTED_VALUE"""),"Male")</f>
        <v>Male</v>
      </c>
      <c r="P1207" s="1" t="str">
        <f ca="1">IFERROR(__xludf.DUMMYFUNCTION("""COMPUTED_VALUE"""),"Work &lt;=6 People in the Team")</f>
        <v>Work &lt;=6 People in the Team</v>
      </c>
      <c r="Q1207" s="1" t="str">
        <f ca="1">IFERROR(__xludf.DUMMYFUNCTION("""COMPUTED_VALUE"""),"Male")</f>
        <v>Male</v>
      </c>
    </row>
    <row r="1208" spans="13:17" x14ac:dyDescent="0.25">
      <c r="M1208" s="1"/>
      <c r="N1208" s="1" t="str">
        <f ca="1">IFERROR(__xludf.DUMMYFUNCTION("""COMPUTED_VALUE"""),"Female")</f>
        <v>Female</v>
      </c>
      <c r="P1208" s="1" t="str">
        <f ca="1">IFERROR(__xludf.DUMMYFUNCTION("""COMPUTED_VALUE"""),"Work Alone, &lt;=6 in team")</f>
        <v>Work Alone, &lt;=6 in team</v>
      </c>
      <c r="Q1208" s="1" t="str">
        <f ca="1">IFERROR(__xludf.DUMMYFUNCTION("""COMPUTED_VALUE"""),"Female")</f>
        <v>Female</v>
      </c>
    </row>
    <row r="1209" spans="13:17" x14ac:dyDescent="0.25">
      <c r="M1209" s="1"/>
      <c r="N1209" s="1" t="str">
        <f ca="1">IFERROR(__xludf.DUMMYFUNCTION("""COMPUTED_VALUE"""),"Male")</f>
        <v>Male</v>
      </c>
      <c r="P1209" s="1" t="str">
        <f ca="1">IFERROR(__xludf.DUMMYFUNCTION("""COMPUTED_VALUE"""),"Work &gt;10 people in Team")</f>
        <v>Work &gt;10 people in Team</v>
      </c>
      <c r="Q1209" s="1" t="str">
        <f ca="1">IFERROR(__xludf.DUMMYFUNCTION("""COMPUTED_VALUE"""),"Male")</f>
        <v>Male</v>
      </c>
    </row>
    <row r="1210" spans="13:17" x14ac:dyDescent="0.25">
      <c r="M1210" s="1"/>
      <c r="N1210" s="1" t="str">
        <f ca="1">IFERROR(__xludf.DUMMYFUNCTION("""COMPUTED_VALUE"""),"Female")</f>
        <v>Female</v>
      </c>
      <c r="P1210" s="1" t="str">
        <f ca="1">IFERROR(__xludf.DUMMYFUNCTION("""COMPUTED_VALUE"""),"Work &lt;=6 People in the Team")</f>
        <v>Work &lt;=6 People in the Team</v>
      </c>
      <c r="Q1210" s="1" t="str">
        <f ca="1">IFERROR(__xludf.DUMMYFUNCTION("""COMPUTED_VALUE"""),"Female")</f>
        <v>Female</v>
      </c>
    </row>
    <row r="1211" spans="13:17" x14ac:dyDescent="0.25">
      <c r="M1211" s="1"/>
      <c r="N1211" s="1" t="str">
        <f ca="1">IFERROR(__xludf.DUMMYFUNCTION("""COMPUTED_VALUE"""),"Male")</f>
        <v>Male</v>
      </c>
      <c r="P1211" s="1" t="str">
        <f ca="1">IFERROR(__xludf.DUMMYFUNCTION("""COMPUTED_VALUE"""),"Work &lt;=6 People in the Team")</f>
        <v>Work &lt;=6 People in the Team</v>
      </c>
      <c r="Q1211" s="1" t="str">
        <f ca="1">IFERROR(__xludf.DUMMYFUNCTION("""COMPUTED_VALUE"""),"Male")</f>
        <v>Male</v>
      </c>
    </row>
    <row r="1212" spans="13:17" x14ac:dyDescent="0.25">
      <c r="M1212" s="1"/>
      <c r="N1212" s="1" t="str">
        <f ca="1">IFERROR(__xludf.DUMMYFUNCTION("""COMPUTED_VALUE"""),"Female")</f>
        <v>Female</v>
      </c>
      <c r="P1212" s="1" t="str">
        <f ca="1">IFERROR(__xludf.DUMMYFUNCTION("""COMPUTED_VALUE"""),"Work Alone, &lt;67 people in team")</f>
        <v>Work Alone, &lt;67 people in team</v>
      </c>
      <c r="Q1212" s="1" t="str">
        <f ca="1">IFERROR(__xludf.DUMMYFUNCTION("""COMPUTED_VALUE"""),"Female")</f>
        <v>Female</v>
      </c>
    </row>
    <row r="1213" spans="13:17" x14ac:dyDescent="0.25">
      <c r="M1213" s="1"/>
      <c r="N1213" s="1" t="str">
        <f ca="1">IFERROR(__xludf.DUMMYFUNCTION("""COMPUTED_VALUE"""),"Female")</f>
        <v>Female</v>
      </c>
      <c r="P1213" s="1" t="str">
        <f ca="1">IFERROR(__xludf.DUMMYFUNCTION("""COMPUTED_VALUE"""),"Work &gt;=7 People in the Team")</f>
        <v>Work &gt;=7 People in the Team</v>
      </c>
      <c r="Q1213" s="1" t="str">
        <f ca="1">IFERROR(__xludf.DUMMYFUNCTION("""COMPUTED_VALUE"""),"Female")</f>
        <v>Female</v>
      </c>
    </row>
    <row r="1214" spans="13:17" x14ac:dyDescent="0.25">
      <c r="M1214" s="1"/>
      <c r="N1214" s="1" t="str">
        <f ca="1">IFERROR(__xludf.DUMMYFUNCTION("""COMPUTED_VALUE"""),"Female")</f>
        <v>Female</v>
      </c>
      <c r="P1214" s="1" t="str">
        <f ca="1">IFERROR(__xludf.DUMMYFUNCTION("""COMPUTED_VALUE"""),"Work &lt;=6 People in the Team")</f>
        <v>Work &lt;=6 People in the Team</v>
      </c>
      <c r="Q1214" s="1" t="str">
        <f ca="1">IFERROR(__xludf.DUMMYFUNCTION("""COMPUTED_VALUE"""),"Female")</f>
        <v>Female</v>
      </c>
    </row>
    <row r="1215" spans="13:17" x14ac:dyDescent="0.25">
      <c r="M1215" s="1"/>
      <c r="N1215" s="1" t="str">
        <f ca="1">IFERROR(__xludf.DUMMYFUNCTION("""COMPUTED_VALUE"""),"Female")</f>
        <v>Female</v>
      </c>
      <c r="P1215" s="1" t="str">
        <f ca="1">IFERROR(__xludf.DUMMYFUNCTION("""COMPUTED_VALUE"""),"Work &gt;=7 People in the Team")</f>
        <v>Work &gt;=7 People in the Team</v>
      </c>
      <c r="Q1215" s="1" t="str">
        <f ca="1">IFERROR(__xludf.DUMMYFUNCTION("""COMPUTED_VALUE"""),"Female")</f>
        <v>Female</v>
      </c>
    </row>
    <row r="1216" spans="13:17" x14ac:dyDescent="0.25">
      <c r="M1216" s="1"/>
      <c r="N1216" s="1" t="str">
        <f ca="1">IFERROR(__xludf.DUMMYFUNCTION("""COMPUTED_VALUE"""),"Male")</f>
        <v>Male</v>
      </c>
      <c r="P1216" s="1" t="str">
        <f ca="1">IFERROR(__xludf.DUMMYFUNCTION("""COMPUTED_VALUE"""),"Work Alone, &lt;=6 in team")</f>
        <v>Work Alone, &lt;=6 in team</v>
      </c>
      <c r="Q1216" s="1" t="str">
        <f ca="1">IFERROR(__xludf.DUMMYFUNCTION("""COMPUTED_VALUE"""),"Male")</f>
        <v>Male</v>
      </c>
    </row>
    <row r="1217" spans="13:17" x14ac:dyDescent="0.25">
      <c r="M1217" s="1"/>
      <c r="N1217" s="1" t="str">
        <f ca="1">IFERROR(__xludf.DUMMYFUNCTION("""COMPUTED_VALUE"""),"Male")</f>
        <v>Male</v>
      </c>
      <c r="P1217" s="1" t="str">
        <f ca="1">IFERROR(__xludf.DUMMYFUNCTION("""COMPUTED_VALUE"""),"Work &lt;=6 People in the Team")</f>
        <v>Work &lt;=6 People in the Team</v>
      </c>
      <c r="Q1217" s="1" t="str">
        <f ca="1">IFERROR(__xludf.DUMMYFUNCTION("""COMPUTED_VALUE"""),"Male")</f>
        <v>Male</v>
      </c>
    </row>
    <row r="1218" spans="13:17" x14ac:dyDescent="0.25">
      <c r="M1218" s="1"/>
      <c r="N1218" s="1" t="str">
        <f ca="1">IFERROR(__xludf.DUMMYFUNCTION("""COMPUTED_VALUE"""),"Female")</f>
        <v>Female</v>
      </c>
      <c r="P1218" s="1" t="str">
        <f ca="1">IFERROR(__xludf.DUMMYFUNCTION("""COMPUTED_VALUE"""),"Work &lt;=6 People in the Team")</f>
        <v>Work &lt;=6 People in the Team</v>
      </c>
      <c r="Q1218" s="1" t="str">
        <f ca="1">IFERROR(__xludf.DUMMYFUNCTION("""COMPUTED_VALUE"""),"Female")</f>
        <v>Female</v>
      </c>
    </row>
    <row r="1219" spans="13:17" x14ac:dyDescent="0.25">
      <c r="M1219" s="1"/>
      <c r="N1219" s="1" t="str">
        <f ca="1">IFERROR(__xludf.DUMMYFUNCTION("""COMPUTED_VALUE"""),"Female")</f>
        <v>Female</v>
      </c>
      <c r="P1219" s="1" t="str">
        <f ca="1">IFERROR(__xludf.DUMMYFUNCTION("""COMPUTED_VALUE"""),"Work &lt;=6 People in the Team")</f>
        <v>Work &lt;=6 People in the Team</v>
      </c>
      <c r="Q1219" s="1" t="str">
        <f ca="1">IFERROR(__xludf.DUMMYFUNCTION("""COMPUTED_VALUE"""),"Female")</f>
        <v>Female</v>
      </c>
    </row>
    <row r="1220" spans="13:17" x14ac:dyDescent="0.25">
      <c r="M1220" s="1"/>
      <c r="N1220" s="1" t="str">
        <f ca="1">IFERROR(__xludf.DUMMYFUNCTION("""COMPUTED_VALUE"""),"Male")</f>
        <v>Male</v>
      </c>
      <c r="P1220" s="1" t="str">
        <f ca="1">IFERROR(__xludf.DUMMYFUNCTION("""COMPUTED_VALUE"""),"Work Alone, &lt;67 people in team")</f>
        <v>Work Alone, &lt;67 people in team</v>
      </c>
      <c r="Q1220" s="1" t="str">
        <f ca="1">IFERROR(__xludf.DUMMYFUNCTION("""COMPUTED_VALUE"""),"Male")</f>
        <v>Male</v>
      </c>
    </row>
    <row r="1221" spans="13:17" x14ac:dyDescent="0.25">
      <c r="M1221" s="1"/>
      <c r="N1221" s="1" t="str">
        <f ca="1">IFERROR(__xludf.DUMMYFUNCTION("""COMPUTED_VALUE"""),"Female")</f>
        <v>Female</v>
      </c>
      <c r="P1221" s="1" t="str">
        <f ca="1">IFERROR(__xludf.DUMMYFUNCTION("""COMPUTED_VALUE"""),"Work &gt;10 people in Team")</f>
        <v>Work &gt;10 people in Team</v>
      </c>
      <c r="Q1221" s="1" t="str">
        <f ca="1">IFERROR(__xludf.DUMMYFUNCTION("""COMPUTED_VALUE"""),"Female")</f>
        <v>Female</v>
      </c>
    </row>
    <row r="1222" spans="13:17" x14ac:dyDescent="0.25">
      <c r="M1222" s="1"/>
      <c r="N1222" s="1" t="str">
        <f ca="1">IFERROR(__xludf.DUMMYFUNCTION("""COMPUTED_VALUE"""),"Male")</f>
        <v>Male</v>
      </c>
      <c r="P1222" s="1" t="str">
        <f ca="1">IFERROR(__xludf.DUMMYFUNCTION("""COMPUTED_VALUE"""),"Work Alone, &lt;=6 in team")</f>
        <v>Work Alone, &lt;=6 in team</v>
      </c>
      <c r="Q1222" s="1" t="str">
        <f ca="1">IFERROR(__xludf.DUMMYFUNCTION("""COMPUTED_VALUE"""),"Male")</f>
        <v>Male</v>
      </c>
    </row>
    <row r="1223" spans="13:17" x14ac:dyDescent="0.25">
      <c r="M1223" s="1"/>
      <c r="N1223" s="1" t="str">
        <f ca="1">IFERROR(__xludf.DUMMYFUNCTION("""COMPUTED_VALUE"""),"Male")</f>
        <v>Male</v>
      </c>
      <c r="P1223" s="1" t="str">
        <f ca="1">IFERROR(__xludf.DUMMYFUNCTION("""COMPUTED_VALUE"""),"Work &lt;=6 People in the Team")</f>
        <v>Work &lt;=6 People in the Team</v>
      </c>
      <c r="Q1223" s="1" t="str">
        <f ca="1">IFERROR(__xludf.DUMMYFUNCTION("""COMPUTED_VALUE"""),"Male")</f>
        <v>Male</v>
      </c>
    </row>
    <row r="1224" spans="13:17" x14ac:dyDescent="0.25">
      <c r="M1224" s="1"/>
      <c r="N1224" s="1" t="str">
        <f ca="1">IFERROR(__xludf.DUMMYFUNCTION("""COMPUTED_VALUE"""),"Female")</f>
        <v>Female</v>
      </c>
      <c r="P1224" s="1" t="str">
        <f ca="1">IFERROR(__xludf.DUMMYFUNCTION("""COMPUTED_VALUE"""),"Work &gt;=7 People in the Team")</f>
        <v>Work &gt;=7 People in the Team</v>
      </c>
      <c r="Q1224" s="1" t="str">
        <f ca="1">IFERROR(__xludf.DUMMYFUNCTION("""COMPUTED_VALUE"""),"Female")</f>
        <v>Female</v>
      </c>
    </row>
    <row r="1225" spans="13:17" x14ac:dyDescent="0.25">
      <c r="M1225" s="1"/>
      <c r="N1225" s="1" t="str">
        <f ca="1">IFERROR(__xludf.DUMMYFUNCTION("""COMPUTED_VALUE"""),"Female")</f>
        <v>Female</v>
      </c>
      <c r="P1225" s="1" t="str">
        <f ca="1">IFERROR(__xludf.DUMMYFUNCTION("""COMPUTED_VALUE"""),"Work &lt;=6 People in the Team")</f>
        <v>Work &lt;=6 People in the Team</v>
      </c>
      <c r="Q1225" s="1" t="str">
        <f ca="1">IFERROR(__xludf.DUMMYFUNCTION("""COMPUTED_VALUE"""),"Female")</f>
        <v>Female</v>
      </c>
    </row>
    <row r="1226" spans="13:17" x14ac:dyDescent="0.25">
      <c r="M1226" s="1"/>
      <c r="N1226" s="1" t="str">
        <f ca="1">IFERROR(__xludf.DUMMYFUNCTION("""COMPUTED_VALUE"""),"Male")</f>
        <v>Male</v>
      </c>
      <c r="P1226" s="1" t="str">
        <f ca="1">IFERROR(__xludf.DUMMYFUNCTION("""COMPUTED_VALUE"""),"Work &lt;=6 People in the Team")</f>
        <v>Work &lt;=6 People in the Team</v>
      </c>
      <c r="Q1226" s="1" t="str">
        <f ca="1">IFERROR(__xludf.DUMMYFUNCTION("""COMPUTED_VALUE"""),"Male")</f>
        <v>Male</v>
      </c>
    </row>
    <row r="1227" spans="13:17" x14ac:dyDescent="0.25">
      <c r="M1227" s="1"/>
      <c r="N1227" s="1" t="str">
        <f ca="1">IFERROR(__xludf.DUMMYFUNCTION("""COMPUTED_VALUE"""),"Male")</f>
        <v>Male</v>
      </c>
      <c r="P1227" s="1" t="str">
        <f ca="1">IFERROR(__xludf.DUMMYFUNCTION("""COMPUTED_VALUE"""),"Work &lt;=6 People in the Team")</f>
        <v>Work &lt;=6 People in the Team</v>
      </c>
      <c r="Q1227" s="1" t="str">
        <f ca="1">IFERROR(__xludf.DUMMYFUNCTION("""COMPUTED_VALUE"""),"Male")</f>
        <v>Male</v>
      </c>
    </row>
    <row r="1228" spans="13:17" x14ac:dyDescent="0.25">
      <c r="M1228" s="1"/>
      <c r="N1228" s="1" t="str">
        <f ca="1">IFERROR(__xludf.DUMMYFUNCTION("""COMPUTED_VALUE"""),"Female")</f>
        <v>Female</v>
      </c>
      <c r="P1228" s="1" t="str">
        <f ca="1">IFERROR(__xludf.DUMMYFUNCTION("""COMPUTED_VALUE"""),"Work &lt;=6 People in the Team")</f>
        <v>Work &lt;=6 People in the Team</v>
      </c>
      <c r="Q1228" s="1" t="str">
        <f ca="1">IFERROR(__xludf.DUMMYFUNCTION("""COMPUTED_VALUE"""),"Female")</f>
        <v>Female</v>
      </c>
    </row>
    <row r="1229" spans="13:17" x14ac:dyDescent="0.25">
      <c r="M1229" s="1"/>
      <c r="N1229" s="1" t="str">
        <f ca="1">IFERROR(__xludf.DUMMYFUNCTION("""COMPUTED_VALUE"""),"Male")</f>
        <v>Male</v>
      </c>
      <c r="P1229" s="1" t="str">
        <f ca="1">IFERROR(__xludf.DUMMYFUNCTION("""COMPUTED_VALUE"""),"Work &lt;=6 People in the Team")</f>
        <v>Work &lt;=6 People in the Team</v>
      </c>
      <c r="Q1229" s="1" t="str">
        <f ca="1">IFERROR(__xludf.DUMMYFUNCTION("""COMPUTED_VALUE"""),"Male")</f>
        <v>Male</v>
      </c>
    </row>
    <row r="1230" spans="13:17" x14ac:dyDescent="0.25">
      <c r="M1230" s="1"/>
      <c r="N1230" s="1" t="str">
        <f ca="1">IFERROR(__xludf.DUMMYFUNCTION("""COMPUTED_VALUE"""),"Male")</f>
        <v>Male</v>
      </c>
      <c r="P1230" s="1" t="str">
        <f ca="1">IFERROR(__xludf.DUMMYFUNCTION("""COMPUTED_VALUE"""),"Work &gt;10 people in Team")</f>
        <v>Work &gt;10 people in Team</v>
      </c>
      <c r="Q1230" s="1" t="str">
        <f ca="1">IFERROR(__xludf.DUMMYFUNCTION("""COMPUTED_VALUE"""),"Male")</f>
        <v>Male</v>
      </c>
    </row>
    <row r="1231" spans="13:17" x14ac:dyDescent="0.25">
      <c r="M1231" s="1"/>
      <c r="N1231" s="1" t="str">
        <f ca="1">IFERROR(__xludf.DUMMYFUNCTION("""COMPUTED_VALUE"""),"Female")</f>
        <v>Female</v>
      </c>
      <c r="P1231" s="1" t="str">
        <f ca="1">IFERROR(__xludf.DUMMYFUNCTION("""COMPUTED_VALUE"""),"Work &lt;=6 People in the Team")</f>
        <v>Work &lt;=6 People in the Team</v>
      </c>
      <c r="Q1231" s="1" t="str">
        <f ca="1">IFERROR(__xludf.DUMMYFUNCTION("""COMPUTED_VALUE"""),"Female")</f>
        <v>Female</v>
      </c>
    </row>
    <row r="1232" spans="13:17" x14ac:dyDescent="0.25">
      <c r="M1232" s="1"/>
      <c r="N1232" s="1" t="str">
        <f ca="1">IFERROR(__xludf.DUMMYFUNCTION("""COMPUTED_VALUE"""),"Male")</f>
        <v>Male</v>
      </c>
      <c r="P1232" s="1" t="str">
        <f ca="1">IFERROR(__xludf.DUMMYFUNCTION("""COMPUTED_VALUE"""),"Work &lt;=6 People in the Team")</f>
        <v>Work &lt;=6 People in the Team</v>
      </c>
      <c r="Q1232" s="1" t="str">
        <f ca="1">IFERROR(__xludf.DUMMYFUNCTION("""COMPUTED_VALUE"""),"Male")</f>
        <v>Male</v>
      </c>
    </row>
    <row r="1233" spans="13:17" x14ac:dyDescent="0.25">
      <c r="M1233" s="1"/>
      <c r="N1233" s="1" t="str">
        <f ca="1">IFERROR(__xludf.DUMMYFUNCTION("""COMPUTED_VALUE"""),"Female")</f>
        <v>Female</v>
      </c>
      <c r="P1233" s="1" t="str">
        <f ca="1">IFERROR(__xludf.DUMMYFUNCTION("""COMPUTED_VALUE"""),"Work &gt;10 people in Team")</f>
        <v>Work &gt;10 people in Team</v>
      </c>
      <c r="Q1233" s="1" t="str">
        <f ca="1">IFERROR(__xludf.DUMMYFUNCTION("""COMPUTED_VALUE"""),"Female")</f>
        <v>Female</v>
      </c>
    </row>
    <row r="1234" spans="13:17" x14ac:dyDescent="0.25">
      <c r="M1234" s="1"/>
      <c r="N1234" s="1" t="str">
        <f ca="1">IFERROR(__xludf.DUMMYFUNCTION("""COMPUTED_VALUE"""),"Female")</f>
        <v>Female</v>
      </c>
      <c r="P1234" s="1" t="str">
        <f ca="1">IFERROR(__xludf.DUMMYFUNCTION("""COMPUTED_VALUE"""),"Work &lt;=6 People in the Team")</f>
        <v>Work &lt;=6 People in the Team</v>
      </c>
      <c r="Q1234" s="1" t="str">
        <f ca="1">IFERROR(__xludf.DUMMYFUNCTION("""COMPUTED_VALUE"""),"Female")</f>
        <v>Female</v>
      </c>
    </row>
    <row r="1235" spans="13:17" x14ac:dyDescent="0.25">
      <c r="M1235" s="1"/>
      <c r="N1235" s="1" t="str">
        <f ca="1">IFERROR(__xludf.DUMMYFUNCTION("""COMPUTED_VALUE"""),"Male")</f>
        <v>Male</v>
      </c>
      <c r="P1235" s="1" t="str">
        <f ca="1">IFERROR(__xludf.DUMMYFUNCTION("""COMPUTED_VALUE"""),"Work &lt;=6 People in the Team")</f>
        <v>Work &lt;=6 People in the Team</v>
      </c>
      <c r="Q1235" s="1" t="str">
        <f ca="1">IFERROR(__xludf.DUMMYFUNCTION("""COMPUTED_VALUE"""),"Male")</f>
        <v>Male</v>
      </c>
    </row>
    <row r="1236" spans="13:17" x14ac:dyDescent="0.25">
      <c r="M1236" s="1"/>
      <c r="N1236" s="1" t="str">
        <f ca="1">IFERROR(__xludf.DUMMYFUNCTION("""COMPUTED_VALUE"""),"Female")</f>
        <v>Female</v>
      </c>
      <c r="P1236" s="1" t="str">
        <f ca="1">IFERROR(__xludf.DUMMYFUNCTION("""COMPUTED_VALUE"""),"Work &gt;10 people in Team")</f>
        <v>Work &gt;10 people in Team</v>
      </c>
      <c r="Q1236" s="1" t="str">
        <f ca="1">IFERROR(__xludf.DUMMYFUNCTION("""COMPUTED_VALUE"""),"Female")</f>
        <v>Female</v>
      </c>
    </row>
    <row r="1237" spans="13:17" x14ac:dyDescent="0.25">
      <c r="M1237" s="1"/>
      <c r="N1237" s="1" t="str">
        <f ca="1">IFERROR(__xludf.DUMMYFUNCTION("""COMPUTED_VALUE"""),"Female")</f>
        <v>Female</v>
      </c>
      <c r="P1237" s="1" t="str">
        <f ca="1">IFERROR(__xludf.DUMMYFUNCTION("""COMPUTED_VALUE"""),"Work &lt;=6 People in the Team")</f>
        <v>Work &lt;=6 People in the Team</v>
      </c>
      <c r="Q1237" s="1" t="str">
        <f ca="1">IFERROR(__xludf.DUMMYFUNCTION("""COMPUTED_VALUE"""),"Female")</f>
        <v>Female</v>
      </c>
    </row>
    <row r="1238" spans="13:17" x14ac:dyDescent="0.25">
      <c r="M1238" s="1"/>
      <c r="N1238" s="1" t="str">
        <f ca="1">IFERROR(__xludf.DUMMYFUNCTION("""COMPUTED_VALUE"""),"Male")</f>
        <v>Male</v>
      </c>
      <c r="P1238" s="1" t="str">
        <f ca="1">IFERROR(__xludf.DUMMYFUNCTION("""COMPUTED_VALUE"""),"Work &lt;=6 People in the Team")</f>
        <v>Work &lt;=6 People in the Team</v>
      </c>
      <c r="Q1238" s="1" t="str">
        <f ca="1">IFERROR(__xludf.DUMMYFUNCTION("""COMPUTED_VALUE"""),"Male")</f>
        <v>Male</v>
      </c>
    </row>
    <row r="1239" spans="13:17" x14ac:dyDescent="0.25">
      <c r="M1239" s="1"/>
      <c r="N1239" s="1" t="str">
        <f ca="1">IFERROR(__xludf.DUMMYFUNCTION("""COMPUTED_VALUE"""),"Male")</f>
        <v>Male</v>
      </c>
      <c r="P1239" s="1" t="str">
        <f ca="1">IFERROR(__xludf.DUMMYFUNCTION("""COMPUTED_VALUE"""),"Work Alone, &lt;=6 in team")</f>
        <v>Work Alone, &lt;=6 in team</v>
      </c>
      <c r="Q1239" s="1" t="str">
        <f ca="1">IFERROR(__xludf.DUMMYFUNCTION("""COMPUTED_VALUE"""),"Male")</f>
        <v>Male</v>
      </c>
    </row>
    <row r="1240" spans="13:17" x14ac:dyDescent="0.25">
      <c r="M1240" s="1"/>
      <c r="N1240" s="1" t="str">
        <f ca="1">IFERROR(__xludf.DUMMYFUNCTION("""COMPUTED_VALUE"""),"Female")</f>
        <v>Female</v>
      </c>
      <c r="P1240" s="1" t="str">
        <f ca="1">IFERROR(__xludf.DUMMYFUNCTION("""COMPUTED_VALUE"""),"Work &lt;=6 People in the Team")</f>
        <v>Work &lt;=6 People in the Team</v>
      </c>
      <c r="Q1240" s="1" t="str">
        <f ca="1">IFERROR(__xludf.DUMMYFUNCTION("""COMPUTED_VALUE"""),"Female")</f>
        <v>Female</v>
      </c>
    </row>
    <row r="1241" spans="13:17" x14ac:dyDescent="0.25">
      <c r="M1241" s="1"/>
      <c r="N1241" s="1" t="str">
        <f ca="1">IFERROR(__xludf.DUMMYFUNCTION("""COMPUTED_VALUE"""),"Male")</f>
        <v>Male</v>
      </c>
      <c r="P1241" s="1" t="str">
        <f ca="1">IFERROR(__xludf.DUMMYFUNCTION("""COMPUTED_VALUE"""),"Work &lt;67 People in the Team")</f>
        <v>Work &lt;67 People in the Team</v>
      </c>
      <c r="Q1241" s="1" t="str">
        <f ca="1">IFERROR(__xludf.DUMMYFUNCTION("""COMPUTED_VALUE"""),"Male")</f>
        <v>Male</v>
      </c>
    </row>
    <row r="1242" spans="13:17" x14ac:dyDescent="0.25">
      <c r="M1242" s="1"/>
      <c r="N1242" s="1" t="str">
        <f ca="1">IFERROR(__xludf.DUMMYFUNCTION("""COMPUTED_VALUE"""),"Female")</f>
        <v>Female</v>
      </c>
      <c r="P1242" s="1" t="str">
        <f ca="1">IFERROR(__xludf.DUMMYFUNCTION("""COMPUTED_VALUE"""),"Work alone")</f>
        <v>Work alone</v>
      </c>
      <c r="Q1242" s="1" t="str">
        <f ca="1">IFERROR(__xludf.DUMMYFUNCTION("""COMPUTED_VALUE"""),"Female")</f>
        <v>Female</v>
      </c>
    </row>
    <row r="1243" spans="13:17" x14ac:dyDescent="0.25">
      <c r="M1243" s="1"/>
      <c r="N1243" s="1" t="str">
        <f ca="1">IFERROR(__xludf.DUMMYFUNCTION("""COMPUTED_VALUE"""),"Female")</f>
        <v>Female</v>
      </c>
      <c r="P1243" s="1" t="str">
        <f ca="1">IFERROR(__xludf.DUMMYFUNCTION("""COMPUTED_VALUE"""),"Work &gt;10 people in Team")</f>
        <v>Work &gt;10 people in Team</v>
      </c>
      <c r="Q1243" s="1" t="str">
        <f ca="1">IFERROR(__xludf.DUMMYFUNCTION("""COMPUTED_VALUE"""),"Female")</f>
        <v>Female</v>
      </c>
    </row>
    <row r="1244" spans="13:17" x14ac:dyDescent="0.25">
      <c r="M1244" s="1"/>
      <c r="N1244" s="1" t="str">
        <f ca="1">IFERROR(__xludf.DUMMYFUNCTION("""COMPUTED_VALUE"""),"Male")</f>
        <v>Male</v>
      </c>
      <c r="P1244" s="1" t="str">
        <f ca="1">IFERROR(__xludf.DUMMYFUNCTION("""COMPUTED_VALUE"""),"Work &lt;=6 People in the Team")</f>
        <v>Work &lt;=6 People in the Team</v>
      </c>
      <c r="Q1244" s="1" t="str">
        <f ca="1">IFERROR(__xludf.DUMMYFUNCTION("""COMPUTED_VALUE"""),"Male")</f>
        <v>Male</v>
      </c>
    </row>
    <row r="1245" spans="13:17" x14ac:dyDescent="0.25">
      <c r="M1245" s="1"/>
      <c r="N1245" s="1" t="str">
        <f ca="1">IFERROR(__xludf.DUMMYFUNCTION("""COMPUTED_VALUE"""),"Female")</f>
        <v>Female</v>
      </c>
      <c r="P1245" s="1" t="str">
        <f ca="1">IFERROR(__xludf.DUMMYFUNCTION("""COMPUTED_VALUE"""),"Work &lt;=6 People in the Team")</f>
        <v>Work &lt;=6 People in the Team</v>
      </c>
      <c r="Q1245" s="1" t="str">
        <f ca="1">IFERROR(__xludf.DUMMYFUNCTION("""COMPUTED_VALUE"""),"Female")</f>
        <v>Female</v>
      </c>
    </row>
    <row r="1246" spans="13:17" x14ac:dyDescent="0.25">
      <c r="M1246" s="1"/>
      <c r="N1246" s="1" t="str">
        <f ca="1">IFERROR(__xludf.DUMMYFUNCTION("""COMPUTED_VALUE"""),"Female")</f>
        <v>Female</v>
      </c>
      <c r="P1246" s="1" t="str">
        <f ca="1">IFERROR(__xludf.DUMMYFUNCTION("""COMPUTED_VALUE"""),"Work &gt;10 people in Team")</f>
        <v>Work &gt;10 people in Team</v>
      </c>
      <c r="Q1246" s="1" t="str">
        <f ca="1">IFERROR(__xludf.DUMMYFUNCTION("""COMPUTED_VALUE"""),"Female")</f>
        <v>Female</v>
      </c>
    </row>
    <row r="1247" spans="13:17" x14ac:dyDescent="0.25">
      <c r="M1247" s="1"/>
      <c r="N1247" s="1" t="str">
        <f ca="1">IFERROR(__xludf.DUMMYFUNCTION("""COMPUTED_VALUE"""),"Male")</f>
        <v>Male</v>
      </c>
      <c r="P1247" s="1" t="str">
        <f ca="1">IFERROR(__xludf.DUMMYFUNCTION("""COMPUTED_VALUE"""),"Work &lt;=6 People in the Team")</f>
        <v>Work &lt;=6 People in the Team</v>
      </c>
      <c r="Q1247" s="1" t="str">
        <f ca="1">IFERROR(__xludf.DUMMYFUNCTION("""COMPUTED_VALUE"""),"Male")</f>
        <v>Male</v>
      </c>
    </row>
    <row r="1248" spans="13:17" x14ac:dyDescent="0.25">
      <c r="M1248" s="1"/>
      <c r="N1248" s="1" t="str">
        <f ca="1">IFERROR(__xludf.DUMMYFUNCTION("""COMPUTED_VALUE"""),"Male")</f>
        <v>Male</v>
      </c>
      <c r="P1248" s="1" t="str">
        <f ca="1">IFERROR(__xludf.DUMMYFUNCTION("""COMPUTED_VALUE"""),"Work &lt;=6 People in the Team")</f>
        <v>Work &lt;=6 People in the Team</v>
      </c>
      <c r="Q1248" s="1" t="str">
        <f ca="1">IFERROR(__xludf.DUMMYFUNCTION("""COMPUTED_VALUE"""),"Male")</f>
        <v>Male</v>
      </c>
    </row>
    <row r="1249" spans="13:17" x14ac:dyDescent="0.25">
      <c r="M1249" s="1"/>
      <c r="N1249" s="1" t="str">
        <f ca="1">IFERROR(__xludf.DUMMYFUNCTION("""COMPUTED_VALUE"""),"Female")</f>
        <v>Female</v>
      </c>
      <c r="P1249" s="1" t="str">
        <f ca="1">IFERROR(__xludf.DUMMYFUNCTION("""COMPUTED_VALUE"""),"Work &lt;=6 People in the Team")</f>
        <v>Work &lt;=6 People in the Team</v>
      </c>
      <c r="Q1249" s="1" t="str">
        <f ca="1">IFERROR(__xludf.DUMMYFUNCTION("""COMPUTED_VALUE"""),"Female")</f>
        <v>Female</v>
      </c>
    </row>
    <row r="1250" spans="13:17" x14ac:dyDescent="0.25">
      <c r="M1250" s="1"/>
      <c r="N1250" s="1" t="str">
        <f ca="1">IFERROR(__xludf.DUMMYFUNCTION("""COMPUTED_VALUE"""),"Male")</f>
        <v>Male</v>
      </c>
      <c r="P1250" s="1" t="str">
        <f ca="1">IFERROR(__xludf.DUMMYFUNCTION("""COMPUTED_VALUE"""),"Work &lt;=6 People in the Team")</f>
        <v>Work &lt;=6 People in the Team</v>
      </c>
      <c r="Q1250" s="1" t="str">
        <f ca="1">IFERROR(__xludf.DUMMYFUNCTION("""COMPUTED_VALUE"""),"Male")</f>
        <v>Male</v>
      </c>
    </row>
    <row r="1251" spans="13:17" x14ac:dyDescent="0.25">
      <c r="M1251" s="1"/>
      <c r="N1251" s="1" t="str">
        <f ca="1">IFERROR(__xludf.DUMMYFUNCTION("""COMPUTED_VALUE"""),"Female")</f>
        <v>Female</v>
      </c>
      <c r="P1251" s="1" t="str">
        <f ca="1">IFERROR(__xludf.DUMMYFUNCTION("""COMPUTED_VALUE"""),"Work &lt;=6 People in the Team")</f>
        <v>Work &lt;=6 People in the Team</v>
      </c>
      <c r="Q1251" s="1" t="str">
        <f ca="1">IFERROR(__xludf.DUMMYFUNCTION("""COMPUTED_VALUE"""),"Female")</f>
        <v>Female</v>
      </c>
    </row>
    <row r="1252" spans="13:17" x14ac:dyDescent="0.25">
      <c r="M1252" s="1"/>
      <c r="N1252" s="1" t="str">
        <f ca="1">IFERROR(__xludf.DUMMYFUNCTION("""COMPUTED_VALUE"""),"Male")</f>
        <v>Male</v>
      </c>
      <c r="P1252" s="1" t="str">
        <f ca="1">IFERROR(__xludf.DUMMYFUNCTION("""COMPUTED_VALUE"""),"Work &lt;=6 People in the Team")</f>
        <v>Work &lt;=6 People in the Team</v>
      </c>
      <c r="Q1252" s="1" t="str">
        <f ca="1">IFERROR(__xludf.DUMMYFUNCTION("""COMPUTED_VALUE"""),"Male")</f>
        <v>Male</v>
      </c>
    </row>
    <row r="1253" spans="13:17" x14ac:dyDescent="0.25">
      <c r="M1253" s="1"/>
      <c r="N1253" s="1" t="str">
        <f ca="1">IFERROR(__xludf.DUMMYFUNCTION("""COMPUTED_VALUE"""),"Male")</f>
        <v>Male</v>
      </c>
      <c r="P1253" s="1" t="str">
        <f ca="1">IFERROR(__xludf.DUMMYFUNCTION("""COMPUTED_VALUE"""),"Work &lt;=6 People in the Team")</f>
        <v>Work &lt;=6 People in the Team</v>
      </c>
      <c r="Q1253" s="1" t="str">
        <f ca="1">IFERROR(__xludf.DUMMYFUNCTION("""COMPUTED_VALUE"""),"Male")</f>
        <v>Male</v>
      </c>
    </row>
    <row r="1254" spans="13:17" x14ac:dyDescent="0.25">
      <c r="M1254" s="1"/>
      <c r="N1254" s="1" t="str">
        <f ca="1">IFERROR(__xludf.DUMMYFUNCTION("""COMPUTED_VALUE"""),"Female")</f>
        <v>Female</v>
      </c>
      <c r="P1254" s="1" t="str">
        <f ca="1">IFERROR(__xludf.DUMMYFUNCTION("""COMPUTED_VALUE"""),"Work &lt;67 People in the Team")</f>
        <v>Work &lt;67 People in the Team</v>
      </c>
      <c r="Q1254" s="1" t="str">
        <f ca="1">IFERROR(__xludf.DUMMYFUNCTION("""COMPUTED_VALUE"""),"Female")</f>
        <v>Female</v>
      </c>
    </row>
    <row r="1255" spans="13:17" x14ac:dyDescent="0.25">
      <c r="M1255" s="1"/>
      <c r="N1255" s="1" t="str">
        <f ca="1">IFERROR(__xludf.DUMMYFUNCTION("""COMPUTED_VALUE"""),"Male")</f>
        <v>Male</v>
      </c>
      <c r="P1255" s="1" t="str">
        <f ca="1">IFERROR(__xludf.DUMMYFUNCTION("""COMPUTED_VALUE"""),"Work &lt;=6 People in the Team")</f>
        <v>Work &lt;=6 People in the Team</v>
      </c>
      <c r="Q1255" s="1" t="str">
        <f ca="1">IFERROR(__xludf.DUMMYFUNCTION("""COMPUTED_VALUE"""),"Male")</f>
        <v>Male</v>
      </c>
    </row>
    <row r="1256" spans="13:17" x14ac:dyDescent="0.25">
      <c r="M1256" s="1"/>
      <c r="N1256" s="1" t="str">
        <f ca="1">IFERROR(__xludf.DUMMYFUNCTION("""COMPUTED_VALUE"""),"Male")</f>
        <v>Male</v>
      </c>
      <c r="P1256" s="1" t="str">
        <f ca="1">IFERROR(__xludf.DUMMYFUNCTION("""COMPUTED_VALUE"""),"Work &lt;=6 People in the Team")</f>
        <v>Work &lt;=6 People in the Team</v>
      </c>
      <c r="Q1256" s="1" t="str">
        <f ca="1">IFERROR(__xludf.DUMMYFUNCTION("""COMPUTED_VALUE"""),"Male")</f>
        <v>Male</v>
      </c>
    </row>
    <row r="1257" spans="13:17" x14ac:dyDescent="0.25">
      <c r="M1257" s="1"/>
      <c r="N1257" s="1" t="str">
        <f ca="1">IFERROR(__xludf.DUMMYFUNCTION("""COMPUTED_VALUE"""),"Female")</f>
        <v>Female</v>
      </c>
      <c r="P1257" s="1" t="str">
        <f ca="1">IFERROR(__xludf.DUMMYFUNCTION("""COMPUTED_VALUE"""),"Work &gt;10 people in Team")</f>
        <v>Work &gt;10 people in Team</v>
      </c>
      <c r="Q1257" s="1" t="str">
        <f ca="1">IFERROR(__xludf.DUMMYFUNCTION("""COMPUTED_VALUE"""),"Female")</f>
        <v>Female</v>
      </c>
    </row>
    <row r="1258" spans="13:17" x14ac:dyDescent="0.25">
      <c r="M1258" s="1"/>
      <c r="N1258" s="1" t="str">
        <f ca="1">IFERROR(__xludf.DUMMYFUNCTION("""COMPUTED_VALUE"""),"Male")</f>
        <v>Male</v>
      </c>
      <c r="P1258" s="1" t="str">
        <f ca="1">IFERROR(__xludf.DUMMYFUNCTION("""COMPUTED_VALUE"""),"Work &gt;10 people in Team")</f>
        <v>Work &gt;10 people in Team</v>
      </c>
      <c r="Q1258" s="1" t="str">
        <f ca="1">IFERROR(__xludf.DUMMYFUNCTION("""COMPUTED_VALUE"""),"Male")</f>
        <v>Male</v>
      </c>
    </row>
    <row r="1259" spans="13:17" x14ac:dyDescent="0.25">
      <c r="M1259" s="1"/>
      <c r="N1259" s="1" t="str">
        <f ca="1">IFERROR(__xludf.DUMMYFUNCTION("""COMPUTED_VALUE"""),"Male")</f>
        <v>Male</v>
      </c>
      <c r="P1259" s="1" t="str">
        <f ca="1">IFERROR(__xludf.DUMMYFUNCTION("""COMPUTED_VALUE"""),"Work &gt;10 people in Team")</f>
        <v>Work &gt;10 people in Team</v>
      </c>
      <c r="Q1259" s="1" t="str">
        <f ca="1">IFERROR(__xludf.DUMMYFUNCTION("""COMPUTED_VALUE"""),"Male")</f>
        <v>Male</v>
      </c>
    </row>
    <row r="1260" spans="13:17" x14ac:dyDescent="0.25">
      <c r="M1260" s="1"/>
      <c r="N1260" s="1" t="str">
        <f ca="1">IFERROR(__xludf.DUMMYFUNCTION("""COMPUTED_VALUE"""),"Male")</f>
        <v>Male</v>
      </c>
      <c r="P1260" s="1" t="str">
        <f ca="1">IFERROR(__xludf.DUMMYFUNCTION("""COMPUTED_VALUE"""),"Work &gt;10 people in Team")</f>
        <v>Work &gt;10 people in Team</v>
      </c>
      <c r="Q1260" s="1" t="str">
        <f ca="1">IFERROR(__xludf.DUMMYFUNCTION("""COMPUTED_VALUE"""),"Male")</f>
        <v>Male</v>
      </c>
    </row>
    <row r="1261" spans="13:17" x14ac:dyDescent="0.25">
      <c r="M1261" s="1"/>
      <c r="N1261" s="1" t="str">
        <f ca="1">IFERROR(__xludf.DUMMYFUNCTION("""COMPUTED_VALUE"""),"Female")</f>
        <v>Female</v>
      </c>
      <c r="P1261" s="1" t="str">
        <f ca="1">IFERROR(__xludf.DUMMYFUNCTION("""COMPUTED_VALUE"""),"Work &lt;=6 People in the Team")</f>
        <v>Work &lt;=6 People in the Team</v>
      </c>
      <c r="Q1261" s="1" t="str">
        <f ca="1">IFERROR(__xludf.DUMMYFUNCTION("""COMPUTED_VALUE"""),"Female")</f>
        <v>Female</v>
      </c>
    </row>
    <row r="1262" spans="13:17" x14ac:dyDescent="0.25">
      <c r="M1262" s="1"/>
      <c r="N1262" s="1" t="str">
        <f ca="1">IFERROR(__xludf.DUMMYFUNCTION("""COMPUTED_VALUE"""),"Female")</f>
        <v>Female</v>
      </c>
      <c r="P1262" s="1" t="str">
        <f ca="1">IFERROR(__xludf.DUMMYFUNCTION("""COMPUTED_VALUE"""),"Work Alone, &lt;67 people in team")</f>
        <v>Work Alone, &lt;67 people in team</v>
      </c>
      <c r="Q1262" s="1" t="str">
        <f ca="1">IFERROR(__xludf.DUMMYFUNCTION("""COMPUTED_VALUE"""),"Female")</f>
        <v>Female</v>
      </c>
    </row>
    <row r="1263" spans="13:17" x14ac:dyDescent="0.25">
      <c r="M1263" s="1"/>
      <c r="N1263" s="1" t="str">
        <f ca="1">IFERROR(__xludf.DUMMYFUNCTION("""COMPUTED_VALUE"""),"Male")</f>
        <v>Male</v>
      </c>
      <c r="P1263" s="1" t="str">
        <f ca="1">IFERROR(__xludf.DUMMYFUNCTION("""COMPUTED_VALUE"""),"Work &lt;=6 People in the Team")</f>
        <v>Work &lt;=6 People in the Team</v>
      </c>
      <c r="Q1263" s="1" t="str">
        <f ca="1">IFERROR(__xludf.DUMMYFUNCTION("""COMPUTED_VALUE"""),"Male")</f>
        <v>Male</v>
      </c>
    </row>
    <row r="1264" spans="13:17" x14ac:dyDescent="0.25">
      <c r="M1264" s="1"/>
      <c r="N1264" s="1" t="str">
        <f ca="1">IFERROR(__xludf.DUMMYFUNCTION("""COMPUTED_VALUE"""),"Female")</f>
        <v>Female</v>
      </c>
      <c r="P1264" s="1" t="str">
        <f ca="1">IFERROR(__xludf.DUMMYFUNCTION("""COMPUTED_VALUE"""),"Work &gt;10 people in Team")</f>
        <v>Work &gt;10 people in Team</v>
      </c>
      <c r="Q1264" s="1" t="str">
        <f ca="1">IFERROR(__xludf.DUMMYFUNCTION("""COMPUTED_VALUE"""),"Female")</f>
        <v>Female</v>
      </c>
    </row>
    <row r="1265" spans="13:17" x14ac:dyDescent="0.25">
      <c r="M1265" s="1"/>
      <c r="N1265" s="1" t="str">
        <f ca="1">IFERROR(__xludf.DUMMYFUNCTION("""COMPUTED_VALUE"""),"Male")</f>
        <v>Male</v>
      </c>
      <c r="P1265" s="1" t="str">
        <f ca="1">IFERROR(__xludf.DUMMYFUNCTION("""COMPUTED_VALUE"""),"Work Alone, &lt;67 people in team")</f>
        <v>Work Alone, &lt;67 people in team</v>
      </c>
      <c r="Q1265" s="1" t="str">
        <f ca="1">IFERROR(__xludf.DUMMYFUNCTION("""COMPUTED_VALUE"""),"Male")</f>
        <v>Male</v>
      </c>
    </row>
    <row r="1266" spans="13:17" x14ac:dyDescent="0.25">
      <c r="M1266" s="1"/>
      <c r="N1266" s="1" t="str">
        <f ca="1">IFERROR(__xludf.DUMMYFUNCTION("""COMPUTED_VALUE"""),"Male")</f>
        <v>Male</v>
      </c>
      <c r="P1266" s="1" t="str">
        <f ca="1">IFERROR(__xludf.DUMMYFUNCTION("""COMPUTED_VALUE"""),"Work &gt;=7 People in the Team")</f>
        <v>Work &gt;=7 People in the Team</v>
      </c>
      <c r="Q1266" s="1" t="str">
        <f ca="1">IFERROR(__xludf.DUMMYFUNCTION("""COMPUTED_VALUE"""),"Male")</f>
        <v>Male</v>
      </c>
    </row>
    <row r="1267" spans="13:17" x14ac:dyDescent="0.25">
      <c r="M1267" s="1"/>
      <c r="N1267" s="1" t="str">
        <f ca="1">IFERROR(__xludf.DUMMYFUNCTION("""COMPUTED_VALUE"""),"Male")</f>
        <v>Male</v>
      </c>
      <c r="P1267" s="1" t="str">
        <f ca="1">IFERROR(__xludf.DUMMYFUNCTION("""COMPUTED_VALUE"""),"Work &lt;=6 People in the Team")</f>
        <v>Work &lt;=6 People in the Team</v>
      </c>
      <c r="Q1267" s="1" t="str">
        <f ca="1">IFERROR(__xludf.DUMMYFUNCTION("""COMPUTED_VALUE"""),"Male")</f>
        <v>Male</v>
      </c>
    </row>
    <row r="1268" spans="13:17" x14ac:dyDescent="0.25">
      <c r="M1268" s="1"/>
      <c r="N1268" s="1" t="str">
        <f ca="1">IFERROR(__xludf.DUMMYFUNCTION("""COMPUTED_VALUE"""),"Male")</f>
        <v>Male</v>
      </c>
      <c r="P1268" s="1" t="str">
        <f ca="1">IFERROR(__xludf.DUMMYFUNCTION("""COMPUTED_VALUE"""),"Work &gt;10 people in Team")</f>
        <v>Work &gt;10 people in Team</v>
      </c>
      <c r="Q1268" s="1" t="str">
        <f ca="1">IFERROR(__xludf.DUMMYFUNCTION("""COMPUTED_VALUE"""),"Male")</f>
        <v>Male</v>
      </c>
    </row>
    <row r="1269" spans="13:17" x14ac:dyDescent="0.25">
      <c r="M1269" s="1"/>
      <c r="N1269" s="1" t="str">
        <f ca="1">IFERROR(__xludf.DUMMYFUNCTION("""COMPUTED_VALUE"""),"Male")</f>
        <v>Male</v>
      </c>
      <c r="P1269" s="1" t="str">
        <f ca="1">IFERROR(__xludf.DUMMYFUNCTION("""COMPUTED_VALUE"""),"Work &lt;67 People in the Team")</f>
        <v>Work &lt;67 People in the Team</v>
      </c>
      <c r="Q1269" s="1" t="str">
        <f ca="1">IFERROR(__xludf.DUMMYFUNCTION("""COMPUTED_VALUE"""),"Male")</f>
        <v>Male</v>
      </c>
    </row>
    <row r="1270" spans="13:17" x14ac:dyDescent="0.25">
      <c r="M1270" s="1"/>
      <c r="N1270" s="1" t="str">
        <f ca="1">IFERROR(__xludf.DUMMYFUNCTION("""COMPUTED_VALUE"""),"Male")</f>
        <v>Male</v>
      </c>
      <c r="P1270" s="1" t="str">
        <f ca="1">IFERROR(__xludf.DUMMYFUNCTION("""COMPUTED_VALUE"""),"Work &lt;=6 People in the Team")</f>
        <v>Work &lt;=6 People in the Team</v>
      </c>
      <c r="Q1270" s="1" t="str">
        <f ca="1">IFERROR(__xludf.DUMMYFUNCTION("""COMPUTED_VALUE"""),"Male")</f>
        <v>Male</v>
      </c>
    </row>
    <row r="1271" spans="13:17" x14ac:dyDescent="0.25">
      <c r="M1271" s="1"/>
      <c r="N1271" s="1" t="str">
        <f ca="1">IFERROR(__xludf.DUMMYFUNCTION("""COMPUTED_VALUE"""),"Male")</f>
        <v>Male</v>
      </c>
      <c r="P1271" s="1" t="str">
        <f ca="1">IFERROR(__xludf.DUMMYFUNCTION("""COMPUTED_VALUE"""),"Work &lt;=6 People in the Team")</f>
        <v>Work &lt;=6 People in the Team</v>
      </c>
      <c r="Q1271" s="1" t="str">
        <f ca="1">IFERROR(__xludf.DUMMYFUNCTION("""COMPUTED_VALUE"""),"Male")</f>
        <v>Male</v>
      </c>
    </row>
    <row r="1272" spans="13:17" x14ac:dyDescent="0.25">
      <c r="M1272" s="1"/>
      <c r="N1272" s="1" t="str">
        <f ca="1">IFERROR(__xludf.DUMMYFUNCTION("""COMPUTED_VALUE"""),"Male")</f>
        <v>Male</v>
      </c>
      <c r="P1272" s="1" t="str">
        <f ca="1">IFERROR(__xludf.DUMMYFUNCTION("""COMPUTED_VALUE"""),"Work Alone, &lt;=6 in team")</f>
        <v>Work Alone, &lt;=6 in team</v>
      </c>
      <c r="Q1272" s="1" t="str">
        <f ca="1">IFERROR(__xludf.DUMMYFUNCTION("""COMPUTED_VALUE"""),"Male")</f>
        <v>Male</v>
      </c>
    </row>
    <row r="1273" spans="13:17" x14ac:dyDescent="0.25">
      <c r="M1273" s="1"/>
      <c r="N1273" s="1" t="str">
        <f ca="1">IFERROR(__xludf.DUMMYFUNCTION("""COMPUTED_VALUE"""),"Male")</f>
        <v>Male</v>
      </c>
      <c r="P1273" s="1" t="str">
        <f ca="1">IFERROR(__xludf.DUMMYFUNCTION("""COMPUTED_VALUE"""),"Work &lt;=6 People in the Team")</f>
        <v>Work &lt;=6 People in the Team</v>
      </c>
      <c r="Q1273" s="1" t="str">
        <f ca="1">IFERROR(__xludf.DUMMYFUNCTION("""COMPUTED_VALUE"""),"Male")</f>
        <v>Male</v>
      </c>
    </row>
    <row r="1274" spans="13:17" x14ac:dyDescent="0.25">
      <c r="M1274" s="1"/>
      <c r="N1274" s="1" t="str">
        <f ca="1">IFERROR(__xludf.DUMMYFUNCTION("""COMPUTED_VALUE"""),"Female")</f>
        <v>Female</v>
      </c>
      <c r="P1274" s="1" t="str">
        <f ca="1">IFERROR(__xludf.DUMMYFUNCTION("""COMPUTED_VALUE"""),"Work &lt;67 People in the Team")</f>
        <v>Work &lt;67 People in the Team</v>
      </c>
      <c r="Q1274" s="1" t="str">
        <f ca="1">IFERROR(__xludf.DUMMYFUNCTION("""COMPUTED_VALUE"""),"Female")</f>
        <v>Female</v>
      </c>
    </row>
    <row r="1275" spans="13:17" x14ac:dyDescent="0.25">
      <c r="M1275" s="1"/>
      <c r="N1275" s="1" t="str">
        <f ca="1">IFERROR(__xludf.DUMMYFUNCTION("""COMPUTED_VALUE"""),"Male")</f>
        <v>Male</v>
      </c>
      <c r="P1275" s="1" t="str">
        <f ca="1">IFERROR(__xludf.DUMMYFUNCTION("""COMPUTED_VALUE"""),"Work &lt;=6 People in the Team")</f>
        <v>Work &lt;=6 People in the Team</v>
      </c>
      <c r="Q1275" s="1" t="str">
        <f ca="1">IFERROR(__xludf.DUMMYFUNCTION("""COMPUTED_VALUE"""),"Male")</f>
        <v>Male</v>
      </c>
    </row>
    <row r="1276" spans="13:17" x14ac:dyDescent="0.25">
      <c r="M1276" s="1"/>
      <c r="N1276" s="1" t="str">
        <f ca="1">IFERROR(__xludf.DUMMYFUNCTION("""COMPUTED_VALUE"""),"Male")</f>
        <v>Male</v>
      </c>
      <c r="P1276" s="1" t="str">
        <f ca="1">IFERROR(__xludf.DUMMYFUNCTION("""COMPUTED_VALUE"""),"Work &gt;10 people in Team")</f>
        <v>Work &gt;10 people in Team</v>
      </c>
      <c r="Q1276" s="1" t="str">
        <f ca="1">IFERROR(__xludf.DUMMYFUNCTION("""COMPUTED_VALUE"""),"Male")</f>
        <v>Male</v>
      </c>
    </row>
    <row r="1277" spans="13:17" x14ac:dyDescent="0.25">
      <c r="M1277" s="1"/>
      <c r="N1277" s="1" t="str">
        <f ca="1">IFERROR(__xludf.DUMMYFUNCTION("""COMPUTED_VALUE"""),"Male")</f>
        <v>Male</v>
      </c>
      <c r="P1277" s="1" t="str">
        <f ca="1">IFERROR(__xludf.DUMMYFUNCTION("""COMPUTED_VALUE"""),"Work alone")</f>
        <v>Work alone</v>
      </c>
      <c r="Q1277" s="1" t="str">
        <f ca="1">IFERROR(__xludf.DUMMYFUNCTION("""COMPUTED_VALUE"""),"Male")</f>
        <v>Male</v>
      </c>
    </row>
    <row r="1278" spans="13:17" x14ac:dyDescent="0.25">
      <c r="M1278" s="1"/>
      <c r="N1278" s="1" t="str">
        <f ca="1">IFERROR(__xludf.DUMMYFUNCTION("""COMPUTED_VALUE"""),"Male")</f>
        <v>Male</v>
      </c>
      <c r="P1278" s="1" t="str">
        <f ca="1">IFERROR(__xludf.DUMMYFUNCTION("""COMPUTED_VALUE"""),"Work &gt;10 people in Team")</f>
        <v>Work &gt;10 people in Team</v>
      </c>
      <c r="Q1278" s="1" t="str">
        <f ca="1">IFERROR(__xludf.DUMMYFUNCTION("""COMPUTED_VALUE"""),"Male")</f>
        <v>Male</v>
      </c>
    </row>
    <row r="1279" spans="13:17" x14ac:dyDescent="0.25">
      <c r="M1279" s="1"/>
      <c r="N1279" s="1" t="str">
        <f ca="1">IFERROR(__xludf.DUMMYFUNCTION("""COMPUTED_VALUE"""),"Female")</f>
        <v>Female</v>
      </c>
      <c r="P1279" s="1" t="str">
        <f ca="1">IFERROR(__xludf.DUMMYFUNCTION("""COMPUTED_VALUE"""),"Work &lt;=6 People in the Team")</f>
        <v>Work &lt;=6 People in the Team</v>
      </c>
      <c r="Q1279" s="1" t="str">
        <f ca="1">IFERROR(__xludf.DUMMYFUNCTION("""COMPUTED_VALUE"""),"Female")</f>
        <v>Female</v>
      </c>
    </row>
    <row r="1280" spans="13:17" x14ac:dyDescent="0.25">
      <c r="M1280" s="1"/>
      <c r="N1280" s="1" t="str">
        <f ca="1">IFERROR(__xludf.DUMMYFUNCTION("""COMPUTED_VALUE"""),"Male")</f>
        <v>Male</v>
      </c>
      <c r="P1280" s="1" t="str">
        <f ca="1">IFERROR(__xludf.DUMMYFUNCTION("""COMPUTED_VALUE"""),"Work &lt;=6 People in the Team")</f>
        <v>Work &lt;=6 People in the Team</v>
      </c>
      <c r="Q1280" s="1" t="str">
        <f ca="1">IFERROR(__xludf.DUMMYFUNCTION("""COMPUTED_VALUE"""),"Male")</f>
        <v>Male</v>
      </c>
    </row>
    <row r="1281" spans="13:17" x14ac:dyDescent="0.25">
      <c r="M1281" s="1"/>
      <c r="N1281" s="1" t="str">
        <f ca="1">IFERROR(__xludf.DUMMYFUNCTION("""COMPUTED_VALUE"""),"Female")</f>
        <v>Female</v>
      </c>
      <c r="P1281" s="1" t="str">
        <f ca="1">IFERROR(__xludf.DUMMYFUNCTION("""COMPUTED_VALUE"""),"Work &lt;=6 People in the Team")</f>
        <v>Work &lt;=6 People in the Team</v>
      </c>
      <c r="Q1281" s="1" t="str">
        <f ca="1">IFERROR(__xludf.DUMMYFUNCTION("""COMPUTED_VALUE"""),"Female")</f>
        <v>Female</v>
      </c>
    </row>
    <row r="1282" spans="13:17" x14ac:dyDescent="0.25">
      <c r="M1282" s="1"/>
      <c r="N1282" s="1" t="str">
        <f ca="1">IFERROR(__xludf.DUMMYFUNCTION("""COMPUTED_VALUE"""),"Female")</f>
        <v>Female</v>
      </c>
      <c r="P1282" s="1" t="str">
        <f ca="1">IFERROR(__xludf.DUMMYFUNCTION("""COMPUTED_VALUE"""),"Work  &lt;67 people in team")</f>
        <v>Work  &lt;67 people in team</v>
      </c>
      <c r="Q1282" s="1" t="str">
        <f ca="1">IFERROR(__xludf.DUMMYFUNCTION("""COMPUTED_VALUE"""),"Female")</f>
        <v>Female</v>
      </c>
    </row>
    <row r="1283" spans="13:17" x14ac:dyDescent="0.25">
      <c r="M1283" s="1"/>
      <c r="N1283" s="1" t="str">
        <f ca="1">IFERROR(__xludf.DUMMYFUNCTION("""COMPUTED_VALUE"""),"Female")</f>
        <v>Female</v>
      </c>
      <c r="P1283" s="1" t="str">
        <f ca="1">IFERROR(__xludf.DUMMYFUNCTION("""COMPUTED_VALUE"""),"Work &lt;67 People in the Team")</f>
        <v>Work &lt;67 People in the Team</v>
      </c>
      <c r="Q1283" s="1" t="str">
        <f ca="1">IFERROR(__xludf.DUMMYFUNCTION("""COMPUTED_VALUE"""),"Female")</f>
        <v>Female</v>
      </c>
    </row>
    <row r="1284" spans="13:17" x14ac:dyDescent="0.25">
      <c r="M1284" s="1"/>
      <c r="N1284" s="1" t="str">
        <f ca="1">IFERROR(__xludf.DUMMYFUNCTION("""COMPUTED_VALUE"""),"Female")</f>
        <v>Female</v>
      </c>
      <c r="P1284" s="1" t="str">
        <f ca="1">IFERROR(__xludf.DUMMYFUNCTION("""COMPUTED_VALUE"""),"Work &lt;=6 People in the Team")</f>
        <v>Work &lt;=6 People in the Team</v>
      </c>
      <c r="Q1284" s="1" t="str">
        <f ca="1">IFERROR(__xludf.DUMMYFUNCTION("""COMPUTED_VALUE"""),"Female")</f>
        <v>Female</v>
      </c>
    </row>
    <row r="1285" spans="13:17" x14ac:dyDescent="0.25">
      <c r="M1285" s="1"/>
      <c r="N1285" s="1" t="str">
        <f ca="1">IFERROR(__xludf.DUMMYFUNCTION("""COMPUTED_VALUE"""),"Female")</f>
        <v>Female</v>
      </c>
      <c r="P1285" s="1" t="str">
        <f ca="1">IFERROR(__xludf.DUMMYFUNCTION("""COMPUTED_VALUE"""),"Work &gt;=7 People in the Team")</f>
        <v>Work &gt;=7 People in the Team</v>
      </c>
      <c r="Q1285" s="1" t="str">
        <f ca="1">IFERROR(__xludf.DUMMYFUNCTION("""COMPUTED_VALUE"""),"Female")</f>
        <v>Female</v>
      </c>
    </row>
    <row r="1286" spans="13:17" x14ac:dyDescent="0.25">
      <c r="M1286" s="1"/>
      <c r="N1286" s="1" t="str">
        <f ca="1">IFERROR(__xludf.DUMMYFUNCTION("""COMPUTED_VALUE"""),"Female")</f>
        <v>Female</v>
      </c>
      <c r="P1286" s="1" t="str">
        <f ca="1">IFERROR(__xludf.DUMMYFUNCTION("""COMPUTED_VALUE"""),"Work &lt;=6 People in the Team")</f>
        <v>Work &lt;=6 People in the Team</v>
      </c>
      <c r="Q1286" s="1" t="str">
        <f ca="1">IFERROR(__xludf.DUMMYFUNCTION("""COMPUTED_VALUE"""),"Female")</f>
        <v>Female</v>
      </c>
    </row>
    <row r="1287" spans="13:17" x14ac:dyDescent="0.25">
      <c r="M1287" s="1"/>
      <c r="N1287" s="1" t="str">
        <f ca="1">IFERROR(__xludf.DUMMYFUNCTION("""COMPUTED_VALUE"""),"Male")</f>
        <v>Male</v>
      </c>
      <c r="P1287" s="1" t="str">
        <f ca="1">IFERROR(__xludf.DUMMYFUNCTION("""COMPUTED_VALUE"""),"Work &lt;=6 People in the Team")</f>
        <v>Work &lt;=6 People in the Team</v>
      </c>
      <c r="Q1287" s="1" t="str">
        <f ca="1">IFERROR(__xludf.DUMMYFUNCTION("""COMPUTED_VALUE"""),"Male")</f>
        <v>Male</v>
      </c>
    </row>
    <row r="1288" spans="13:17" x14ac:dyDescent="0.25">
      <c r="M1288" s="1"/>
      <c r="N1288" s="1" t="str">
        <f ca="1">IFERROR(__xludf.DUMMYFUNCTION("""COMPUTED_VALUE"""),"Male")</f>
        <v>Male</v>
      </c>
      <c r="P1288" s="1" t="str">
        <f ca="1">IFERROR(__xludf.DUMMYFUNCTION("""COMPUTED_VALUE"""),"Work &lt;67 People in the Team")</f>
        <v>Work &lt;67 People in the Team</v>
      </c>
      <c r="Q1288" s="1" t="str">
        <f ca="1">IFERROR(__xludf.DUMMYFUNCTION("""COMPUTED_VALUE"""),"Male")</f>
        <v>Male</v>
      </c>
    </row>
    <row r="1289" spans="13:17" x14ac:dyDescent="0.25">
      <c r="M1289" s="1"/>
      <c r="N1289" s="1" t="str">
        <f ca="1">IFERROR(__xludf.DUMMYFUNCTION("""COMPUTED_VALUE"""),"Male")</f>
        <v>Male</v>
      </c>
      <c r="P1289" s="1" t="str">
        <f ca="1">IFERROR(__xludf.DUMMYFUNCTION("""COMPUTED_VALUE"""),"Work Alone, &lt;67 people in team")</f>
        <v>Work Alone, &lt;67 people in team</v>
      </c>
      <c r="Q1289" s="1" t="str">
        <f ca="1">IFERROR(__xludf.DUMMYFUNCTION("""COMPUTED_VALUE"""),"Male")</f>
        <v>Male</v>
      </c>
    </row>
    <row r="1290" spans="13:17" x14ac:dyDescent="0.25">
      <c r="M1290" s="1"/>
      <c r="N1290" s="1" t="str">
        <f ca="1">IFERROR(__xludf.DUMMYFUNCTION("""COMPUTED_VALUE"""),"Male")</f>
        <v>Male</v>
      </c>
      <c r="P1290" s="1" t="str">
        <f ca="1">IFERROR(__xludf.DUMMYFUNCTION("""COMPUTED_VALUE"""),"Work &lt;=6 People in the Team")</f>
        <v>Work &lt;=6 People in the Team</v>
      </c>
      <c r="Q1290" s="1" t="str">
        <f ca="1">IFERROR(__xludf.DUMMYFUNCTION("""COMPUTED_VALUE"""),"Male")</f>
        <v>Male</v>
      </c>
    </row>
    <row r="1291" spans="13:17" x14ac:dyDescent="0.25">
      <c r="M1291" s="1"/>
      <c r="N1291" s="1" t="str">
        <f ca="1">IFERROR(__xludf.DUMMYFUNCTION("""COMPUTED_VALUE"""),"Male")</f>
        <v>Male</v>
      </c>
      <c r="P1291" s="1" t="str">
        <f ca="1">IFERROR(__xludf.DUMMYFUNCTION("""COMPUTED_VALUE"""),"Work Alone, &lt;67 people in team")</f>
        <v>Work Alone, &lt;67 people in team</v>
      </c>
      <c r="Q1291" s="1" t="str">
        <f ca="1">IFERROR(__xludf.DUMMYFUNCTION("""COMPUTED_VALUE"""),"Male")</f>
        <v>Male</v>
      </c>
    </row>
    <row r="1292" spans="13:17" x14ac:dyDescent="0.25">
      <c r="M1292" s="1"/>
      <c r="N1292" s="1" t="str">
        <f ca="1">IFERROR(__xludf.DUMMYFUNCTION("""COMPUTED_VALUE"""),"Male")</f>
        <v>Male</v>
      </c>
      <c r="P1292" s="1" t="str">
        <f ca="1">IFERROR(__xludf.DUMMYFUNCTION("""COMPUTED_VALUE"""),"Work &lt;=6 People in the Team")</f>
        <v>Work &lt;=6 People in the Team</v>
      </c>
      <c r="Q1292" s="1" t="str">
        <f ca="1">IFERROR(__xludf.DUMMYFUNCTION("""COMPUTED_VALUE"""),"Male")</f>
        <v>Male</v>
      </c>
    </row>
    <row r="1293" spans="13:17" x14ac:dyDescent="0.25">
      <c r="M1293" s="1"/>
      <c r="N1293" s="1" t="str">
        <f ca="1">IFERROR(__xludf.DUMMYFUNCTION("""COMPUTED_VALUE"""),"Male")</f>
        <v>Male</v>
      </c>
      <c r="P1293" s="1" t="str">
        <f ca="1">IFERROR(__xludf.DUMMYFUNCTION("""COMPUTED_VALUE"""),"Work &lt;=6 People in the Team")</f>
        <v>Work &lt;=6 People in the Team</v>
      </c>
      <c r="Q1293" s="1" t="str">
        <f ca="1">IFERROR(__xludf.DUMMYFUNCTION("""COMPUTED_VALUE"""),"Male")</f>
        <v>Male</v>
      </c>
    </row>
    <row r="1294" spans="13:17" x14ac:dyDescent="0.25">
      <c r="M1294" s="1"/>
      <c r="N1294" s="1" t="str">
        <f ca="1">IFERROR(__xludf.DUMMYFUNCTION("""COMPUTED_VALUE"""),"Male")</f>
        <v>Male</v>
      </c>
      <c r="P1294" s="1" t="str">
        <f ca="1">IFERROR(__xludf.DUMMYFUNCTION("""COMPUTED_VALUE"""),"Work Alone, &lt;67 people in team")</f>
        <v>Work Alone, &lt;67 people in team</v>
      </c>
      <c r="Q1294" s="1" t="str">
        <f ca="1">IFERROR(__xludf.DUMMYFUNCTION("""COMPUTED_VALUE"""),"Male")</f>
        <v>Male</v>
      </c>
    </row>
    <row r="1295" spans="13:17" x14ac:dyDescent="0.25">
      <c r="M1295" s="1"/>
      <c r="N1295" s="1" t="str">
        <f ca="1">IFERROR(__xludf.DUMMYFUNCTION("""COMPUTED_VALUE"""),"Male")</f>
        <v>Male</v>
      </c>
      <c r="P1295" s="1" t="str">
        <f ca="1">IFERROR(__xludf.DUMMYFUNCTION("""COMPUTED_VALUE"""),"Work &gt;=7 People in the Team")</f>
        <v>Work &gt;=7 People in the Team</v>
      </c>
      <c r="Q1295" s="1" t="str">
        <f ca="1">IFERROR(__xludf.DUMMYFUNCTION("""COMPUTED_VALUE"""),"Male")</f>
        <v>Male</v>
      </c>
    </row>
    <row r="1296" spans="13:17" x14ac:dyDescent="0.25">
      <c r="M1296" s="1"/>
      <c r="N1296" s="1" t="str">
        <f ca="1">IFERROR(__xludf.DUMMYFUNCTION("""COMPUTED_VALUE"""),"Female")</f>
        <v>Female</v>
      </c>
      <c r="P1296" s="1" t="str">
        <f ca="1">IFERROR(__xludf.DUMMYFUNCTION("""COMPUTED_VALUE"""),"Work &lt;=6 People in the Team")</f>
        <v>Work &lt;=6 People in the Team</v>
      </c>
      <c r="Q1296" s="1" t="str">
        <f ca="1">IFERROR(__xludf.DUMMYFUNCTION("""COMPUTED_VALUE"""),"Female")</f>
        <v>Female</v>
      </c>
    </row>
    <row r="1297" spans="13:17" x14ac:dyDescent="0.25">
      <c r="M1297" s="1"/>
      <c r="N1297" s="1" t="str">
        <f ca="1">IFERROR(__xludf.DUMMYFUNCTION("""COMPUTED_VALUE"""),"Female")</f>
        <v>Female</v>
      </c>
      <c r="P1297" s="1" t="str">
        <f ca="1">IFERROR(__xludf.DUMMYFUNCTION("""COMPUTED_VALUE"""),"Work &gt;10 people in Team")</f>
        <v>Work &gt;10 people in Team</v>
      </c>
      <c r="Q1297" s="1" t="str">
        <f ca="1">IFERROR(__xludf.DUMMYFUNCTION("""COMPUTED_VALUE"""),"Female")</f>
        <v>Female</v>
      </c>
    </row>
    <row r="1298" spans="13:17" x14ac:dyDescent="0.25">
      <c r="M1298" s="1"/>
      <c r="N1298" s="1" t="str">
        <f ca="1">IFERROR(__xludf.DUMMYFUNCTION("""COMPUTED_VALUE"""),"Male")</f>
        <v>Male</v>
      </c>
      <c r="P1298" s="1" t="str">
        <f ca="1">IFERROR(__xludf.DUMMYFUNCTION("""COMPUTED_VALUE"""),"Work &gt;=7 People in the Team")</f>
        <v>Work &gt;=7 People in the Team</v>
      </c>
      <c r="Q1298" s="1" t="str">
        <f ca="1">IFERROR(__xludf.DUMMYFUNCTION("""COMPUTED_VALUE"""),"Male")</f>
        <v>Male</v>
      </c>
    </row>
    <row r="1299" spans="13:17" x14ac:dyDescent="0.25">
      <c r="M1299" s="1"/>
      <c r="N1299" s="1" t="str">
        <f ca="1">IFERROR(__xludf.DUMMYFUNCTION("""COMPUTED_VALUE"""),"Male")</f>
        <v>Male</v>
      </c>
      <c r="P1299" s="1" t="str">
        <f ca="1">IFERROR(__xludf.DUMMYFUNCTION("""COMPUTED_VALUE"""),"Work &lt;=6 People in the Team")</f>
        <v>Work &lt;=6 People in the Team</v>
      </c>
      <c r="Q1299" s="1" t="str">
        <f ca="1">IFERROR(__xludf.DUMMYFUNCTION("""COMPUTED_VALUE"""),"Male")</f>
        <v>Male</v>
      </c>
    </row>
    <row r="1300" spans="13:17" x14ac:dyDescent="0.25">
      <c r="M1300" s="1"/>
      <c r="N1300" s="1" t="str">
        <f ca="1">IFERROR(__xludf.DUMMYFUNCTION("""COMPUTED_VALUE"""),"Female")</f>
        <v>Female</v>
      </c>
      <c r="P1300" s="1" t="str">
        <f ca="1">IFERROR(__xludf.DUMMYFUNCTION("""COMPUTED_VALUE"""),"Work &gt;10 people in Team")</f>
        <v>Work &gt;10 people in Team</v>
      </c>
      <c r="Q1300" s="1" t="str">
        <f ca="1">IFERROR(__xludf.DUMMYFUNCTION("""COMPUTED_VALUE"""),"Female")</f>
        <v>Female</v>
      </c>
    </row>
    <row r="1301" spans="13:17" x14ac:dyDescent="0.25">
      <c r="M1301" s="1"/>
      <c r="N1301" s="1" t="str">
        <f ca="1">IFERROR(__xludf.DUMMYFUNCTION("""COMPUTED_VALUE"""),"Female")</f>
        <v>Female</v>
      </c>
      <c r="P1301" s="1" t="str">
        <f ca="1">IFERROR(__xludf.DUMMYFUNCTION("""COMPUTED_VALUE"""),"Work &lt;=6 People in the Team")</f>
        <v>Work &lt;=6 People in the Team</v>
      </c>
      <c r="Q1301" s="1" t="str">
        <f ca="1">IFERROR(__xludf.DUMMYFUNCTION("""COMPUTED_VALUE"""),"Female")</f>
        <v>Female</v>
      </c>
    </row>
    <row r="1302" spans="13:17" x14ac:dyDescent="0.25">
      <c r="M1302" s="1"/>
      <c r="N1302" s="1" t="str">
        <f ca="1">IFERROR(__xludf.DUMMYFUNCTION("""COMPUTED_VALUE"""),"Female")</f>
        <v>Female</v>
      </c>
      <c r="P1302" s="1" t="str">
        <f ca="1">IFERROR(__xludf.DUMMYFUNCTION("""COMPUTED_VALUE"""),"Work &lt;=6 People in the Team")</f>
        <v>Work &lt;=6 People in the Team</v>
      </c>
      <c r="Q1302" s="1" t="str">
        <f ca="1">IFERROR(__xludf.DUMMYFUNCTION("""COMPUTED_VALUE"""),"Female")</f>
        <v>Female</v>
      </c>
    </row>
    <row r="1303" spans="13:17" x14ac:dyDescent="0.25">
      <c r="M1303" s="1"/>
      <c r="N1303" s="1" t="str">
        <f ca="1">IFERROR(__xludf.DUMMYFUNCTION("""COMPUTED_VALUE"""),"Male")</f>
        <v>Male</v>
      </c>
      <c r="P1303" s="1" t="str">
        <f ca="1">IFERROR(__xludf.DUMMYFUNCTION("""COMPUTED_VALUE"""),"Work &lt;=6 People in the Team")</f>
        <v>Work &lt;=6 People in the Team</v>
      </c>
      <c r="Q1303" s="1" t="str">
        <f ca="1">IFERROR(__xludf.DUMMYFUNCTION("""COMPUTED_VALUE"""),"Male")</f>
        <v>Male</v>
      </c>
    </row>
    <row r="1304" spans="13:17" x14ac:dyDescent="0.25">
      <c r="M1304" s="1"/>
      <c r="N1304" s="1" t="str">
        <f ca="1">IFERROR(__xludf.DUMMYFUNCTION("""COMPUTED_VALUE"""),"Male")</f>
        <v>Male</v>
      </c>
      <c r="P1304" s="1" t="str">
        <f ca="1">IFERROR(__xludf.DUMMYFUNCTION("""COMPUTED_VALUE"""),"Work &gt;10 people in Team")</f>
        <v>Work &gt;10 people in Team</v>
      </c>
      <c r="Q1304" s="1" t="str">
        <f ca="1">IFERROR(__xludf.DUMMYFUNCTION("""COMPUTED_VALUE"""),"Male")</f>
        <v>Male</v>
      </c>
    </row>
    <row r="1305" spans="13:17" x14ac:dyDescent="0.25">
      <c r="M1305" s="1"/>
      <c r="N1305" s="1" t="str">
        <f ca="1">IFERROR(__xludf.DUMMYFUNCTION("""COMPUTED_VALUE"""),"Male")</f>
        <v>Male</v>
      </c>
      <c r="P1305" s="1" t="str">
        <f ca="1">IFERROR(__xludf.DUMMYFUNCTION("""COMPUTED_VALUE"""),"Work &lt;=6 People in the Team")</f>
        <v>Work &lt;=6 People in the Team</v>
      </c>
      <c r="Q1305" s="1" t="str">
        <f ca="1">IFERROR(__xludf.DUMMYFUNCTION("""COMPUTED_VALUE"""),"Male")</f>
        <v>Male</v>
      </c>
    </row>
    <row r="1306" spans="13:17" x14ac:dyDescent="0.25">
      <c r="M1306" s="1"/>
      <c r="N1306" s="1" t="str">
        <f ca="1">IFERROR(__xludf.DUMMYFUNCTION("""COMPUTED_VALUE"""),"Male")</f>
        <v>Male</v>
      </c>
      <c r="P1306" s="1" t="str">
        <f ca="1">IFERROR(__xludf.DUMMYFUNCTION("""COMPUTED_VALUE"""),"Work alone, Work &gt;=7 People in the Team")</f>
        <v>Work alone, Work &gt;=7 People in the Team</v>
      </c>
      <c r="Q1306" s="1" t="str">
        <f ca="1">IFERROR(__xludf.DUMMYFUNCTION("""COMPUTED_VALUE"""),"Male")</f>
        <v>Male</v>
      </c>
    </row>
    <row r="1307" spans="13:17" x14ac:dyDescent="0.25">
      <c r="M1307" s="1"/>
      <c r="N1307" s="1" t="str">
        <f ca="1">IFERROR(__xludf.DUMMYFUNCTION("""COMPUTED_VALUE"""),"Male")</f>
        <v>Male</v>
      </c>
      <c r="P1307" s="1" t="str">
        <f ca="1">IFERROR(__xludf.DUMMYFUNCTION("""COMPUTED_VALUE"""),"Work &gt;=7 People in the Team")</f>
        <v>Work &gt;=7 People in the Team</v>
      </c>
      <c r="Q1307" s="1" t="str">
        <f ca="1">IFERROR(__xludf.DUMMYFUNCTION("""COMPUTED_VALUE"""),"Male")</f>
        <v>Male</v>
      </c>
    </row>
    <row r="1308" spans="13:17" x14ac:dyDescent="0.25">
      <c r="M1308" s="1"/>
      <c r="N1308" s="1" t="str">
        <f ca="1">IFERROR(__xludf.DUMMYFUNCTION("""COMPUTED_VALUE"""),"Male")</f>
        <v>Male</v>
      </c>
      <c r="P1308" s="1" t="str">
        <f ca="1">IFERROR(__xludf.DUMMYFUNCTION("""COMPUTED_VALUE"""),"Work &lt;=6 People in the Team")</f>
        <v>Work &lt;=6 People in the Team</v>
      </c>
      <c r="Q1308" s="1" t="str">
        <f ca="1">IFERROR(__xludf.DUMMYFUNCTION("""COMPUTED_VALUE"""),"Male")</f>
        <v>Male</v>
      </c>
    </row>
    <row r="1309" spans="13:17" x14ac:dyDescent="0.25">
      <c r="M1309" s="1"/>
      <c r="N1309" s="1" t="str">
        <f ca="1">IFERROR(__xludf.DUMMYFUNCTION("""COMPUTED_VALUE"""),"Female")</f>
        <v>Female</v>
      </c>
      <c r="P1309" s="1" t="str">
        <f ca="1">IFERROR(__xludf.DUMMYFUNCTION("""COMPUTED_VALUE"""),"Work Alone, &lt;=6 in team")</f>
        <v>Work Alone, &lt;=6 in team</v>
      </c>
      <c r="Q1309" s="1" t="str">
        <f ca="1">IFERROR(__xludf.DUMMYFUNCTION("""COMPUTED_VALUE"""),"Female")</f>
        <v>Female</v>
      </c>
    </row>
    <row r="1310" spans="13:17" x14ac:dyDescent="0.25">
      <c r="M1310" s="1"/>
      <c r="N1310" s="1" t="str">
        <f ca="1">IFERROR(__xludf.DUMMYFUNCTION("""COMPUTED_VALUE"""),"Male")</f>
        <v>Male</v>
      </c>
      <c r="P1310" s="1" t="str">
        <f ca="1">IFERROR(__xludf.DUMMYFUNCTION("""COMPUTED_VALUE"""),"Work &gt;=7 People in the Team")</f>
        <v>Work &gt;=7 People in the Team</v>
      </c>
      <c r="Q1310" s="1" t="str">
        <f ca="1">IFERROR(__xludf.DUMMYFUNCTION("""COMPUTED_VALUE"""),"Male")</f>
        <v>Male</v>
      </c>
    </row>
    <row r="1311" spans="13:17" x14ac:dyDescent="0.25">
      <c r="M1311" s="1"/>
      <c r="N1311" s="1" t="str">
        <f ca="1">IFERROR(__xludf.DUMMYFUNCTION("""COMPUTED_VALUE"""),"Male")</f>
        <v>Male</v>
      </c>
      <c r="P1311" s="1" t="str">
        <f ca="1">IFERROR(__xludf.DUMMYFUNCTION("""COMPUTED_VALUE"""),"Work &gt;=7 People in the Team")</f>
        <v>Work &gt;=7 People in the Team</v>
      </c>
      <c r="Q1311" s="1" t="str">
        <f ca="1">IFERROR(__xludf.DUMMYFUNCTION("""COMPUTED_VALUE"""),"Male")</f>
        <v>Male</v>
      </c>
    </row>
    <row r="1312" spans="13:17" x14ac:dyDescent="0.25">
      <c r="M1312" s="1"/>
      <c r="N1312" s="1" t="str">
        <f ca="1">IFERROR(__xludf.DUMMYFUNCTION("""COMPUTED_VALUE"""),"Male")</f>
        <v>Male</v>
      </c>
      <c r="P1312" s="1" t="str">
        <f ca="1">IFERROR(__xludf.DUMMYFUNCTION("""COMPUTED_VALUE"""),"Work &gt;10 people in Team")</f>
        <v>Work &gt;10 people in Team</v>
      </c>
      <c r="Q1312" s="1" t="str">
        <f ca="1">IFERROR(__xludf.DUMMYFUNCTION("""COMPUTED_VALUE"""),"Male")</f>
        <v>Male</v>
      </c>
    </row>
    <row r="1313" spans="13:17" x14ac:dyDescent="0.25">
      <c r="M1313" s="1"/>
      <c r="N1313" s="1" t="str">
        <f ca="1">IFERROR(__xludf.DUMMYFUNCTION("""COMPUTED_VALUE"""),"Male")</f>
        <v>Male</v>
      </c>
      <c r="P1313" s="1" t="str">
        <f ca="1">IFERROR(__xludf.DUMMYFUNCTION("""COMPUTED_VALUE"""),"Work &lt;=6 People in the Team")</f>
        <v>Work &lt;=6 People in the Team</v>
      </c>
      <c r="Q1313" s="1" t="str">
        <f ca="1">IFERROR(__xludf.DUMMYFUNCTION("""COMPUTED_VALUE"""),"Male")</f>
        <v>Male</v>
      </c>
    </row>
    <row r="1314" spans="13:17" x14ac:dyDescent="0.25">
      <c r="M1314" s="1"/>
      <c r="N1314" s="1" t="str">
        <f ca="1">IFERROR(__xludf.DUMMYFUNCTION("""COMPUTED_VALUE"""),"Female")</f>
        <v>Female</v>
      </c>
      <c r="P1314" s="1" t="str">
        <f ca="1">IFERROR(__xludf.DUMMYFUNCTION("""COMPUTED_VALUE"""),"Work &lt;=6 People in the Team")</f>
        <v>Work &lt;=6 People in the Team</v>
      </c>
      <c r="Q1314" s="1" t="str">
        <f ca="1">IFERROR(__xludf.DUMMYFUNCTION("""COMPUTED_VALUE"""),"Female")</f>
        <v>Female</v>
      </c>
    </row>
    <row r="1315" spans="13:17" x14ac:dyDescent="0.25">
      <c r="M1315" s="1"/>
      <c r="N1315" s="1" t="str">
        <f ca="1">IFERROR(__xludf.DUMMYFUNCTION("""COMPUTED_VALUE"""),"Male")</f>
        <v>Male</v>
      </c>
      <c r="P1315" s="1" t="str">
        <f ca="1">IFERROR(__xludf.DUMMYFUNCTION("""COMPUTED_VALUE"""),"Work &gt;10 people in Team")</f>
        <v>Work &gt;10 people in Team</v>
      </c>
      <c r="Q1315" s="1" t="str">
        <f ca="1">IFERROR(__xludf.DUMMYFUNCTION("""COMPUTED_VALUE"""),"Male")</f>
        <v>Male</v>
      </c>
    </row>
    <row r="1316" spans="13:17" x14ac:dyDescent="0.25">
      <c r="M1316" s="1"/>
      <c r="N1316" s="1" t="str">
        <f ca="1">IFERROR(__xludf.DUMMYFUNCTION("""COMPUTED_VALUE"""),"Female")</f>
        <v>Female</v>
      </c>
      <c r="P1316" s="1" t="str">
        <f ca="1">IFERROR(__xludf.DUMMYFUNCTION("""COMPUTED_VALUE"""),"Work &lt;=6 People in the Team")</f>
        <v>Work &lt;=6 People in the Team</v>
      </c>
      <c r="Q1316" s="1" t="str">
        <f ca="1">IFERROR(__xludf.DUMMYFUNCTION("""COMPUTED_VALUE"""),"Female")</f>
        <v>Female</v>
      </c>
    </row>
    <row r="1317" spans="13:17" x14ac:dyDescent="0.25">
      <c r="M1317" s="1"/>
      <c r="N1317" s="1" t="str">
        <f ca="1">IFERROR(__xludf.DUMMYFUNCTION("""COMPUTED_VALUE"""),"Male")</f>
        <v>Male</v>
      </c>
      <c r="P1317" s="1" t="str">
        <f ca="1">IFERROR(__xludf.DUMMYFUNCTION("""COMPUTED_VALUE"""),"Work Alone, &lt;67 people in team")</f>
        <v>Work Alone, &lt;67 people in team</v>
      </c>
      <c r="Q1317" s="1" t="str">
        <f ca="1">IFERROR(__xludf.DUMMYFUNCTION("""COMPUTED_VALUE"""),"Male")</f>
        <v>Male</v>
      </c>
    </row>
    <row r="1318" spans="13:17" x14ac:dyDescent="0.25">
      <c r="M1318" s="1"/>
      <c r="N1318" s="1" t="str">
        <f ca="1">IFERROR(__xludf.DUMMYFUNCTION("""COMPUTED_VALUE"""),"Female")</f>
        <v>Female</v>
      </c>
      <c r="P1318" s="1" t="str">
        <f ca="1">IFERROR(__xludf.DUMMYFUNCTION("""COMPUTED_VALUE"""),"Work &lt;=6 People in the Team")</f>
        <v>Work &lt;=6 People in the Team</v>
      </c>
      <c r="Q1318" s="1" t="str">
        <f ca="1">IFERROR(__xludf.DUMMYFUNCTION("""COMPUTED_VALUE"""),"Female")</f>
        <v>Female</v>
      </c>
    </row>
    <row r="1319" spans="13:17" x14ac:dyDescent="0.25">
      <c r="M1319" s="1"/>
      <c r="N1319" s="1" t="str">
        <f ca="1">IFERROR(__xludf.DUMMYFUNCTION("""COMPUTED_VALUE"""),"Female")</f>
        <v>Female</v>
      </c>
      <c r="P1319" s="1" t="str">
        <f ca="1">IFERROR(__xludf.DUMMYFUNCTION("""COMPUTED_VALUE"""),"Work &lt;=6 People in the Team")</f>
        <v>Work &lt;=6 People in the Team</v>
      </c>
      <c r="Q1319" s="1" t="str">
        <f ca="1">IFERROR(__xludf.DUMMYFUNCTION("""COMPUTED_VALUE"""),"Female")</f>
        <v>Female</v>
      </c>
    </row>
    <row r="1320" spans="13:17" x14ac:dyDescent="0.25">
      <c r="M1320" s="1"/>
      <c r="N1320" s="1" t="str">
        <f ca="1">IFERROR(__xludf.DUMMYFUNCTION("""COMPUTED_VALUE"""),"Female")</f>
        <v>Female</v>
      </c>
      <c r="P1320" s="1" t="str">
        <f ca="1">IFERROR(__xludf.DUMMYFUNCTION("""COMPUTED_VALUE"""),"Work &lt;=6 People in the Team")</f>
        <v>Work &lt;=6 People in the Team</v>
      </c>
      <c r="Q1320" s="1" t="str">
        <f ca="1">IFERROR(__xludf.DUMMYFUNCTION("""COMPUTED_VALUE"""),"Female")</f>
        <v>Female</v>
      </c>
    </row>
    <row r="1321" spans="13:17" x14ac:dyDescent="0.25">
      <c r="M1321" s="1"/>
      <c r="N1321" s="1" t="str">
        <f ca="1">IFERROR(__xludf.DUMMYFUNCTION("""COMPUTED_VALUE"""),"Female")</f>
        <v>Female</v>
      </c>
      <c r="P1321" s="1" t="str">
        <f ca="1">IFERROR(__xludf.DUMMYFUNCTION("""COMPUTED_VALUE"""),"Work &lt;=6 People in the Team")</f>
        <v>Work &lt;=6 People in the Team</v>
      </c>
      <c r="Q1321" s="1" t="str">
        <f ca="1">IFERROR(__xludf.DUMMYFUNCTION("""COMPUTED_VALUE"""),"Female")</f>
        <v>Female</v>
      </c>
    </row>
    <row r="1322" spans="13:17" x14ac:dyDescent="0.25">
      <c r="M1322" s="1"/>
      <c r="N1322" s="1" t="str">
        <f ca="1">IFERROR(__xludf.DUMMYFUNCTION("""COMPUTED_VALUE"""),"Female")</f>
        <v>Female</v>
      </c>
      <c r="P1322" s="1" t="str">
        <f ca="1">IFERROR(__xludf.DUMMYFUNCTION("""COMPUTED_VALUE"""),"Work &lt;=6 People in the Team")</f>
        <v>Work &lt;=6 People in the Team</v>
      </c>
      <c r="Q1322" s="1" t="str">
        <f ca="1">IFERROR(__xludf.DUMMYFUNCTION("""COMPUTED_VALUE"""),"Female")</f>
        <v>Female</v>
      </c>
    </row>
    <row r="1323" spans="13:17" x14ac:dyDescent="0.25">
      <c r="M1323" s="1"/>
      <c r="N1323" s="1" t="str">
        <f ca="1">IFERROR(__xludf.DUMMYFUNCTION("""COMPUTED_VALUE"""),"Male")</f>
        <v>Male</v>
      </c>
      <c r="P1323" s="1" t="str">
        <f ca="1">IFERROR(__xludf.DUMMYFUNCTION("""COMPUTED_VALUE"""),"Work &lt;=6 People in the Team")</f>
        <v>Work &lt;=6 People in the Team</v>
      </c>
      <c r="Q1323" s="1" t="str">
        <f ca="1">IFERROR(__xludf.DUMMYFUNCTION("""COMPUTED_VALUE"""),"Male")</f>
        <v>Male</v>
      </c>
    </row>
    <row r="1324" spans="13:17" x14ac:dyDescent="0.25">
      <c r="M1324" s="1"/>
      <c r="N1324" s="1" t="str">
        <f ca="1">IFERROR(__xludf.DUMMYFUNCTION("""COMPUTED_VALUE"""),"Male")</f>
        <v>Male</v>
      </c>
      <c r="P1324" s="1" t="str">
        <f ca="1">IFERROR(__xludf.DUMMYFUNCTION("""COMPUTED_VALUE"""),"Work &gt;=7 People in the Team")</f>
        <v>Work &gt;=7 People in the Team</v>
      </c>
      <c r="Q1324" s="1" t="str">
        <f ca="1">IFERROR(__xludf.DUMMYFUNCTION("""COMPUTED_VALUE"""),"Male")</f>
        <v>Male</v>
      </c>
    </row>
    <row r="1325" spans="13:17" x14ac:dyDescent="0.25">
      <c r="M1325" s="1"/>
      <c r="N1325" s="1" t="str">
        <f ca="1">IFERROR(__xludf.DUMMYFUNCTION("""COMPUTED_VALUE"""),"Male")</f>
        <v>Male</v>
      </c>
      <c r="P1325" s="1" t="str">
        <f ca="1">IFERROR(__xludf.DUMMYFUNCTION("""COMPUTED_VALUE"""),"Work  &lt;67 people in team")</f>
        <v>Work  &lt;67 people in team</v>
      </c>
      <c r="Q1325" s="1" t="str">
        <f ca="1">IFERROR(__xludf.DUMMYFUNCTION("""COMPUTED_VALUE"""),"Male")</f>
        <v>Male</v>
      </c>
    </row>
    <row r="1326" spans="13:17" x14ac:dyDescent="0.25">
      <c r="M1326" s="1"/>
      <c r="N1326" s="1" t="str">
        <f ca="1">IFERROR(__xludf.DUMMYFUNCTION("""COMPUTED_VALUE"""),"Female")</f>
        <v>Female</v>
      </c>
      <c r="P1326" s="1" t="str">
        <f ca="1">IFERROR(__xludf.DUMMYFUNCTION("""COMPUTED_VALUE"""),"Work &lt;=6 People in the Team")</f>
        <v>Work &lt;=6 People in the Team</v>
      </c>
      <c r="Q1326" s="1" t="str">
        <f ca="1">IFERROR(__xludf.DUMMYFUNCTION("""COMPUTED_VALUE"""),"Female")</f>
        <v>Female</v>
      </c>
    </row>
    <row r="1327" spans="13:17" x14ac:dyDescent="0.25">
      <c r="M1327" s="1"/>
      <c r="N1327" s="1" t="str">
        <f ca="1">IFERROR(__xludf.DUMMYFUNCTION("""COMPUTED_VALUE"""),"Female")</f>
        <v>Female</v>
      </c>
      <c r="P1327" s="1" t="str">
        <f ca="1">IFERROR(__xludf.DUMMYFUNCTION("""COMPUTED_VALUE"""),"Work &lt;=6 People in the Team")</f>
        <v>Work &lt;=6 People in the Team</v>
      </c>
      <c r="Q1327" s="1" t="str">
        <f ca="1">IFERROR(__xludf.DUMMYFUNCTION("""COMPUTED_VALUE"""),"Female")</f>
        <v>Female</v>
      </c>
    </row>
    <row r="1328" spans="13:17" x14ac:dyDescent="0.25">
      <c r="M1328" s="1"/>
      <c r="N1328" s="1" t="str">
        <f ca="1">IFERROR(__xludf.DUMMYFUNCTION("""COMPUTED_VALUE"""),"Female")</f>
        <v>Female</v>
      </c>
      <c r="P1328" s="1" t="str">
        <f ca="1">IFERROR(__xludf.DUMMYFUNCTION("""COMPUTED_VALUE"""),"Work &lt;=6 People in the Team")</f>
        <v>Work &lt;=6 People in the Team</v>
      </c>
      <c r="Q1328" s="1" t="str">
        <f ca="1">IFERROR(__xludf.DUMMYFUNCTION("""COMPUTED_VALUE"""),"Female")</f>
        <v>Female</v>
      </c>
    </row>
    <row r="1329" spans="13:17" x14ac:dyDescent="0.25">
      <c r="M1329" s="1"/>
      <c r="N1329" s="1" t="str">
        <f ca="1">IFERROR(__xludf.DUMMYFUNCTION("""COMPUTED_VALUE"""),"Male")</f>
        <v>Male</v>
      </c>
      <c r="P1329" s="1" t="str">
        <f ca="1">IFERROR(__xludf.DUMMYFUNCTION("""COMPUTED_VALUE"""),"Work &gt;=7 People in the Team")</f>
        <v>Work &gt;=7 People in the Team</v>
      </c>
      <c r="Q1329" s="1" t="str">
        <f ca="1">IFERROR(__xludf.DUMMYFUNCTION("""COMPUTED_VALUE"""),"Male")</f>
        <v>Male</v>
      </c>
    </row>
    <row r="1330" spans="13:17" x14ac:dyDescent="0.25">
      <c r="M1330" s="1"/>
      <c r="N1330" s="1" t="str">
        <f ca="1">IFERROR(__xludf.DUMMYFUNCTION("""COMPUTED_VALUE"""),"Female")</f>
        <v>Female</v>
      </c>
      <c r="P1330" s="1" t="str">
        <f ca="1">IFERROR(__xludf.DUMMYFUNCTION("""COMPUTED_VALUE"""),"Work &gt;10 people in Team")</f>
        <v>Work &gt;10 people in Team</v>
      </c>
      <c r="Q1330" s="1" t="str">
        <f ca="1">IFERROR(__xludf.DUMMYFUNCTION("""COMPUTED_VALUE"""),"Female")</f>
        <v>Female</v>
      </c>
    </row>
    <row r="1331" spans="13:17" x14ac:dyDescent="0.25">
      <c r="M1331" s="1"/>
      <c r="N1331" s="1" t="str">
        <f ca="1">IFERROR(__xludf.DUMMYFUNCTION("""COMPUTED_VALUE"""),"Female")</f>
        <v>Female</v>
      </c>
      <c r="P1331" s="1" t="str">
        <f ca="1">IFERROR(__xludf.DUMMYFUNCTION("""COMPUTED_VALUE"""),"Work &lt;=6 People in the Team")</f>
        <v>Work &lt;=6 People in the Team</v>
      </c>
      <c r="Q1331" s="1" t="str">
        <f ca="1">IFERROR(__xludf.DUMMYFUNCTION("""COMPUTED_VALUE"""),"Female")</f>
        <v>Female</v>
      </c>
    </row>
    <row r="1332" spans="13:17" x14ac:dyDescent="0.25">
      <c r="M1332" s="1"/>
      <c r="N1332" s="1" t="str">
        <f ca="1">IFERROR(__xludf.DUMMYFUNCTION("""COMPUTED_VALUE"""),"Female")</f>
        <v>Female</v>
      </c>
      <c r="P1332" s="1" t="str">
        <f ca="1">IFERROR(__xludf.DUMMYFUNCTION("""COMPUTED_VALUE"""),"Work  &lt;67 people in team")</f>
        <v>Work  &lt;67 people in team</v>
      </c>
      <c r="Q1332" s="1" t="str">
        <f ca="1">IFERROR(__xludf.DUMMYFUNCTION("""COMPUTED_VALUE"""),"Female")</f>
        <v>Female</v>
      </c>
    </row>
    <row r="1333" spans="13:17" x14ac:dyDescent="0.25">
      <c r="M1333" s="1"/>
      <c r="N1333" s="1" t="str">
        <f ca="1">IFERROR(__xludf.DUMMYFUNCTION("""COMPUTED_VALUE"""),"Female")</f>
        <v>Female</v>
      </c>
      <c r="P1333" s="1" t="str">
        <f ca="1">IFERROR(__xludf.DUMMYFUNCTION("""COMPUTED_VALUE"""),"Work &lt;=6 People in the Team")</f>
        <v>Work &lt;=6 People in the Team</v>
      </c>
      <c r="Q1333" s="1" t="str">
        <f ca="1">IFERROR(__xludf.DUMMYFUNCTION("""COMPUTED_VALUE"""),"Female")</f>
        <v>Female</v>
      </c>
    </row>
    <row r="1334" spans="13:17" x14ac:dyDescent="0.25">
      <c r="M1334" s="1"/>
      <c r="N1334" s="1" t="str">
        <f ca="1">IFERROR(__xludf.DUMMYFUNCTION("""COMPUTED_VALUE"""),"Male")</f>
        <v>Male</v>
      </c>
      <c r="P1334" s="1" t="str">
        <f ca="1">IFERROR(__xludf.DUMMYFUNCTION("""COMPUTED_VALUE"""),"Work &gt;10 people in Team")</f>
        <v>Work &gt;10 people in Team</v>
      </c>
      <c r="Q1334" s="1" t="str">
        <f ca="1">IFERROR(__xludf.DUMMYFUNCTION("""COMPUTED_VALUE"""),"Male")</f>
        <v>Male</v>
      </c>
    </row>
    <row r="1335" spans="13:17" x14ac:dyDescent="0.25">
      <c r="M1335" s="1"/>
      <c r="N1335" s="1" t="str">
        <f ca="1">IFERROR(__xludf.DUMMYFUNCTION("""COMPUTED_VALUE"""),"Female")</f>
        <v>Female</v>
      </c>
      <c r="P1335" s="1" t="str">
        <f ca="1">IFERROR(__xludf.DUMMYFUNCTION("""COMPUTED_VALUE"""),"Work &lt;=6 People in the Team")</f>
        <v>Work &lt;=6 People in the Team</v>
      </c>
      <c r="Q1335" s="1" t="str">
        <f ca="1">IFERROR(__xludf.DUMMYFUNCTION("""COMPUTED_VALUE"""),"Female")</f>
        <v>Female</v>
      </c>
    </row>
    <row r="1336" spans="13:17" x14ac:dyDescent="0.25">
      <c r="M1336" s="1"/>
      <c r="N1336" s="1" t="str">
        <f ca="1">IFERROR(__xludf.DUMMYFUNCTION("""COMPUTED_VALUE"""),"Male")</f>
        <v>Male</v>
      </c>
      <c r="P1336" s="1" t="str">
        <f ca="1">IFERROR(__xludf.DUMMYFUNCTION("""COMPUTED_VALUE"""),"Work  &lt;67 people in team")</f>
        <v>Work  &lt;67 people in team</v>
      </c>
      <c r="Q1336" s="1" t="str">
        <f ca="1">IFERROR(__xludf.DUMMYFUNCTION("""COMPUTED_VALUE"""),"Male")</f>
        <v>Male</v>
      </c>
    </row>
    <row r="1337" spans="13:17" x14ac:dyDescent="0.25">
      <c r="M1337" s="1"/>
      <c r="N1337" s="1" t="str">
        <f ca="1">IFERROR(__xludf.DUMMYFUNCTION("""COMPUTED_VALUE"""),"Male")</f>
        <v>Male</v>
      </c>
      <c r="P1337" s="1" t="str">
        <f ca="1">IFERROR(__xludf.DUMMYFUNCTION("""COMPUTED_VALUE"""),"Work &lt;=6 People in the Team")</f>
        <v>Work &lt;=6 People in the Team</v>
      </c>
      <c r="Q1337" s="1" t="str">
        <f ca="1">IFERROR(__xludf.DUMMYFUNCTION("""COMPUTED_VALUE"""),"Male")</f>
        <v>Male</v>
      </c>
    </row>
    <row r="1338" spans="13:17" x14ac:dyDescent="0.25">
      <c r="M1338" s="1"/>
      <c r="N1338" s="1" t="str">
        <f ca="1">IFERROR(__xludf.DUMMYFUNCTION("""COMPUTED_VALUE"""),"Female")</f>
        <v>Female</v>
      </c>
      <c r="P1338" s="1" t="str">
        <f ca="1">IFERROR(__xludf.DUMMYFUNCTION("""COMPUTED_VALUE"""),"Work &gt;10 people in Team")</f>
        <v>Work &gt;10 people in Team</v>
      </c>
      <c r="Q1338" s="1" t="str">
        <f ca="1">IFERROR(__xludf.DUMMYFUNCTION("""COMPUTED_VALUE"""),"Female")</f>
        <v>Female</v>
      </c>
    </row>
    <row r="1339" spans="13:17" x14ac:dyDescent="0.25">
      <c r="M1339" s="1"/>
      <c r="N1339" s="1" t="str">
        <f ca="1">IFERROR(__xludf.DUMMYFUNCTION("""COMPUTED_VALUE"""),"Female")</f>
        <v>Female</v>
      </c>
      <c r="P1339" s="1" t="str">
        <f ca="1">IFERROR(__xludf.DUMMYFUNCTION("""COMPUTED_VALUE"""),"Work &lt;=6 People in the Team")</f>
        <v>Work &lt;=6 People in the Team</v>
      </c>
      <c r="Q1339" s="1" t="str">
        <f ca="1">IFERROR(__xludf.DUMMYFUNCTION("""COMPUTED_VALUE"""),"Female")</f>
        <v>Female</v>
      </c>
    </row>
    <row r="1340" spans="13:17" x14ac:dyDescent="0.25">
      <c r="M1340" s="1"/>
      <c r="N1340" s="1" t="str">
        <f ca="1">IFERROR(__xludf.DUMMYFUNCTION("""COMPUTED_VALUE"""),"Male")</f>
        <v>Male</v>
      </c>
      <c r="P1340" s="1" t="str">
        <f ca="1">IFERROR(__xludf.DUMMYFUNCTION("""COMPUTED_VALUE"""),"Work Alone, &lt;67 people in team")</f>
        <v>Work Alone, &lt;67 people in team</v>
      </c>
      <c r="Q1340" s="1" t="str">
        <f ca="1">IFERROR(__xludf.DUMMYFUNCTION("""COMPUTED_VALUE"""),"Male")</f>
        <v>Male</v>
      </c>
    </row>
    <row r="1341" spans="13:17" x14ac:dyDescent="0.25">
      <c r="M1341" s="1"/>
      <c r="N1341" s="1" t="str">
        <f ca="1">IFERROR(__xludf.DUMMYFUNCTION("""COMPUTED_VALUE"""),"Male")</f>
        <v>Male</v>
      </c>
      <c r="P1341" s="1" t="str">
        <f ca="1">IFERROR(__xludf.DUMMYFUNCTION("""COMPUTED_VALUE"""),"Work &lt;=6 People in the Team")</f>
        <v>Work &lt;=6 People in the Team</v>
      </c>
      <c r="Q1341" s="1" t="str">
        <f ca="1">IFERROR(__xludf.DUMMYFUNCTION("""COMPUTED_VALUE"""),"Male")</f>
        <v>Male</v>
      </c>
    </row>
    <row r="1342" spans="13:17" x14ac:dyDescent="0.25">
      <c r="M1342" s="1"/>
      <c r="N1342" s="1" t="str">
        <f ca="1">IFERROR(__xludf.DUMMYFUNCTION("""COMPUTED_VALUE"""),"Male")</f>
        <v>Male</v>
      </c>
      <c r="P1342" s="1" t="str">
        <f ca="1">IFERROR(__xludf.DUMMYFUNCTION("""COMPUTED_VALUE"""),"Work &gt;10 people in Team")</f>
        <v>Work &gt;10 people in Team</v>
      </c>
      <c r="Q1342" s="1" t="str">
        <f ca="1">IFERROR(__xludf.DUMMYFUNCTION("""COMPUTED_VALUE"""),"Male")</f>
        <v>Male</v>
      </c>
    </row>
    <row r="1343" spans="13:17" x14ac:dyDescent="0.25">
      <c r="M1343" s="1"/>
      <c r="N1343" s="1" t="str">
        <f ca="1">IFERROR(__xludf.DUMMYFUNCTION("""COMPUTED_VALUE"""),"Male")</f>
        <v>Male</v>
      </c>
      <c r="P1343" s="1" t="str">
        <f ca="1">IFERROR(__xludf.DUMMYFUNCTION("""COMPUTED_VALUE"""),"Work alone")</f>
        <v>Work alone</v>
      </c>
      <c r="Q1343" s="1" t="str">
        <f ca="1">IFERROR(__xludf.DUMMYFUNCTION("""COMPUTED_VALUE"""),"Male")</f>
        <v>Male</v>
      </c>
    </row>
    <row r="1344" spans="13:17" x14ac:dyDescent="0.25">
      <c r="M1344" s="1"/>
      <c r="N1344" s="1" t="str">
        <f ca="1">IFERROR(__xludf.DUMMYFUNCTION("""COMPUTED_VALUE"""),"Male")</f>
        <v>Male</v>
      </c>
      <c r="P1344" s="1" t="str">
        <f ca="1">IFERROR(__xludf.DUMMYFUNCTION("""COMPUTED_VALUE"""),"Work &lt;=6 People in the Team")</f>
        <v>Work &lt;=6 People in the Team</v>
      </c>
      <c r="Q1344" s="1" t="str">
        <f ca="1">IFERROR(__xludf.DUMMYFUNCTION("""COMPUTED_VALUE"""),"Male")</f>
        <v>Male</v>
      </c>
    </row>
    <row r="1345" spans="13:17" x14ac:dyDescent="0.25">
      <c r="M1345" s="1"/>
      <c r="N1345" s="1" t="str">
        <f ca="1">IFERROR(__xludf.DUMMYFUNCTION("""COMPUTED_VALUE"""),"Male")</f>
        <v>Male</v>
      </c>
      <c r="P1345" s="1" t="str">
        <f ca="1">IFERROR(__xludf.DUMMYFUNCTION("""COMPUTED_VALUE"""),"Work &gt;10 people in Team")</f>
        <v>Work &gt;10 people in Team</v>
      </c>
      <c r="Q1345" s="1" t="str">
        <f ca="1">IFERROR(__xludf.DUMMYFUNCTION("""COMPUTED_VALUE"""),"Male")</f>
        <v>Male</v>
      </c>
    </row>
    <row r="1346" spans="13:17" x14ac:dyDescent="0.25">
      <c r="M1346" s="1"/>
      <c r="N1346" s="1" t="str">
        <f ca="1">IFERROR(__xludf.DUMMYFUNCTION("""COMPUTED_VALUE"""),"Male")</f>
        <v>Male</v>
      </c>
      <c r="P1346" s="1" t="str">
        <f ca="1">IFERROR(__xludf.DUMMYFUNCTION("""COMPUTED_VALUE"""),"Work &gt;10 people in Team")</f>
        <v>Work &gt;10 people in Team</v>
      </c>
      <c r="Q1346" s="1" t="str">
        <f ca="1">IFERROR(__xludf.DUMMYFUNCTION("""COMPUTED_VALUE"""),"Male")</f>
        <v>Male</v>
      </c>
    </row>
    <row r="1347" spans="13:17" x14ac:dyDescent="0.25">
      <c r="M1347" s="1"/>
      <c r="N1347" s="1" t="str">
        <f ca="1">IFERROR(__xludf.DUMMYFUNCTION("""COMPUTED_VALUE"""),"Male")</f>
        <v>Male</v>
      </c>
      <c r="P1347" s="1" t="str">
        <f ca="1">IFERROR(__xludf.DUMMYFUNCTION("""COMPUTED_VALUE"""),"Work &lt;67 People in the Team")</f>
        <v>Work &lt;67 People in the Team</v>
      </c>
      <c r="Q1347" s="1" t="str">
        <f ca="1">IFERROR(__xludf.DUMMYFUNCTION("""COMPUTED_VALUE"""),"Male")</f>
        <v>Male</v>
      </c>
    </row>
    <row r="1348" spans="13:17" x14ac:dyDescent="0.25">
      <c r="M1348" s="1"/>
      <c r="N1348" s="1" t="str">
        <f ca="1">IFERROR(__xludf.DUMMYFUNCTION("""COMPUTED_VALUE"""),"Female")</f>
        <v>Female</v>
      </c>
      <c r="P1348" s="1" t="str">
        <f ca="1">IFERROR(__xludf.DUMMYFUNCTION("""COMPUTED_VALUE"""),"Work &gt;10 people in Team")</f>
        <v>Work &gt;10 people in Team</v>
      </c>
      <c r="Q1348" s="1" t="str">
        <f ca="1">IFERROR(__xludf.DUMMYFUNCTION("""COMPUTED_VALUE"""),"Female")</f>
        <v>Female</v>
      </c>
    </row>
    <row r="1349" spans="13:17" x14ac:dyDescent="0.25">
      <c r="M1349" s="1"/>
      <c r="N1349" s="1" t="str">
        <f ca="1">IFERROR(__xludf.DUMMYFUNCTION("""COMPUTED_VALUE"""),"Male")</f>
        <v>Male</v>
      </c>
      <c r="P1349" s="1" t="str">
        <f ca="1">IFERROR(__xludf.DUMMYFUNCTION("""COMPUTED_VALUE"""),"Work &lt;=6 People in the Team")</f>
        <v>Work &lt;=6 People in the Team</v>
      </c>
      <c r="Q1349" s="1" t="str">
        <f ca="1">IFERROR(__xludf.DUMMYFUNCTION("""COMPUTED_VALUE"""),"Male")</f>
        <v>Male</v>
      </c>
    </row>
    <row r="1350" spans="13:17" x14ac:dyDescent="0.25">
      <c r="M1350" s="1"/>
      <c r="N1350" s="1" t="str">
        <f ca="1">IFERROR(__xludf.DUMMYFUNCTION("""COMPUTED_VALUE"""),"Female")</f>
        <v>Female</v>
      </c>
      <c r="P1350" s="1" t="str">
        <f ca="1">IFERROR(__xludf.DUMMYFUNCTION("""COMPUTED_VALUE"""),"Work &lt;=6 People in the Team")</f>
        <v>Work &lt;=6 People in the Team</v>
      </c>
      <c r="Q1350" s="1" t="str">
        <f ca="1">IFERROR(__xludf.DUMMYFUNCTION("""COMPUTED_VALUE"""),"Female")</f>
        <v>Female</v>
      </c>
    </row>
    <row r="1351" spans="13:17" x14ac:dyDescent="0.25">
      <c r="M1351" s="1"/>
      <c r="N1351" s="1" t="str">
        <f ca="1">IFERROR(__xludf.DUMMYFUNCTION("""COMPUTED_VALUE"""),"Male")</f>
        <v>Male</v>
      </c>
      <c r="P1351" s="1" t="str">
        <f ca="1">IFERROR(__xludf.DUMMYFUNCTION("""COMPUTED_VALUE"""),"Work &lt;=6 People in the Team")</f>
        <v>Work &lt;=6 People in the Team</v>
      </c>
      <c r="Q1351" s="1" t="str">
        <f ca="1">IFERROR(__xludf.DUMMYFUNCTION("""COMPUTED_VALUE"""),"Male")</f>
        <v>Male</v>
      </c>
    </row>
    <row r="1352" spans="13:17" x14ac:dyDescent="0.25">
      <c r="M1352" s="1"/>
      <c r="N1352" s="1" t="str">
        <f ca="1">IFERROR(__xludf.DUMMYFUNCTION("""COMPUTED_VALUE"""),"Male")</f>
        <v>Male</v>
      </c>
      <c r="P1352" s="1" t="str">
        <f ca="1">IFERROR(__xludf.DUMMYFUNCTION("""COMPUTED_VALUE"""),"Work &lt;=6 People in the Team")</f>
        <v>Work &lt;=6 People in the Team</v>
      </c>
      <c r="Q1352" s="1" t="str">
        <f ca="1">IFERROR(__xludf.DUMMYFUNCTION("""COMPUTED_VALUE"""),"Male")</f>
        <v>Male</v>
      </c>
    </row>
    <row r="1353" spans="13:17" x14ac:dyDescent="0.25">
      <c r="M1353" s="1"/>
      <c r="N1353" s="1" t="str">
        <f ca="1">IFERROR(__xludf.DUMMYFUNCTION("""COMPUTED_VALUE"""),"Female")</f>
        <v>Female</v>
      </c>
      <c r="P1353" s="1" t="str">
        <f ca="1">IFERROR(__xludf.DUMMYFUNCTION("""COMPUTED_VALUE"""),"Work &lt;=6 People in the Team")</f>
        <v>Work &lt;=6 People in the Team</v>
      </c>
      <c r="Q1353" s="1" t="str">
        <f ca="1">IFERROR(__xludf.DUMMYFUNCTION("""COMPUTED_VALUE"""),"Female")</f>
        <v>Female</v>
      </c>
    </row>
    <row r="1354" spans="13:17" x14ac:dyDescent="0.25">
      <c r="M1354" s="1"/>
      <c r="N1354" s="1" t="str">
        <f ca="1">IFERROR(__xludf.DUMMYFUNCTION("""COMPUTED_VALUE"""),"Female")</f>
        <v>Female</v>
      </c>
      <c r="P1354" s="1" t="str">
        <f ca="1">IFERROR(__xludf.DUMMYFUNCTION("""COMPUTED_VALUE"""),"Work &lt;=6 People in the Team")</f>
        <v>Work &lt;=6 People in the Team</v>
      </c>
      <c r="Q1354" s="1" t="str">
        <f ca="1">IFERROR(__xludf.DUMMYFUNCTION("""COMPUTED_VALUE"""),"Female")</f>
        <v>Female</v>
      </c>
    </row>
    <row r="1355" spans="13:17" x14ac:dyDescent="0.25">
      <c r="M1355" s="1"/>
      <c r="N1355" s="1" t="str">
        <f ca="1">IFERROR(__xludf.DUMMYFUNCTION("""COMPUTED_VALUE"""),"Female")</f>
        <v>Female</v>
      </c>
      <c r="P1355" s="1" t="str">
        <f ca="1">IFERROR(__xludf.DUMMYFUNCTION("""COMPUTED_VALUE"""),"Work &lt;=6 People in the Team")</f>
        <v>Work &lt;=6 People in the Team</v>
      </c>
      <c r="Q1355" s="1" t="str">
        <f ca="1">IFERROR(__xludf.DUMMYFUNCTION("""COMPUTED_VALUE"""),"Female")</f>
        <v>Female</v>
      </c>
    </row>
    <row r="1356" spans="13:17" x14ac:dyDescent="0.25">
      <c r="M1356" s="1"/>
      <c r="N1356" s="1" t="str">
        <f ca="1">IFERROR(__xludf.DUMMYFUNCTION("""COMPUTED_VALUE"""),"Female")</f>
        <v>Female</v>
      </c>
      <c r="P1356" s="1" t="str">
        <f ca="1">IFERROR(__xludf.DUMMYFUNCTION("""COMPUTED_VALUE"""),"Work &lt;=6 People in the Team")</f>
        <v>Work &lt;=6 People in the Team</v>
      </c>
      <c r="Q1356" s="1" t="str">
        <f ca="1">IFERROR(__xludf.DUMMYFUNCTION("""COMPUTED_VALUE"""),"Female")</f>
        <v>Female</v>
      </c>
    </row>
    <row r="1357" spans="13:17" x14ac:dyDescent="0.25">
      <c r="M1357" s="1"/>
      <c r="N1357" s="1" t="str">
        <f ca="1">IFERROR(__xludf.DUMMYFUNCTION("""COMPUTED_VALUE"""),"Female")</f>
        <v>Female</v>
      </c>
      <c r="P1357" s="1" t="str">
        <f ca="1">IFERROR(__xludf.DUMMYFUNCTION("""COMPUTED_VALUE"""),"Work &lt;=6 People in the Team")</f>
        <v>Work &lt;=6 People in the Team</v>
      </c>
      <c r="Q1357" s="1" t="str">
        <f ca="1">IFERROR(__xludf.DUMMYFUNCTION("""COMPUTED_VALUE"""),"Female")</f>
        <v>Female</v>
      </c>
    </row>
    <row r="1358" spans="13:17" x14ac:dyDescent="0.25">
      <c r="M1358" s="1"/>
      <c r="N1358" s="1" t="str">
        <f ca="1">IFERROR(__xludf.DUMMYFUNCTION("""COMPUTED_VALUE"""),"Male")</f>
        <v>Male</v>
      </c>
      <c r="P1358" s="1" t="str">
        <f ca="1">IFERROR(__xludf.DUMMYFUNCTION("""COMPUTED_VALUE"""),"Work &lt;=6 People in the Team")</f>
        <v>Work &lt;=6 People in the Team</v>
      </c>
      <c r="Q1358" s="1" t="str">
        <f ca="1">IFERROR(__xludf.DUMMYFUNCTION("""COMPUTED_VALUE"""),"Male")</f>
        <v>Male</v>
      </c>
    </row>
    <row r="1359" spans="13:17" x14ac:dyDescent="0.25">
      <c r="M1359" s="1"/>
      <c r="N1359" s="1" t="str">
        <f ca="1">IFERROR(__xludf.DUMMYFUNCTION("""COMPUTED_VALUE"""),"Male")</f>
        <v>Male</v>
      </c>
      <c r="P1359" s="1" t="str">
        <f ca="1">IFERROR(__xludf.DUMMYFUNCTION("""COMPUTED_VALUE"""),"Work  &lt;67 people in team")</f>
        <v>Work  &lt;67 people in team</v>
      </c>
      <c r="Q1359" s="1" t="str">
        <f ca="1">IFERROR(__xludf.DUMMYFUNCTION("""COMPUTED_VALUE"""),"Male")</f>
        <v>Male</v>
      </c>
    </row>
    <row r="1360" spans="13:17" x14ac:dyDescent="0.25">
      <c r="M1360" s="1"/>
      <c r="N1360" s="1" t="str">
        <f ca="1">IFERROR(__xludf.DUMMYFUNCTION("""COMPUTED_VALUE"""),"Male")</f>
        <v>Male</v>
      </c>
      <c r="P1360" s="1" t="str">
        <f ca="1">IFERROR(__xludf.DUMMYFUNCTION("""COMPUTED_VALUE"""),"Work &lt;=6 People in the Team")</f>
        <v>Work &lt;=6 People in the Team</v>
      </c>
      <c r="Q1360" s="1" t="str">
        <f ca="1">IFERROR(__xludf.DUMMYFUNCTION("""COMPUTED_VALUE"""),"Male")</f>
        <v>Male</v>
      </c>
    </row>
    <row r="1361" spans="13:17" x14ac:dyDescent="0.25">
      <c r="M1361" s="1"/>
      <c r="N1361" s="1" t="str">
        <f ca="1">IFERROR(__xludf.DUMMYFUNCTION("""COMPUTED_VALUE"""),"Female")</f>
        <v>Female</v>
      </c>
      <c r="P1361" s="1" t="str">
        <f ca="1">IFERROR(__xludf.DUMMYFUNCTION("""COMPUTED_VALUE"""),"Work alone")</f>
        <v>Work alone</v>
      </c>
      <c r="Q1361" s="1" t="str">
        <f ca="1">IFERROR(__xludf.DUMMYFUNCTION("""COMPUTED_VALUE"""),"Female")</f>
        <v>Female</v>
      </c>
    </row>
    <row r="1362" spans="13:17" x14ac:dyDescent="0.25">
      <c r="M1362" s="1"/>
      <c r="N1362" s="1" t="str">
        <f ca="1">IFERROR(__xludf.DUMMYFUNCTION("""COMPUTED_VALUE"""),"Female")</f>
        <v>Female</v>
      </c>
      <c r="P1362" s="1" t="str">
        <f ca="1">IFERROR(__xludf.DUMMYFUNCTION("""COMPUTED_VALUE"""),"Work &gt;10 people in Team")</f>
        <v>Work &gt;10 people in Team</v>
      </c>
      <c r="Q1362" s="1" t="str">
        <f ca="1">IFERROR(__xludf.DUMMYFUNCTION("""COMPUTED_VALUE"""),"Female")</f>
        <v>Female</v>
      </c>
    </row>
    <row r="1363" spans="13:17" x14ac:dyDescent="0.25">
      <c r="M1363" s="1"/>
      <c r="N1363" s="1" t="str">
        <f ca="1">IFERROR(__xludf.DUMMYFUNCTION("""COMPUTED_VALUE"""),"Male")</f>
        <v>Male</v>
      </c>
      <c r="P1363" s="1" t="str">
        <f ca="1">IFERROR(__xludf.DUMMYFUNCTION("""COMPUTED_VALUE"""),"Work &lt;67 People in the Team")</f>
        <v>Work &lt;67 People in the Team</v>
      </c>
      <c r="Q1363" s="1" t="str">
        <f ca="1">IFERROR(__xludf.DUMMYFUNCTION("""COMPUTED_VALUE"""),"Male")</f>
        <v>Male</v>
      </c>
    </row>
    <row r="1364" spans="13:17" x14ac:dyDescent="0.25">
      <c r="M1364" s="1"/>
      <c r="N1364" s="1" t="str">
        <f ca="1">IFERROR(__xludf.DUMMYFUNCTION("""COMPUTED_VALUE"""),"Male")</f>
        <v>Male</v>
      </c>
      <c r="P1364" s="1" t="str">
        <f ca="1">IFERROR(__xludf.DUMMYFUNCTION("""COMPUTED_VALUE"""),"Work &lt;=6 People in the Team")</f>
        <v>Work &lt;=6 People in the Team</v>
      </c>
      <c r="Q1364" s="1" t="str">
        <f ca="1">IFERROR(__xludf.DUMMYFUNCTION("""COMPUTED_VALUE"""),"Male")</f>
        <v>Male</v>
      </c>
    </row>
    <row r="1365" spans="13:17" x14ac:dyDescent="0.25">
      <c r="M1365" s="1"/>
      <c r="N1365" s="1" t="str">
        <f ca="1">IFERROR(__xludf.DUMMYFUNCTION("""COMPUTED_VALUE"""),"Male")</f>
        <v>Male</v>
      </c>
      <c r="P1365" s="1" t="str">
        <f ca="1">IFERROR(__xludf.DUMMYFUNCTION("""COMPUTED_VALUE"""),"Work alone, Work &gt;10 people in Team")</f>
        <v>Work alone, Work &gt;10 people in Team</v>
      </c>
      <c r="Q1365" s="1" t="str">
        <f ca="1">IFERROR(__xludf.DUMMYFUNCTION("""COMPUTED_VALUE"""),"Male")</f>
        <v>Male</v>
      </c>
    </row>
    <row r="1366" spans="13:17" x14ac:dyDescent="0.25">
      <c r="M1366" s="1"/>
      <c r="N1366" s="1" t="str">
        <f ca="1">IFERROR(__xludf.DUMMYFUNCTION("""COMPUTED_VALUE"""),"Male")</f>
        <v>Male</v>
      </c>
      <c r="P1366" s="1" t="str">
        <f ca="1">IFERROR(__xludf.DUMMYFUNCTION("""COMPUTED_VALUE"""),"Work Alone, &lt;67 people in team")</f>
        <v>Work Alone, &lt;67 people in team</v>
      </c>
      <c r="Q1366" s="1" t="str">
        <f ca="1">IFERROR(__xludf.DUMMYFUNCTION("""COMPUTED_VALUE"""),"Male")</f>
        <v>Male</v>
      </c>
    </row>
    <row r="1367" spans="13:17" x14ac:dyDescent="0.25">
      <c r="M1367" s="1"/>
      <c r="N1367" s="1" t="str">
        <f ca="1">IFERROR(__xludf.DUMMYFUNCTION("""COMPUTED_VALUE"""),"Male")</f>
        <v>Male</v>
      </c>
      <c r="P1367" s="1" t="str">
        <f ca="1">IFERROR(__xludf.DUMMYFUNCTION("""COMPUTED_VALUE"""),"Work alone")</f>
        <v>Work alone</v>
      </c>
      <c r="Q1367" s="1" t="str">
        <f ca="1">IFERROR(__xludf.DUMMYFUNCTION("""COMPUTED_VALUE"""),"Male")</f>
        <v>Male</v>
      </c>
    </row>
    <row r="1368" spans="13:17" x14ac:dyDescent="0.25">
      <c r="M1368" s="1"/>
      <c r="N1368" s="1" t="str">
        <f ca="1">IFERROR(__xludf.DUMMYFUNCTION("""COMPUTED_VALUE"""),"Female")</f>
        <v>Female</v>
      </c>
      <c r="P1368" s="1" t="str">
        <f ca="1">IFERROR(__xludf.DUMMYFUNCTION("""COMPUTED_VALUE"""),"Work &lt;=6 People in the Team")</f>
        <v>Work &lt;=6 People in the Team</v>
      </c>
      <c r="Q1368" s="1" t="str">
        <f ca="1">IFERROR(__xludf.DUMMYFUNCTION("""COMPUTED_VALUE"""),"Female")</f>
        <v>Female</v>
      </c>
    </row>
    <row r="1369" spans="13:17" x14ac:dyDescent="0.25">
      <c r="M1369" s="1"/>
      <c r="N1369" s="1" t="str">
        <f ca="1">IFERROR(__xludf.DUMMYFUNCTION("""COMPUTED_VALUE"""),"Female")</f>
        <v>Female</v>
      </c>
      <c r="P1369" s="1" t="str">
        <f ca="1">IFERROR(__xludf.DUMMYFUNCTION("""COMPUTED_VALUE"""),"Work &lt;=6 People in the Team")</f>
        <v>Work &lt;=6 People in the Team</v>
      </c>
      <c r="Q1369" s="1" t="str">
        <f ca="1">IFERROR(__xludf.DUMMYFUNCTION("""COMPUTED_VALUE"""),"Female")</f>
        <v>Female</v>
      </c>
    </row>
    <row r="1370" spans="13:17" x14ac:dyDescent="0.25">
      <c r="M1370" s="1"/>
      <c r="N1370" s="1" t="str">
        <f ca="1">IFERROR(__xludf.DUMMYFUNCTION("""COMPUTED_VALUE"""),"Male")</f>
        <v>Male</v>
      </c>
      <c r="P1370" s="1" t="str">
        <f ca="1">IFERROR(__xludf.DUMMYFUNCTION("""COMPUTED_VALUE"""),"Work &lt;=6 People in the Team")</f>
        <v>Work &lt;=6 People in the Team</v>
      </c>
      <c r="Q1370" s="1" t="str">
        <f ca="1">IFERROR(__xludf.DUMMYFUNCTION("""COMPUTED_VALUE"""),"Male")</f>
        <v>Male</v>
      </c>
    </row>
    <row r="1371" spans="13:17" x14ac:dyDescent="0.25">
      <c r="M1371" s="1"/>
      <c r="N1371" s="1" t="str">
        <f ca="1">IFERROR(__xludf.DUMMYFUNCTION("""COMPUTED_VALUE"""),"Male")</f>
        <v>Male</v>
      </c>
      <c r="P1371" s="1" t="str">
        <f ca="1">IFERROR(__xludf.DUMMYFUNCTION("""COMPUTED_VALUE"""),"Work &lt;=6 People in the Team")</f>
        <v>Work &lt;=6 People in the Team</v>
      </c>
      <c r="Q1371" s="1" t="str">
        <f ca="1">IFERROR(__xludf.DUMMYFUNCTION("""COMPUTED_VALUE"""),"Male")</f>
        <v>Male</v>
      </c>
    </row>
    <row r="1372" spans="13:17" x14ac:dyDescent="0.25">
      <c r="M1372" s="1"/>
      <c r="N1372" s="1" t="str">
        <f ca="1">IFERROR(__xludf.DUMMYFUNCTION("""COMPUTED_VALUE"""),"Female")</f>
        <v>Female</v>
      </c>
      <c r="P1372" s="1" t="str">
        <f ca="1">IFERROR(__xludf.DUMMYFUNCTION("""COMPUTED_VALUE"""),"Work &lt;=6 People in the Team")</f>
        <v>Work &lt;=6 People in the Team</v>
      </c>
      <c r="Q1372" s="1" t="str">
        <f ca="1">IFERROR(__xludf.DUMMYFUNCTION("""COMPUTED_VALUE"""),"Female")</f>
        <v>Female</v>
      </c>
    </row>
    <row r="1373" spans="13:17" x14ac:dyDescent="0.25">
      <c r="M1373" s="1"/>
      <c r="N1373" s="1" t="str">
        <f ca="1">IFERROR(__xludf.DUMMYFUNCTION("""COMPUTED_VALUE"""),"Female")</f>
        <v>Female</v>
      </c>
      <c r="P1373" s="1" t="str">
        <f ca="1">IFERROR(__xludf.DUMMYFUNCTION("""COMPUTED_VALUE"""),"Work &lt;=6 People in the Team")</f>
        <v>Work &lt;=6 People in the Team</v>
      </c>
      <c r="Q1373" s="1" t="str">
        <f ca="1">IFERROR(__xludf.DUMMYFUNCTION("""COMPUTED_VALUE"""),"Female")</f>
        <v>Female</v>
      </c>
    </row>
    <row r="1374" spans="13:17" x14ac:dyDescent="0.25">
      <c r="M1374" s="1"/>
      <c r="N1374" s="1" t="str">
        <f ca="1">IFERROR(__xludf.DUMMYFUNCTION("""COMPUTED_VALUE"""),"Male")</f>
        <v>Male</v>
      </c>
      <c r="P1374" s="1" t="str">
        <f ca="1">IFERROR(__xludf.DUMMYFUNCTION("""COMPUTED_VALUE"""),"Work &lt;67 People in the Team")</f>
        <v>Work &lt;67 People in the Team</v>
      </c>
      <c r="Q1374" s="1" t="str">
        <f ca="1">IFERROR(__xludf.DUMMYFUNCTION("""COMPUTED_VALUE"""),"Male")</f>
        <v>Male</v>
      </c>
    </row>
    <row r="1375" spans="13:17" x14ac:dyDescent="0.25">
      <c r="M1375" s="1"/>
      <c r="N1375" s="1" t="str">
        <f ca="1">IFERROR(__xludf.DUMMYFUNCTION("""COMPUTED_VALUE"""),"Male")</f>
        <v>Male</v>
      </c>
      <c r="P1375" s="1" t="str">
        <f ca="1">IFERROR(__xludf.DUMMYFUNCTION("""COMPUTED_VALUE"""),"Work &gt;=7 People in the Team")</f>
        <v>Work &gt;=7 People in the Team</v>
      </c>
      <c r="Q1375" s="1" t="str">
        <f ca="1">IFERROR(__xludf.DUMMYFUNCTION("""COMPUTED_VALUE"""),"Male")</f>
        <v>Male</v>
      </c>
    </row>
    <row r="1376" spans="13:17" x14ac:dyDescent="0.25">
      <c r="M1376" s="1"/>
      <c r="N1376" s="1" t="str">
        <f ca="1">IFERROR(__xludf.DUMMYFUNCTION("""COMPUTED_VALUE"""),"Male")</f>
        <v>Male</v>
      </c>
      <c r="P1376" s="1" t="str">
        <f ca="1">IFERROR(__xludf.DUMMYFUNCTION("""COMPUTED_VALUE"""),"Work &gt;10 people in Team")</f>
        <v>Work &gt;10 people in Team</v>
      </c>
      <c r="Q1376" s="1" t="str">
        <f ca="1">IFERROR(__xludf.DUMMYFUNCTION("""COMPUTED_VALUE"""),"Male")</f>
        <v>Male</v>
      </c>
    </row>
    <row r="1377" spans="13:17" x14ac:dyDescent="0.25">
      <c r="M1377" s="1"/>
      <c r="N1377" s="1" t="str">
        <f ca="1">IFERROR(__xludf.DUMMYFUNCTION("""COMPUTED_VALUE"""),"Male")</f>
        <v>Male</v>
      </c>
      <c r="P1377" s="1" t="str">
        <f ca="1">IFERROR(__xludf.DUMMYFUNCTION("""COMPUTED_VALUE"""),"Work alone")</f>
        <v>Work alone</v>
      </c>
      <c r="Q1377" s="1" t="str">
        <f ca="1">IFERROR(__xludf.DUMMYFUNCTION("""COMPUTED_VALUE"""),"Male")</f>
        <v>Male</v>
      </c>
    </row>
    <row r="1378" spans="13:17" x14ac:dyDescent="0.25">
      <c r="M1378" s="1"/>
      <c r="N1378" s="1" t="str">
        <f ca="1">IFERROR(__xludf.DUMMYFUNCTION("""COMPUTED_VALUE"""),"Male")</f>
        <v>Male</v>
      </c>
      <c r="P1378" s="1" t="str">
        <f ca="1">IFERROR(__xludf.DUMMYFUNCTION("""COMPUTED_VALUE"""),"Work &gt;=7 People in the Team")</f>
        <v>Work &gt;=7 People in the Team</v>
      </c>
      <c r="Q1378" s="1" t="str">
        <f ca="1">IFERROR(__xludf.DUMMYFUNCTION("""COMPUTED_VALUE"""),"Male")</f>
        <v>Male</v>
      </c>
    </row>
    <row r="1379" spans="13:17" x14ac:dyDescent="0.25">
      <c r="M1379" s="1"/>
      <c r="N1379" s="1" t="str">
        <f ca="1">IFERROR(__xludf.DUMMYFUNCTION("""COMPUTED_VALUE"""),"Female")</f>
        <v>Female</v>
      </c>
      <c r="P1379" s="1" t="str">
        <f ca="1">IFERROR(__xludf.DUMMYFUNCTION("""COMPUTED_VALUE"""),"Work &gt;10 people in Team")</f>
        <v>Work &gt;10 people in Team</v>
      </c>
      <c r="Q1379" s="1" t="str">
        <f ca="1">IFERROR(__xludf.DUMMYFUNCTION("""COMPUTED_VALUE"""),"Female")</f>
        <v>Female</v>
      </c>
    </row>
    <row r="1380" spans="13:17" x14ac:dyDescent="0.25">
      <c r="M1380" s="1"/>
      <c r="N1380" s="1" t="str">
        <f ca="1">IFERROR(__xludf.DUMMYFUNCTION("""COMPUTED_VALUE"""),"Female")</f>
        <v>Female</v>
      </c>
      <c r="P1380" s="1" t="str">
        <f ca="1">IFERROR(__xludf.DUMMYFUNCTION("""COMPUTED_VALUE"""),"Work &lt;=6 People in the Team")</f>
        <v>Work &lt;=6 People in the Team</v>
      </c>
      <c r="Q1380" s="1" t="str">
        <f ca="1">IFERROR(__xludf.DUMMYFUNCTION("""COMPUTED_VALUE"""),"Female")</f>
        <v>Female</v>
      </c>
    </row>
    <row r="1381" spans="13:17" x14ac:dyDescent="0.25">
      <c r="M1381" s="1"/>
      <c r="N1381" s="1" t="str">
        <f ca="1">IFERROR(__xludf.DUMMYFUNCTION("""COMPUTED_VALUE"""),"Female")</f>
        <v>Female</v>
      </c>
      <c r="P1381" s="1" t="str">
        <f ca="1">IFERROR(__xludf.DUMMYFUNCTION("""COMPUTED_VALUE"""),"Work &lt;=6 People in the Team")</f>
        <v>Work &lt;=6 People in the Team</v>
      </c>
      <c r="Q1381" s="1" t="str">
        <f ca="1">IFERROR(__xludf.DUMMYFUNCTION("""COMPUTED_VALUE"""),"Female")</f>
        <v>Female</v>
      </c>
    </row>
    <row r="1382" spans="13:17" x14ac:dyDescent="0.25">
      <c r="M1382" s="1"/>
      <c r="N1382" s="1" t="str">
        <f ca="1">IFERROR(__xludf.DUMMYFUNCTION("""COMPUTED_VALUE"""),"Female")</f>
        <v>Female</v>
      </c>
      <c r="P1382" s="1" t="str">
        <f ca="1">IFERROR(__xludf.DUMMYFUNCTION("""COMPUTED_VALUE"""),"Work &gt;10 people in Team")</f>
        <v>Work &gt;10 people in Team</v>
      </c>
      <c r="Q1382" s="1" t="str">
        <f ca="1">IFERROR(__xludf.DUMMYFUNCTION("""COMPUTED_VALUE"""),"Female")</f>
        <v>Female</v>
      </c>
    </row>
    <row r="1383" spans="13:17" x14ac:dyDescent="0.25">
      <c r="M1383" s="1"/>
      <c r="N1383" s="1" t="str">
        <f ca="1">IFERROR(__xludf.DUMMYFUNCTION("""COMPUTED_VALUE"""),"Male")</f>
        <v>Male</v>
      </c>
      <c r="P1383" s="1" t="str">
        <f ca="1">IFERROR(__xludf.DUMMYFUNCTION("""COMPUTED_VALUE"""),"Work &lt;=6 People in the Team")</f>
        <v>Work &lt;=6 People in the Team</v>
      </c>
      <c r="Q1383" s="1" t="str">
        <f ca="1">IFERROR(__xludf.DUMMYFUNCTION("""COMPUTED_VALUE"""),"Male")</f>
        <v>Male</v>
      </c>
    </row>
    <row r="1384" spans="13:17" x14ac:dyDescent="0.25">
      <c r="M1384" s="1"/>
      <c r="N1384" s="1" t="str">
        <f ca="1">IFERROR(__xludf.DUMMYFUNCTION("""COMPUTED_VALUE"""),"Female")</f>
        <v>Female</v>
      </c>
      <c r="P1384" s="1" t="str">
        <f ca="1">IFERROR(__xludf.DUMMYFUNCTION("""COMPUTED_VALUE"""),"Work &lt;=6 People in the Team")</f>
        <v>Work &lt;=6 People in the Team</v>
      </c>
      <c r="Q1384" s="1" t="str">
        <f ca="1">IFERROR(__xludf.DUMMYFUNCTION("""COMPUTED_VALUE"""),"Female")</f>
        <v>Female</v>
      </c>
    </row>
    <row r="1385" spans="13:17" x14ac:dyDescent="0.25">
      <c r="M1385" s="1"/>
      <c r="N1385" s="1" t="str">
        <f ca="1">IFERROR(__xludf.DUMMYFUNCTION("""COMPUTED_VALUE"""),"Female")</f>
        <v>Female</v>
      </c>
      <c r="P1385" s="1" t="str">
        <f ca="1">IFERROR(__xludf.DUMMYFUNCTION("""COMPUTED_VALUE"""),"Work &gt;10 people in Team")</f>
        <v>Work &gt;10 people in Team</v>
      </c>
      <c r="Q1385" s="1" t="str">
        <f ca="1">IFERROR(__xludf.DUMMYFUNCTION("""COMPUTED_VALUE"""),"Female")</f>
        <v>Female</v>
      </c>
    </row>
    <row r="1386" spans="13:17" x14ac:dyDescent="0.25">
      <c r="M1386" s="1"/>
      <c r="N1386" s="1" t="str">
        <f ca="1">IFERROR(__xludf.DUMMYFUNCTION("""COMPUTED_VALUE"""),"Female")</f>
        <v>Female</v>
      </c>
      <c r="P1386" s="1" t="str">
        <f ca="1">IFERROR(__xludf.DUMMYFUNCTION("""COMPUTED_VALUE"""),"Work &lt;=6 People in the Team")</f>
        <v>Work &lt;=6 People in the Team</v>
      </c>
      <c r="Q1386" s="1" t="str">
        <f ca="1">IFERROR(__xludf.DUMMYFUNCTION("""COMPUTED_VALUE"""),"Female")</f>
        <v>Female</v>
      </c>
    </row>
    <row r="1387" spans="13:17" x14ac:dyDescent="0.25">
      <c r="M1387" s="1"/>
      <c r="N1387" s="1" t="str">
        <f ca="1">IFERROR(__xludf.DUMMYFUNCTION("""COMPUTED_VALUE"""),"Male")</f>
        <v>Male</v>
      </c>
      <c r="P1387" s="1" t="str">
        <f ca="1">IFERROR(__xludf.DUMMYFUNCTION("""COMPUTED_VALUE"""),"Work Alone, &lt;=6 in team")</f>
        <v>Work Alone, &lt;=6 in team</v>
      </c>
      <c r="Q1387" s="1" t="str">
        <f ca="1">IFERROR(__xludf.DUMMYFUNCTION("""COMPUTED_VALUE"""),"Male")</f>
        <v>Male</v>
      </c>
    </row>
    <row r="1388" spans="13:17" x14ac:dyDescent="0.25">
      <c r="M1388" s="1"/>
      <c r="N1388" s="1" t="str">
        <f ca="1">IFERROR(__xludf.DUMMYFUNCTION("""COMPUTED_VALUE"""),"Female")</f>
        <v>Female</v>
      </c>
      <c r="P1388" s="1" t="str">
        <f ca="1">IFERROR(__xludf.DUMMYFUNCTION("""COMPUTED_VALUE"""),"Work &gt;=7 People in the Team")</f>
        <v>Work &gt;=7 People in the Team</v>
      </c>
      <c r="Q1388" s="1" t="str">
        <f ca="1">IFERROR(__xludf.DUMMYFUNCTION("""COMPUTED_VALUE"""),"Female")</f>
        <v>Female</v>
      </c>
    </row>
    <row r="1389" spans="13:17" x14ac:dyDescent="0.25">
      <c r="M1389" s="1"/>
      <c r="N1389" s="1" t="str">
        <f ca="1">IFERROR(__xludf.DUMMYFUNCTION("""COMPUTED_VALUE"""),"Female")</f>
        <v>Female</v>
      </c>
      <c r="P1389" s="1" t="str">
        <f ca="1">IFERROR(__xludf.DUMMYFUNCTION("""COMPUTED_VALUE"""),"Work &lt;=6 People in the Team")</f>
        <v>Work &lt;=6 People in the Team</v>
      </c>
      <c r="Q1389" s="1" t="str">
        <f ca="1">IFERROR(__xludf.DUMMYFUNCTION("""COMPUTED_VALUE"""),"Female")</f>
        <v>Female</v>
      </c>
    </row>
    <row r="1390" spans="13:17" x14ac:dyDescent="0.25">
      <c r="M1390" s="1"/>
      <c r="N1390" s="1" t="str">
        <f ca="1">IFERROR(__xludf.DUMMYFUNCTION("""COMPUTED_VALUE"""),"Female")</f>
        <v>Female</v>
      </c>
      <c r="P1390" s="1" t="str">
        <f ca="1">IFERROR(__xludf.DUMMYFUNCTION("""COMPUTED_VALUE"""),"Work &lt;=6 People in the Team")</f>
        <v>Work &lt;=6 People in the Team</v>
      </c>
      <c r="Q1390" s="1" t="str">
        <f ca="1">IFERROR(__xludf.DUMMYFUNCTION("""COMPUTED_VALUE"""),"Female")</f>
        <v>Female</v>
      </c>
    </row>
    <row r="1391" spans="13:17" x14ac:dyDescent="0.25">
      <c r="M1391" s="1"/>
      <c r="N1391" s="1" t="str">
        <f ca="1">IFERROR(__xludf.DUMMYFUNCTION("""COMPUTED_VALUE"""),"Male")</f>
        <v>Male</v>
      </c>
      <c r="P1391" s="1" t="str">
        <f ca="1">IFERROR(__xludf.DUMMYFUNCTION("""COMPUTED_VALUE"""),"Work Alone, &lt;=6 in team")</f>
        <v>Work Alone, &lt;=6 in team</v>
      </c>
      <c r="Q1391" s="1" t="str">
        <f ca="1">IFERROR(__xludf.DUMMYFUNCTION("""COMPUTED_VALUE"""),"Male")</f>
        <v>Male</v>
      </c>
    </row>
    <row r="1392" spans="13:17" x14ac:dyDescent="0.25">
      <c r="M1392" s="1"/>
      <c r="N1392" s="1" t="str">
        <f ca="1">IFERROR(__xludf.DUMMYFUNCTION("""COMPUTED_VALUE"""),"Female")</f>
        <v>Female</v>
      </c>
      <c r="P1392" s="1" t="str">
        <f ca="1">IFERROR(__xludf.DUMMYFUNCTION("""COMPUTED_VALUE"""),"Work &lt;=6 People in the Team")</f>
        <v>Work &lt;=6 People in the Team</v>
      </c>
      <c r="Q1392" s="1" t="str">
        <f ca="1">IFERROR(__xludf.DUMMYFUNCTION("""COMPUTED_VALUE"""),"Female")</f>
        <v>Female</v>
      </c>
    </row>
    <row r="1393" spans="13:17" x14ac:dyDescent="0.25">
      <c r="M1393" s="1"/>
      <c r="N1393" s="1" t="str">
        <f ca="1">IFERROR(__xludf.DUMMYFUNCTION("""COMPUTED_VALUE"""),"Female")</f>
        <v>Female</v>
      </c>
      <c r="P1393" s="1" t="str">
        <f ca="1">IFERROR(__xludf.DUMMYFUNCTION("""COMPUTED_VALUE"""),"Work &lt;=6 People in the Team")</f>
        <v>Work &lt;=6 People in the Team</v>
      </c>
      <c r="Q1393" s="1" t="str">
        <f ca="1">IFERROR(__xludf.DUMMYFUNCTION("""COMPUTED_VALUE"""),"Female")</f>
        <v>Female</v>
      </c>
    </row>
    <row r="1394" spans="13:17" x14ac:dyDescent="0.25">
      <c r="M1394" s="1"/>
      <c r="N1394" s="1" t="str">
        <f ca="1">IFERROR(__xludf.DUMMYFUNCTION("""COMPUTED_VALUE"""),"Male")</f>
        <v>Male</v>
      </c>
      <c r="P1394" s="1" t="str">
        <f ca="1">IFERROR(__xludf.DUMMYFUNCTION("""COMPUTED_VALUE"""),"Work &lt;=6 People in the Team")</f>
        <v>Work &lt;=6 People in the Team</v>
      </c>
      <c r="Q1394" s="1" t="str">
        <f ca="1">IFERROR(__xludf.DUMMYFUNCTION("""COMPUTED_VALUE"""),"Male")</f>
        <v>Male</v>
      </c>
    </row>
    <row r="1395" spans="13:17" x14ac:dyDescent="0.25">
      <c r="M1395" s="1"/>
      <c r="N1395" s="1" t="str">
        <f ca="1">IFERROR(__xludf.DUMMYFUNCTION("""COMPUTED_VALUE"""),"Male")</f>
        <v>Male</v>
      </c>
      <c r="P1395" s="1" t="str">
        <f ca="1">IFERROR(__xludf.DUMMYFUNCTION("""COMPUTED_VALUE"""),"Work &lt;=6 People in the Team")</f>
        <v>Work &lt;=6 People in the Team</v>
      </c>
      <c r="Q1395" s="1" t="str">
        <f ca="1">IFERROR(__xludf.DUMMYFUNCTION("""COMPUTED_VALUE"""),"Male")</f>
        <v>Male</v>
      </c>
    </row>
    <row r="1396" spans="13:17" x14ac:dyDescent="0.25">
      <c r="M1396" s="1"/>
      <c r="N1396" s="1" t="str">
        <f ca="1">IFERROR(__xludf.DUMMYFUNCTION("""COMPUTED_VALUE"""),"Male")</f>
        <v>Male</v>
      </c>
      <c r="P1396" s="1" t="str">
        <f ca="1">IFERROR(__xludf.DUMMYFUNCTION("""COMPUTED_VALUE"""),"Work &lt;=6 People in the Team")</f>
        <v>Work &lt;=6 People in the Team</v>
      </c>
      <c r="Q1396" s="1" t="str">
        <f ca="1">IFERROR(__xludf.DUMMYFUNCTION("""COMPUTED_VALUE"""),"Male")</f>
        <v>Male</v>
      </c>
    </row>
    <row r="1397" spans="13:17" x14ac:dyDescent="0.25">
      <c r="M1397" s="1"/>
      <c r="N1397" s="1" t="str">
        <f ca="1">IFERROR(__xludf.DUMMYFUNCTION("""COMPUTED_VALUE"""),"Female")</f>
        <v>Female</v>
      </c>
      <c r="P1397" s="1" t="str">
        <f ca="1">IFERROR(__xludf.DUMMYFUNCTION("""COMPUTED_VALUE"""),"Work &lt;=6 People in the Team")</f>
        <v>Work &lt;=6 People in the Team</v>
      </c>
      <c r="Q1397" s="1" t="str">
        <f ca="1">IFERROR(__xludf.DUMMYFUNCTION("""COMPUTED_VALUE"""),"Female")</f>
        <v>Female</v>
      </c>
    </row>
    <row r="1398" spans="13:17" x14ac:dyDescent="0.25">
      <c r="M1398" s="1"/>
      <c r="N1398" s="1" t="str">
        <f ca="1">IFERROR(__xludf.DUMMYFUNCTION("""COMPUTED_VALUE"""),"Female")</f>
        <v>Female</v>
      </c>
      <c r="P1398" s="1" t="str">
        <f ca="1">IFERROR(__xludf.DUMMYFUNCTION("""COMPUTED_VALUE"""),"Work &gt;=7 People in the Team")</f>
        <v>Work &gt;=7 People in the Team</v>
      </c>
      <c r="Q1398" s="1" t="str">
        <f ca="1">IFERROR(__xludf.DUMMYFUNCTION("""COMPUTED_VALUE"""),"Female")</f>
        <v>Female</v>
      </c>
    </row>
    <row r="1399" spans="13:17" x14ac:dyDescent="0.25">
      <c r="M1399" s="1"/>
      <c r="N1399" s="1" t="str">
        <f ca="1">IFERROR(__xludf.DUMMYFUNCTION("""COMPUTED_VALUE"""),"Female")</f>
        <v>Female</v>
      </c>
      <c r="P1399" s="1" t="str">
        <f ca="1">IFERROR(__xludf.DUMMYFUNCTION("""COMPUTED_VALUE"""),"Work &gt;10 people in Team")</f>
        <v>Work &gt;10 people in Team</v>
      </c>
      <c r="Q1399" s="1" t="str">
        <f ca="1">IFERROR(__xludf.DUMMYFUNCTION("""COMPUTED_VALUE"""),"Female")</f>
        <v>Female</v>
      </c>
    </row>
    <row r="1400" spans="13:17" x14ac:dyDescent="0.25">
      <c r="M1400" s="1"/>
      <c r="N1400" s="1" t="str">
        <f ca="1">IFERROR(__xludf.DUMMYFUNCTION("""COMPUTED_VALUE"""),"Female")</f>
        <v>Female</v>
      </c>
      <c r="P1400" s="1" t="str">
        <f ca="1">IFERROR(__xludf.DUMMYFUNCTION("""COMPUTED_VALUE"""),"Work &lt;=6 People in the Team")</f>
        <v>Work &lt;=6 People in the Team</v>
      </c>
      <c r="Q1400" s="1" t="str">
        <f ca="1">IFERROR(__xludf.DUMMYFUNCTION("""COMPUTED_VALUE"""),"Female")</f>
        <v>Female</v>
      </c>
    </row>
    <row r="1401" spans="13:17" x14ac:dyDescent="0.25">
      <c r="M1401" s="1"/>
      <c r="N1401" s="1" t="str">
        <f ca="1">IFERROR(__xludf.DUMMYFUNCTION("""COMPUTED_VALUE"""),"Male")</f>
        <v>Male</v>
      </c>
      <c r="P1401" s="1" t="str">
        <f ca="1">IFERROR(__xludf.DUMMYFUNCTION("""COMPUTED_VALUE"""),"Work &gt;=7 People in the Team")</f>
        <v>Work &gt;=7 People in the Team</v>
      </c>
      <c r="Q1401" s="1" t="str">
        <f ca="1">IFERROR(__xludf.DUMMYFUNCTION("""COMPUTED_VALUE"""),"Male")</f>
        <v>Male</v>
      </c>
    </row>
    <row r="1402" spans="13:17" x14ac:dyDescent="0.25">
      <c r="M1402" s="1"/>
      <c r="N1402" s="1" t="str">
        <f ca="1">IFERROR(__xludf.DUMMYFUNCTION("""COMPUTED_VALUE"""),"Male")</f>
        <v>Male</v>
      </c>
      <c r="P1402" s="1" t="str">
        <f ca="1">IFERROR(__xludf.DUMMYFUNCTION("""COMPUTED_VALUE"""),"Work &lt;=6 People in the Team")</f>
        <v>Work &lt;=6 People in the Team</v>
      </c>
      <c r="Q1402" s="1" t="str">
        <f ca="1">IFERROR(__xludf.DUMMYFUNCTION("""COMPUTED_VALUE"""),"Male")</f>
        <v>Male</v>
      </c>
    </row>
    <row r="1403" spans="13:17" x14ac:dyDescent="0.25">
      <c r="M1403" s="1"/>
      <c r="N1403" s="1" t="str">
        <f ca="1">IFERROR(__xludf.DUMMYFUNCTION("""COMPUTED_VALUE"""),"Male")</f>
        <v>Male</v>
      </c>
      <c r="P1403" s="1" t="str">
        <f ca="1">IFERROR(__xludf.DUMMYFUNCTION("""COMPUTED_VALUE"""),"Work &gt;=7 People in the Team")</f>
        <v>Work &gt;=7 People in the Team</v>
      </c>
      <c r="Q1403" s="1" t="str">
        <f ca="1">IFERROR(__xludf.DUMMYFUNCTION("""COMPUTED_VALUE"""),"Male")</f>
        <v>Male</v>
      </c>
    </row>
    <row r="1404" spans="13:17" x14ac:dyDescent="0.25">
      <c r="M1404" s="1"/>
      <c r="N1404" s="1" t="str">
        <f ca="1">IFERROR(__xludf.DUMMYFUNCTION("""COMPUTED_VALUE"""),"Female")</f>
        <v>Female</v>
      </c>
      <c r="P1404" s="1" t="str">
        <f ca="1">IFERROR(__xludf.DUMMYFUNCTION("""COMPUTED_VALUE"""),"Work  &lt;67 people in team")</f>
        <v>Work  &lt;67 people in team</v>
      </c>
      <c r="Q1404" s="1" t="str">
        <f ca="1">IFERROR(__xludf.DUMMYFUNCTION("""COMPUTED_VALUE"""),"Female")</f>
        <v>Female</v>
      </c>
    </row>
    <row r="1405" spans="13:17" x14ac:dyDescent="0.25">
      <c r="M1405" s="1"/>
      <c r="N1405" s="1" t="str">
        <f ca="1">IFERROR(__xludf.DUMMYFUNCTION("""COMPUTED_VALUE"""),"Male")</f>
        <v>Male</v>
      </c>
      <c r="P1405" s="1" t="str">
        <f ca="1">IFERROR(__xludf.DUMMYFUNCTION("""COMPUTED_VALUE"""),"Work &gt;10 people in Team")</f>
        <v>Work &gt;10 people in Team</v>
      </c>
      <c r="Q1405" s="1" t="str">
        <f ca="1">IFERROR(__xludf.DUMMYFUNCTION("""COMPUTED_VALUE"""),"Male")</f>
        <v>Male</v>
      </c>
    </row>
    <row r="1406" spans="13:17" x14ac:dyDescent="0.25">
      <c r="M1406" s="1"/>
      <c r="N1406" s="1" t="str">
        <f ca="1">IFERROR(__xludf.DUMMYFUNCTION("""COMPUTED_VALUE"""),"Male")</f>
        <v>Male</v>
      </c>
      <c r="P1406" s="1" t="str">
        <f ca="1">IFERROR(__xludf.DUMMYFUNCTION("""COMPUTED_VALUE"""),"Work &gt;=7 People in the Team")</f>
        <v>Work &gt;=7 People in the Team</v>
      </c>
      <c r="Q1406" s="1" t="str">
        <f ca="1">IFERROR(__xludf.DUMMYFUNCTION("""COMPUTED_VALUE"""),"Male")</f>
        <v>Male</v>
      </c>
    </row>
    <row r="1407" spans="13:17" x14ac:dyDescent="0.25">
      <c r="M1407" s="1"/>
      <c r="N1407" s="1" t="str">
        <f ca="1">IFERROR(__xludf.DUMMYFUNCTION("""COMPUTED_VALUE"""),"Male")</f>
        <v>Male</v>
      </c>
      <c r="P1407" s="1" t="str">
        <f ca="1">IFERROR(__xludf.DUMMYFUNCTION("""COMPUTED_VALUE"""),"Work &lt;=6 People in the Team")</f>
        <v>Work &lt;=6 People in the Team</v>
      </c>
      <c r="Q1407" s="1" t="str">
        <f ca="1">IFERROR(__xludf.DUMMYFUNCTION("""COMPUTED_VALUE"""),"Male")</f>
        <v>Male</v>
      </c>
    </row>
    <row r="1408" spans="13:17" x14ac:dyDescent="0.25">
      <c r="M1408" s="1"/>
      <c r="N1408" s="1" t="str">
        <f ca="1">IFERROR(__xludf.DUMMYFUNCTION("""COMPUTED_VALUE"""),"Female")</f>
        <v>Female</v>
      </c>
      <c r="P1408" s="1" t="str">
        <f ca="1">IFERROR(__xludf.DUMMYFUNCTION("""COMPUTED_VALUE"""),"Work &gt;10 people in Team")</f>
        <v>Work &gt;10 people in Team</v>
      </c>
      <c r="Q1408" s="1" t="str">
        <f ca="1">IFERROR(__xludf.DUMMYFUNCTION("""COMPUTED_VALUE"""),"Female")</f>
        <v>Female</v>
      </c>
    </row>
    <row r="1409" spans="13:17" x14ac:dyDescent="0.25">
      <c r="M1409" s="1"/>
      <c r="N1409" s="1" t="str">
        <f ca="1">IFERROR(__xludf.DUMMYFUNCTION("""COMPUTED_VALUE"""),"Male")</f>
        <v>Male</v>
      </c>
      <c r="P1409" s="1" t="str">
        <f ca="1">IFERROR(__xludf.DUMMYFUNCTION("""COMPUTED_VALUE"""),"Work &gt;10 people in Team")</f>
        <v>Work &gt;10 people in Team</v>
      </c>
      <c r="Q1409" s="1" t="str">
        <f ca="1">IFERROR(__xludf.DUMMYFUNCTION("""COMPUTED_VALUE"""),"Male")</f>
        <v>Male</v>
      </c>
    </row>
    <row r="1410" spans="13:17" x14ac:dyDescent="0.25">
      <c r="M1410" s="1"/>
      <c r="N1410" s="1" t="str">
        <f ca="1">IFERROR(__xludf.DUMMYFUNCTION("""COMPUTED_VALUE"""),"Female")</f>
        <v>Female</v>
      </c>
      <c r="P1410" s="1" t="str">
        <f ca="1">IFERROR(__xludf.DUMMYFUNCTION("""COMPUTED_VALUE"""),"Work &gt;=7 People in the Team")</f>
        <v>Work &gt;=7 People in the Team</v>
      </c>
      <c r="Q1410" s="1" t="str">
        <f ca="1">IFERROR(__xludf.DUMMYFUNCTION("""COMPUTED_VALUE"""),"Female")</f>
        <v>Female</v>
      </c>
    </row>
    <row r="1411" spans="13:17" x14ac:dyDescent="0.25">
      <c r="M1411" s="1"/>
      <c r="N1411" s="1" t="str">
        <f ca="1">IFERROR(__xludf.DUMMYFUNCTION("""COMPUTED_VALUE"""),"Male")</f>
        <v>Male</v>
      </c>
      <c r="P1411" s="1" t="str">
        <f ca="1">IFERROR(__xludf.DUMMYFUNCTION("""COMPUTED_VALUE"""),"Work Alone, &lt;=6 in team")</f>
        <v>Work Alone, &lt;=6 in team</v>
      </c>
      <c r="Q1411" s="1" t="str">
        <f ca="1">IFERROR(__xludf.DUMMYFUNCTION("""COMPUTED_VALUE"""),"Male")</f>
        <v>Male</v>
      </c>
    </row>
    <row r="1412" spans="13:17" x14ac:dyDescent="0.25">
      <c r="M1412" s="1"/>
      <c r="N1412" s="1" t="str">
        <f ca="1">IFERROR(__xludf.DUMMYFUNCTION("""COMPUTED_VALUE"""),"Male")</f>
        <v>Male</v>
      </c>
      <c r="P1412" s="1" t="str">
        <f ca="1">IFERROR(__xludf.DUMMYFUNCTION("""COMPUTED_VALUE"""),"Work &lt;=6 People in the Team")</f>
        <v>Work &lt;=6 People in the Team</v>
      </c>
      <c r="Q1412" s="1" t="str">
        <f ca="1">IFERROR(__xludf.DUMMYFUNCTION("""COMPUTED_VALUE"""),"Male")</f>
        <v>Male</v>
      </c>
    </row>
    <row r="1413" spans="13:17" x14ac:dyDescent="0.25">
      <c r="M1413" s="1"/>
      <c r="N1413" s="1" t="str">
        <f ca="1">IFERROR(__xludf.DUMMYFUNCTION("""COMPUTED_VALUE"""),"Male")</f>
        <v>Male</v>
      </c>
      <c r="P1413" s="1" t="str">
        <f ca="1">IFERROR(__xludf.DUMMYFUNCTION("""COMPUTED_VALUE"""),"Work  &lt;67 people in team")</f>
        <v>Work  &lt;67 people in team</v>
      </c>
      <c r="Q1413" s="1" t="str">
        <f ca="1">IFERROR(__xludf.DUMMYFUNCTION("""COMPUTED_VALUE"""),"Male")</f>
        <v>Male</v>
      </c>
    </row>
    <row r="1414" spans="13:17" x14ac:dyDescent="0.25">
      <c r="M1414" s="1"/>
      <c r="N1414" s="1" t="str">
        <f ca="1">IFERROR(__xludf.DUMMYFUNCTION("""COMPUTED_VALUE"""),"Female")</f>
        <v>Female</v>
      </c>
      <c r="P1414" s="1" t="str">
        <f ca="1">IFERROR(__xludf.DUMMYFUNCTION("""COMPUTED_VALUE"""),"Work &lt;=6 People in the Team")</f>
        <v>Work &lt;=6 People in the Team</v>
      </c>
      <c r="Q1414" s="1" t="str">
        <f ca="1">IFERROR(__xludf.DUMMYFUNCTION("""COMPUTED_VALUE"""),"Female")</f>
        <v>Female</v>
      </c>
    </row>
    <row r="1415" spans="13:17" x14ac:dyDescent="0.25">
      <c r="M1415" s="1"/>
      <c r="N1415" s="1" t="str">
        <f ca="1">IFERROR(__xludf.DUMMYFUNCTION("""COMPUTED_VALUE"""),"Male")</f>
        <v>Male</v>
      </c>
      <c r="P1415" s="1" t="str">
        <f ca="1">IFERROR(__xludf.DUMMYFUNCTION("""COMPUTED_VALUE"""),"Work &gt;10 people in Team")</f>
        <v>Work &gt;10 people in Team</v>
      </c>
      <c r="Q1415" s="1" t="str">
        <f ca="1">IFERROR(__xludf.DUMMYFUNCTION("""COMPUTED_VALUE"""),"Male")</f>
        <v>Male</v>
      </c>
    </row>
    <row r="1416" spans="13:17" x14ac:dyDescent="0.25">
      <c r="M1416" s="1"/>
      <c r="N1416" s="1" t="str">
        <f ca="1">IFERROR(__xludf.DUMMYFUNCTION("""COMPUTED_VALUE"""),"Male")</f>
        <v>Male</v>
      </c>
      <c r="P1416" s="1" t="str">
        <f ca="1">IFERROR(__xludf.DUMMYFUNCTION("""COMPUTED_VALUE"""),"Work &lt;=6 People in the Team")</f>
        <v>Work &lt;=6 People in the Team</v>
      </c>
      <c r="Q1416" s="1" t="str">
        <f ca="1">IFERROR(__xludf.DUMMYFUNCTION("""COMPUTED_VALUE"""),"Male")</f>
        <v>Male</v>
      </c>
    </row>
    <row r="1417" spans="13:17" x14ac:dyDescent="0.25">
      <c r="M1417" s="1"/>
      <c r="N1417" s="1" t="str">
        <f ca="1">IFERROR(__xludf.DUMMYFUNCTION("""COMPUTED_VALUE"""),"Male")</f>
        <v>Male</v>
      </c>
      <c r="P1417" s="1" t="str">
        <f ca="1">IFERROR(__xludf.DUMMYFUNCTION("""COMPUTED_VALUE"""),"Work &gt;10 people in Team")</f>
        <v>Work &gt;10 people in Team</v>
      </c>
      <c r="Q1417" s="1" t="str">
        <f ca="1">IFERROR(__xludf.DUMMYFUNCTION("""COMPUTED_VALUE"""),"Male")</f>
        <v>Male</v>
      </c>
    </row>
    <row r="1418" spans="13:17" x14ac:dyDescent="0.25">
      <c r="M1418" s="1"/>
      <c r="N1418" s="1" t="str">
        <f ca="1">IFERROR(__xludf.DUMMYFUNCTION("""COMPUTED_VALUE"""),"Male")</f>
        <v>Male</v>
      </c>
      <c r="P1418" s="1" t="str">
        <f ca="1">IFERROR(__xludf.DUMMYFUNCTION("""COMPUTED_VALUE"""),"Work Alone, &lt;=6 in team")</f>
        <v>Work Alone, &lt;=6 in team</v>
      </c>
      <c r="Q1418" s="1" t="str">
        <f ca="1">IFERROR(__xludf.DUMMYFUNCTION("""COMPUTED_VALUE"""),"Male")</f>
        <v>Male</v>
      </c>
    </row>
    <row r="1419" spans="13:17" x14ac:dyDescent="0.25">
      <c r="M1419" s="1"/>
      <c r="N1419" s="1" t="str">
        <f ca="1">IFERROR(__xludf.DUMMYFUNCTION("""COMPUTED_VALUE"""),"Female")</f>
        <v>Female</v>
      </c>
      <c r="P1419" s="1" t="str">
        <f ca="1">IFERROR(__xludf.DUMMYFUNCTION("""COMPUTED_VALUE"""),"Work &lt;=6 People in the Team")</f>
        <v>Work &lt;=6 People in the Team</v>
      </c>
      <c r="Q1419" s="1" t="str">
        <f ca="1">IFERROR(__xludf.DUMMYFUNCTION("""COMPUTED_VALUE"""),"Female")</f>
        <v>Female</v>
      </c>
    </row>
    <row r="1420" spans="13:17" x14ac:dyDescent="0.25">
      <c r="M1420" s="1"/>
      <c r="N1420" s="1" t="str">
        <f ca="1">IFERROR(__xludf.DUMMYFUNCTION("""COMPUTED_VALUE"""),"Female")</f>
        <v>Female</v>
      </c>
      <c r="P1420" s="1" t="str">
        <f ca="1">IFERROR(__xludf.DUMMYFUNCTION("""COMPUTED_VALUE"""),"Work &lt;=6 People in the Team")</f>
        <v>Work &lt;=6 People in the Team</v>
      </c>
      <c r="Q1420" s="1" t="str">
        <f ca="1">IFERROR(__xludf.DUMMYFUNCTION("""COMPUTED_VALUE"""),"Female")</f>
        <v>Female</v>
      </c>
    </row>
    <row r="1421" spans="13:17" x14ac:dyDescent="0.25">
      <c r="M1421" s="1"/>
      <c r="N1421" s="1" t="str">
        <f ca="1">IFERROR(__xludf.DUMMYFUNCTION("""COMPUTED_VALUE"""),"Female")</f>
        <v>Female</v>
      </c>
      <c r="P1421" s="1" t="str">
        <f ca="1">IFERROR(__xludf.DUMMYFUNCTION("""COMPUTED_VALUE"""),"Work &lt;=6 People in the Team")</f>
        <v>Work &lt;=6 People in the Team</v>
      </c>
      <c r="Q1421" s="1" t="str">
        <f ca="1">IFERROR(__xludf.DUMMYFUNCTION("""COMPUTED_VALUE"""),"Female")</f>
        <v>Female</v>
      </c>
    </row>
    <row r="1422" spans="13:17" x14ac:dyDescent="0.25">
      <c r="M1422" s="1"/>
      <c r="N1422" s="1" t="str">
        <f ca="1">IFERROR(__xludf.DUMMYFUNCTION("""COMPUTED_VALUE"""),"Female")</f>
        <v>Female</v>
      </c>
      <c r="P1422" s="1" t="str">
        <f ca="1">IFERROR(__xludf.DUMMYFUNCTION("""COMPUTED_VALUE"""),"Work Alone, &lt;=6 in team")</f>
        <v>Work Alone, &lt;=6 in team</v>
      </c>
      <c r="Q1422" s="1" t="str">
        <f ca="1">IFERROR(__xludf.DUMMYFUNCTION("""COMPUTED_VALUE"""),"Female")</f>
        <v>Female</v>
      </c>
    </row>
    <row r="1423" spans="13:17" x14ac:dyDescent="0.25">
      <c r="M1423" s="1"/>
      <c r="N1423" s="1" t="str">
        <f ca="1">IFERROR(__xludf.DUMMYFUNCTION("""COMPUTED_VALUE"""),"Female")</f>
        <v>Female</v>
      </c>
      <c r="P1423" s="1" t="str">
        <f ca="1">IFERROR(__xludf.DUMMYFUNCTION("""COMPUTED_VALUE"""),"Work &lt;=6 People in the Team")</f>
        <v>Work &lt;=6 People in the Team</v>
      </c>
      <c r="Q1423" s="1" t="str">
        <f ca="1">IFERROR(__xludf.DUMMYFUNCTION("""COMPUTED_VALUE"""),"Female")</f>
        <v>Female</v>
      </c>
    </row>
    <row r="1424" spans="13:17" x14ac:dyDescent="0.25">
      <c r="M1424" s="1"/>
      <c r="N1424" s="1" t="str">
        <f ca="1">IFERROR(__xludf.DUMMYFUNCTION("""COMPUTED_VALUE"""),"Female")</f>
        <v>Female</v>
      </c>
      <c r="P1424" s="1" t="str">
        <f ca="1">IFERROR(__xludf.DUMMYFUNCTION("""COMPUTED_VALUE"""),"Work alone")</f>
        <v>Work alone</v>
      </c>
      <c r="Q1424" s="1" t="str">
        <f ca="1">IFERROR(__xludf.DUMMYFUNCTION("""COMPUTED_VALUE"""),"Female")</f>
        <v>Female</v>
      </c>
    </row>
    <row r="1425" spans="13:17" x14ac:dyDescent="0.25">
      <c r="M1425" s="1"/>
      <c r="N1425" s="1" t="str">
        <f ca="1">IFERROR(__xludf.DUMMYFUNCTION("""COMPUTED_VALUE"""),"Male")</f>
        <v>Male</v>
      </c>
      <c r="P1425" s="1" t="str">
        <f ca="1">IFERROR(__xludf.DUMMYFUNCTION("""COMPUTED_VALUE"""),"Work &gt;=7 People in the Team")</f>
        <v>Work &gt;=7 People in the Team</v>
      </c>
      <c r="Q1425" s="1" t="str">
        <f ca="1">IFERROR(__xludf.DUMMYFUNCTION("""COMPUTED_VALUE"""),"Male")</f>
        <v>Male</v>
      </c>
    </row>
    <row r="1426" spans="13:17" x14ac:dyDescent="0.25">
      <c r="M1426" s="1"/>
      <c r="N1426" s="1" t="str">
        <f ca="1">IFERROR(__xludf.DUMMYFUNCTION("""COMPUTED_VALUE"""),"Female")</f>
        <v>Female</v>
      </c>
      <c r="P1426" s="1" t="str">
        <f ca="1">IFERROR(__xludf.DUMMYFUNCTION("""COMPUTED_VALUE"""),"Work &gt;10 people in Team")</f>
        <v>Work &gt;10 people in Team</v>
      </c>
      <c r="Q1426" s="1" t="str">
        <f ca="1">IFERROR(__xludf.DUMMYFUNCTION("""COMPUTED_VALUE"""),"Female")</f>
        <v>Female</v>
      </c>
    </row>
    <row r="1427" spans="13:17" x14ac:dyDescent="0.25">
      <c r="M1427" s="1"/>
      <c r="N1427" s="1" t="str">
        <f ca="1">IFERROR(__xludf.DUMMYFUNCTION("""COMPUTED_VALUE"""),"Female")</f>
        <v>Female</v>
      </c>
      <c r="P1427" s="1" t="str">
        <f ca="1">IFERROR(__xludf.DUMMYFUNCTION("""COMPUTED_VALUE"""),"Work alone")</f>
        <v>Work alone</v>
      </c>
      <c r="Q1427" s="1" t="str">
        <f ca="1">IFERROR(__xludf.DUMMYFUNCTION("""COMPUTED_VALUE"""),"Female")</f>
        <v>Female</v>
      </c>
    </row>
    <row r="1428" spans="13:17" x14ac:dyDescent="0.25">
      <c r="M1428" s="1"/>
      <c r="N1428" s="1" t="str">
        <f ca="1">IFERROR(__xludf.DUMMYFUNCTION("""COMPUTED_VALUE"""),"Female")</f>
        <v>Female</v>
      </c>
      <c r="P1428" s="1" t="str">
        <f ca="1">IFERROR(__xludf.DUMMYFUNCTION("""COMPUTED_VALUE"""),"Work Alone, &lt;=6 in team")</f>
        <v>Work Alone, &lt;=6 in team</v>
      </c>
      <c r="Q1428" s="1" t="str">
        <f ca="1">IFERROR(__xludf.DUMMYFUNCTION("""COMPUTED_VALUE"""),"Female")</f>
        <v>Female</v>
      </c>
    </row>
    <row r="1429" spans="13:17" x14ac:dyDescent="0.25">
      <c r="M1429" s="1"/>
      <c r="N1429" s="1" t="str">
        <f ca="1">IFERROR(__xludf.DUMMYFUNCTION("""COMPUTED_VALUE"""),"Male")</f>
        <v>Male</v>
      </c>
      <c r="P1429" s="1" t="str">
        <f ca="1">IFERROR(__xludf.DUMMYFUNCTION("""COMPUTED_VALUE"""),"Work Alone, &lt;=6 in team")</f>
        <v>Work Alone, &lt;=6 in team</v>
      </c>
      <c r="Q1429" s="1" t="str">
        <f ca="1">IFERROR(__xludf.DUMMYFUNCTION("""COMPUTED_VALUE"""),"Male")</f>
        <v>Male</v>
      </c>
    </row>
    <row r="1430" spans="13:17" x14ac:dyDescent="0.25">
      <c r="M1430" s="1"/>
      <c r="N1430" s="1" t="str">
        <f ca="1">IFERROR(__xludf.DUMMYFUNCTION("""COMPUTED_VALUE"""),"Male")</f>
        <v>Male</v>
      </c>
      <c r="P1430" s="1" t="str">
        <f ca="1">IFERROR(__xludf.DUMMYFUNCTION("""COMPUTED_VALUE"""),"Work &lt;=6 People in the Team")</f>
        <v>Work &lt;=6 People in the Team</v>
      </c>
      <c r="Q1430" s="1" t="str">
        <f ca="1">IFERROR(__xludf.DUMMYFUNCTION("""COMPUTED_VALUE"""),"Male")</f>
        <v>Male</v>
      </c>
    </row>
    <row r="1431" spans="13:17" x14ac:dyDescent="0.25">
      <c r="M1431" s="1"/>
      <c r="N1431" s="1" t="str">
        <f ca="1">IFERROR(__xludf.DUMMYFUNCTION("""COMPUTED_VALUE"""),"Male")</f>
        <v>Male</v>
      </c>
      <c r="P1431" s="1" t="str">
        <f ca="1">IFERROR(__xludf.DUMMYFUNCTION("""COMPUTED_VALUE"""),"Work Alone, &lt;67 people in team")</f>
        <v>Work Alone, &lt;67 people in team</v>
      </c>
      <c r="Q1431" s="1" t="str">
        <f ca="1">IFERROR(__xludf.DUMMYFUNCTION("""COMPUTED_VALUE"""),"Male")</f>
        <v>Male</v>
      </c>
    </row>
    <row r="1432" spans="13:17" x14ac:dyDescent="0.25">
      <c r="M1432" s="1"/>
      <c r="N1432" s="1" t="str">
        <f ca="1">IFERROR(__xludf.DUMMYFUNCTION("""COMPUTED_VALUE"""),"Male")</f>
        <v>Male</v>
      </c>
      <c r="P1432" s="1" t="str">
        <f ca="1">IFERROR(__xludf.DUMMYFUNCTION("""COMPUTED_VALUE"""),"Work &gt;10 people in Team")</f>
        <v>Work &gt;10 people in Team</v>
      </c>
      <c r="Q1432" s="1" t="str">
        <f ca="1">IFERROR(__xludf.DUMMYFUNCTION("""COMPUTED_VALUE"""),"Male")</f>
        <v>Male</v>
      </c>
    </row>
    <row r="1433" spans="13:17" x14ac:dyDescent="0.25">
      <c r="M1433" s="1"/>
      <c r="N1433" s="1" t="str">
        <f ca="1">IFERROR(__xludf.DUMMYFUNCTION("""COMPUTED_VALUE"""),"Female")</f>
        <v>Female</v>
      </c>
      <c r="P1433" s="1" t="str">
        <f ca="1">IFERROR(__xludf.DUMMYFUNCTION("""COMPUTED_VALUE"""),"Work &gt;10 people in Team")</f>
        <v>Work &gt;10 people in Team</v>
      </c>
      <c r="Q1433" s="1" t="str">
        <f ca="1">IFERROR(__xludf.DUMMYFUNCTION("""COMPUTED_VALUE"""),"Female")</f>
        <v>Female</v>
      </c>
    </row>
    <row r="1434" spans="13:17" x14ac:dyDescent="0.25">
      <c r="M1434" s="1"/>
      <c r="N1434" s="1" t="str">
        <f ca="1">IFERROR(__xludf.DUMMYFUNCTION("""COMPUTED_VALUE"""),"Female")</f>
        <v>Female</v>
      </c>
      <c r="P1434" s="1" t="str">
        <f ca="1">IFERROR(__xludf.DUMMYFUNCTION("""COMPUTED_VALUE"""),"Work &gt;10 people in Team")</f>
        <v>Work &gt;10 people in Team</v>
      </c>
      <c r="Q1434" s="1" t="str">
        <f ca="1">IFERROR(__xludf.DUMMYFUNCTION("""COMPUTED_VALUE"""),"Female")</f>
        <v>Female</v>
      </c>
    </row>
    <row r="1435" spans="13:17" x14ac:dyDescent="0.25">
      <c r="M1435" s="1"/>
      <c r="N1435" s="1" t="str">
        <f ca="1">IFERROR(__xludf.DUMMYFUNCTION("""COMPUTED_VALUE"""),"Female")</f>
        <v>Female</v>
      </c>
      <c r="P1435" s="1" t="str">
        <f ca="1">IFERROR(__xludf.DUMMYFUNCTION("""COMPUTED_VALUE"""),"Work &lt;=6 People in the Team")</f>
        <v>Work &lt;=6 People in the Team</v>
      </c>
      <c r="Q1435" s="1" t="str">
        <f ca="1">IFERROR(__xludf.DUMMYFUNCTION("""COMPUTED_VALUE"""),"Female")</f>
        <v>Female</v>
      </c>
    </row>
    <row r="1436" spans="13:17" x14ac:dyDescent="0.25">
      <c r="M1436" s="1"/>
      <c r="N1436" s="1" t="str">
        <f ca="1">IFERROR(__xludf.DUMMYFUNCTION("""COMPUTED_VALUE"""),"Male")</f>
        <v>Male</v>
      </c>
      <c r="P1436" s="1" t="str">
        <f ca="1">IFERROR(__xludf.DUMMYFUNCTION("""COMPUTED_VALUE"""),"Work &lt;=6 People in the Team")</f>
        <v>Work &lt;=6 People in the Team</v>
      </c>
      <c r="Q1436" s="1" t="str">
        <f ca="1">IFERROR(__xludf.DUMMYFUNCTION("""COMPUTED_VALUE"""),"Male")</f>
        <v>Male</v>
      </c>
    </row>
    <row r="1437" spans="13:17" x14ac:dyDescent="0.25">
      <c r="M1437" s="1"/>
      <c r="N1437" s="1" t="str">
        <f ca="1">IFERROR(__xludf.DUMMYFUNCTION("""COMPUTED_VALUE"""),"Female")</f>
        <v>Female</v>
      </c>
      <c r="P1437" s="1" t="str">
        <f ca="1">IFERROR(__xludf.DUMMYFUNCTION("""COMPUTED_VALUE"""),"Work Alone, &lt;=6 in team")</f>
        <v>Work Alone, &lt;=6 in team</v>
      </c>
      <c r="Q1437" s="1" t="str">
        <f ca="1">IFERROR(__xludf.DUMMYFUNCTION("""COMPUTED_VALUE"""),"Female")</f>
        <v>Female</v>
      </c>
    </row>
    <row r="1438" spans="13:17" x14ac:dyDescent="0.25">
      <c r="M1438" s="1"/>
      <c r="N1438" s="1" t="str">
        <f ca="1">IFERROR(__xludf.DUMMYFUNCTION("""COMPUTED_VALUE"""),"Female")</f>
        <v>Female</v>
      </c>
      <c r="P1438" s="1" t="str">
        <f ca="1">IFERROR(__xludf.DUMMYFUNCTION("""COMPUTED_VALUE"""),"Work &lt;=6 People in the Team")</f>
        <v>Work &lt;=6 People in the Team</v>
      </c>
      <c r="Q1438" s="1" t="str">
        <f ca="1">IFERROR(__xludf.DUMMYFUNCTION("""COMPUTED_VALUE"""),"Female")</f>
        <v>Female</v>
      </c>
    </row>
    <row r="1439" spans="13:17" x14ac:dyDescent="0.25">
      <c r="M1439" s="1"/>
      <c r="N1439" s="1" t="str">
        <f ca="1">IFERROR(__xludf.DUMMYFUNCTION("""COMPUTED_VALUE"""),"Female")</f>
        <v>Female</v>
      </c>
      <c r="P1439" s="1" t="str">
        <f ca="1">IFERROR(__xludf.DUMMYFUNCTION("""COMPUTED_VALUE"""),"Work &gt;10 people in Team")</f>
        <v>Work &gt;10 people in Team</v>
      </c>
      <c r="Q1439" s="1" t="str">
        <f ca="1">IFERROR(__xludf.DUMMYFUNCTION("""COMPUTED_VALUE"""),"Female")</f>
        <v>Female</v>
      </c>
    </row>
    <row r="1440" spans="13:17" x14ac:dyDescent="0.25">
      <c r="M1440" s="1"/>
      <c r="N1440" s="1" t="str">
        <f ca="1">IFERROR(__xludf.DUMMYFUNCTION("""COMPUTED_VALUE"""),"Female")</f>
        <v>Female</v>
      </c>
      <c r="P1440" s="1" t="str">
        <f ca="1">IFERROR(__xludf.DUMMYFUNCTION("""COMPUTED_VALUE"""),"Work &lt;=6 People in the Team")</f>
        <v>Work &lt;=6 People in the Team</v>
      </c>
      <c r="Q1440" s="1" t="str">
        <f ca="1">IFERROR(__xludf.DUMMYFUNCTION("""COMPUTED_VALUE"""),"Female")</f>
        <v>Female</v>
      </c>
    </row>
    <row r="1441" spans="13:17" x14ac:dyDescent="0.25">
      <c r="M1441" s="1"/>
      <c r="N1441" s="1" t="str">
        <f ca="1">IFERROR(__xludf.DUMMYFUNCTION("""COMPUTED_VALUE"""),"Male")</f>
        <v>Male</v>
      </c>
      <c r="P1441" s="1" t="str">
        <f ca="1">IFERROR(__xludf.DUMMYFUNCTION("""COMPUTED_VALUE"""),"Work &gt;10 people in Team")</f>
        <v>Work &gt;10 people in Team</v>
      </c>
      <c r="Q1441" s="1" t="str">
        <f ca="1">IFERROR(__xludf.DUMMYFUNCTION("""COMPUTED_VALUE"""),"Male")</f>
        <v>Male</v>
      </c>
    </row>
    <row r="1442" spans="13:17" x14ac:dyDescent="0.25">
      <c r="M1442" s="1"/>
      <c r="N1442" s="1" t="str">
        <f ca="1">IFERROR(__xludf.DUMMYFUNCTION("""COMPUTED_VALUE"""),"Female")</f>
        <v>Female</v>
      </c>
      <c r="P1442" s="1" t="str">
        <f ca="1">IFERROR(__xludf.DUMMYFUNCTION("""COMPUTED_VALUE"""),"Work &gt;10 people in Team")</f>
        <v>Work &gt;10 people in Team</v>
      </c>
      <c r="Q1442" s="1" t="str">
        <f ca="1">IFERROR(__xludf.DUMMYFUNCTION("""COMPUTED_VALUE"""),"Female")</f>
        <v>Female</v>
      </c>
    </row>
    <row r="1443" spans="13:17" x14ac:dyDescent="0.25">
      <c r="M1443" s="1"/>
      <c r="N1443" s="1" t="str">
        <f ca="1">IFERROR(__xludf.DUMMYFUNCTION("""COMPUTED_VALUE"""),"Male")</f>
        <v>Male</v>
      </c>
      <c r="P1443" s="1" t="str">
        <f ca="1">IFERROR(__xludf.DUMMYFUNCTION("""COMPUTED_VALUE"""),"Work &lt;=6 People in the Team")</f>
        <v>Work &lt;=6 People in the Team</v>
      </c>
      <c r="Q1443" s="1" t="str">
        <f ca="1">IFERROR(__xludf.DUMMYFUNCTION("""COMPUTED_VALUE"""),"Male")</f>
        <v>Male</v>
      </c>
    </row>
    <row r="1444" spans="13:17" x14ac:dyDescent="0.25">
      <c r="M1444" s="1"/>
      <c r="N1444" s="1" t="str">
        <f ca="1">IFERROR(__xludf.DUMMYFUNCTION("""COMPUTED_VALUE"""),"Female")</f>
        <v>Female</v>
      </c>
      <c r="P1444" s="1" t="str">
        <f ca="1">IFERROR(__xludf.DUMMYFUNCTION("""COMPUTED_VALUE"""),"Work &lt;=6 People in the Team")</f>
        <v>Work &lt;=6 People in the Team</v>
      </c>
      <c r="Q1444" s="1" t="str">
        <f ca="1">IFERROR(__xludf.DUMMYFUNCTION("""COMPUTED_VALUE"""),"Female")</f>
        <v>Female</v>
      </c>
    </row>
    <row r="1445" spans="13:17" x14ac:dyDescent="0.25">
      <c r="M1445" s="1"/>
      <c r="N1445" s="1" t="str">
        <f ca="1">IFERROR(__xludf.DUMMYFUNCTION("""COMPUTED_VALUE"""),"Female")</f>
        <v>Female</v>
      </c>
      <c r="P1445" s="1" t="str">
        <f ca="1">IFERROR(__xludf.DUMMYFUNCTION("""COMPUTED_VALUE"""),"Work &lt;=6 People in the Team")</f>
        <v>Work &lt;=6 People in the Team</v>
      </c>
      <c r="Q1445" s="1" t="str">
        <f ca="1">IFERROR(__xludf.DUMMYFUNCTION("""COMPUTED_VALUE"""),"Female")</f>
        <v>Female</v>
      </c>
    </row>
    <row r="1446" spans="13:17" x14ac:dyDescent="0.25">
      <c r="M1446" s="1"/>
      <c r="N1446" s="1" t="str">
        <f ca="1">IFERROR(__xludf.DUMMYFUNCTION("""COMPUTED_VALUE"""),"Male")</f>
        <v>Male</v>
      </c>
      <c r="P1446" s="1" t="str">
        <f ca="1">IFERROR(__xludf.DUMMYFUNCTION("""COMPUTED_VALUE"""),"Work &lt;=6 People in the Team")</f>
        <v>Work &lt;=6 People in the Team</v>
      </c>
      <c r="Q1446" s="1" t="str">
        <f ca="1">IFERROR(__xludf.DUMMYFUNCTION("""COMPUTED_VALUE"""),"Male")</f>
        <v>Male</v>
      </c>
    </row>
    <row r="1447" spans="13:17" x14ac:dyDescent="0.25">
      <c r="M1447" s="1"/>
      <c r="N1447" s="1" t="str">
        <f ca="1">IFERROR(__xludf.DUMMYFUNCTION("""COMPUTED_VALUE"""),"Male")</f>
        <v>Male</v>
      </c>
      <c r="P1447" s="1" t="str">
        <f ca="1">IFERROR(__xludf.DUMMYFUNCTION("""COMPUTED_VALUE"""),"Work &lt;67 People in the Team")</f>
        <v>Work &lt;67 People in the Team</v>
      </c>
      <c r="Q1447" s="1" t="str">
        <f ca="1">IFERROR(__xludf.DUMMYFUNCTION("""COMPUTED_VALUE"""),"Male")</f>
        <v>Male</v>
      </c>
    </row>
    <row r="1448" spans="13:17" x14ac:dyDescent="0.25">
      <c r="M1448" s="1"/>
      <c r="N1448" s="1" t="str">
        <f ca="1">IFERROR(__xludf.DUMMYFUNCTION("""COMPUTED_VALUE"""),"Male")</f>
        <v>Male</v>
      </c>
      <c r="P1448" s="1" t="str">
        <f ca="1">IFERROR(__xludf.DUMMYFUNCTION("""COMPUTED_VALUE"""),"Work &gt;10 people in Team")</f>
        <v>Work &gt;10 people in Team</v>
      </c>
      <c r="Q1448" s="1" t="str">
        <f ca="1">IFERROR(__xludf.DUMMYFUNCTION("""COMPUTED_VALUE"""),"Male")</f>
        <v>Male</v>
      </c>
    </row>
    <row r="1449" spans="13:17" x14ac:dyDescent="0.25">
      <c r="M1449" s="1"/>
      <c r="N1449" s="1" t="str">
        <f ca="1">IFERROR(__xludf.DUMMYFUNCTION("""COMPUTED_VALUE"""),"Female")</f>
        <v>Female</v>
      </c>
      <c r="P1449" s="1" t="str">
        <f ca="1">IFERROR(__xludf.DUMMYFUNCTION("""COMPUTED_VALUE"""),"Work Alone, &lt;=6 in team")</f>
        <v>Work Alone, &lt;=6 in team</v>
      </c>
      <c r="Q1449" s="1" t="str">
        <f ca="1">IFERROR(__xludf.DUMMYFUNCTION("""COMPUTED_VALUE"""),"Female")</f>
        <v>Female</v>
      </c>
    </row>
    <row r="1450" spans="13:17" x14ac:dyDescent="0.25">
      <c r="M1450" s="1"/>
      <c r="N1450" s="1" t="str">
        <f ca="1">IFERROR(__xludf.DUMMYFUNCTION("""COMPUTED_VALUE"""),"Male")</f>
        <v>Male</v>
      </c>
      <c r="P1450" s="1" t="str">
        <f ca="1">IFERROR(__xludf.DUMMYFUNCTION("""COMPUTED_VALUE"""),"Work &gt;10 people in Team")</f>
        <v>Work &gt;10 people in Team</v>
      </c>
      <c r="Q1450" s="1" t="str">
        <f ca="1">IFERROR(__xludf.DUMMYFUNCTION("""COMPUTED_VALUE"""),"Male")</f>
        <v>Male</v>
      </c>
    </row>
    <row r="1451" spans="13:17" x14ac:dyDescent="0.25">
      <c r="M1451" s="1"/>
      <c r="N1451" s="1" t="str">
        <f ca="1">IFERROR(__xludf.DUMMYFUNCTION("""COMPUTED_VALUE"""),"Male")</f>
        <v>Male</v>
      </c>
      <c r="P1451" s="1" t="str">
        <f ca="1">IFERROR(__xludf.DUMMYFUNCTION("""COMPUTED_VALUE"""),"Work &lt;=6 People in the Team")</f>
        <v>Work &lt;=6 People in the Team</v>
      </c>
      <c r="Q1451" s="1" t="str">
        <f ca="1">IFERROR(__xludf.DUMMYFUNCTION("""COMPUTED_VALUE"""),"Male")</f>
        <v>Male</v>
      </c>
    </row>
    <row r="1452" spans="13:17" x14ac:dyDescent="0.25">
      <c r="M1452" s="1"/>
      <c r="N1452" s="1" t="str">
        <f ca="1">IFERROR(__xludf.DUMMYFUNCTION("""COMPUTED_VALUE"""),"Male")</f>
        <v>Male</v>
      </c>
      <c r="P1452" s="1" t="str">
        <f ca="1">IFERROR(__xludf.DUMMYFUNCTION("""COMPUTED_VALUE"""),"Work &lt;67 People in the Team")</f>
        <v>Work &lt;67 People in the Team</v>
      </c>
      <c r="Q1452" s="1" t="str">
        <f ca="1">IFERROR(__xludf.DUMMYFUNCTION("""COMPUTED_VALUE"""),"Male")</f>
        <v>Male</v>
      </c>
    </row>
    <row r="1453" spans="13:17" x14ac:dyDescent="0.25">
      <c r="M1453" s="1"/>
      <c r="N1453" s="1" t="str">
        <f ca="1">IFERROR(__xludf.DUMMYFUNCTION("""COMPUTED_VALUE"""),"Male")</f>
        <v>Male</v>
      </c>
      <c r="P1453" s="1" t="str">
        <f ca="1">IFERROR(__xludf.DUMMYFUNCTION("""COMPUTED_VALUE"""),"Work &lt;=6 People in the Team")</f>
        <v>Work &lt;=6 People in the Team</v>
      </c>
      <c r="Q1453" s="1" t="str">
        <f ca="1">IFERROR(__xludf.DUMMYFUNCTION("""COMPUTED_VALUE"""),"Male")</f>
        <v>Male</v>
      </c>
    </row>
    <row r="1454" spans="13:17" x14ac:dyDescent="0.25">
      <c r="M1454" s="1"/>
      <c r="N1454" s="1" t="str">
        <f ca="1">IFERROR(__xludf.DUMMYFUNCTION("""COMPUTED_VALUE"""),"Female")</f>
        <v>Female</v>
      </c>
      <c r="P1454" s="1" t="str">
        <f ca="1">IFERROR(__xludf.DUMMYFUNCTION("""COMPUTED_VALUE"""),"Work &lt;=6 People in the Team")</f>
        <v>Work &lt;=6 People in the Team</v>
      </c>
      <c r="Q1454" s="1" t="str">
        <f ca="1">IFERROR(__xludf.DUMMYFUNCTION("""COMPUTED_VALUE"""),"Female")</f>
        <v>Female</v>
      </c>
    </row>
    <row r="1455" spans="13:17" x14ac:dyDescent="0.25">
      <c r="M1455" s="1"/>
      <c r="N1455" s="1" t="str">
        <f ca="1">IFERROR(__xludf.DUMMYFUNCTION("""COMPUTED_VALUE"""),"Female")</f>
        <v>Female</v>
      </c>
      <c r="P1455" s="1" t="str">
        <f ca="1">IFERROR(__xludf.DUMMYFUNCTION("""COMPUTED_VALUE"""),"Work &gt;=7 People in the Team")</f>
        <v>Work &gt;=7 People in the Team</v>
      </c>
      <c r="Q1455" s="1" t="str">
        <f ca="1">IFERROR(__xludf.DUMMYFUNCTION("""COMPUTED_VALUE"""),"Female")</f>
        <v>Female</v>
      </c>
    </row>
    <row r="1456" spans="13:17" x14ac:dyDescent="0.25">
      <c r="M1456" s="1"/>
      <c r="N1456" s="1" t="str">
        <f ca="1">IFERROR(__xludf.DUMMYFUNCTION("""COMPUTED_VALUE"""),"Female")</f>
        <v>Female</v>
      </c>
      <c r="P1456" s="1" t="str">
        <f ca="1">IFERROR(__xludf.DUMMYFUNCTION("""COMPUTED_VALUE"""),"Work &gt;=7 People in the Team")</f>
        <v>Work &gt;=7 People in the Team</v>
      </c>
      <c r="Q1456" s="1" t="str">
        <f ca="1">IFERROR(__xludf.DUMMYFUNCTION("""COMPUTED_VALUE"""),"Female")</f>
        <v>Female</v>
      </c>
    </row>
    <row r="1457" spans="13:17" x14ac:dyDescent="0.25">
      <c r="M1457" s="1"/>
      <c r="N1457" s="1" t="str">
        <f ca="1">IFERROR(__xludf.DUMMYFUNCTION("""COMPUTED_VALUE"""),"Male")</f>
        <v>Male</v>
      </c>
      <c r="P1457" s="1" t="str">
        <f ca="1">IFERROR(__xludf.DUMMYFUNCTION("""COMPUTED_VALUE"""),"Work &lt;=6 People in the Team")</f>
        <v>Work &lt;=6 People in the Team</v>
      </c>
      <c r="Q1457" s="1" t="str">
        <f ca="1">IFERROR(__xludf.DUMMYFUNCTION("""COMPUTED_VALUE"""),"Male")</f>
        <v>Male</v>
      </c>
    </row>
    <row r="1458" spans="13:17" x14ac:dyDescent="0.25">
      <c r="M1458" s="1"/>
      <c r="N1458" s="1" t="str">
        <f ca="1">IFERROR(__xludf.DUMMYFUNCTION("""COMPUTED_VALUE"""),"Female")</f>
        <v>Female</v>
      </c>
      <c r="P1458" s="1" t="str">
        <f ca="1">IFERROR(__xludf.DUMMYFUNCTION("""COMPUTED_VALUE"""),"Work alone")</f>
        <v>Work alone</v>
      </c>
      <c r="Q1458" s="1" t="str">
        <f ca="1">IFERROR(__xludf.DUMMYFUNCTION("""COMPUTED_VALUE"""),"Female")</f>
        <v>Female</v>
      </c>
    </row>
    <row r="1459" spans="13:17" x14ac:dyDescent="0.25">
      <c r="M1459" s="1"/>
      <c r="N1459" s="1" t="str">
        <f ca="1">IFERROR(__xludf.DUMMYFUNCTION("""COMPUTED_VALUE"""),"Female")</f>
        <v>Female</v>
      </c>
      <c r="P1459" s="1" t="str">
        <f ca="1">IFERROR(__xludf.DUMMYFUNCTION("""COMPUTED_VALUE"""),"Work &lt;=6 People in the Team")</f>
        <v>Work &lt;=6 People in the Team</v>
      </c>
      <c r="Q1459" s="1" t="str">
        <f ca="1">IFERROR(__xludf.DUMMYFUNCTION("""COMPUTED_VALUE"""),"Female")</f>
        <v>Female</v>
      </c>
    </row>
    <row r="1460" spans="13:17" x14ac:dyDescent="0.25">
      <c r="M1460" s="1"/>
      <c r="N1460" s="1" t="str">
        <f ca="1">IFERROR(__xludf.DUMMYFUNCTION("""COMPUTED_VALUE"""),"Male")</f>
        <v>Male</v>
      </c>
      <c r="P1460" s="1" t="str">
        <f ca="1">IFERROR(__xludf.DUMMYFUNCTION("""COMPUTED_VALUE"""),"Work  &lt;67 people in team")</f>
        <v>Work  &lt;67 people in team</v>
      </c>
      <c r="Q1460" s="1" t="str">
        <f ca="1">IFERROR(__xludf.DUMMYFUNCTION("""COMPUTED_VALUE"""),"Male")</f>
        <v>Male</v>
      </c>
    </row>
    <row r="1461" spans="13:17" x14ac:dyDescent="0.25">
      <c r="M1461" s="1"/>
      <c r="N1461" s="1" t="str">
        <f ca="1">IFERROR(__xludf.DUMMYFUNCTION("""COMPUTED_VALUE"""),"Female")</f>
        <v>Female</v>
      </c>
      <c r="P1461" s="1" t="str">
        <f ca="1">IFERROR(__xludf.DUMMYFUNCTION("""COMPUTED_VALUE"""),"Work &gt;10 people in Team")</f>
        <v>Work &gt;10 people in Team</v>
      </c>
      <c r="Q1461" s="1" t="str">
        <f ca="1">IFERROR(__xludf.DUMMYFUNCTION("""COMPUTED_VALUE"""),"Female")</f>
        <v>Female</v>
      </c>
    </row>
    <row r="1462" spans="13:17" x14ac:dyDescent="0.25">
      <c r="M1462" s="1"/>
      <c r="N1462" s="1" t="str">
        <f ca="1">IFERROR(__xludf.DUMMYFUNCTION("""COMPUTED_VALUE"""),"Male")</f>
        <v>Male</v>
      </c>
      <c r="P1462" s="1" t="str">
        <f ca="1">IFERROR(__xludf.DUMMYFUNCTION("""COMPUTED_VALUE"""),"Work &gt;10 people in Team")</f>
        <v>Work &gt;10 people in Team</v>
      </c>
      <c r="Q1462" s="1" t="str">
        <f ca="1">IFERROR(__xludf.DUMMYFUNCTION("""COMPUTED_VALUE"""),"Male")</f>
        <v>Male</v>
      </c>
    </row>
    <row r="1463" spans="13:17" x14ac:dyDescent="0.25">
      <c r="M1463" s="1"/>
      <c r="N1463" s="1" t="str">
        <f ca="1">IFERROR(__xludf.DUMMYFUNCTION("""COMPUTED_VALUE"""),"Male")</f>
        <v>Male</v>
      </c>
      <c r="P1463" s="1" t="str">
        <f ca="1">IFERROR(__xludf.DUMMYFUNCTION("""COMPUTED_VALUE"""),"Work &gt;10 people in Team")</f>
        <v>Work &gt;10 people in Team</v>
      </c>
      <c r="Q1463" s="1" t="str">
        <f ca="1">IFERROR(__xludf.DUMMYFUNCTION("""COMPUTED_VALUE"""),"Male")</f>
        <v>Male</v>
      </c>
    </row>
    <row r="1464" spans="13:17" x14ac:dyDescent="0.25">
      <c r="M1464" s="1"/>
      <c r="N1464" s="1" t="str">
        <f ca="1">IFERROR(__xludf.DUMMYFUNCTION("""COMPUTED_VALUE"""),"Female")</f>
        <v>Female</v>
      </c>
      <c r="P1464" s="1" t="str">
        <f ca="1">IFERROR(__xludf.DUMMYFUNCTION("""COMPUTED_VALUE"""),"Work  &lt;67 people in team")</f>
        <v>Work  &lt;67 people in team</v>
      </c>
      <c r="Q1464" s="1" t="str">
        <f ca="1">IFERROR(__xludf.DUMMYFUNCTION("""COMPUTED_VALUE"""),"Female")</f>
        <v>Female</v>
      </c>
    </row>
    <row r="1465" spans="13:17" x14ac:dyDescent="0.25">
      <c r="M1465" s="1"/>
      <c r="N1465" s="1" t="str">
        <f ca="1">IFERROR(__xludf.DUMMYFUNCTION("""COMPUTED_VALUE"""),"Male")</f>
        <v>Male</v>
      </c>
      <c r="P1465" s="1" t="str">
        <f ca="1">IFERROR(__xludf.DUMMYFUNCTION("""COMPUTED_VALUE"""),"Work &lt;=6 People in the Team")</f>
        <v>Work &lt;=6 People in the Team</v>
      </c>
      <c r="Q1465" s="1" t="str">
        <f ca="1">IFERROR(__xludf.DUMMYFUNCTION("""COMPUTED_VALUE"""),"Male")</f>
        <v>Male</v>
      </c>
    </row>
    <row r="1466" spans="13:17" x14ac:dyDescent="0.25">
      <c r="M1466" s="1"/>
      <c r="N1466" s="1" t="str">
        <f ca="1">IFERROR(__xludf.DUMMYFUNCTION("""COMPUTED_VALUE"""),"Male")</f>
        <v>Male</v>
      </c>
      <c r="P1466" s="1" t="str">
        <f ca="1">IFERROR(__xludf.DUMMYFUNCTION("""COMPUTED_VALUE"""),"Work &gt;10 people in Team")</f>
        <v>Work &gt;10 people in Team</v>
      </c>
      <c r="Q1466" s="1" t="str">
        <f ca="1">IFERROR(__xludf.DUMMYFUNCTION("""COMPUTED_VALUE"""),"Male")</f>
        <v>Male</v>
      </c>
    </row>
    <row r="1467" spans="13:17" x14ac:dyDescent="0.25">
      <c r="M1467" s="1"/>
      <c r="N1467" s="1" t="str">
        <f ca="1">IFERROR(__xludf.DUMMYFUNCTION("""COMPUTED_VALUE"""),"Female")</f>
        <v>Female</v>
      </c>
      <c r="P1467" s="1" t="str">
        <f ca="1">IFERROR(__xludf.DUMMYFUNCTION("""COMPUTED_VALUE"""),"Work &gt;10 people in Team")</f>
        <v>Work &gt;10 people in Team</v>
      </c>
      <c r="Q1467" s="1" t="str">
        <f ca="1">IFERROR(__xludf.DUMMYFUNCTION("""COMPUTED_VALUE"""),"Female")</f>
        <v>Female</v>
      </c>
    </row>
    <row r="1468" spans="13:17" x14ac:dyDescent="0.25">
      <c r="M1468" s="1"/>
      <c r="N1468" s="1" t="str">
        <f ca="1">IFERROR(__xludf.DUMMYFUNCTION("""COMPUTED_VALUE"""),"Female")</f>
        <v>Female</v>
      </c>
      <c r="P1468" s="1" t="str">
        <f ca="1">IFERROR(__xludf.DUMMYFUNCTION("""COMPUTED_VALUE"""),"Work &lt;=6 People in the Team")</f>
        <v>Work &lt;=6 People in the Team</v>
      </c>
      <c r="Q1468" s="1" t="str">
        <f ca="1">IFERROR(__xludf.DUMMYFUNCTION("""COMPUTED_VALUE"""),"Female")</f>
        <v>Female</v>
      </c>
    </row>
    <row r="1469" spans="13:17" x14ac:dyDescent="0.25">
      <c r="M1469" s="1"/>
      <c r="N1469" s="1" t="str">
        <f ca="1">IFERROR(__xludf.DUMMYFUNCTION("""COMPUTED_VALUE"""),"Male")</f>
        <v>Male</v>
      </c>
      <c r="P1469" s="1" t="str">
        <f ca="1">IFERROR(__xludf.DUMMYFUNCTION("""COMPUTED_VALUE"""),"Work &gt;10 people in Team")</f>
        <v>Work &gt;10 people in Team</v>
      </c>
      <c r="Q1469" s="1" t="str">
        <f ca="1">IFERROR(__xludf.DUMMYFUNCTION("""COMPUTED_VALUE"""),"Male")</f>
        <v>Male</v>
      </c>
    </row>
    <row r="1470" spans="13:17" x14ac:dyDescent="0.25">
      <c r="M1470" s="1"/>
      <c r="N1470" s="1" t="str">
        <f ca="1">IFERROR(__xludf.DUMMYFUNCTION("""COMPUTED_VALUE"""),"Male")</f>
        <v>Male</v>
      </c>
      <c r="P1470" s="1" t="str">
        <f ca="1">IFERROR(__xludf.DUMMYFUNCTION("""COMPUTED_VALUE"""),"Work &gt;10 people in Team")</f>
        <v>Work &gt;10 people in Team</v>
      </c>
      <c r="Q1470" s="1" t="str">
        <f ca="1">IFERROR(__xludf.DUMMYFUNCTION("""COMPUTED_VALUE"""),"Male")</f>
        <v>Male</v>
      </c>
    </row>
    <row r="1471" spans="13:17" x14ac:dyDescent="0.25">
      <c r="M1471" s="1"/>
      <c r="N1471" s="1" t="str">
        <f ca="1">IFERROR(__xludf.DUMMYFUNCTION("""COMPUTED_VALUE"""),"Male")</f>
        <v>Male</v>
      </c>
      <c r="P1471" s="1" t="str">
        <f ca="1">IFERROR(__xludf.DUMMYFUNCTION("""COMPUTED_VALUE"""),"Work &gt;=7 People in the Team")</f>
        <v>Work &gt;=7 People in the Team</v>
      </c>
      <c r="Q1471" s="1" t="str">
        <f ca="1">IFERROR(__xludf.DUMMYFUNCTION("""COMPUTED_VALUE"""),"Male")</f>
        <v>Male</v>
      </c>
    </row>
    <row r="1472" spans="13:17" x14ac:dyDescent="0.25">
      <c r="M1472" s="1"/>
      <c r="N1472" s="1" t="str">
        <f ca="1">IFERROR(__xludf.DUMMYFUNCTION("""COMPUTED_VALUE"""),"Male")</f>
        <v>Male</v>
      </c>
      <c r="P1472" s="1" t="str">
        <f ca="1">IFERROR(__xludf.DUMMYFUNCTION("""COMPUTED_VALUE"""),"Work Alone, &lt;67 people in team")</f>
        <v>Work Alone, &lt;67 people in team</v>
      </c>
      <c r="Q1472" s="1" t="str">
        <f ca="1">IFERROR(__xludf.DUMMYFUNCTION("""COMPUTED_VALUE"""),"Male")</f>
        <v>Male</v>
      </c>
    </row>
    <row r="1473" spans="13:17" x14ac:dyDescent="0.25">
      <c r="M1473" s="1"/>
      <c r="N1473" s="1" t="str">
        <f ca="1">IFERROR(__xludf.DUMMYFUNCTION("""COMPUTED_VALUE"""),"Male")</f>
        <v>Male</v>
      </c>
      <c r="P1473" s="1" t="str">
        <f ca="1">IFERROR(__xludf.DUMMYFUNCTION("""COMPUTED_VALUE"""),"Work &lt;=6 People in the Team")</f>
        <v>Work &lt;=6 People in the Team</v>
      </c>
      <c r="Q1473" s="1" t="str">
        <f ca="1">IFERROR(__xludf.DUMMYFUNCTION("""COMPUTED_VALUE"""),"Male")</f>
        <v>Male</v>
      </c>
    </row>
    <row r="1474" spans="13:17" x14ac:dyDescent="0.25">
      <c r="M1474" s="1"/>
      <c r="N1474" s="1" t="str">
        <f ca="1">IFERROR(__xludf.DUMMYFUNCTION("""COMPUTED_VALUE"""),"Male")</f>
        <v>Male</v>
      </c>
      <c r="P1474" s="1" t="str">
        <f ca="1">IFERROR(__xludf.DUMMYFUNCTION("""COMPUTED_VALUE"""),"Work alone, Work &gt;=7 People in the Team")</f>
        <v>Work alone, Work &gt;=7 People in the Team</v>
      </c>
      <c r="Q1474" s="1" t="str">
        <f ca="1">IFERROR(__xludf.DUMMYFUNCTION("""COMPUTED_VALUE"""),"Male")</f>
        <v>Male</v>
      </c>
    </row>
    <row r="1475" spans="13:17" x14ac:dyDescent="0.25">
      <c r="M1475" s="1"/>
      <c r="N1475" s="1" t="str">
        <f ca="1">IFERROR(__xludf.DUMMYFUNCTION("""COMPUTED_VALUE"""),"Female")</f>
        <v>Female</v>
      </c>
      <c r="P1475" s="1" t="str">
        <f ca="1">IFERROR(__xludf.DUMMYFUNCTION("""COMPUTED_VALUE"""),"Work &lt;=6 People in the Team")</f>
        <v>Work &lt;=6 People in the Team</v>
      </c>
      <c r="Q1475" s="1" t="str">
        <f ca="1">IFERROR(__xludf.DUMMYFUNCTION("""COMPUTED_VALUE"""),"Female")</f>
        <v>Female</v>
      </c>
    </row>
    <row r="1476" spans="13:17" x14ac:dyDescent="0.25">
      <c r="M1476" s="1"/>
      <c r="N1476" s="1" t="str">
        <f ca="1">IFERROR(__xludf.DUMMYFUNCTION("""COMPUTED_VALUE"""),"Male")</f>
        <v>Male</v>
      </c>
      <c r="P1476" s="1" t="str">
        <f ca="1">IFERROR(__xludf.DUMMYFUNCTION("""COMPUTED_VALUE"""),"Work &lt;=6 People in the Team")</f>
        <v>Work &lt;=6 People in the Team</v>
      </c>
      <c r="Q1476" s="1" t="str">
        <f ca="1">IFERROR(__xludf.DUMMYFUNCTION("""COMPUTED_VALUE"""),"Male")</f>
        <v>Male</v>
      </c>
    </row>
    <row r="1477" spans="13:17" x14ac:dyDescent="0.25">
      <c r="M1477" s="1"/>
      <c r="N1477" s="1" t="str">
        <f ca="1">IFERROR(__xludf.DUMMYFUNCTION("""COMPUTED_VALUE"""),"Male")</f>
        <v>Male</v>
      </c>
      <c r="P1477" s="1" t="str">
        <f ca="1">IFERROR(__xludf.DUMMYFUNCTION("""COMPUTED_VALUE"""),"Work &lt;=6 People in the Team")</f>
        <v>Work &lt;=6 People in the Team</v>
      </c>
      <c r="Q1477" s="1" t="str">
        <f ca="1">IFERROR(__xludf.DUMMYFUNCTION("""COMPUTED_VALUE"""),"Male")</f>
        <v>Male</v>
      </c>
    </row>
    <row r="1478" spans="13:17" x14ac:dyDescent="0.25">
      <c r="M1478" s="1"/>
      <c r="N1478" s="1" t="str">
        <f ca="1">IFERROR(__xludf.DUMMYFUNCTION("""COMPUTED_VALUE"""),"Male")</f>
        <v>Male</v>
      </c>
      <c r="P1478" s="1" t="str">
        <f ca="1">IFERROR(__xludf.DUMMYFUNCTION("""COMPUTED_VALUE"""),"Work &lt;=6 People in the Team")</f>
        <v>Work &lt;=6 People in the Team</v>
      </c>
      <c r="Q1478" s="1" t="str">
        <f ca="1">IFERROR(__xludf.DUMMYFUNCTION("""COMPUTED_VALUE"""),"Male")</f>
        <v>Male</v>
      </c>
    </row>
    <row r="1479" spans="13:17" x14ac:dyDescent="0.25">
      <c r="M1479" s="1"/>
      <c r="N1479" s="1" t="str">
        <f ca="1">IFERROR(__xludf.DUMMYFUNCTION("""COMPUTED_VALUE"""),"Male")</f>
        <v>Male</v>
      </c>
      <c r="P1479" s="1" t="str">
        <f ca="1">IFERROR(__xludf.DUMMYFUNCTION("""COMPUTED_VALUE"""),"Work &lt;=6 People in the Team")</f>
        <v>Work &lt;=6 People in the Team</v>
      </c>
      <c r="Q1479" s="1" t="str">
        <f ca="1">IFERROR(__xludf.DUMMYFUNCTION("""COMPUTED_VALUE"""),"Male")</f>
        <v>Male</v>
      </c>
    </row>
    <row r="1480" spans="13:17" x14ac:dyDescent="0.25">
      <c r="M1480" s="1"/>
      <c r="N1480" s="1" t="str">
        <f ca="1">IFERROR(__xludf.DUMMYFUNCTION("""COMPUTED_VALUE"""),"Male")</f>
        <v>Male</v>
      </c>
      <c r="P1480" s="1" t="str">
        <f ca="1">IFERROR(__xludf.DUMMYFUNCTION("""COMPUTED_VALUE"""),"Work &lt;=6 People in the Team")</f>
        <v>Work &lt;=6 People in the Team</v>
      </c>
      <c r="Q1480" s="1" t="str">
        <f ca="1">IFERROR(__xludf.DUMMYFUNCTION("""COMPUTED_VALUE"""),"Male")</f>
        <v>Male</v>
      </c>
    </row>
    <row r="1481" spans="13:17" x14ac:dyDescent="0.25">
      <c r="M1481" s="1"/>
      <c r="N1481" s="1" t="str">
        <f ca="1">IFERROR(__xludf.DUMMYFUNCTION("""COMPUTED_VALUE"""),"Female")</f>
        <v>Female</v>
      </c>
      <c r="P1481" s="1" t="str">
        <f ca="1">IFERROR(__xludf.DUMMYFUNCTION("""COMPUTED_VALUE"""),"Work &lt;=6 People in the Team")</f>
        <v>Work &lt;=6 People in the Team</v>
      </c>
      <c r="Q1481" s="1" t="str">
        <f ca="1">IFERROR(__xludf.DUMMYFUNCTION("""COMPUTED_VALUE"""),"Female")</f>
        <v>Female</v>
      </c>
    </row>
    <row r="1482" spans="13:17" x14ac:dyDescent="0.25">
      <c r="M1482" s="1"/>
      <c r="N1482" s="1" t="str">
        <f ca="1">IFERROR(__xludf.DUMMYFUNCTION("""COMPUTED_VALUE"""),"Female")</f>
        <v>Female</v>
      </c>
      <c r="P1482" s="1" t="str">
        <f ca="1">IFERROR(__xludf.DUMMYFUNCTION("""COMPUTED_VALUE"""),"Work &lt;=6 People in the Team")</f>
        <v>Work &lt;=6 People in the Team</v>
      </c>
      <c r="Q1482" s="1" t="str">
        <f ca="1">IFERROR(__xludf.DUMMYFUNCTION("""COMPUTED_VALUE"""),"Female")</f>
        <v>Female</v>
      </c>
    </row>
    <row r="1483" spans="13:17" x14ac:dyDescent="0.25">
      <c r="M1483" s="1"/>
      <c r="N1483" s="1" t="str">
        <f ca="1">IFERROR(__xludf.DUMMYFUNCTION("""COMPUTED_VALUE"""),"Female")</f>
        <v>Female</v>
      </c>
      <c r="P1483" s="1" t="str">
        <f ca="1">IFERROR(__xludf.DUMMYFUNCTION("""COMPUTED_VALUE"""),"Work &lt;=6 People in the Team")</f>
        <v>Work &lt;=6 People in the Team</v>
      </c>
      <c r="Q1483" s="1" t="str">
        <f ca="1">IFERROR(__xludf.DUMMYFUNCTION("""COMPUTED_VALUE"""),"Female")</f>
        <v>Female</v>
      </c>
    </row>
    <row r="1484" spans="13:17" x14ac:dyDescent="0.25">
      <c r="M1484" s="1"/>
      <c r="N1484" s="1" t="str">
        <f ca="1">IFERROR(__xludf.DUMMYFUNCTION("""COMPUTED_VALUE"""),"Female")</f>
        <v>Female</v>
      </c>
      <c r="P1484" s="1" t="str">
        <f ca="1">IFERROR(__xludf.DUMMYFUNCTION("""COMPUTED_VALUE"""),"Work &gt;10 people in Team")</f>
        <v>Work &gt;10 people in Team</v>
      </c>
      <c r="Q1484" s="1" t="str">
        <f ca="1">IFERROR(__xludf.DUMMYFUNCTION("""COMPUTED_VALUE"""),"Female")</f>
        <v>Female</v>
      </c>
    </row>
    <row r="1485" spans="13:17" x14ac:dyDescent="0.25">
      <c r="M1485" s="1"/>
      <c r="N1485" s="1" t="str">
        <f ca="1">IFERROR(__xludf.DUMMYFUNCTION("""COMPUTED_VALUE"""),"Male")</f>
        <v>Male</v>
      </c>
      <c r="P1485" s="1" t="str">
        <f ca="1">IFERROR(__xludf.DUMMYFUNCTION("""COMPUTED_VALUE"""),"Work &lt;=6 People in the Team")</f>
        <v>Work &lt;=6 People in the Team</v>
      </c>
      <c r="Q1485" s="1" t="str">
        <f ca="1">IFERROR(__xludf.DUMMYFUNCTION("""COMPUTED_VALUE"""),"Male")</f>
        <v>Male</v>
      </c>
    </row>
    <row r="1486" spans="13:17" x14ac:dyDescent="0.25">
      <c r="M1486" s="1"/>
      <c r="N1486" s="1" t="str">
        <f ca="1">IFERROR(__xludf.DUMMYFUNCTION("""COMPUTED_VALUE"""),"Male")</f>
        <v>Male</v>
      </c>
      <c r="P1486" s="1" t="str">
        <f ca="1">IFERROR(__xludf.DUMMYFUNCTION("""COMPUTED_VALUE"""),"Work &gt;10 people in Team")</f>
        <v>Work &gt;10 people in Team</v>
      </c>
      <c r="Q1486" s="1" t="str">
        <f ca="1">IFERROR(__xludf.DUMMYFUNCTION("""COMPUTED_VALUE"""),"Male")</f>
        <v>Male</v>
      </c>
    </row>
    <row r="1487" spans="13:17" x14ac:dyDescent="0.25">
      <c r="M1487" s="1"/>
      <c r="N1487" s="1" t="str">
        <f ca="1">IFERROR(__xludf.DUMMYFUNCTION("""COMPUTED_VALUE"""),"Female")</f>
        <v>Female</v>
      </c>
      <c r="P1487" s="1" t="str">
        <f ca="1">IFERROR(__xludf.DUMMYFUNCTION("""COMPUTED_VALUE"""),"Work &lt;=6 People in the Team")</f>
        <v>Work &lt;=6 People in the Team</v>
      </c>
      <c r="Q1487" s="1" t="str">
        <f ca="1">IFERROR(__xludf.DUMMYFUNCTION("""COMPUTED_VALUE"""),"Female")</f>
        <v>Female</v>
      </c>
    </row>
    <row r="1488" spans="13:17" x14ac:dyDescent="0.25">
      <c r="M1488" s="1"/>
      <c r="N1488" s="1" t="str">
        <f ca="1">IFERROR(__xludf.DUMMYFUNCTION("""COMPUTED_VALUE"""),"Male")</f>
        <v>Male</v>
      </c>
      <c r="P1488" s="1" t="str">
        <f ca="1">IFERROR(__xludf.DUMMYFUNCTION("""COMPUTED_VALUE"""),"Work &gt;10 people in Team")</f>
        <v>Work &gt;10 people in Team</v>
      </c>
      <c r="Q1488" s="1" t="str">
        <f ca="1">IFERROR(__xludf.DUMMYFUNCTION("""COMPUTED_VALUE"""),"Male")</f>
        <v>Male</v>
      </c>
    </row>
    <row r="1489" spans="13:17" x14ac:dyDescent="0.25">
      <c r="M1489" s="1"/>
      <c r="N1489" s="1" t="str">
        <f ca="1">IFERROR(__xludf.DUMMYFUNCTION("""COMPUTED_VALUE"""),"Male")</f>
        <v>Male</v>
      </c>
      <c r="P1489" s="1" t="str">
        <f ca="1">IFERROR(__xludf.DUMMYFUNCTION("""COMPUTED_VALUE"""),"Work &gt;10 people in Team")</f>
        <v>Work &gt;10 people in Team</v>
      </c>
      <c r="Q1489" s="1" t="str">
        <f ca="1">IFERROR(__xludf.DUMMYFUNCTION("""COMPUTED_VALUE"""),"Male")</f>
        <v>Male</v>
      </c>
    </row>
    <row r="1490" spans="13:17" x14ac:dyDescent="0.25">
      <c r="M1490" s="1"/>
      <c r="N1490" s="1" t="str">
        <f ca="1">IFERROR(__xludf.DUMMYFUNCTION("""COMPUTED_VALUE"""),"Male")</f>
        <v>Male</v>
      </c>
      <c r="P1490" s="1" t="str">
        <f ca="1">IFERROR(__xludf.DUMMYFUNCTION("""COMPUTED_VALUE"""),"Work &lt;=6 People in the Team")</f>
        <v>Work &lt;=6 People in the Team</v>
      </c>
      <c r="Q1490" s="1" t="str">
        <f ca="1">IFERROR(__xludf.DUMMYFUNCTION("""COMPUTED_VALUE"""),"Male")</f>
        <v>Male</v>
      </c>
    </row>
    <row r="1491" spans="13:17" x14ac:dyDescent="0.25">
      <c r="M1491" s="1"/>
      <c r="N1491" s="1" t="str">
        <f ca="1">IFERROR(__xludf.DUMMYFUNCTION("""COMPUTED_VALUE"""),"Male")</f>
        <v>Male</v>
      </c>
      <c r="P1491" s="1" t="str">
        <f ca="1">IFERROR(__xludf.DUMMYFUNCTION("""COMPUTED_VALUE"""),"Work &lt;=6 People in the Team")</f>
        <v>Work &lt;=6 People in the Team</v>
      </c>
      <c r="Q1491" s="1" t="str">
        <f ca="1">IFERROR(__xludf.DUMMYFUNCTION("""COMPUTED_VALUE"""),"Male")</f>
        <v>Male</v>
      </c>
    </row>
    <row r="1492" spans="13:17" x14ac:dyDescent="0.25">
      <c r="M1492" s="1"/>
      <c r="N1492" s="1" t="str">
        <f ca="1">IFERROR(__xludf.DUMMYFUNCTION("""COMPUTED_VALUE"""),"Male")</f>
        <v>Male</v>
      </c>
      <c r="P1492" s="1" t="str">
        <f ca="1">IFERROR(__xludf.DUMMYFUNCTION("""COMPUTED_VALUE"""),"Work alone")</f>
        <v>Work alone</v>
      </c>
      <c r="Q1492" s="1" t="str">
        <f ca="1">IFERROR(__xludf.DUMMYFUNCTION("""COMPUTED_VALUE"""),"Male")</f>
        <v>Male</v>
      </c>
    </row>
    <row r="1493" spans="13:17" x14ac:dyDescent="0.25">
      <c r="M1493" s="1"/>
      <c r="N1493" s="1" t="str">
        <f ca="1">IFERROR(__xludf.DUMMYFUNCTION("""COMPUTED_VALUE"""),"Female")</f>
        <v>Female</v>
      </c>
      <c r="P1493" s="1" t="str">
        <f ca="1">IFERROR(__xludf.DUMMYFUNCTION("""COMPUTED_VALUE"""),"Work &lt;=6 People in the Team")</f>
        <v>Work &lt;=6 People in the Team</v>
      </c>
      <c r="Q1493" s="1" t="str">
        <f ca="1">IFERROR(__xludf.DUMMYFUNCTION("""COMPUTED_VALUE"""),"Female")</f>
        <v>Female</v>
      </c>
    </row>
    <row r="1494" spans="13:17" x14ac:dyDescent="0.25">
      <c r="M1494" s="1"/>
      <c r="N1494" s="1" t="str">
        <f ca="1">IFERROR(__xludf.DUMMYFUNCTION("""COMPUTED_VALUE"""),"Female")</f>
        <v>Female</v>
      </c>
      <c r="P1494" s="1" t="str">
        <f ca="1">IFERROR(__xludf.DUMMYFUNCTION("""COMPUTED_VALUE"""),"Work &lt;=6 People in the Team")</f>
        <v>Work &lt;=6 People in the Team</v>
      </c>
      <c r="Q1494" s="1" t="str">
        <f ca="1">IFERROR(__xludf.DUMMYFUNCTION("""COMPUTED_VALUE"""),"Female")</f>
        <v>Female</v>
      </c>
    </row>
    <row r="1495" spans="13:17" x14ac:dyDescent="0.25">
      <c r="M1495" s="1"/>
      <c r="N1495" s="1" t="str">
        <f ca="1">IFERROR(__xludf.DUMMYFUNCTION("""COMPUTED_VALUE"""),"Male")</f>
        <v>Male</v>
      </c>
      <c r="P1495" s="1" t="str">
        <f ca="1">IFERROR(__xludf.DUMMYFUNCTION("""COMPUTED_VALUE"""),"Work &gt;=7 People in the Team")</f>
        <v>Work &gt;=7 People in the Team</v>
      </c>
      <c r="Q1495" s="1" t="str">
        <f ca="1">IFERROR(__xludf.DUMMYFUNCTION("""COMPUTED_VALUE"""),"Male")</f>
        <v>Male</v>
      </c>
    </row>
    <row r="1496" spans="13:17" x14ac:dyDescent="0.25">
      <c r="M1496" s="1"/>
      <c r="N1496" s="1" t="str">
        <f ca="1">IFERROR(__xludf.DUMMYFUNCTION("""COMPUTED_VALUE"""),"Male")</f>
        <v>Male</v>
      </c>
      <c r="P1496" s="1" t="str">
        <f ca="1">IFERROR(__xludf.DUMMYFUNCTION("""COMPUTED_VALUE"""),"Work &lt;=6 People in the Team")</f>
        <v>Work &lt;=6 People in the Team</v>
      </c>
      <c r="Q1496" s="1" t="str">
        <f ca="1">IFERROR(__xludf.DUMMYFUNCTION("""COMPUTED_VALUE"""),"Male")</f>
        <v>Male</v>
      </c>
    </row>
    <row r="1497" spans="13:17" x14ac:dyDescent="0.25">
      <c r="M1497" s="1"/>
      <c r="N1497" s="1" t="str">
        <f ca="1">IFERROR(__xludf.DUMMYFUNCTION("""COMPUTED_VALUE"""),"Female")</f>
        <v>Female</v>
      </c>
      <c r="P1497" s="1" t="str">
        <f ca="1">IFERROR(__xludf.DUMMYFUNCTION("""COMPUTED_VALUE"""),"Work &gt;=7 People in the Team")</f>
        <v>Work &gt;=7 People in the Team</v>
      </c>
      <c r="Q1497" s="1" t="str">
        <f ca="1">IFERROR(__xludf.DUMMYFUNCTION("""COMPUTED_VALUE"""),"Female")</f>
        <v>Female</v>
      </c>
    </row>
    <row r="1498" spans="13:17" x14ac:dyDescent="0.25">
      <c r="M1498" s="1"/>
      <c r="N1498" s="1" t="str">
        <f ca="1">IFERROR(__xludf.DUMMYFUNCTION("""COMPUTED_VALUE"""),"Male")</f>
        <v>Male</v>
      </c>
      <c r="P1498" s="1" t="str">
        <f ca="1">IFERROR(__xludf.DUMMYFUNCTION("""COMPUTED_VALUE"""),"Work &gt;=7 People in the Team")</f>
        <v>Work &gt;=7 People in the Team</v>
      </c>
      <c r="Q1498" s="1" t="str">
        <f ca="1">IFERROR(__xludf.DUMMYFUNCTION("""COMPUTED_VALUE"""),"Male")</f>
        <v>Male</v>
      </c>
    </row>
    <row r="1499" spans="13:17" x14ac:dyDescent="0.25">
      <c r="M1499" s="1"/>
      <c r="N1499" s="1" t="str">
        <f ca="1">IFERROR(__xludf.DUMMYFUNCTION("""COMPUTED_VALUE"""),"Male")</f>
        <v>Male</v>
      </c>
      <c r="P1499" s="1" t="str">
        <f ca="1">IFERROR(__xludf.DUMMYFUNCTION("""COMPUTED_VALUE"""),"Work &gt;10 people in Team")</f>
        <v>Work &gt;10 people in Team</v>
      </c>
      <c r="Q1499" s="1" t="str">
        <f ca="1">IFERROR(__xludf.DUMMYFUNCTION("""COMPUTED_VALUE"""),"Male")</f>
        <v>Male</v>
      </c>
    </row>
    <row r="1500" spans="13:17" x14ac:dyDescent="0.25">
      <c r="M1500" s="1"/>
      <c r="N1500" s="1" t="str">
        <f ca="1">IFERROR(__xludf.DUMMYFUNCTION("""COMPUTED_VALUE"""),"Female")</f>
        <v>Female</v>
      </c>
      <c r="P1500" s="1" t="str">
        <f ca="1">IFERROR(__xludf.DUMMYFUNCTION("""COMPUTED_VALUE"""),"Work &lt;=6 People in the Team")</f>
        <v>Work &lt;=6 People in the Team</v>
      </c>
      <c r="Q1500" s="1" t="str">
        <f ca="1">IFERROR(__xludf.DUMMYFUNCTION("""COMPUTED_VALUE"""),"Female")</f>
        <v>Female</v>
      </c>
    </row>
    <row r="1501" spans="13:17" x14ac:dyDescent="0.25">
      <c r="M1501" s="1"/>
      <c r="N1501" s="1" t="str">
        <f ca="1">IFERROR(__xludf.DUMMYFUNCTION("""COMPUTED_VALUE"""),"Male")</f>
        <v>Male</v>
      </c>
      <c r="P1501" s="1" t="str">
        <f ca="1">IFERROR(__xludf.DUMMYFUNCTION("""COMPUTED_VALUE"""),"Work &lt;=6 People in the Team")</f>
        <v>Work &lt;=6 People in the Team</v>
      </c>
      <c r="Q1501" s="1" t="str">
        <f ca="1">IFERROR(__xludf.DUMMYFUNCTION("""COMPUTED_VALUE"""),"Male")</f>
        <v>Male</v>
      </c>
    </row>
    <row r="1502" spans="13:17" x14ac:dyDescent="0.25">
      <c r="M1502" s="1"/>
      <c r="N1502" s="1" t="str">
        <f ca="1">IFERROR(__xludf.DUMMYFUNCTION("""COMPUTED_VALUE"""),"Male")</f>
        <v>Male</v>
      </c>
      <c r="P1502" s="1" t="str">
        <f ca="1">IFERROR(__xludf.DUMMYFUNCTION("""COMPUTED_VALUE"""),"Work  &lt;67 people in team")</f>
        <v>Work  &lt;67 people in team</v>
      </c>
      <c r="Q1502" s="1" t="str">
        <f ca="1">IFERROR(__xludf.DUMMYFUNCTION("""COMPUTED_VALUE"""),"Male")</f>
        <v>Male</v>
      </c>
    </row>
    <row r="1503" spans="13:17" x14ac:dyDescent="0.25">
      <c r="M1503" s="1"/>
      <c r="N1503" s="1" t="str">
        <f ca="1">IFERROR(__xludf.DUMMYFUNCTION("""COMPUTED_VALUE"""),"Female")</f>
        <v>Female</v>
      </c>
      <c r="P1503" s="1" t="str">
        <f ca="1">IFERROR(__xludf.DUMMYFUNCTION("""COMPUTED_VALUE"""),"Work Alone, &lt;=6 in team")</f>
        <v>Work Alone, &lt;=6 in team</v>
      </c>
      <c r="Q1503" s="1" t="str">
        <f ca="1">IFERROR(__xludf.DUMMYFUNCTION("""COMPUTED_VALUE"""),"Female")</f>
        <v>Female</v>
      </c>
    </row>
    <row r="1504" spans="13:17" x14ac:dyDescent="0.25">
      <c r="M1504" s="1"/>
      <c r="N1504" s="1" t="str">
        <f ca="1">IFERROR(__xludf.DUMMYFUNCTION("""COMPUTED_VALUE"""),"Male")</f>
        <v>Male</v>
      </c>
      <c r="P1504" s="1" t="str">
        <f ca="1">IFERROR(__xludf.DUMMYFUNCTION("""COMPUTED_VALUE"""),"Work &lt;=6 People in the Team")</f>
        <v>Work &lt;=6 People in the Team</v>
      </c>
      <c r="Q1504" s="1" t="str">
        <f ca="1">IFERROR(__xludf.DUMMYFUNCTION("""COMPUTED_VALUE"""),"Male")</f>
        <v>Male</v>
      </c>
    </row>
    <row r="1505" spans="13:17" x14ac:dyDescent="0.25">
      <c r="M1505" s="1"/>
      <c r="N1505" s="1" t="str">
        <f ca="1">IFERROR(__xludf.DUMMYFUNCTION("""COMPUTED_VALUE"""),"Female")</f>
        <v>Female</v>
      </c>
      <c r="P1505" s="1" t="str">
        <f ca="1">IFERROR(__xludf.DUMMYFUNCTION("""COMPUTED_VALUE"""),"Work &lt;=6 People in the Team")</f>
        <v>Work &lt;=6 People in the Team</v>
      </c>
      <c r="Q1505" s="1" t="str">
        <f ca="1">IFERROR(__xludf.DUMMYFUNCTION("""COMPUTED_VALUE"""),"Female")</f>
        <v>Female</v>
      </c>
    </row>
    <row r="1506" spans="13:17" x14ac:dyDescent="0.25">
      <c r="M1506" s="1"/>
      <c r="N1506" s="1" t="str">
        <f ca="1">IFERROR(__xludf.DUMMYFUNCTION("""COMPUTED_VALUE"""),"Female")</f>
        <v>Female</v>
      </c>
      <c r="P1506" s="1" t="str">
        <f ca="1">IFERROR(__xludf.DUMMYFUNCTION("""COMPUTED_VALUE"""),"Work &lt;=6 People in the Team")</f>
        <v>Work &lt;=6 People in the Team</v>
      </c>
      <c r="Q1506" s="1" t="str">
        <f ca="1">IFERROR(__xludf.DUMMYFUNCTION("""COMPUTED_VALUE"""),"Female")</f>
        <v>Female</v>
      </c>
    </row>
    <row r="1507" spans="13:17" x14ac:dyDescent="0.25">
      <c r="M1507" s="1"/>
      <c r="N1507" s="1" t="str">
        <f ca="1">IFERROR(__xludf.DUMMYFUNCTION("""COMPUTED_VALUE"""),"Male")</f>
        <v>Male</v>
      </c>
      <c r="P1507" s="1" t="str">
        <f ca="1">IFERROR(__xludf.DUMMYFUNCTION("""COMPUTED_VALUE"""),"Work &gt;10 people in Team")</f>
        <v>Work &gt;10 people in Team</v>
      </c>
      <c r="Q1507" s="1" t="str">
        <f ca="1">IFERROR(__xludf.DUMMYFUNCTION("""COMPUTED_VALUE"""),"Male")</f>
        <v>Male</v>
      </c>
    </row>
    <row r="1508" spans="13:17" x14ac:dyDescent="0.25">
      <c r="M1508" s="1"/>
      <c r="N1508" s="1" t="str">
        <f ca="1">IFERROR(__xludf.DUMMYFUNCTION("""COMPUTED_VALUE"""),"Female")</f>
        <v>Female</v>
      </c>
      <c r="P1508" s="1" t="str">
        <f ca="1">IFERROR(__xludf.DUMMYFUNCTION("""COMPUTED_VALUE"""),"Work &lt;=6 People in the Team")</f>
        <v>Work &lt;=6 People in the Team</v>
      </c>
      <c r="Q1508" s="1" t="str">
        <f ca="1">IFERROR(__xludf.DUMMYFUNCTION("""COMPUTED_VALUE"""),"Female")</f>
        <v>Female</v>
      </c>
    </row>
    <row r="1509" spans="13:17" x14ac:dyDescent="0.25">
      <c r="M1509" s="1"/>
      <c r="N1509" s="1" t="str">
        <f ca="1">IFERROR(__xludf.DUMMYFUNCTION("""COMPUTED_VALUE"""),"Male")</f>
        <v>Male</v>
      </c>
      <c r="P1509" s="1" t="str">
        <f ca="1">IFERROR(__xludf.DUMMYFUNCTION("""COMPUTED_VALUE"""),"Work &lt;=6 People in the Team")</f>
        <v>Work &lt;=6 People in the Team</v>
      </c>
      <c r="Q1509" s="1" t="str">
        <f ca="1">IFERROR(__xludf.DUMMYFUNCTION("""COMPUTED_VALUE"""),"Male")</f>
        <v>Male</v>
      </c>
    </row>
    <row r="1510" spans="13:17" x14ac:dyDescent="0.25">
      <c r="M1510" s="1"/>
      <c r="N1510" s="1" t="str">
        <f ca="1">IFERROR(__xludf.DUMMYFUNCTION("""COMPUTED_VALUE"""),"Female")</f>
        <v>Female</v>
      </c>
      <c r="P1510" s="1" t="str">
        <f ca="1">IFERROR(__xludf.DUMMYFUNCTION("""COMPUTED_VALUE"""),"Work &lt;=6 People in the Team")</f>
        <v>Work &lt;=6 People in the Team</v>
      </c>
      <c r="Q1510" s="1" t="str">
        <f ca="1">IFERROR(__xludf.DUMMYFUNCTION("""COMPUTED_VALUE"""),"Female")</f>
        <v>Female</v>
      </c>
    </row>
    <row r="1511" spans="13:17" x14ac:dyDescent="0.25">
      <c r="M1511" s="1"/>
      <c r="N1511" s="1" t="str">
        <f ca="1">IFERROR(__xludf.DUMMYFUNCTION("""COMPUTED_VALUE"""),"Female")</f>
        <v>Female</v>
      </c>
      <c r="P1511" s="1" t="str">
        <f ca="1">IFERROR(__xludf.DUMMYFUNCTION("""COMPUTED_VALUE"""),"Work &lt;=6 People in the Team")</f>
        <v>Work &lt;=6 People in the Team</v>
      </c>
      <c r="Q1511" s="1" t="str">
        <f ca="1">IFERROR(__xludf.DUMMYFUNCTION("""COMPUTED_VALUE"""),"Female")</f>
        <v>Female</v>
      </c>
    </row>
    <row r="1512" spans="13:17" x14ac:dyDescent="0.25">
      <c r="M1512" s="1"/>
      <c r="N1512" s="1" t="str">
        <f ca="1">IFERROR(__xludf.DUMMYFUNCTION("""COMPUTED_VALUE"""),"Female")</f>
        <v>Female</v>
      </c>
      <c r="P1512" s="1" t="str">
        <f ca="1">IFERROR(__xludf.DUMMYFUNCTION("""COMPUTED_VALUE"""),"Work &lt;=6 People in the Team")</f>
        <v>Work &lt;=6 People in the Team</v>
      </c>
      <c r="Q1512" s="1" t="str">
        <f ca="1">IFERROR(__xludf.DUMMYFUNCTION("""COMPUTED_VALUE"""),"Female")</f>
        <v>Female</v>
      </c>
    </row>
    <row r="1513" spans="13:17" x14ac:dyDescent="0.25">
      <c r="M1513" s="1"/>
      <c r="N1513" s="1" t="str">
        <f ca="1">IFERROR(__xludf.DUMMYFUNCTION("""COMPUTED_VALUE"""),"Female")</f>
        <v>Female</v>
      </c>
      <c r="P1513" s="1" t="str">
        <f ca="1">IFERROR(__xludf.DUMMYFUNCTION("""COMPUTED_VALUE"""),"Work &lt;=6 People in the Team")</f>
        <v>Work &lt;=6 People in the Team</v>
      </c>
      <c r="Q1513" s="1" t="str">
        <f ca="1">IFERROR(__xludf.DUMMYFUNCTION("""COMPUTED_VALUE"""),"Female")</f>
        <v>Female</v>
      </c>
    </row>
    <row r="1514" spans="13:17" x14ac:dyDescent="0.25">
      <c r="M1514" s="1"/>
      <c r="N1514" s="1" t="str">
        <f ca="1">IFERROR(__xludf.DUMMYFUNCTION("""COMPUTED_VALUE"""),"Male")</f>
        <v>Male</v>
      </c>
      <c r="P1514" s="1" t="str">
        <f ca="1">IFERROR(__xludf.DUMMYFUNCTION("""COMPUTED_VALUE"""),"Work alone")</f>
        <v>Work alone</v>
      </c>
      <c r="Q1514" s="1" t="str">
        <f ca="1">IFERROR(__xludf.DUMMYFUNCTION("""COMPUTED_VALUE"""),"Male")</f>
        <v>Male</v>
      </c>
    </row>
    <row r="1515" spans="13:17" x14ac:dyDescent="0.25">
      <c r="M1515" s="1"/>
      <c r="N1515" s="1" t="str">
        <f ca="1">IFERROR(__xludf.DUMMYFUNCTION("""COMPUTED_VALUE"""),"Female")</f>
        <v>Female</v>
      </c>
      <c r="P1515" s="1" t="str">
        <f ca="1">IFERROR(__xludf.DUMMYFUNCTION("""COMPUTED_VALUE"""),"Work alone, Work &gt;10 people in Team")</f>
        <v>Work alone, Work &gt;10 people in Team</v>
      </c>
      <c r="Q1515" s="1" t="str">
        <f ca="1">IFERROR(__xludf.DUMMYFUNCTION("""COMPUTED_VALUE"""),"Female")</f>
        <v>Female</v>
      </c>
    </row>
    <row r="1516" spans="13:17" x14ac:dyDescent="0.25">
      <c r="M1516" s="1"/>
      <c r="N1516" s="1" t="str">
        <f ca="1">IFERROR(__xludf.DUMMYFUNCTION("""COMPUTED_VALUE"""),"Male")</f>
        <v>Male</v>
      </c>
      <c r="P1516" s="1" t="str">
        <f ca="1">IFERROR(__xludf.DUMMYFUNCTION("""COMPUTED_VALUE"""),"Work  &lt;67 people in team")</f>
        <v>Work  &lt;67 people in team</v>
      </c>
      <c r="Q1516" s="1" t="str">
        <f ca="1">IFERROR(__xludf.DUMMYFUNCTION("""COMPUTED_VALUE"""),"Male")</f>
        <v>Male</v>
      </c>
    </row>
    <row r="1517" spans="13:17" x14ac:dyDescent="0.25">
      <c r="M1517" s="1"/>
      <c r="N1517" s="1" t="str">
        <f ca="1">IFERROR(__xludf.DUMMYFUNCTION("""COMPUTED_VALUE"""),"Male")</f>
        <v>Male</v>
      </c>
      <c r="P1517" s="1" t="str">
        <f ca="1">IFERROR(__xludf.DUMMYFUNCTION("""COMPUTED_VALUE"""),"Work &gt;10 people in Team")</f>
        <v>Work &gt;10 people in Team</v>
      </c>
      <c r="Q1517" s="1" t="str">
        <f ca="1">IFERROR(__xludf.DUMMYFUNCTION("""COMPUTED_VALUE"""),"Male")</f>
        <v>Male</v>
      </c>
    </row>
    <row r="1518" spans="13:17" x14ac:dyDescent="0.25">
      <c r="M1518" s="1"/>
      <c r="N1518" s="1" t="str">
        <f ca="1">IFERROR(__xludf.DUMMYFUNCTION("""COMPUTED_VALUE"""),"Male")</f>
        <v>Male</v>
      </c>
      <c r="P1518" s="1" t="str">
        <f ca="1">IFERROR(__xludf.DUMMYFUNCTION("""COMPUTED_VALUE"""),"Work &gt;10 people in Team")</f>
        <v>Work &gt;10 people in Team</v>
      </c>
      <c r="Q1518" s="1" t="str">
        <f ca="1">IFERROR(__xludf.DUMMYFUNCTION("""COMPUTED_VALUE"""),"Male")</f>
        <v>Male</v>
      </c>
    </row>
    <row r="1519" spans="13:17" x14ac:dyDescent="0.25">
      <c r="M1519" s="1"/>
      <c r="N1519" s="1" t="str">
        <f ca="1">IFERROR(__xludf.DUMMYFUNCTION("""COMPUTED_VALUE"""),"Male")</f>
        <v>Male</v>
      </c>
      <c r="P1519" s="1" t="str">
        <f ca="1">IFERROR(__xludf.DUMMYFUNCTION("""COMPUTED_VALUE"""),"Work &lt;=6 People in the Team")</f>
        <v>Work &lt;=6 People in the Team</v>
      </c>
      <c r="Q1519" s="1" t="str">
        <f ca="1">IFERROR(__xludf.DUMMYFUNCTION("""COMPUTED_VALUE"""),"Male")</f>
        <v>Male</v>
      </c>
    </row>
    <row r="1520" spans="13:17" x14ac:dyDescent="0.25">
      <c r="M1520" s="1"/>
      <c r="N1520" s="1" t="str">
        <f ca="1">IFERROR(__xludf.DUMMYFUNCTION("""COMPUTED_VALUE"""),"Female")</f>
        <v>Female</v>
      </c>
      <c r="P1520" s="1" t="str">
        <f ca="1">IFERROR(__xludf.DUMMYFUNCTION("""COMPUTED_VALUE"""),"Work  &lt;67 people in team")</f>
        <v>Work  &lt;67 people in team</v>
      </c>
      <c r="Q1520" s="1" t="str">
        <f ca="1">IFERROR(__xludf.DUMMYFUNCTION("""COMPUTED_VALUE"""),"Female")</f>
        <v>Female</v>
      </c>
    </row>
    <row r="1521" spans="13:17" x14ac:dyDescent="0.25">
      <c r="M1521" s="1"/>
      <c r="N1521" s="1" t="str">
        <f ca="1">IFERROR(__xludf.DUMMYFUNCTION("""COMPUTED_VALUE"""),"Male")</f>
        <v>Male</v>
      </c>
      <c r="P1521" s="1" t="str">
        <f ca="1">IFERROR(__xludf.DUMMYFUNCTION("""COMPUTED_VALUE"""),"Work &gt;10 people in Team")</f>
        <v>Work &gt;10 people in Team</v>
      </c>
      <c r="Q1521" s="1" t="str">
        <f ca="1">IFERROR(__xludf.DUMMYFUNCTION("""COMPUTED_VALUE"""),"Male")</f>
        <v>Male</v>
      </c>
    </row>
    <row r="1522" spans="13:17" x14ac:dyDescent="0.25">
      <c r="M1522" s="1"/>
      <c r="N1522" s="1" t="str">
        <f ca="1">IFERROR(__xludf.DUMMYFUNCTION("""COMPUTED_VALUE"""),"Male")</f>
        <v>Male</v>
      </c>
      <c r="P1522" s="1" t="str">
        <f ca="1">IFERROR(__xludf.DUMMYFUNCTION("""COMPUTED_VALUE"""),"Work Alone, &lt;=6 in team")</f>
        <v>Work Alone, &lt;=6 in team</v>
      </c>
      <c r="Q1522" s="1" t="str">
        <f ca="1">IFERROR(__xludf.DUMMYFUNCTION("""COMPUTED_VALUE"""),"Male")</f>
        <v>Male</v>
      </c>
    </row>
    <row r="1523" spans="13:17" x14ac:dyDescent="0.25">
      <c r="M1523" s="1"/>
      <c r="N1523" s="1" t="str">
        <f ca="1">IFERROR(__xludf.DUMMYFUNCTION("""COMPUTED_VALUE"""),"Male")</f>
        <v>Male</v>
      </c>
      <c r="P1523" s="1" t="str">
        <f ca="1">IFERROR(__xludf.DUMMYFUNCTION("""COMPUTED_VALUE"""),"Work Alone, &lt;=6 in team")</f>
        <v>Work Alone, &lt;=6 in team</v>
      </c>
      <c r="Q1523" s="1" t="str">
        <f ca="1">IFERROR(__xludf.DUMMYFUNCTION("""COMPUTED_VALUE"""),"Male")</f>
        <v>Male</v>
      </c>
    </row>
    <row r="1524" spans="13:17" x14ac:dyDescent="0.25">
      <c r="M1524" s="1"/>
      <c r="N1524" s="1" t="str">
        <f ca="1">IFERROR(__xludf.DUMMYFUNCTION("""COMPUTED_VALUE"""),"Female")</f>
        <v>Female</v>
      </c>
      <c r="P1524" s="1" t="str">
        <f ca="1">IFERROR(__xludf.DUMMYFUNCTION("""COMPUTED_VALUE"""),"Work &lt;=6 People in the Team")</f>
        <v>Work &lt;=6 People in the Team</v>
      </c>
      <c r="Q1524" s="1" t="str">
        <f ca="1">IFERROR(__xludf.DUMMYFUNCTION("""COMPUTED_VALUE"""),"Female")</f>
        <v>Female</v>
      </c>
    </row>
    <row r="1525" spans="13:17" x14ac:dyDescent="0.25">
      <c r="M1525" s="1"/>
      <c r="N1525" s="1" t="str">
        <f ca="1">IFERROR(__xludf.DUMMYFUNCTION("""COMPUTED_VALUE"""),"Female")</f>
        <v>Female</v>
      </c>
      <c r="P1525" s="1" t="str">
        <f ca="1">IFERROR(__xludf.DUMMYFUNCTION("""COMPUTED_VALUE"""),"Work &lt;=6 People in the Team")</f>
        <v>Work &lt;=6 People in the Team</v>
      </c>
      <c r="Q1525" s="1" t="str">
        <f ca="1">IFERROR(__xludf.DUMMYFUNCTION("""COMPUTED_VALUE"""),"Female")</f>
        <v>Female</v>
      </c>
    </row>
    <row r="1526" spans="13:17" x14ac:dyDescent="0.25">
      <c r="M1526" s="1"/>
      <c r="N1526" s="1" t="str">
        <f ca="1">IFERROR(__xludf.DUMMYFUNCTION("""COMPUTED_VALUE"""),"Female")</f>
        <v>Female</v>
      </c>
      <c r="P1526" s="1" t="str">
        <f ca="1">IFERROR(__xludf.DUMMYFUNCTION("""COMPUTED_VALUE"""),"Work &lt;=6 People in the Team")</f>
        <v>Work &lt;=6 People in the Team</v>
      </c>
      <c r="Q1526" s="1" t="str">
        <f ca="1">IFERROR(__xludf.DUMMYFUNCTION("""COMPUTED_VALUE"""),"Female")</f>
        <v>Female</v>
      </c>
    </row>
    <row r="1527" spans="13:17" x14ac:dyDescent="0.25">
      <c r="M1527" s="1"/>
      <c r="N1527" s="1" t="str">
        <f ca="1">IFERROR(__xludf.DUMMYFUNCTION("""COMPUTED_VALUE"""),"Female")</f>
        <v>Female</v>
      </c>
      <c r="P1527" s="1" t="str">
        <f ca="1">IFERROR(__xludf.DUMMYFUNCTION("""COMPUTED_VALUE"""),"Work alone")</f>
        <v>Work alone</v>
      </c>
      <c r="Q1527" s="1" t="str">
        <f ca="1">IFERROR(__xludf.DUMMYFUNCTION("""COMPUTED_VALUE"""),"Female")</f>
        <v>Female</v>
      </c>
    </row>
    <row r="1528" spans="13:17" x14ac:dyDescent="0.25">
      <c r="M1528" s="1"/>
      <c r="N1528" s="1" t="str">
        <f ca="1">IFERROR(__xludf.DUMMYFUNCTION("""COMPUTED_VALUE"""),"Male")</f>
        <v>Male</v>
      </c>
      <c r="P1528" s="1" t="str">
        <f ca="1">IFERROR(__xludf.DUMMYFUNCTION("""COMPUTED_VALUE"""),"Work &lt;=6 People in the Team")</f>
        <v>Work &lt;=6 People in the Team</v>
      </c>
      <c r="Q1528" s="1" t="str">
        <f ca="1">IFERROR(__xludf.DUMMYFUNCTION("""COMPUTED_VALUE"""),"Male")</f>
        <v>Male</v>
      </c>
    </row>
    <row r="1529" spans="13:17" x14ac:dyDescent="0.25">
      <c r="M1529" s="1"/>
      <c r="N1529" s="1" t="str">
        <f ca="1">IFERROR(__xludf.DUMMYFUNCTION("""COMPUTED_VALUE"""),"Male")</f>
        <v>Male</v>
      </c>
      <c r="P1529" s="1" t="str">
        <f ca="1">IFERROR(__xludf.DUMMYFUNCTION("""COMPUTED_VALUE"""),"Work &gt;10 people in Team")</f>
        <v>Work &gt;10 people in Team</v>
      </c>
      <c r="Q1529" s="1" t="str">
        <f ca="1">IFERROR(__xludf.DUMMYFUNCTION("""COMPUTED_VALUE"""),"Male")</f>
        <v>Male</v>
      </c>
    </row>
    <row r="1530" spans="13:17" x14ac:dyDescent="0.25">
      <c r="M1530" s="1"/>
      <c r="N1530" s="1" t="str">
        <f ca="1">IFERROR(__xludf.DUMMYFUNCTION("""COMPUTED_VALUE"""),"Female")</f>
        <v>Female</v>
      </c>
      <c r="P1530" s="1" t="str">
        <f ca="1">IFERROR(__xludf.DUMMYFUNCTION("""COMPUTED_VALUE"""),"Work &gt;10 people in Team")</f>
        <v>Work &gt;10 people in Team</v>
      </c>
      <c r="Q1530" s="1" t="str">
        <f ca="1">IFERROR(__xludf.DUMMYFUNCTION("""COMPUTED_VALUE"""),"Female")</f>
        <v>Female</v>
      </c>
    </row>
    <row r="1531" spans="13:17" x14ac:dyDescent="0.25">
      <c r="M1531" s="1"/>
      <c r="N1531" s="1" t="str">
        <f ca="1">IFERROR(__xludf.DUMMYFUNCTION("""COMPUTED_VALUE"""),"Female")</f>
        <v>Female</v>
      </c>
      <c r="P1531" s="1" t="str">
        <f ca="1">IFERROR(__xludf.DUMMYFUNCTION("""COMPUTED_VALUE"""),"Work &lt;=6 People in the Team")</f>
        <v>Work &lt;=6 People in the Team</v>
      </c>
      <c r="Q1531" s="1" t="str">
        <f ca="1">IFERROR(__xludf.DUMMYFUNCTION("""COMPUTED_VALUE"""),"Female")</f>
        <v>Female</v>
      </c>
    </row>
    <row r="1532" spans="13:17" x14ac:dyDescent="0.25">
      <c r="M1532" s="1"/>
      <c r="N1532" s="1" t="str">
        <f ca="1">IFERROR(__xludf.DUMMYFUNCTION("""COMPUTED_VALUE"""),"Male")</f>
        <v>Male</v>
      </c>
      <c r="P1532" s="1" t="str">
        <f ca="1">IFERROR(__xludf.DUMMYFUNCTION("""COMPUTED_VALUE"""),"Work &lt;=6 People in the Team")</f>
        <v>Work &lt;=6 People in the Team</v>
      </c>
      <c r="Q1532" s="1" t="str">
        <f ca="1">IFERROR(__xludf.DUMMYFUNCTION("""COMPUTED_VALUE"""),"Male")</f>
        <v>Male</v>
      </c>
    </row>
    <row r="1533" spans="13:17" x14ac:dyDescent="0.25">
      <c r="M1533" s="1"/>
      <c r="N1533" s="1" t="str">
        <f ca="1">IFERROR(__xludf.DUMMYFUNCTION("""COMPUTED_VALUE"""),"Female")</f>
        <v>Female</v>
      </c>
      <c r="P1533" s="1" t="str">
        <f ca="1">IFERROR(__xludf.DUMMYFUNCTION("""COMPUTED_VALUE"""),"Work &gt;=7 People in the Team")</f>
        <v>Work &gt;=7 People in the Team</v>
      </c>
      <c r="Q1533" s="1" t="str">
        <f ca="1">IFERROR(__xludf.DUMMYFUNCTION("""COMPUTED_VALUE"""),"Female")</f>
        <v>Female</v>
      </c>
    </row>
    <row r="1534" spans="13:17" x14ac:dyDescent="0.25">
      <c r="M1534" s="1"/>
      <c r="N1534" s="1" t="str">
        <f ca="1">IFERROR(__xludf.DUMMYFUNCTION("""COMPUTED_VALUE"""),"Male")</f>
        <v>Male</v>
      </c>
      <c r="P1534" s="1" t="str">
        <f ca="1">IFERROR(__xludf.DUMMYFUNCTION("""COMPUTED_VALUE"""),"Work  &lt;67 people in team")</f>
        <v>Work  &lt;67 people in team</v>
      </c>
      <c r="Q1534" s="1" t="str">
        <f ca="1">IFERROR(__xludf.DUMMYFUNCTION("""COMPUTED_VALUE"""),"Male")</f>
        <v>Male</v>
      </c>
    </row>
    <row r="1535" spans="13:17" x14ac:dyDescent="0.25">
      <c r="M1535" s="1"/>
      <c r="N1535" s="1" t="str">
        <f ca="1">IFERROR(__xludf.DUMMYFUNCTION("""COMPUTED_VALUE"""),"Male")</f>
        <v>Male</v>
      </c>
      <c r="P1535" s="1" t="str">
        <f ca="1">IFERROR(__xludf.DUMMYFUNCTION("""COMPUTED_VALUE"""),"Work &lt;=6 People in the Team")</f>
        <v>Work &lt;=6 People in the Team</v>
      </c>
      <c r="Q1535" s="1" t="str">
        <f ca="1">IFERROR(__xludf.DUMMYFUNCTION("""COMPUTED_VALUE"""),"Male")</f>
        <v>Male</v>
      </c>
    </row>
    <row r="1536" spans="13:17" x14ac:dyDescent="0.25">
      <c r="M1536" s="1"/>
      <c r="N1536" s="1" t="str">
        <f ca="1">IFERROR(__xludf.DUMMYFUNCTION("""COMPUTED_VALUE"""),"Male")</f>
        <v>Male</v>
      </c>
      <c r="P1536" s="1" t="str">
        <f ca="1">IFERROR(__xludf.DUMMYFUNCTION("""COMPUTED_VALUE"""),"Work &gt;10 people in Team")</f>
        <v>Work &gt;10 people in Team</v>
      </c>
      <c r="Q1536" s="1" t="str">
        <f ca="1">IFERROR(__xludf.DUMMYFUNCTION("""COMPUTED_VALUE"""),"Male")</f>
        <v>Male</v>
      </c>
    </row>
    <row r="1537" spans="13:17" x14ac:dyDescent="0.25">
      <c r="M1537" s="1"/>
      <c r="N1537" s="1" t="str">
        <f ca="1">IFERROR(__xludf.DUMMYFUNCTION("""COMPUTED_VALUE"""),"Female")</f>
        <v>Female</v>
      </c>
      <c r="P1537" s="1" t="str">
        <f ca="1">IFERROR(__xludf.DUMMYFUNCTION("""COMPUTED_VALUE"""),"Work &lt;=6 People in the Team")</f>
        <v>Work &lt;=6 People in the Team</v>
      </c>
      <c r="Q1537" s="1" t="str">
        <f ca="1">IFERROR(__xludf.DUMMYFUNCTION("""COMPUTED_VALUE"""),"Female")</f>
        <v>Female</v>
      </c>
    </row>
    <row r="1538" spans="13:17" x14ac:dyDescent="0.25">
      <c r="M1538" s="1"/>
      <c r="N1538" s="1" t="str">
        <f ca="1">IFERROR(__xludf.DUMMYFUNCTION("""COMPUTED_VALUE"""),"Female")</f>
        <v>Female</v>
      </c>
      <c r="P1538" s="1" t="str">
        <f ca="1">IFERROR(__xludf.DUMMYFUNCTION("""COMPUTED_VALUE"""),"Work &lt;=6 People in the Team")</f>
        <v>Work &lt;=6 People in the Team</v>
      </c>
      <c r="Q1538" s="1" t="str">
        <f ca="1">IFERROR(__xludf.DUMMYFUNCTION("""COMPUTED_VALUE"""),"Female")</f>
        <v>Female</v>
      </c>
    </row>
    <row r="1539" spans="13:17" x14ac:dyDescent="0.25">
      <c r="M1539" s="1"/>
      <c r="N1539" s="1" t="str">
        <f ca="1">IFERROR(__xludf.DUMMYFUNCTION("""COMPUTED_VALUE"""),"Female")</f>
        <v>Female</v>
      </c>
      <c r="P1539" s="1" t="str">
        <f ca="1">IFERROR(__xludf.DUMMYFUNCTION("""COMPUTED_VALUE"""),"Work &gt;=7 People in the Team")</f>
        <v>Work &gt;=7 People in the Team</v>
      </c>
      <c r="Q1539" s="1" t="str">
        <f ca="1">IFERROR(__xludf.DUMMYFUNCTION("""COMPUTED_VALUE"""),"Female")</f>
        <v>Female</v>
      </c>
    </row>
    <row r="1540" spans="13:17" x14ac:dyDescent="0.25">
      <c r="M1540" s="1"/>
      <c r="N1540" s="1" t="str">
        <f ca="1">IFERROR(__xludf.DUMMYFUNCTION("""COMPUTED_VALUE"""),"Female")</f>
        <v>Female</v>
      </c>
      <c r="P1540" s="1" t="str">
        <f ca="1">IFERROR(__xludf.DUMMYFUNCTION("""COMPUTED_VALUE"""),"Work &lt;=6 People in the Team")</f>
        <v>Work &lt;=6 People in the Team</v>
      </c>
      <c r="Q1540" s="1" t="str">
        <f ca="1">IFERROR(__xludf.DUMMYFUNCTION("""COMPUTED_VALUE"""),"Female")</f>
        <v>Female</v>
      </c>
    </row>
    <row r="1541" spans="13:17" x14ac:dyDescent="0.25">
      <c r="M1541" s="1"/>
      <c r="N1541" s="1" t="str">
        <f ca="1">IFERROR(__xludf.DUMMYFUNCTION("""COMPUTED_VALUE"""),"Male")</f>
        <v>Male</v>
      </c>
      <c r="P1541" s="1" t="str">
        <f ca="1">IFERROR(__xludf.DUMMYFUNCTION("""COMPUTED_VALUE"""),"Work &lt;=6 People in the Team")</f>
        <v>Work &lt;=6 People in the Team</v>
      </c>
      <c r="Q1541" s="1" t="str">
        <f ca="1">IFERROR(__xludf.DUMMYFUNCTION("""COMPUTED_VALUE"""),"Male")</f>
        <v>Male</v>
      </c>
    </row>
    <row r="1542" spans="13:17" x14ac:dyDescent="0.25">
      <c r="M1542" s="1"/>
      <c r="N1542" s="1" t="str">
        <f ca="1">IFERROR(__xludf.DUMMYFUNCTION("""COMPUTED_VALUE"""),"Male")</f>
        <v>Male</v>
      </c>
      <c r="P1542" s="1" t="str">
        <f ca="1">IFERROR(__xludf.DUMMYFUNCTION("""COMPUTED_VALUE"""),"Work Alone, &lt;=6 in team")</f>
        <v>Work Alone, &lt;=6 in team</v>
      </c>
      <c r="Q1542" s="1" t="str">
        <f ca="1">IFERROR(__xludf.DUMMYFUNCTION("""COMPUTED_VALUE"""),"Male")</f>
        <v>Male</v>
      </c>
    </row>
    <row r="1543" spans="13:17" x14ac:dyDescent="0.25">
      <c r="M1543" s="1"/>
      <c r="N1543" s="1" t="str">
        <f ca="1">IFERROR(__xludf.DUMMYFUNCTION("""COMPUTED_VALUE"""),"Female")</f>
        <v>Female</v>
      </c>
      <c r="P1543" s="1" t="str">
        <f ca="1">IFERROR(__xludf.DUMMYFUNCTION("""COMPUTED_VALUE"""),"Work &gt;10 people in Team")</f>
        <v>Work &gt;10 people in Team</v>
      </c>
      <c r="Q1543" s="1" t="str">
        <f ca="1">IFERROR(__xludf.DUMMYFUNCTION("""COMPUTED_VALUE"""),"Female")</f>
        <v>Female</v>
      </c>
    </row>
    <row r="1544" spans="13:17" x14ac:dyDescent="0.25">
      <c r="M1544" s="1"/>
      <c r="N1544" s="1" t="str">
        <f ca="1">IFERROR(__xludf.DUMMYFUNCTION("""COMPUTED_VALUE"""),"Male")</f>
        <v>Male</v>
      </c>
      <c r="P1544" s="1" t="str">
        <f ca="1">IFERROR(__xludf.DUMMYFUNCTION("""COMPUTED_VALUE"""),"Work &gt;10 people in Team")</f>
        <v>Work &gt;10 people in Team</v>
      </c>
      <c r="Q1544" s="1" t="str">
        <f ca="1">IFERROR(__xludf.DUMMYFUNCTION("""COMPUTED_VALUE"""),"Male")</f>
        <v>Male</v>
      </c>
    </row>
    <row r="1545" spans="13:17" x14ac:dyDescent="0.25">
      <c r="M1545" s="1"/>
      <c r="N1545" s="1" t="str">
        <f ca="1">IFERROR(__xludf.DUMMYFUNCTION("""COMPUTED_VALUE"""),"Male")</f>
        <v>Male</v>
      </c>
      <c r="P1545" s="1" t="str">
        <f ca="1">IFERROR(__xludf.DUMMYFUNCTION("""COMPUTED_VALUE"""),"Work &gt;10 people in Team")</f>
        <v>Work &gt;10 people in Team</v>
      </c>
      <c r="Q1545" s="1" t="str">
        <f ca="1">IFERROR(__xludf.DUMMYFUNCTION("""COMPUTED_VALUE"""),"Male")</f>
        <v>Male</v>
      </c>
    </row>
    <row r="1546" spans="13:17" x14ac:dyDescent="0.25">
      <c r="M1546" s="1"/>
      <c r="N1546" s="1" t="str">
        <f ca="1">IFERROR(__xludf.DUMMYFUNCTION("""COMPUTED_VALUE"""),"Female")</f>
        <v>Female</v>
      </c>
      <c r="P1546" s="1" t="str">
        <f ca="1">IFERROR(__xludf.DUMMYFUNCTION("""COMPUTED_VALUE"""),"Work &lt;=6 People in the Team")</f>
        <v>Work &lt;=6 People in the Team</v>
      </c>
      <c r="Q1546" s="1" t="str">
        <f ca="1">IFERROR(__xludf.DUMMYFUNCTION("""COMPUTED_VALUE"""),"Female")</f>
        <v>Female</v>
      </c>
    </row>
    <row r="1547" spans="13:17" x14ac:dyDescent="0.25">
      <c r="M1547" s="1"/>
      <c r="N1547" s="1" t="str">
        <f ca="1">IFERROR(__xludf.DUMMYFUNCTION("""COMPUTED_VALUE"""),"Male")</f>
        <v>Male</v>
      </c>
      <c r="P1547" s="1" t="str">
        <f ca="1">IFERROR(__xludf.DUMMYFUNCTION("""COMPUTED_VALUE"""),"Work &gt;=7 People in the Team")</f>
        <v>Work &gt;=7 People in the Team</v>
      </c>
      <c r="Q1547" s="1" t="str">
        <f ca="1">IFERROR(__xludf.DUMMYFUNCTION("""COMPUTED_VALUE"""),"Male")</f>
        <v>Male</v>
      </c>
    </row>
    <row r="1548" spans="13:17" x14ac:dyDescent="0.25">
      <c r="M1548" s="1"/>
      <c r="N1548" s="1" t="str">
        <f ca="1">IFERROR(__xludf.DUMMYFUNCTION("""COMPUTED_VALUE"""),"Female")</f>
        <v>Female</v>
      </c>
      <c r="P1548" s="1" t="str">
        <f ca="1">IFERROR(__xludf.DUMMYFUNCTION("""COMPUTED_VALUE"""),"Work &lt;=6 People in the Team")</f>
        <v>Work &lt;=6 People in the Team</v>
      </c>
      <c r="Q1548" s="1" t="str">
        <f ca="1">IFERROR(__xludf.DUMMYFUNCTION("""COMPUTED_VALUE"""),"Female")</f>
        <v>Female</v>
      </c>
    </row>
    <row r="1549" spans="13:17" x14ac:dyDescent="0.25">
      <c r="M1549" s="1"/>
      <c r="N1549" s="1" t="str">
        <f ca="1">IFERROR(__xludf.DUMMYFUNCTION("""COMPUTED_VALUE"""),"Male")</f>
        <v>Male</v>
      </c>
      <c r="P1549" s="1" t="str">
        <f ca="1">IFERROR(__xludf.DUMMYFUNCTION("""COMPUTED_VALUE"""),"Work &lt;=6 People in the Team")</f>
        <v>Work &lt;=6 People in the Team</v>
      </c>
      <c r="Q1549" s="1" t="str">
        <f ca="1">IFERROR(__xludf.DUMMYFUNCTION("""COMPUTED_VALUE"""),"Male")</f>
        <v>Male</v>
      </c>
    </row>
    <row r="1550" spans="13:17" x14ac:dyDescent="0.25">
      <c r="M1550" s="1"/>
      <c r="N1550" s="1" t="str">
        <f ca="1">IFERROR(__xludf.DUMMYFUNCTION("""COMPUTED_VALUE"""),"Male")</f>
        <v>Male</v>
      </c>
      <c r="P1550" s="1" t="str">
        <f ca="1">IFERROR(__xludf.DUMMYFUNCTION("""COMPUTED_VALUE"""),"Work &lt;=6 People in the Team")</f>
        <v>Work &lt;=6 People in the Team</v>
      </c>
      <c r="Q1550" s="1" t="str">
        <f ca="1">IFERROR(__xludf.DUMMYFUNCTION("""COMPUTED_VALUE"""),"Male")</f>
        <v>Male</v>
      </c>
    </row>
    <row r="1551" spans="13:17" x14ac:dyDescent="0.25">
      <c r="M1551" s="1"/>
      <c r="N1551" s="1" t="str">
        <f ca="1">IFERROR(__xludf.DUMMYFUNCTION("""COMPUTED_VALUE"""),"Female")</f>
        <v>Female</v>
      </c>
      <c r="P1551" s="1" t="str">
        <f ca="1">IFERROR(__xludf.DUMMYFUNCTION("""COMPUTED_VALUE"""),"Work &lt;=6 People in the Team")</f>
        <v>Work &lt;=6 People in the Team</v>
      </c>
      <c r="Q1551" s="1" t="str">
        <f ca="1">IFERROR(__xludf.DUMMYFUNCTION("""COMPUTED_VALUE"""),"Female")</f>
        <v>Female</v>
      </c>
    </row>
    <row r="1552" spans="13:17" x14ac:dyDescent="0.25">
      <c r="M1552" s="1"/>
      <c r="N1552" s="1" t="str">
        <f ca="1">IFERROR(__xludf.DUMMYFUNCTION("""COMPUTED_VALUE"""),"Male")</f>
        <v>Male</v>
      </c>
      <c r="P1552" s="1" t="str">
        <f ca="1">IFERROR(__xludf.DUMMYFUNCTION("""COMPUTED_VALUE"""),"Work &lt;=6 People in the Team")</f>
        <v>Work &lt;=6 People in the Team</v>
      </c>
      <c r="Q1552" s="1" t="str">
        <f ca="1">IFERROR(__xludf.DUMMYFUNCTION("""COMPUTED_VALUE"""),"Male")</f>
        <v>Male</v>
      </c>
    </row>
    <row r="1553" spans="13:17" x14ac:dyDescent="0.25">
      <c r="M1553" s="1"/>
      <c r="N1553" s="1" t="str">
        <f ca="1">IFERROR(__xludf.DUMMYFUNCTION("""COMPUTED_VALUE"""),"Female")</f>
        <v>Female</v>
      </c>
      <c r="P1553" s="1" t="str">
        <f ca="1">IFERROR(__xludf.DUMMYFUNCTION("""COMPUTED_VALUE"""),"Work &lt;=6 People in the Team")</f>
        <v>Work &lt;=6 People in the Team</v>
      </c>
      <c r="Q1553" s="1" t="str">
        <f ca="1">IFERROR(__xludf.DUMMYFUNCTION("""COMPUTED_VALUE"""),"Female")</f>
        <v>Female</v>
      </c>
    </row>
    <row r="1554" spans="13:17" x14ac:dyDescent="0.25">
      <c r="M1554" s="1"/>
      <c r="N1554" s="1" t="str">
        <f ca="1">IFERROR(__xludf.DUMMYFUNCTION("""COMPUTED_VALUE"""),"Female")</f>
        <v>Female</v>
      </c>
      <c r="P1554" s="1" t="str">
        <f ca="1">IFERROR(__xludf.DUMMYFUNCTION("""COMPUTED_VALUE"""),"Work &lt;=6 People in the Team")</f>
        <v>Work &lt;=6 People in the Team</v>
      </c>
      <c r="Q1554" s="1" t="str">
        <f ca="1">IFERROR(__xludf.DUMMYFUNCTION("""COMPUTED_VALUE"""),"Female")</f>
        <v>Female</v>
      </c>
    </row>
    <row r="1555" spans="13:17" x14ac:dyDescent="0.25">
      <c r="M1555" s="1"/>
      <c r="N1555" s="1" t="str">
        <f ca="1">IFERROR(__xludf.DUMMYFUNCTION("""COMPUTED_VALUE"""),"Female")</f>
        <v>Female</v>
      </c>
      <c r="P1555" s="1" t="str">
        <f ca="1">IFERROR(__xludf.DUMMYFUNCTION("""COMPUTED_VALUE"""),"Work &gt;10 people in Team")</f>
        <v>Work &gt;10 people in Team</v>
      </c>
      <c r="Q1555" s="1" t="str">
        <f ca="1">IFERROR(__xludf.DUMMYFUNCTION("""COMPUTED_VALUE"""),"Female")</f>
        <v>Female</v>
      </c>
    </row>
    <row r="1556" spans="13:17" x14ac:dyDescent="0.25">
      <c r="M1556" s="1"/>
      <c r="N1556" s="1" t="str">
        <f ca="1">IFERROR(__xludf.DUMMYFUNCTION("""COMPUTED_VALUE"""),"Male")</f>
        <v>Male</v>
      </c>
      <c r="P1556" s="1" t="str">
        <f ca="1">IFERROR(__xludf.DUMMYFUNCTION("""COMPUTED_VALUE"""),"Work &gt;10 people in Team")</f>
        <v>Work &gt;10 people in Team</v>
      </c>
      <c r="Q1556" s="1" t="str">
        <f ca="1">IFERROR(__xludf.DUMMYFUNCTION("""COMPUTED_VALUE"""),"Male")</f>
        <v>Male</v>
      </c>
    </row>
    <row r="1557" spans="13:17" x14ac:dyDescent="0.25">
      <c r="M1557" s="1"/>
      <c r="N1557" s="1" t="str">
        <f ca="1">IFERROR(__xludf.DUMMYFUNCTION("""COMPUTED_VALUE"""),"Female")</f>
        <v>Female</v>
      </c>
      <c r="P1557" s="1" t="str">
        <f ca="1">IFERROR(__xludf.DUMMYFUNCTION("""COMPUTED_VALUE"""),"Work &lt;=6 People in the Team")</f>
        <v>Work &lt;=6 People in the Team</v>
      </c>
      <c r="Q1557" s="1" t="str">
        <f ca="1">IFERROR(__xludf.DUMMYFUNCTION("""COMPUTED_VALUE"""),"Female")</f>
        <v>Female</v>
      </c>
    </row>
    <row r="1558" spans="13:17" x14ac:dyDescent="0.25">
      <c r="M1558" s="1"/>
      <c r="N1558" s="1" t="str">
        <f ca="1">IFERROR(__xludf.DUMMYFUNCTION("""COMPUTED_VALUE"""),"Female")</f>
        <v>Female</v>
      </c>
      <c r="P1558" s="1" t="str">
        <f ca="1">IFERROR(__xludf.DUMMYFUNCTION("""COMPUTED_VALUE"""),"Work &lt;=6 People in the Team")</f>
        <v>Work &lt;=6 People in the Team</v>
      </c>
      <c r="Q1558" s="1" t="str">
        <f ca="1">IFERROR(__xludf.DUMMYFUNCTION("""COMPUTED_VALUE"""),"Female")</f>
        <v>Female</v>
      </c>
    </row>
    <row r="1559" spans="13:17" x14ac:dyDescent="0.25">
      <c r="M1559" s="1"/>
      <c r="N1559" s="1" t="str">
        <f ca="1">IFERROR(__xludf.DUMMYFUNCTION("""COMPUTED_VALUE"""),"Male")</f>
        <v>Male</v>
      </c>
      <c r="P1559" s="1" t="str">
        <f ca="1">IFERROR(__xludf.DUMMYFUNCTION("""COMPUTED_VALUE"""),"Work &lt;=6 People in the Team")</f>
        <v>Work &lt;=6 People in the Team</v>
      </c>
      <c r="Q1559" s="1" t="str">
        <f ca="1">IFERROR(__xludf.DUMMYFUNCTION("""COMPUTED_VALUE"""),"Male")</f>
        <v>Male</v>
      </c>
    </row>
    <row r="1560" spans="13:17" x14ac:dyDescent="0.25">
      <c r="M1560" s="1"/>
      <c r="N1560" s="1" t="str">
        <f ca="1">IFERROR(__xludf.DUMMYFUNCTION("""COMPUTED_VALUE"""),"Female")</f>
        <v>Female</v>
      </c>
      <c r="P1560" s="1" t="str">
        <f ca="1">IFERROR(__xludf.DUMMYFUNCTION("""COMPUTED_VALUE"""),"Work &gt;=7 People in the Team")</f>
        <v>Work &gt;=7 People in the Team</v>
      </c>
      <c r="Q1560" s="1" t="str">
        <f ca="1">IFERROR(__xludf.DUMMYFUNCTION("""COMPUTED_VALUE"""),"Female")</f>
        <v>Female</v>
      </c>
    </row>
    <row r="1561" spans="13:17" x14ac:dyDescent="0.25">
      <c r="M1561" s="1"/>
      <c r="N1561" s="1" t="str">
        <f ca="1">IFERROR(__xludf.DUMMYFUNCTION("""COMPUTED_VALUE"""),"Male")</f>
        <v>Male</v>
      </c>
      <c r="P1561" s="1" t="str">
        <f ca="1">IFERROR(__xludf.DUMMYFUNCTION("""COMPUTED_VALUE"""),"Work &lt;=6 People in the Team")</f>
        <v>Work &lt;=6 People in the Team</v>
      </c>
      <c r="Q1561" s="1" t="str">
        <f ca="1">IFERROR(__xludf.DUMMYFUNCTION("""COMPUTED_VALUE"""),"Male")</f>
        <v>Male</v>
      </c>
    </row>
    <row r="1562" spans="13:17" x14ac:dyDescent="0.25">
      <c r="M1562" s="1"/>
      <c r="N1562" s="1" t="str">
        <f ca="1">IFERROR(__xludf.DUMMYFUNCTION("""COMPUTED_VALUE"""),"Male")</f>
        <v>Male</v>
      </c>
      <c r="P1562" s="1" t="str">
        <f ca="1">IFERROR(__xludf.DUMMYFUNCTION("""COMPUTED_VALUE"""),"Work &gt;=7 People in the Team")</f>
        <v>Work &gt;=7 People in the Team</v>
      </c>
      <c r="Q1562" s="1" t="str">
        <f ca="1">IFERROR(__xludf.DUMMYFUNCTION("""COMPUTED_VALUE"""),"Male")</f>
        <v>Male</v>
      </c>
    </row>
    <row r="1563" spans="13:17" x14ac:dyDescent="0.25">
      <c r="M1563" s="1"/>
      <c r="N1563" s="1" t="str">
        <f ca="1">IFERROR(__xludf.DUMMYFUNCTION("""COMPUTED_VALUE"""),"Male")</f>
        <v>Male</v>
      </c>
      <c r="P1563" s="1" t="str">
        <f ca="1">IFERROR(__xludf.DUMMYFUNCTION("""COMPUTED_VALUE"""),"Work &lt;=6 People in the Team")</f>
        <v>Work &lt;=6 People in the Team</v>
      </c>
      <c r="Q1563" s="1" t="str">
        <f ca="1">IFERROR(__xludf.DUMMYFUNCTION("""COMPUTED_VALUE"""),"Male")</f>
        <v>Male</v>
      </c>
    </row>
    <row r="1564" spans="13:17" x14ac:dyDescent="0.25">
      <c r="M1564" s="1"/>
      <c r="N1564" s="1" t="str">
        <f ca="1">IFERROR(__xludf.DUMMYFUNCTION("""COMPUTED_VALUE"""),"Male")</f>
        <v>Male</v>
      </c>
      <c r="P1564" s="1" t="str">
        <f ca="1">IFERROR(__xludf.DUMMYFUNCTION("""COMPUTED_VALUE"""),"Work &lt;=6 People in the Team")</f>
        <v>Work &lt;=6 People in the Team</v>
      </c>
      <c r="Q1564" s="1" t="str">
        <f ca="1">IFERROR(__xludf.DUMMYFUNCTION("""COMPUTED_VALUE"""),"Male")</f>
        <v>Male</v>
      </c>
    </row>
    <row r="1565" spans="13:17" x14ac:dyDescent="0.25">
      <c r="M1565" s="1"/>
      <c r="N1565" s="1" t="str">
        <f ca="1">IFERROR(__xludf.DUMMYFUNCTION("""COMPUTED_VALUE"""),"Female")</f>
        <v>Female</v>
      </c>
      <c r="P1565" s="1" t="str">
        <f ca="1">IFERROR(__xludf.DUMMYFUNCTION("""COMPUTED_VALUE"""),"Work alone, Work &gt;=7 People in the Team")</f>
        <v>Work alone, Work &gt;=7 People in the Team</v>
      </c>
      <c r="Q1565" s="1" t="str">
        <f ca="1">IFERROR(__xludf.DUMMYFUNCTION("""COMPUTED_VALUE"""),"Female")</f>
        <v>Female</v>
      </c>
    </row>
    <row r="1566" spans="13:17" x14ac:dyDescent="0.25">
      <c r="M1566" s="1"/>
      <c r="N1566" s="1" t="str">
        <f ca="1">IFERROR(__xludf.DUMMYFUNCTION("""COMPUTED_VALUE"""),"Female")</f>
        <v>Female</v>
      </c>
      <c r="P1566" s="1" t="str">
        <f ca="1">IFERROR(__xludf.DUMMYFUNCTION("""COMPUTED_VALUE"""),"Work &lt;=6 People in the Team")</f>
        <v>Work &lt;=6 People in the Team</v>
      </c>
      <c r="Q1566" s="1" t="str">
        <f ca="1">IFERROR(__xludf.DUMMYFUNCTION("""COMPUTED_VALUE"""),"Female")</f>
        <v>Female</v>
      </c>
    </row>
    <row r="1567" spans="13:17" x14ac:dyDescent="0.25">
      <c r="M1567" s="1"/>
      <c r="N1567" s="1" t="str">
        <f ca="1">IFERROR(__xludf.DUMMYFUNCTION("""COMPUTED_VALUE"""),"Male")</f>
        <v>Male</v>
      </c>
      <c r="P1567" s="1" t="str">
        <f ca="1">IFERROR(__xludf.DUMMYFUNCTION("""COMPUTED_VALUE"""),"Work alone")</f>
        <v>Work alone</v>
      </c>
      <c r="Q1567" s="1" t="str">
        <f ca="1">IFERROR(__xludf.DUMMYFUNCTION("""COMPUTED_VALUE"""),"Male")</f>
        <v>Male</v>
      </c>
    </row>
    <row r="1568" spans="13:17" x14ac:dyDescent="0.25">
      <c r="M1568" s="1"/>
      <c r="N1568" s="1" t="str">
        <f ca="1">IFERROR(__xludf.DUMMYFUNCTION("""COMPUTED_VALUE"""),"Male")</f>
        <v>Male</v>
      </c>
      <c r="P1568" s="1" t="str">
        <f ca="1">IFERROR(__xludf.DUMMYFUNCTION("""COMPUTED_VALUE"""),"Work &gt;=7 People in the Team")</f>
        <v>Work &gt;=7 People in the Team</v>
      </c>
      <c r="Q1568" s="1" t="str">
        <f ca="1">IFERROR(__xludf.DUMMYFUNCTION("""COMPUTED_VALUE"""),"Male")</f>
        <v>Male</v>
      </c>
    </row>
    <row r="1569" spans="13:17" x14ac:dyDescent="0.25">
      <c r="M1569" s="1"/>
      <c r="N1569" s="1" t="str">
        <f ca="1">IFERROR(__xludf.DUMMYFUNCTION("""COMPUTED_VALUE"""),"Female")</f>
        <v>Female</v>
      </c>
      <c r="P1569" s="1" t="str">
        <f ca="1">IFERROR(__xludf.DUMMYFUNCTION("""COMPUTED_VALUE"""),"Work alone")</f>
        <v>Work alone</v>
      </c>
      <c r="Q1569" s="1" t="str">
        <f ca="1">IFERROR(__xludf.DUMMYFUNCTION("""COMPUTED_VALUE"""),"Female")</f>
        <v>Female</v>
      </c>
    </row>
    <row r="1570" spans="13:17" x14ac:dyDescent="0.25">
      <c r="M1570" s="1"/>
      <c r="N1570" s="1" t="str">
        <f ca="1">IFERROR(__xludf.DUMMYFUNCTION("""COMPUTED_VALUE"""),"Male")</f>
        <v>Male</v>
      </c>
      <c r="P1570" s="1" t="str">
        <f ca="1">IFERROR(__xludf.DUMMYFUNCTION("""COMPUTED_VALUE"""),"Work &lt;=6 People in the Team")</f>
        <v>Work &lt;=6 People in the Team</v>
      </c>
      <c r="Q1570" s="1" t="str">
        <f ca="1">IFERROR(__xludf.DUMMYFUNCTION("""COMPUTED_VALUE"""),"Male")</f>
        <v>Male</v>
      </c>
    </row>
    <row r="1571" spans="13:17" x14ac:dyDescent="0.25">
      <c r="M1571" s="1"/>
      <c r="N1571" s="1" t="str">
        <f ca="1">IFERROR(__xludf.DUMMYFUNCTION("""COMPUTED_VALUE"""),"Male")</f>
        <v>Male</v>
      </c>
      <c r="P1571" s="1" t="str">
        <f ca="1">IFERROR(__xludf.DUMMYFUNCTION("""COMPUTED_VALUE"""),"Work &lt;67 People in the Team")</f>
        <v>Work &lt;67 People in the Team</v>
      </c>
      <c r="Q1571" s="1" t="str">
        <f ca="1">IFERROR(__xludf.DUMMYFUNCTION("""COMPUTED_VALUE"""),"Male")</f>
        <v>Male</v>
      </c>
    </row>
    <row r="1572" spans="13:17" x14ac:dyDescent="0.25">
      <c r="M1572" s="1"/>
      <c r="N1572" s="1" t="str">
        <f ca="1">IFERROR(__xludf.DUMMYFUNCTION("""COMPUTED_VALUE"""),"Male")</f>
        <v>Male</v>
      </c>
      <c r="P1572" s="1" t="str">
        <f ca="1">IFERROR(__xludf.DUMMYFUNCTION("""COMPUTED_VALUE"""),"Work Alone, &lt;=6 in team")</f>
        <v>Work Alone, &lt;=6 in team</v>
      </c>
      <c r="Q1572" s="1" t="str">
        <f ca="1">IFERROR(__xludf.DUMMYFUNCTION("""COMPUTED_VALUE"""),"Male")</f>
        <v>Male</v>
      </c>
    </row>
    <row r="1573" spans="13:17" x14ac:dyDescent="0.25">
      <c r="M1573" s="1"/>
      <c r="N1573" s="1" t="str">
        <f ca="1">IFERROR(__xludf.DUMMYFUNCTION("""COMPUTED_VALUE"""),"Female")</f>
        <v>Female</v>
      </c>
      <c r="P1573" s="1" t="str">
        <f ca="1">IFERROR(__xludf.DUMMYFUNCTION("""COMPUTED_VALUE"""),"Work &lt;=6 People in the Team")</f>
        <v>Work &lt;=6 People in the Team</v>
      </c>
      <c r="Q1573" s="1" t="str">
        <f ca="1">IFERROR(__xludf.DUMMYFUNCTION("""COMPUTED_VALUE"""),"Female")</f>
        <v>Female</v>
      </c>
    </row>
    <row r="1574" spans="13:17" x14ac:dyDescent="0.25">
      <c r="M1574" s="1"/>
      <c r="N1574" s="1" t="str">
        <f ca="1">IFERROR(__xludf.DUMMYFUNCTION("""COMPUTED_VALUE"""),"Male")</f>
        <v>Male</v>
      </c>
      <c r="P1574" s="1" t="str">
        <f ca="1">IFERROR(__xludf.DUMMYFUNCTION("""COMPUTED_VALUE"""),"Work &lt;=6 People in the Team")</f>
        <v>Work &lt;=6 People in the Team</v>
      </c>
      <c r="Q1574" s="1" t="str">
        <f ca="1">IFERROR(__xludf.DUMMYFUNCTION("""COMPUTED_VALUE"""),"Male")</f>
        <v>Male</v>
      </c>
    </row>
    <row r="1575" spans="13:17" x14ac:dyDescent="0.25">
      <c r="M1575" s="1"/>
      <c r="N1575" s="1" t="str">
        <f ca="1">IFERROR(__xludf.DUMMYFUNCTION("""COMPUTED_VALUE"""),"Female")</f>
        <v>Female</v>
      </c>
      <c r="P1575" s="1" t="str">
        <f ca="1">IFERROR(__xludf.DUMMYFUNCTION("""COMPUTED_VALUE"""),"Work &lt;=6 People in the Team")</f>
        <v>Work &lt;=6 People in the Team</v>
      </c>
      <c r="Q1575" s="1" t="str">
        <f ca="1">IFERROR(__xludf.DUMMYFUNCTION("""COMPUTED_VALUE"""),"Female")</f>
        <v>Female</v>
      </c>
    </row>
    <row r="1576" spans="13:17" x14ac:dyDescent="0.25">
      <c r="M1576" s="1"/>
      <c r="N1576" s="1" t="str">
        <f ca="1">IFERROR(__xludf.DUMMYFUNCTION("""COMPUTED_VALUE"""),"Female")</f>
        <v>Female</v>
      </c>
      <c r="P1576" s="1" t="str">
        <f ca="1">IFERROR(__xludf.DUMMYFUNCTION("""COMPUTED_VALUE"""),"Work &lt;=6 People in the Team")</f>
        <v>Work &lt;=6 People in the Team</v>
      </c>
      <c r="Q1576" s="1" t="str">
        <f ca="1">IFERROR(__xludf.DUMMYFUNCTION("""COMPUTED_VALUE"""),"Female")</f>
        <v>Female</v>
      </c>
    </row>
    <row r="1577" spans="13:17" x14ac:dyDescent="0.25">
      <c r="M1577" s="1"/>
      <c r="N1577" s="1" t="str">
        <f ca="1">IFERROR(__xludf.DUMMYFUNCTION("""COMPUTED_VALUE"""),"Female")</f>
        <v>Female</v>
      </c>
      <c r="P1577" s="1" t="str">
        <f ca="1">IFERROR(__xludf.DUMMYFUNCTION("""COMPUTED_VALUE"""),"Work alone")</f>
        <v>Work alone</v>
      </c>
      <c r="Q1577" s="1" t="str">
        <f ca="1">IFERROR(__xludf.DUMMYFUNCTION("""COMPUTED_VALUE"""),"Female")</f>
        <v>Female</v>
      </c>
    </row>
    <row r="1578" spans="13:17" x14ac:dyDescent="0.25">
      <c r="M1578" s="1"/>
      <c r="N1578" s="1" t="str">
        <f ca="1">IFERROR(__xludf.DUMMYFUNCTION("""COMPUTED_VALUE"""),"Male")</f>
        <v>Male</v>
      </c>
      <c r="P1578" s="1" t="str">
        <f ca="1">IFERROR(__xludf.DUMMYFUNCTION("""COMPUTED_VALUE"""),"Work &lt;=6 People in the Team")</f>
        <v>Work &lt;=6 People in the Team</v>
      </c>
      <c r="Q1578" s="1" t="str">
        <f ca="1">IFERROR(__xludf.DUMMYFUNCTION("""COMPUTED_VALUE"""),"Male")</f>
        <v>Male</v>
      </c>
    </row>
    <row r="1579" spans="13:17" x14ac:dyDescent="0.25">
      <c r="M1579" s="1"/>
      <c r="N1579" s="1" t="str">
        <f ca="1">IFERROR(__xludf.DUMMYFUNCTION("""COMPUTED_VALUE"""),"Male")</f>
        <v>Male</v>
      </c>
      <c r="P1579" s="1" t="str">
        <f ca="1">IFERROR(__xludf.DUMMYFUNCTION("""COMPUTED_VALUE"""),"Work &gt;=7 People in the Team")</f>
        <v>Work &gt;=7 People in the Team</v>
      </c>
      <c r="Q1579" s="1" t="str">
        <f ca="1">IFERROR(__xludf.DUMMYFUNCTION("""COMPUTED_VALUE"""),"Male")</f>
        <v>Male</v>
      </c>
    </row>
    <row r="1580" spans="13:17" x14ac:dyDescent="0.25">
      <c r="M1580" s="1"/>
      <c r="N1580" s="1" t="str">
        <f ca="1">IFERROR(__xludf.DUMMYFUNCTION("""COMPUTED_VALUE"""),"Female")</f>
        <v>Female</v>
      </c>
      <c r="P1580" s="1" t="str">
        <f ca="1">IFERROR(__xludf.DUMMYFUNCTION("""COMPUTED_VALUE"""),"Work &gt;10 people in Team")</f>
        <v>Work &gt;10 people in Team</v>
      </c>
      <c r="Q1580" s="1" t="str">
        <f ca="1">IFERROR(__xludf.DUMMYFUNCTION("""COMPUTED_VALUE"""),"Female")</f>
        <v>Female</v>
      </c>
    </row>
    <row r="1581" spans="13:17" x14ac:dyDescent="0.25">
      <c r="M1581" s="1"/>
      <c r="N1581" s="1" t="str">
        <f ca="1">IFERROR(__xludf.DUMMYFUNCTION("""COMPUTED_VALUE"""),"Male")</f>
        <v>Male</v>
      </c>
      <c r="P1581" s="1" t="str">
        <f ca="1">IFERROR(__xludf.DUMMYFUNCTION("""COMPUTED_VALUE"""),"Work &lt;=6 People in the Team")</f>
        <v>Work &lt;=6 People in the Team</v>
      </c>
      <c r="Q1581" s="1" t="str">
        <f ca="1">IFERROR(__xludf.DUMMYFUNCTION("""COMPUTED_VALUE"""),"Male")</f>
        <v>Male</v>
      </c>
    </row>
    <row r="1582" spans="13:17" x14ac:dyDescent="0.25">
      <c r="M1582" s="1"/>
      <c r="N1582" s="1" t="str">
        <f ca="1">IFERROR(__xludf.DUMMYFUNCTION("""COMPUTED_VALUE"""),"Male")</f>
        <v>Male</v>
      </c>
      <c r="P1582" s="1" t="str">
        <f ca="1">IFERROR(__xludf.DUMMYFUNCTION("""COMPUTED_VALUE"""),"Work &lt;=6 People in the Team")</f>
        <v>Work &lt;=6 People in the Team</v>
      </c>
      <c r="Q1582" s="1" t="str">
        <f ca="1">IFERROR(__xludf.DUMMYFUNCTION("""COMPUTED_VALUE"""),"Male")</f>
        <v>Male</v>
      </c>
    </row>
    <row r="1583" spans="13:17" x14ac:dyDescent="0.25">
      <c r="M1583" s="1"/>
      <c r="N1583" s="1" t="str">
        <f ca="1">IFERROR(__xludf.DUMMYFUNCTION("""COMPUTED_VALUE"""),"Male")</f>
        <v>Male</v>
      </c>
      <c r="P1583" s="1" t="str">
        <f ca="1">IFERROR(__xludf.DUMMYFUNCTION("""COMPUTED_VALUE"""),"Work &lt;=6 People in the Team")</f>
        <v>Work &lt;=6 People in the Team</v>
      </c>
      <c r="Q1583" s="1" t="str">
        <f ca="1">IFERROR(__xludf.DUMMYFUNCTION("""COMPUTED_VALUE"""),"Male")</f>
        <v>Male</v>
      </c>
    </row>
    <row r="1584" spans="13:17" x14ac:dyDescent="0.25">
      <c r="M1584" s="1"/>
      <c r="N1584" s="1" t="str">
        <f ca="1">IFERROR(__xludf.DUMMYFUNCTION("""COMPUTED_VALUE"""),"Female")</f>
        <v>Female</v>
      </c>
      <c r="P1584" s="1" t="str">
        <f ca="1">IFERROR(__xludf.DUMMYFUNCTION("""COMPUTED_VALUE"""),"Work alone")</f>
        <v>Work alone</v>
      </c>
      <c r="Q1584" s="1" t="str">
        <f ca="1">IFERROR(__xludf.DUMMYFUNCTION("""COMPUTED_VALUE"""),"Female")</f>
        <v>Female</v>
      </c>
    </row>
    <row r="1585" spans="13:17" x14ac:dyDescent="0.25">
      <c r="M1585" s="1"/>
      <c r="N1585" s="1" t="str">
        <f ca="1">IFERROR(__xludf.DUMMYFUNCTION("""COMPUTED_VALUE"""),"Male")</f>
        <v>Male</v>
      </c>
      <c r="P1585" s="1" t="str">
        <f ca="1">IFERROR(__xludf.DUMMYFUNCTION("""COMPUTED_VALUE"""),"Work &lt;=6 People in the Team")</f>
        <v>Work &lt;=6 People in the Team</v>
      </c>
      <c r="Q1585" s="1" t="str">
        <f ca="1">IFERROR(__xludf.DUMMYFUNCTION("""COMPUTED_VALUE"""),"Male")</f>
        <v>Male</v>
      </c>
    </row>
    <row r="1586" spans="13:17" x14ac:dyDescent="0.25">
      <c r="M1586" s="1"/>
      <c r="N1586" s="1" t="str">
        <f ca="1">IFERROR(__xludf.DUMMYFUNCTION("""COMPUTED_VALUE"""),"Male")</f>
        <v>Male</v>
      </c>
      <c r="P1586" s="1" t="str">
        <f ca="1">IFERROR(__xludf.DUMMYFUNCTION("""COMPUTED_VALUE"""),"Work Alone, &lt;=6 in team")</f>
        <v>Work Alone, &lt;=6 in team</v>
      </c>
      <c r="Q1586" s="1" t="str">
        <f ca="1">IFERROR(__xludf.DUMMYFUNCTION("""COMPUTED_VALUE"""),"Male")</f>
        <v>Male</v>
      </c>
    </row>
    <row r="1587" spans="13:17" x14ac:dyDescent="0.25">
      <c r="M1587" s="1"/>
      <c r="N1587" s="1" t="str">
        <f ca="1">IFERROR(__xludf.DUMMYFUNCTION("""COMPUTED_VALUE"""),"Male")</f>
        <v>Male</v>
      </c>
      <c r="P1587" s="1" t="str">
        <f ca="1">IFERROR(__xludf.DUMMYFUNCTION("""COMPUTED_VALUE"""),"Work &lt;67 People in the Team")</f>
        <v>Work &lt;67 People in the Team</v>
      </c>
      <c r="Q1587" s="1" t="str">
        <f ca="1">IFERROR(__xludf.DUMMYFUNCTION("""COMPUTED_VALUE"""),"Male")</f>
        <v>Male</v>
      </c>
    </row>
    <row r="1588" spans="13:17" x14ac:dyDescent="0.25">
      <c r="M1588" s="1"/>
      <c r="N1588" s="1" t="str">
        <f ca="1">IFERROR(__xludf.DUMMYFUNCTION("""COMPUTED_VALUE"""),"Male")</f>
        <v>Male</v>
      </c>
      <c r="P1588" s="1" t="str">
        <f ca="1">IFERROR(__xludf.DUMMYFUNCTION("""COMPUTED_VALUE"""),"Work &lt;=6 People in the Team")</f>
        <v>Work &lt;=6 People in the Team</v>
      </c>
      <c r="Q1588" s="1" t="str">
        <f ca="1">IFERROR(__xludf.DUMMYFUNCTION("""COMPUTED_VALUE"""),"Male")</f>
        <v>Male</v>
      </c>
    </row>
    <row r="1589" spans="13:17" x14ac:dyDescent="0.25">
      <c r="M1589" s="1"/>
      <c r="N1589" s="1" t="str">
        <f ca="1">IFERROR(__xludf.DUMMYFUNCTION("""COMPUTED_VALUE"""),"Male")</f>
        <v>Male</v>
      </c>
      <c r="P1589" s="1" t="str">
        <f ca="1">IFERROR(__xludf.DUMMYFUNCTION("""COMPUTED_VALUE"""),"Work &lt;=6 People in the Team")</f>
        <v>Work &lt;=6 People in the Team</v>
      </c>
      <c r="Q1589" s="1" t="str">
        <f ca="1">IFERROR(__xludf.DUMMYFUNCTION("""COMPUTED_VALUE"""),"Male")</f>
        <v>Male</v>
      </c>
    </row>
    <row r="1590" spans="13:17" x14ac:dyDescent="0.25">
      <c r="M1590" s="1"/>
      <c r="N1590" s="1" t="str">
        <f ca="1">IFERROR(__xludf.DUMMYFUNCTION("""COMPUTED_VALUE"""),"Male")</f>
        <v>Male</v>
      </c>
      <c r="P1590" s="1" t="str">
        <f ca="1">IFERROR(__xludf.DUMMYFUNCTION("""COMPUTED_VALUE"""),"Work &gt;10 people in Team")</f>
        <v>Work &gt;10 people in Team</v>
      </c>
      <c r="Q1590" s="1" t="str">
        <f ca="1">IFERROR(__xludf.DUMMYFUNCTION("""COMPUTED_VALUE"""),"Male")</f>
        <v>Male</v>
      </c>
    </row>
    <row r="1591" spans="13:17" x14ac:dyDescent="0.25">
      <c r="M1591" s="1"/>
      <c r="N1591" s="1" t="str">
        <f ca="1">IFERROR(__xludf.DUMMYFUNCTION("""COMPUTED_VALUE"""),"Male")</f>
        <v>Male</v>
      </c>
      <c r="P1591" s="1" t="str">
        <f ca="1">IFERROR(__xludf.DUMMYFUNCTION("""COMPUTED_VALUE"""),"Work &lt;=6 People in the Team")</f>
        <v>Work &lt;=6 People in the Team</v>
      </c>
      <c r="Q1591" s="1" t="str">
        <f ca="1">IFERROR(__xludf.DUMMYFUNCTION("""COMPUTED_VALUE"""),"Male")</f>
        <v>Male</v>
      </c>
    </row>
    <row r="1592" spans="13:17" x14ac:dyDescent="0.25">
      <c r="M1592" s="1"/>
      <c r="N1592" s="1" t="str">
        <f ca="1">IFERROR(__xludf.DUMMYFUNCTION("""COMPUTED_VALUE"""),"Female")</f>
        <v>Female</v>
      </c>
      <c r="P1592" s="1" t="str">
        <f ca="1">IFERROR(__xludf.DUMMYFUNCTION("""COMPUTED_VALUE"""),"Work &lt;=6 People in the Team")</f>
        <v>Work &lt;=6 People in the Team</v>
      </c>
      <c r="Q1592" s="1" t="str">
        <f ca="1">IFERROR(__xludf.DUMMYFUNCTION("""COMPUTED_VALUE"""),"Female")</f>
        <v>Female</v>
      </c>
    </row>
    <row r="1593" spans="13:17" x14ac:dyDescent="0.25">
      <c r="M1593" s="1"/>
      <c r="N1593" s="1" t="str">
        <f ca="1">IFERROR(__xludf.DUMMYFUNCTION("""COMPUTED_VALUE"""),"Female")</f>
        <v>Female</v>
      </c>
      <c r="P1593" s="1" t="str">
        <f ca="1">IFERROR(__xludf.DUMMYFUNCTION("""COMPUTED_VALUE"""),"Work &lt;=6 People in the Team")</f>
        <v>Work &lt;=6 People in the Team</v>
      </c>
      <c r="Q1593" s="1" t="str">
        <f ca="1">IFERROR(__xludf.DUMMYFUNCTION("""COMPUTED_VALUE"""),"Female")</f>
        <v>Female</v>
      </c>
    </row>
    <row r="1594" spans="13:17" x14ac:dyDescent="0.25">
      <c r="M1594" s="1"/>
      <c r="N1594" s="1" t="str">
        <f ca="1">IFERROR(__xludf.DUMMYFUNCTION("""COMPUTED_VALUE"""),"Male")</f>
        <v>Male</v>
      </c>
      <c r="P1594" s="1" t="str">
        <f ca="1">IFERROR(__xludf.DUMMYFUNCTION("""COMPUTED_VALUE"""),"Work &gt;=7 People in the Team")</f>
        <v>Work &gt;=7 People in the Team</v>
      </c>
      <c r="Q1594" s="1" t="str">
        <f ca="1">IFERROR(__xludf.DUMMYFUNCTION("""COMPUTED_VALUE"""),"Male")</f>
        <v>Male</v>
      </c>
    </row>
    <row r="1595" spans="13:17" x14ac:dyDescent="0.25">
      <c r="M1595" s="1"/>
      <c r="N1595" s="1" t="str">
        <f ca="1">IFERROR(__xludf.DUMMYFUNCTION("""COMPUTED_VALUE"""),"Male")</f>
        <v>Male</v>
      </c>
      <c r="P1595" s="1" t="str">
        <f ca="1">IFERROR(__xludf.DUMMYFUNCTION("""COMPUTED_VALUE"""),"Work &lt;=6 People in the Team")</f>
        <v>Work &lt;=6 People in the Team</v>
      </c>
      <c r="Q1595" s="1" t="str">
        <f ca="1">IFERROR(__xludf.DUMMYFUNCTION("""COMPUTED_VALUE"""),"Male")</f>
        <v>Male</v>
      </c>
    </row>
    <row r="1596" spans="13:17" x14ac:dyDescent="0.25">
      <c r="M1596" s="1"/>
      <c r="N1596" s="1" t="str">
        <f ca="1">IFERROR(__xludf.DUMMYFUNCTION("""COMPUTED_VALUE"""),"Male")</f>
        <v>Male</v>
      </c>
      <c r="P1596" s="1" t="str">
        <f ca="1">IFERROR(__xludf.DUMMYFUNCTION("""COMPUTED_VALUE"""),"Work &lt;=6 People in the Team")</f>
        <v>Work &lt;=6 People in the Team</v>
      </c>
      <c r="Q1596" s="1" t="str">
        <f ca="1">IFERROR(__xludf.DUMMYFUNCTION("""COMPUTED_VALUE"""),"Male")</f>
        <v>Male</v>
      </c>
    </row>
    <row r="1597" spans="13:17" x14ac:dyDescent="0.25">
      <c r="M1597" s="1"/>
      <c r="N1597" s="1" t="str">
        <f ca="1">IFERROR(__xludf.DUMMYFUNCTION("""COMPUTED_VALUE"""),"Male")</f>
        <v>Male</v>
      </c>
      <c r="P1597" s="1" t="str">
        <f ca="1">IFERROR(__xludf.DUMMYFUNCTION("""COMPUTED_VALUE"""),"Work &gt;10 people in Team")</f>
        <v>Work &gt;10 people in Team</v>
      </c>
      <c r="Q1597" s="1" t="str">
        <f ca="1">IFERROR(__xludf.DUMMYFUNCTION("""COMPUTED_VALUE"""),"Male")</f>
        <v>Male</v>
      </c>
    </row>
    <row r="1598" spans="13:17" x14ac:dyDescent="0.25">
      <c r="M1598" s="1"/>
      <c r="N1598" s="1" t="str">
        <f ca="1">IFERROR(__xludf.DUMMYFUNCTION("""COMPUTED_VALUE"""),"Female")</f>
        <v>Female</v>
      </c>
      <c r="P1598" s="1" t="str">
        <f ca="1">IFERROR(__xludf.DUMMYFUNCTION("""COMPUTED_VALUE"""),"Work &lt;=6 People in the Team")</f>
        <v>Work &lt;=6 People in the Team</v>
      </c>
      <c r="Q1598" s="1" t="str">
        <f ca="1">IFERROR(__xludf.DUMMYFUNCTION("""COMPUTED_VALUE"""),"Female")</f>
        <v>Female</v>
      </c>
    </row>
    <row r="1599" spans="13:17" x14ac:dyDescent="0.25">
      <c r="M1599" s="1"/>
      <c r="N1599" s="1" t="str">
        <f ca="1">IFERROR(__xludf.DUMMYFUNCTION("""COMPUTED_VALUE"""),"Female")</f>
        <v>Female</v>
      </c>
      <c r="P1599" s="1" t="str">
        <f ca="1">IFERROR(__xludf.DUMMYFUNCTION("""COMPUTED_VALUE"""),"Work &lt;=6 People in the Team")</f>
        <v>Work &lt;=6 People in the Team</v>
      </c>
      <c r="Q1599" s="1" t="str">
        <f ca="1">IFERROR(__xludf.DUMMYFUNCTION("""COMPUTED_VALUE"""),"Female")</f>
        <v>Female</v>
      </c>
    </row>
    <row r="1600" spans="13:17" x14ac:dyDescent="0.25">
      <c r="M1600" s="1"/>
      <c r="N1600" s="1" t="str">
        <f ca="1">IFERROR(__xludf.DUMMYFUNCTION("""COMPUTED_VALUE"""),"Male")</f>
        <v>Male</v>
      </c>
      <c r="P1600" s="1" t="str">
        <f ca="1">IFERROR(__xludf.DUMMYFUNCTION("""COMPUTED_VALUE"""),"Work Alone, &lt;=6 in team")</f>
        <v>Work Alone, &lt;=6 in team</v>
      </c>
      <c r="Q1600" s="1" t="str">
        <f ca="1">IFERROR(__xludf.DUMMYFUNCTION("""COMPUTED_VALUE"""),"Male")</f>
        <v>Male</v>
      </c>
    </row>
    <row r="1601" spans="13:17" x14ac:dyDescent="0.25">
      <c r="M1601" s="1"/>
      <c r="N1601" s="1" t="str">
        <f ca="1">IFERROR(__xludf.DUMMYFUNCTION("""COMPUTED_VALUE"""),"Female")</f>
        <v>Female</v>
      </c>
      <c r="P1601" s="1" t="str">
        <f ca="1">IFERROR(__xludf.DUMMYFUNCTION("""COMPUTED_VALUE"""),"Work &gt;10 people in Team")</f>
        <v>Work &gt;10 people in Team</v>
      </c>
      <c r="Q1601" s="1" t="str">
        <f ca="1">IFERROR(__xludf.DUMMYFUNCTION("""COMPUTED_VALUE"""),"Female")</f>
        <v>Female</v>
      </c>
    </row>
    <row r="1602" spans="13:17" x14ac:dyDescent="0.25">
      <c r="M1602" s="1"/>
      <c r="N1602" s="1" t="str">
        <f ca="1">IFERROR(__xludf.DUMMYFUNCTION("""COMPUTED_VALUE"""),"Male")</f>
        <v>Male</v>
      </c>
      <c r="P1602" s="1" t="str">
        <f ca="1">IFERROR(__xludf.DUMMYFUNCTION("""COMPUTED_VALUE"""),"Work &lt;=6 People in the Team")</f>
        <v>Work &lt;=6 People in the Team</v>
      </c>
      <c r="Q1602" s="1" t="str">
        <f ca="1">IFERROR(__xludf.DUMMYFUNCTION("""COMPUTED_VALUE"""),"Male")</f>
        <v>Male</v>
      </c>
    </row>
    <row r="1603" spans="13:17" x14ac:dyDescent="0.25">
      <c r="M1603" s="1"/>
      <c r="N1603" s="1" t="str">
        <f ca="1">IFERROR(__xludf.DUMMYFUNCTION("""COMPUTED_VALUE"""),"Female")</f>
        <v>Female</v>
      </c>
      <c r="P1603" s="1" t="str">
        <f ca="1">IFERROR(__xludf.DUMMYFUNCTION("""COMPUTED_VALUE"""),"Work &lt;=6 People in the Team")</f>
        <v>Work &lt;=6 People in the Team</v>
      </c>
      <c r="Q1603" s="1" t="str">
        <f ca="1">IFERROR(__xludf.DUMMYFUNCTION("""COMPUTED_VALUE"""),"Female")</f>
        <v>Female</v>
      </c>
    </row>
    <row r="1604" spans="13:17" x14ac:dyDescent="0.25">
      <c r="M1604" s="1"/>
      <c r="N1604" s="1" t="str">
        <f ca="1">IFERROR(__xludf.DUMMYFUNCTION("""COMPUTED_VALUE"""),"Male")</f>
        <v>Male</v>
      </c>
      <c r="P1604" s="1" t="str">
        <f ca="1">IFERROR(__xludf.DUMMYFUNCTION("""COMPUTED_VALUE"""),"Work &lt;=6 People in the Team")</f>
        <v>Work &lt;=6 People in the Team</v>
      </c>
      <c r="Q1604" s="1" t="str">
        <f ca="1">IFERROR(__xludf.DUMMYFUNCTION("""COMPUTED_VALUE"""),"Male")</f>
        <v>Male</v>
      </c>
    </row>
    <row r="1605" spans="13:17" x14ac:dyDescent="0.25">
      <c r="M1605" s="1"/>
      <c r="N1605" s="1" t="str">
        <f ca="1">IFERROR(__xludf.DUMMYFUNCTION("""COMPUTED_VALUE"""),"Male")</f>
        <v>Male</v>
      </c>
      <c r="P1605" s="1" t="str">
        <f ca="1">IFERROR(__xludf.DUMMYFUNCTION("""COMPUTED_VALUE"""),"Work &lt;67 People in the Team")</f>
        <v>Work &lt;67 People in the Team</v>
      </c>
      <c r="Q1605" s="1" t="str">
        <f ca="1">IFERROR(__xludf.DUMMYFUNCTION("""COMPUTED_VALUE"""),"Male")</f>
        <v>Male</v>
      </c>
    </row>
    <row r="1606" spans="13:17" x14ac:dyDescent="0.25">
      <c r="M1606" s="1"/>
      <c r="N1606" s="1" t="str">
        <f ca="1">IFERROR(__xludf.DUMMYFUNCTION("""COMPUTED_VALUE"""),"Female")</f>
        <v>Female</v>
      </c>
      <c r="P1606" s="1" t="str">
        <f ca="1">IFERROR(__xludf.DUMMYFUNCTION("""COMPUTED_VALUE"""),"Work Alone, &lt;=6 in team")</f>
        <v>Work Alone, &lt;=6 in team</v>
      </c>
      <c r="Q1606" s="1" t="str">
        <f ca="1">IFERROR(__xludf.DUMMYFUNCTION("""COMPUTED_VALUE"""),"Female")</f>
        <v>Female</v>
      </c>
    </row>
    <row r="1607" spans="13:17" x14ac:dyDescent="0.25">
      <c r="M1607" s="1"/>
      <c r="N1607" s="1" t="str">
        <f ca="1">IFERROR(__xludf.DUMMYFUNCTION("""COMPUTED_VALUE"""),"Female")</f>
        <v>Female</v>
      </c>
      <c r="P1607" s="1" t="str">
        <f ca="1">IFERROR(__xludf.DUMMYFUNCTION("""COMPUTED_VALUE"""),"Work &lt;=6 People in the Team")</f>
        <v>Work &lt;=6 People in the Team</v>
      </c>
      <c r="Q1607" s="1" t="str">
        <f ca="1">IFERROR(__xludf.DUMMYFUNCTION("""COMPUTED_VALUE"""),"Female")</f>
        <v>Female</v>
      </c>
    </row>
    <row r="1608" spans="13:17" x14ac:dyDescent="0.25">
      <c r="M1608" s="1"/>
      <c r="N1608" s="1" t="str">
        <f ca="1">IFERROR(__xludf.DUMMYFUNCTION("""COMPUTED_VALUE"""),"Female")</f>
        <v>Female</v>
      </c>
      <c r="P1608" s="1" t="str">
        <f ca="1">IFERROR(__xludf.DUMMYFUNCTION("""COMPUTED_VALUE"""),"Work &gt;=7 People in the Team")</f>
        <v>Work &gt;=7 People in the Team</v>
      </c>
      <c r="Q1608" s="1" t="str">
        <f ca="1">IFERROR(__xludf.DUMMYFUNCTION("""COMPUTED_VALUE"""),"Female")</f>
        <v>Female</v>
      </c>
    </row>
    <row r="1609" spans="13:17" x14ac:dyDescent="0.25">
      <c r="M1609" s="1"/>
      <c r="N1609" s="1" t="str">
        <f ca="1">IFERROR(__xludf.DUMMYFUNCTION("""COMPUTED_VALUE"""),"Male")</f>
        <v>Male</v>
      </c>
      <c r="P1609" s="1" t="str">
        <f ca="1">IFERROR(__xludf.DUMMYFUNCTION("""COMPUTED_VALUE"""),"Work &lt;=6 People in the Team")</f>
        <v>Work &lt;=6 People in the Team</v>
      </c>
      <c r="Q1609" s="1" t="str">
        <f ca="1">IFERROR(__xludf.DUMMYFUNCTION("""COMPUTED_VALUE"""),"Male")</f>
        <v>Male</v>
      </c>
    </row>
    <row r="1610" spans="13:17" x14ac:dyDescent="0.25">
      <c r="M1610" s="1"/>
      <c r="N1610" s="1" t="str">
        <f ca="1">IFERROR(__xludf.DUMMYFUNCTION("""COMPUTED_VALUE"""),"Female")</f>
        <v>Female</v>
      </c>
      <c r="P1610" s="1" t="str">
        <f ca="1">IFERROR(__xludf.DUMMYFUNCTION("""COMPUTED_VALUE"""),"Work &lt;=6 People in the Team")</f>
        <v>Work &lt;=6 People in the Team</v>
      </c>
      <c r="Q1610" s="1" t="str">
        <f ca="1">IFERROR(__xludf.DUMMYFUNCTION("""COMPUTED_VALUE"""),"Female")</f>
        <v>Female</v>
      </c>
    </row>
    <row r="1611" spans="13:17" x14ac:dyDescent="0.25">
      <c r="M1611" s="1"/>
      <c r="N1611" s="1" t="str">
        <f ca="1">IFERROR(__xludf.DUMMYFUNCTION("""COMPUTED_VALUE"""),"Female")</f>
        <v>Female</v>
      </c>
      <c r="P1611" s="1" t="str">
        <f ca="1">IFERROR(__xludf.DUMMYFUNCTION("""COMPUTED_VALUE"""),"Work &lt;=6 People in the Team")</f>
        <v>Work &lt;=6 People in the Team</v>
      </c>
      <c r="Q1611" s="1" t="str">
        <f ca="1">IFERROR(__xludf.DUMMYFUNCTION("""COMPUTED_VALUE"""),"Female")</f>
        <v>Female</v>
      </c>
    </row>
    <row r="1612" spans="13:17" x14ac:dyDescent="0.25">
      <c r="M1612" s="1"/>
      <c r="N1612" s="1" t="str">
        <f ca="1">IFERROR(__xludf.DUMMYFUNCTION("""COMPUTED_VALUE"""),"Male")</f>
        <v>Male</v>
      </c>
      <c r="P1612" s="1" t="str">
        <f ca="1">IFERROR(__xludf.DUMMYFUNCTION("""COMPUTED_VALUE"""),"Work &lt;=6 People in the Team")</f>
        <v>Work &lt;=6 People in the Team</v>
      </c>
      <c r="Q1612" s="1" t="str">
        <f ca="1">IFERROR(__xludf.DUMMYFUNCTION("""COMPUTED_VALUE"""),"Male")</f>
        <v>Male</v>
      </c>
    </row>
    <row r="1613" spans="13:17" x14ac:dyDescent="0.25">
      <c r="M1613" s="1"/>
      <c r="N1613" s="1" t="str">
        <f ca="1">IFERROR(__xludf.DUMMYFUNCTION("""COMPUTED_VALUE"""),"Female")</f>
        <v>Female</v>
      </c>
      <c r="P1613" s="1" t="str">
        <f ca="1">IFERROR(__xludf.DUMMYFUNCTION("""COMPUTED_VALUE"""),"Work &lt;=6 People in the Team")</f>
        <v>Work &lt;=6 People in the Team</v>
      </c>
      <c r="Q1613" s="1" t="str">
        <f ca="1">IFERROR(__xludf.DUMMYFUNCTION("""COMPUTED_VALUE"""),"Female")</f>
        <v>Female</v>
      </c>
    </row>
    <row r="1614" spans="13:17" x14ac:dyDescent="0.25">
      <c r="M1614" s="1"/>
      <c r="N1614" s="1" t="str">
        <f ca="1">IFERROR(__xludf.DUMMYFUNCTION("""COMPUTED_VALUE"""),"Male")</f>
        <v>Male</v>
      </c>
      <c r="P1614" s="1" t="str">
        <f ca="1">IFERROR(__xludf.DUMMYFUNCTION("""COMPUTED_VALUE"""),"Work &lt;=6 People in the Team")</f>
        <v>Work &lt;=6 People in the Team</v>
      </c>
      <c r="Q1614" s="1" t="str">
        <f ca="1">IFERROR(__xludf.DUMMYFUNCTION("""COMPUTED_VALUE"""),"Male")</f>
        <v>Male</v>
      </c>
    </row>
    <row r="1615" spans="13:17" x14ac:dyDescent="0.25">
      <c r="M1615" s="1"/>
      <c r="N1615" s="1" t="str">
        <f ca="1">IFERROR(__xludf.DUMMYFUNCTION("""COMPUTED_VALUE"""),"Male")</f>
        <v>Male</v>
      </c>
      <c r="P1615" s="1" t="str">
        <f ca="1">IFERROR(__xludf.DUMMYFUNCTION("""COMPUTED_VALUE"""),"Work &gt;=7 People in the Team")</f>
        <v>Work &gt;=7 People in the Team</v>
      </c>
      <c r="Q1615" s="1" t="str">
        <f ca="1">IFERROR(__xludf.DUMMYFUNCTION("""COMPUTED_VALUE"""),"Male")</f>
        <v>Male</v>
      </c>
    </row>
    <row r="1616" spans="13:17" x14ac:dyDescent="0.25">
      <c r="M1616" s="1"/>
      <c r="N1616" s="1" t="str">
        <f ca="1">IFERROR(__xludf.DUMMYFUNCTION("""COMPUTED_VALUE"""),"Female")</f>
        <v>Female</v>
      </c>
      <c r="P1616" s="1" t="str">
        <f ca="1">IFERROR(__xludf.DUMMYFUNCTION("""COMPUTED_VALUE"""),"Work &lt;=6 People in the Team")</f>
        <v>Work &lt;=6 People in the Team</v>
      </c>
      <c r="Q1616" s="1" t="str">
        <f ca="1">IFERROR(__xludf.DUMMYFUNCTION("""COMPUTED_VALUE"""),"Female")</f>
        <v>Female</v>
      </c>
    </row>
    <row r="1617" spans="13:17" x14ac:dyDescent="0.25">
      <c r="M1617" s="1"/>
      <c r="N1617" s="1" t="str">
        <f ca="1">IFERROR(__xludf.DUMMYFUNCTION("""COMPUTED_VALUE"""),"Female")</f>
        <v>Female</v>
      </c>
      <c r="P1617" s="1" t="str">
        <f ca="1">IFERROR(__xludf.DUMMYFUNCTION("""COMPUTED_VALUE"""),"Work &gt;=7 People in the Team")</f>
        <v>Work &gt;=7 People in the Team</v>
      </c>
      <c r="Q1617" s="1" t="str">
        <f ca="1">IFERROR(__xludf.DUMMYFUNCTION("""COMPUTED_VALUE"""),"Female")</f>
        <v>Female</v>
      </c>
    </row>
    <row r="1618" spans="13:17" x14ac:dyDescent="0.25">
      <c r="M1618" s="1"/>
      <c r="N1618" s="1" t="str">
        <f ca="1">IFERROR(__xludf.DUMMYFUNCTION("""COMPUTED_VALUE"""),"Female")</f>
        <v>Female</v>
      </c>
      <c r="P1618" s="1" t="str">
        <f ca="1">IFERROR(__xludf.DUMMYFUNCTION("""COMPUTED_VALUE"""),"Work &lt;=6 People in the Team")</f>
        <v>Work &lt;=6 People in the Team</v>
      </c>
      <c r="Q1618" s="1" t="str">
        <f ca="1">IFERROR(__xludf.DUMMYFUNCTION("""COMPUTED_VALUE"""),"Female")</f>
        <v>Female</v>
      </c>
    </row>
    <row r="1619" spans="13:17" x14ac:dyDescent="0.25">
      <c r="M1619" s="1"/>
      <c r="N1619" s="1" t="str">
        <f ca="1">IFERROR(__xludf.DUMMYFUNCTION("""COMPUTED_VALUE"""),"Female")</f>
        <v>Female</v>
      </c>
      <c r="P1619" s="1" t="str">
        <f ca="1">IFERROR(__xludf.DUMMYFUNCTION("""COMPUTED_VALUE"""),"Work &lt;=6 People in the Team")</f>
        <v>Work &lt;=6 People in the Team</v>
      </c>
      <c r="Q1619" s="1" t="str">
        <f ca="1">IFERROR(__xludf.DUMMYFUNCTION("""COMPUTED_VALUE"""),"Female")</f>
        <v>Female</v>
      </c>
    </row>
    <row r="1620" spans="13:17" x14ac:dyDescent="0.25">
      <c r="M1620" s="1"/>
      <c r="N1620" s="1" t="str">
        <f ca="1">IFERROR(__xludf.DUMMYFUNCTION("""COMPUTED_VALUE"""),"Female")</f>
        <v>Female</v>
      </c>
      <c r="P1620" s="1" t="str">
        <f ca="1">IFERROR(__xludf.DUMMYFUNCTION("""COMPUTED_VALUE"""),"Work &lt;=6 People in the Team")</f>
        <v>Work &lt;=6 People in the Team</v>
      </c>
      <c r="Q1620" s="1" t="str">
        <f ca="1">IFERROR(__xludf.DUMMYFUNCTION("""COMPUTED_VALUE"""),"Female")</f>
        <v>Female</v>
      </c>
    </row>
    <row r="1621" spans="13:17" x14ac:dyDescent="0.25">
      <c r="M1621" s="1"/>
      <c r="N1621" s="1" t="str">
        <f ca="1">IFERROR(__xludf.DUMMYFUNCTION("""COMPUTED_VALUE"""),"Female")</f>
        <v>Female</v>
      </c>
      <c r="P1621" s="1" t="str">
        <f ca="1">IFERROR(__xludf.DUMMYFUNCTION("""COMPUTED_VALUE"""),"Work &lt;=6 People in the Team")</f>
        <v>Work &lt;=6 People in the Team</v>
      </c>
      <c r="Q1621" s="1" t="str">
        <f ca="1">IFERROR(__xludf.DUMMYFUNCTION("""COMPUTED_VALUE"""),"Female")</f>
        <v>Female</v>
      </c>
    </row>
    <row r="1622" spans="13:17" x14ac:dyDescent="0.25">
      <c r="M1622" s="1"/>
      <c r="N1622" s="1" t="str">
        <f ca="1">IFERROR(__xludf.DUMMYFUNCTION("""COMPUTED_VALUE"""),"Male")</f>
        <v>Male</v>
      </c>
      <c r="P1622" s="1" t="str">
        <f ca="1">IFERROR(__xludf.DUMMYFUNCTION("""COMPUTED_VALUE"""),"Work &lt;=6 People in the Team")</f>
        <v>Work &lt;=6 People in the Team</v>
      </c>
      <c r="Q1622" s="1" t="str">
        <f ca="1">IFERROR(__xludf.DUMMYFUNCTION("""COMPUTED_VALUE"""),"Male")</f>
        <v>Male</v>
      </c>
    </row>
    <row r="1623" spans="13:17" x14ac:dyDescent="0.25">
      <c r="M1623" s="1"/>
      <c r="N1623" s="1" t="str">
        <f ca="1">IFERROR(__xludf.DUMMYFUNCTION("""COMPUTED_VALUE"""),"Female")</f>
        <v>Female</v>
      </c>
      <c r="P1623" s="1" t="str">
        <f ca="1">IFERROR(__xludf.DUMMYFUNCTION("""COMPUTED_VALUE"""),"Work &lt;=6 People in the Team")</f>
        <v>Work &lt;=6 People in the Team</v>
      </c>
      <c r="Q1623" s="1" t="str">
        <f ca="1">IFERROR(__xludf.DUMMYFUNCTION("""COMPUTED_VALUE"""),"Female")</f>
        <v>Female</v>
      </c>
    </row>
    <row r="1624" spans="13:17" x14ac:dyDescent="0.25">
      <c r="M1624" s="1"/>
      <c r="N1624" s="1" t="str">
        <f ca="1">IFERROR(__xludf.DUMMYFUNCTION("""COMPUTED_VALUE"""),"Male")</f>
        <v>Male</v>
      </c>
      <c r="P1624" s="1" t="str">
        <f ca="1">IFERROR(__xludf.DUMMYFUNCTION("""COMPUTED_VALUE"""),"Work &gt;10 people in Team")</f>
        <v>Work &gt;10 people in Team</v>
      </c>
      <c r="Q1624" s="1" t="str">
        <f ca="1">IFERROR(__xludf.DUMMYFUNCTION("""COMPUTED_VALUE"""),"Male")</f>
        <v>Male</v>
      </c>
    </row>
    <row r="1625" spans="13:17" x14ac:dyDescent="0.25">
      <c r="M1625" s="1"/>
      <c r="N1625" s="1" t="str">
        <f ca="1">IFERROR(__xludf.DUMMYFUNCTION("""COMPUTED_VALUE"""),"Male")</f>
        <v>Male</v>
      </c>
      <c r="P1625" s="1" t="str">
        <f ca="1">IFERROR(__xludf.DUMMYFUNCTION("""COMPUTED_VALUE"""),"Work &lt;=6 People in the Team")</f>
        <v>Work &lt;=6 People in the Team</v>
      </c>
      <c r="Q1625" s="1" t="str">
        <f ca="1">IFERROR(__xludf.DUMMYFUNCTION("""COMPUTED_VALUE"""),"Male")</f>
        <v>Male</v>
      </c>
    </row>
    <row r="1626" spans="13:17" x14ac:dyDescent="0.25">
      <c r="M1626" s="1"/>
      <c r="N1626" s="1" t="str">
        <f ca="1">IFERROR(__xludf.DUMMYFUNCTION("""COMPUTED_VALUE"""),"Female")</f>
        <v>Female</v>
      </c>
      <c r="P1626" s="1" t="str">
        <f ca="1">IFERROR(__xludf.DUMMYFUNCTION("""COMPUTED_VALUE"""),"Work alone")</f>
        <v>Work alone</v>
      </c>
      <c r="Q1626" s="1" t="str">
        <f ca="1">IFERROR(__xludf.DUMMYFUNCTION("""COMPUTED_VALUE"""),"Female")</f>
        <v>Female</v>
      </c>
    </row>
    <row r="1627" spans="13:17" x14ac:dyDescent="0.25">
      <c r="M1627" s="1"/>
      <c r="N1627" s="1" t="str">
        <f ca="1">IFERROR(__xludf.DUMMYFUNCTION("""COMPUTED_VALUE"""),"Male")</f>
        <v>Male</v>
      </c>
      <c r="P1627" s="1" t="str">
        <f ca="1">IFERROR(__xludf.DUMMYFUNCTION("""COMPUTED_VALUE"""),"Work &lt;=6 People in the Team")</f>
        <v>Work &lt;=6 People in the Team</v>
      </c>
      <c r="Q1627" s="1" t="str">
        <f ca="1">IFERROR(__xludf.DUMMYFUNCTION("""COMPUTED_VALUE"""),"Male")</f>
        <v>Male</v>
      </c>
    </row>
    <row r="1628" spans="13:17" x14ac:dyDescent="0.25">
      <c r="M1628" s="1"/>
      <c r="N1628" s="1" t="str">
        <f ca="1">IFERROR(__xludf.DUMMYFUNCTION("""COMPUTED_VALUE"""),"Male")</f>
        <v>Male</v>
      </c>
      <c r="P1628" s="1" t="str">
        <f ca="1">IFERROR(__xludf.DUMMYFUNCTION("""COMPUTED_VALUE"""),"Work Alone, &lt;=6 in team")</f>
        <v>Work Alone, &lt;=6 in team</v>
      </c>
      <c r="Q1628" s="1" t="str">
        <f ca="1">IFERROR(__xludf.DUMMYFUNCTION("""COMPUTED_VALUE"""),"Male")</f>
        <v>Male</v>
      </c>
    </row>
    <row r="1629" spans="13:17" x14ac:dyDescent="0.25">
      <c r="M1629" s="1"/>
      <c r="N1629" s="1" t="str">
        <f ca="1">IFERROR(__xludf.DUMMYFUNCTION("""COMPUTED_VALUE"""),"Female")</f>
        <v>Female</v>
      </c>
      <c r="P1629" s="1" t="str">
        <f ca="1">IFERROR(__xludf.DUMMYFUNCTION("""COMPUTED_VALUE"""),"Work &gt;10 people in Team")</f>
        <v>Work &gt;10 people in Team</v>
      </c>
      <c r="Q1629" s="1" t="str">
        <f ca="1">IFERROR(__xludf.DUMMYFUNCTION("""COMPUTED_VALUE"""),"Female")</f>
        <v>Female</v>
      </c>
    </row>
    <row r="1630" spans="13:17" x14ac:dyDescent="0.25">
      <c r="M1630" s="1"/>
      <c r="N1630" s="1" t="str">
        <f ca="1">IFERROR(__xludf.DUMMYFUNCTION("""COMPUTED_VALUE"""),"Female")</f>
        <v>Female</v>
      </c>
      <c r="P1630" s="1" t="str">
        <f ca="1">IFERROR(__xludf.DUMMYFUNCTION("""COMPUTED_VALUE"""),"Work &lt;=6 People in the Team")</f>
        <v>Work &lt;=6 People in the Team</v>
      </c>
      <c r="Q1630" s="1" t="str">
        <f ca="1">IFERROR(__xludf.DUMMYFUNCTION("""COMPUTED_VALUE"""),"Female")</f>
        <v>Female</v>
      </c>
    </row>
    <row r="1631" spans="13:17" x14ac:dyDescent="0.25">
      <c r="M1631" s="1"/>
      <c r="N1631" s="1" t="str">
        <f ca="1">IFERROR(__xludf.DUMMYFUNCTION("""COMPUTED_VALUE"""),"Male")</f>
        <v>Male</v>
      </c>
      <c r="P1631" s="1" t="str">
        <f ca="1">IFERROR(__xludf.DUMMYFUNCTION("""COMPUTED_VALUE"""),"Work &lt;=6 People in the Team")</f>
        <v>Work &lt;=6 People in the Team</v>
      </c>
      <c r="Q1631" s="1" t="str">
        <f ca="1">IFERROR(__xludf.DUMMYFUNCTION("""COMPUTED_VALUE"""),"Male")</f>
        <v>Male</v>
      </c>
    </row>
    <row r="1632" spans="13:17" x14ac:dyDescent="0.25">
      <c r="M1632" s="1"/>
      <c r="N1632" s="1" t="str">
        <f ca="1">IFERROR(__xludf.DUMMYFUNCTION("""COMPUTED_VALUE"""),"Male")</f>
        <v>Male</v>
      </c>
      <c r="P1632" s="1" t="str">
        <f ca="1">IFERROR(__xludf.DUMMYFUNCTION("""COMPUTED_VALUE"""),"Work &gt;10 people in Team")</f>
        <v>Work &gt;10 people in Team</v>
      </c>
      <c r="Q1632" s="1" t="str">
        <f ca="1">IFERROR(__xludf.DUMMYFUNCTION("""COMPUTED_VALUE"""),"Male")</f>
        <v>Male</v>
      </c>
    </row>
    <row r="1633" spans="13:17" x14ac:dyDescent="0.25">
      <c r="M1633" s="1"/>
      <c r="N1633" s="1" t="str">
        <f ca="1">IFERROR(__xludf.DUMMYFUNCTION("""COMPUTED_VALUE"""),"Male")</f>
        <v>Male</v>
      </c>
      <c r="P1633" s="1" t="str">
        <f ca="1">IFERROR(__xludf.DUMMYFUNCTION("""COMPUTED_VALUE"""),"Work &lt;=6 People in the Team")</f>
        <v>Work &lt;=6 People in the Team</v>
      </c>
      <c r="Q1633" s="1" t="str">
        <f ca="1">IFERROR(__xludf.DUMMYFUNCTION("""COMPUTED_VALUE"""),"Male")</f>
        <v>Male</v>
      </c>
    </row>
    <row r="1634" spans="13:17" x14ac:dyDescent="0.25">
      <c r="M1634" s="1"/>
      <c r="N1634" s="1" t="str">
        <f ca="1">IFERROR(__xludf.DUMMYFUNCTION("""COMPUTED_VALUE"""),"Female")</f>
        <v>Female</v>
      </c>
      <c r="P1634" s="1" t="str">
        <f ca="1">IFERROR(__xludf.DUMMYFUNCTION("""COMPUTED_VALUE"""),"Work &lt;=6 People in the Team")</f>
        <v>Work &lt;=6 People in the Team</v>
      </c>
      <c r="Q1634" s="1" t="str">
        <f ca="1">IFERROR(__xludf.DUMMYFUNCTION("""COMPUTED_VALUE"""),"Female")</f>
        <v>Female</v>
      </c>
    </row>
    <row r="1635" spans="13:17" x14ac:dyDescent="0.25">
      <c r="M1635" s="1"/>
      <c r="N1635" s="1" t="str">
        <f ca="1">IFERROR(__xludf.DUMMYFUNCTION("""COMPUTED_VALUE"""),"Female")</f>
        <v>Female</v>
      </c>
      <c r="P1635" s="1" t="str">
        <f ca="1">IFERROR(__xludf.DUMMYFUNCTION("""COMPUTED_VALUE"""),"Work &gt;=7 People in the Team")</f>
        <v>Work &gt;=7 People in the Team</v>
      </c>
      <c r="Q1635" s="1" t="str">
        <f ca="1">IFERROR(__xludf.DUMMYFUNCTION("""COMPUTED_VALUE"""),"Female")</f>
        <v>Female</v>
      </c>
    </row>
    <row r="1636" spans="13:17" x14ac:dyDescent="0.25">
      <c r="M1636" s="1"/>
      <c r="N1636" s="1" t="str">
        <f ca="1">IFERROR(__xludf.DUMMYFUNCTION("""COMPUTED_VALUE"""),"Female")</f>
        <v>Female</v>
      </c>
      <c r="P1636" s="1" t="str">
        <f ca="1">IFERROR(__xludf.DUMMYFUNCTION("""COMPUTED_VALUE"""),"Work &gt;=7 People in the Team")</f>
        <v>Work &gt;=7 People in the Team</v>
      </c>
      <c r="Q1636" s="1" t="str">
        <f ca="1">IFERROR(__xludf.DUMMYFUNCTION("""COMPUTED_VALUE"""),"Female")</f>
        <v>Female</v>
      </c>
    </row>
    <row r="1637" spans="13:17" x14ac:dyDescent="0.25">
      <c r="M1637" s="1"/>
      <c r="N1637" s="1" t="str">
        <f ca="1">IFERROR(__xludf.DUMMYFUNCTION("""COMPUTED_VALUE"""),"Female")</f>
        <v>Female</v>
      </c>
      <c r="P1637" s="1" t="str">
        <f ca="1">IFERROR(__xludf.DUMMYFUNCTION("""COMPUTED_VALUE"""),"Work &lt;=6 People in the Team")</f>
        <v>Work &lt;=6 People in the Team</v>
      </c>
      <c r="Q1637" s="1" t="str">
        <f ca="1">IFERROR(__xludf.DUMMYFUNCTION("""COMPUTED_VALUE"""),"Female")</f>
        <v>Female</v>
      </c>
    </row>
    <row r="1638" spans="13:17" x14ac:dyDescent="0.25">
      <c r="M1638" s="1"/>
      <c r="N1638" s="1" t="str">
        <f ca="1">IFERROR(__xludf.DUMMYFUNCTION("""COMPUTED_VALUE"""),"Female")</f>
        <v>Female</v>
      </c>
      <c r="P1638" s="1" t="str">
        <f ca="1">IFERROR(__xludf.DUMMYFUNCTION("""COMPUTED_VALUE"""),"Work &lt;=6 People in the Team")</f>
        <v>Work &lt;=6 People in the Team</v>
      </c>
      <c r="Q1638" s="1" t="str">
        <f ca="1">IFERROR(__xludf.DUMMYFUNCTION("""COMPUTED_VALUE"""),"Female")</f>
        <v>Female</v>
      </c>
    </row>
    <row r="1639" spans="13:17" x14ac:dyDescent="0.25">
      <c r="M1639" s="1"/>
      <c r="N1639" s="1" t="str">
        <f ca="1">IFERROR(__xludf.DUMMYFUNCTION("""COMPUTED_VALUE"""),"Male")</f>
        <v>Male</v>
      </c>
      <c r="P1639" s="1" t="str">
        <f ca="1">IFERROR(__xludf.DUMMYFUNCTION("""COMPUTED_VALUE"""),"Work &gt;10 people in Team")</f>
        <v>Work &gt;10 people in Team</v>
      </c>
      <c r="Q1639" s="1" t="str">
        <f ca="1">IFERROR(__xludf.DUMMYFUNCTION("""COMPUTED_VALUE"""),"Male")</f>
        <v>Male</v>
      </c>
    </row>
    <row r="1640" spans="13:17" x14ac:dyDescent="0.25">
      <c r="M1640" s="1"/>
      <c r="N1640" s="1" t="str">
        <f ca="1">IFERROR(__xludf.DUMMYFUNCTION("""COMPUTED_VALUE"""),"Female")</f>
        <v>Female</v>
      </c>
      <c r="P1640" s="1" t="str">
        <f ca="1">IFERROR(__xludf.DUMMYFUNCTION("""COMPUTED_VALUE"""),"Work &gt;10 people in Team")</f>
        <v>Work &gt;10 people in Team</v>
      </c>
      <c r="Q1640" s="1" t="str">
        <f ca="1">IFERROR(__xludf.DUMMYFUNCTION("""COMPUTED_VALUE"""),"Female")</f>
        <v>Female</v>
      </c>
    </row>
    <row r="1641" spans="13:17" x14ac:dyDescent="0.25">
      <c r="M1641" s="1"/>
      <c r="N1641" s="1" t="str">
        <f ca="1">IFERROR(__xludf.DUMMYFUNCTION("""COMPUTED_VALUE"""),"Male")</f>
        <v>Male</v>
      </c>
      <c r="P1641" s="1" t="str">
        <f ca="1">IFERROR(__xludf.DUMMYFUNCTION("""COMPUTED_VALUE"""),"Work &lt;=6 People in the Team")</f>
        <v>Work &lt;=6 People in the Team</v>
      </c>
      <c r="Q1641" s="1" t="str">
        <f ca="1">IFERROR(__xludf.DUMMYFUNCTION("""COMPUTED_VALUE"""),"Male")</f>
        <v>Male</v>
      </c>
    </row>
    <row r="1642" spans="13:17" x14ac:dyDescent="0.25">
      <c r="M1642" s="1"/>
      <c r="N1642" s="1" t="str">
        <f ca="1">IFERROR(__xludf.DUMMYFUNCTION("""COMPUTED_VALUE"""),"Female")</f>
        <v>Female</v>
      </c>
      <c r="P1642" s="1" t="str">
        <f ca="1">IFERROR(__xludf.DUMMYFUNCTION("""COMPUTED_VALUE"""),"Work alone")</f>
        <v>Work alone</v>
      </c>
      <c r="Q1642" s="1" t="str">
        <f ca="1">IFERROR(__xludf.DUMMYFUNCTION("""COMPUTED_VALUE"""),"Female")</f>
        <v>Female</v>
      </c>
    </row>
    <row r="1643" spans="13:17" x14ac:dyDescent="0.25">
      <c r="M1643" s="1"/>
      <c r="N1643" s="1" t="str">
        <f ca="1">IFERROR(__xludf.DUMMYFUNCTION("""COMPUTED_VALUE"""),"Female")</f>
        <v>Female</v>
      </c>
      <c r="P1643" s="1" t="str">
        <f ca="1">IFERROR(__xludf.DUMMYFUNCTION("""COMPUTED_VALUE"""),"Work Alone, &lt;67 people in team")</f>
        <v>Work Alone, &lt;67 people in team</v>
      </c>
      <c r="Q1643" s="1" t="str">
        <f ca="1">IFERROR(__xludf.DUMMYFUNCTION("""COMPUTED_VALUE"""),"Female")</f>
        <v>Female</v>
      </c>
    </row>
    <row r="1644" spans="13:17" x14ac:dyDescent="0.25">
      <c r="M1644" s="1"/>
      <c r="N1644" s="1" t="str">
        <f ca="1">IFERROR(__xludf.DUMMYFUNCTION("""COMPUTED_VALUE"""),"Male")</f>
        <v>Male</v>
      </c>
      <c r="P1644" s="1" t="str">
        <f ca="1">IFERROR(__xludf.DUMMYFUNCTION("""COMPUTED_VALUE"""),"Work &gt;=7 People in the Team")</f>
        <v>Work &gt;=7 People in the Team</v>
      </c>
      <c r="Q1644" s="1" t="str">
        <f ca="1">IFERROR(__xludf.DUMMYFUNCTION("""COMPUTED_VALUE"""),"Male")</f>
        <v>Male</v>
      </c>
    </row>
    <row r="1645" spans="13:17" x14ac:dyDescent="0.25">
      <c r="M1645" s="1"/>
      <c r="N1645" s="1" t="str">
        <f ca="1">IFERROR(__xludf.DUMMYFUNCTION("""COMPUTED_VALUE"""),"Male")</f>
        <v>Male</v>
      </c>
      <c r="P1645" s="1" t="str">
        <f ca="1">IFERROR(__xludf.DUMMYFUNCTION("""COMPUTED_VALUE"""),"Work &gt;10 people in Team")</f>
        <v>Work &gt;10 people in Team</v>
      </c>
      <c r="Q1645" s="1" t="str">
        <f ca="1">IFERROR(__xludf.DUMMYFUNCTION("""COMPUTED_VALUE"""),"Male")</f>
        <v>Male</v>
      </c>
    </row>
    <row r="1646" spans="13:17" x14ac:dyDescent="0.25">
      <c r="M1646" s="1"/>
      <c r="N1646" s="1" t="str">
        <f ca="1">IFERROR(__xludf.DUMMYFUNCTION("""COMPUTED_VALUE"""),"Female")</f>
        <v>Female</v>
      </c>
      <c r="P1646" s="1" t="str">
        <f ca="1">IFERROR(__xludf.DUMMYFUNCTION("""COMPUTED_VALUE"""),"Work &lt;=6 People in the Team")</f>
        <v>Work &lt;=6 People in the Team</v>
      </c>
      <c r="Q1646" s="1" t="str">
        <f ca="1">IFERROR(__xludf.DUMMYFUNCTION("""COMPUTED_VALUE"""),"Female")</f>
        <v>Female</v>
      </c>
    </row>
    <row r="1647" spans="13:17" x14ac:dyDescent="0.25">
      <c r="M1647" s="1"/>
      <c r="N1647" s="1" t="str">
        <f ca="1">IFERROR(__xludf.DUMMYFUNCTION("""COMPUTED_VALUE"""),"Male")</f>
        <v>Male</v>
      </c>
      <c r="P1647" s="1" t="str">
        <f ca="1">IFERROR(__xludf.DUMMYFUNCTION("""COMPUTED_VALUE"""),"Work Alone, &lt;67 people in team")</f>
        <v>Work Alone, &lt;67 people in team</v>
      </c>
      <c r="Q1647" s="1" t="str">
        <f ca="1">IFERROR(__xludf.DUMMYFUNCTION("""COMPUTED_VALUE"""),"Male")</f>
        <v>Male</v>
      </c>
    </row>
    <row r="1648" spans="13:17" x14ac:dyDescent="0.25">
      <c r="M1648" s="1"/>
      <c r="N1648" s="1" t="str">
        <f ca="1">IFERROR(__xludf.DUMMYFUNCTION("""COMPUTED_VALUE"""),"Male")</f>
        <v>Male</v>
      </c>
      <c r="P1648" s="1" t="str">
        <f ca="1">IFERROR(__xludf.DUMMYFUNCTION("""COMPUTED_VALUE"""),"Work Alone, &lt;=6 in team")</f>
        <v>Work Alone, &lt;=6 in team</v>
      </c>
      <c r="Q1648" s="1" t="str">
        <f ca="1">IFERROR(__xludf.DUMMYFUNCTION("""COMPUTED_VALUE"""),"Male")</f>
        <v>Male</v>
      </c>
    </row>
    <row r="1649" spans="13:17" x14ac:dyDescent="0.25">
      <c r="M1649" s="1"/>
      <c r="N1649" s="1" t="str">
        <f ca="1">IFERROR(__xludf.DUMMYFUNCTION("""COMPUTED_VALUE"""),"Female")</f>
        <v>Female</v>
      </c>
      <c r="P1649" s="1" t="str">
        <f ca="1">IFERROR(__xludf.DUMMYFUNCTION("""COMPUTED_VALUE"""),"Work &gt;=7 People in the Team")</f>
        <v>Work &gt;=7 People in the Team</v>
      </c>
      <c r="Q1649" s="1" t="str">
        <f ca="1">IFERROR(__xludf.DUMMYFUNCTION("""COMPUTED_VALUE"""),"Female")</f>
        <v>Female</v>
      </c>
    </row>
    <row r="1650" spans="13:17" x14ac:dyDescent="0.25">
      <c r="M1650" s="1"/>
      <c r="N1650" s="1" t="str">
        <f ca="1">IFERROR(__xludf.DUMMYFUNCTION("""COMPUTED_VALUE"""),"Male")</f>
        <v>Male</v>
      </c>
      <c r="P1650" s="1" t="str">
        <f ca="1">IFERROR(__xludf.DUMMYFUNCTION("""COMPUTED_VALUE"""),"Work &lt;=6 People in the Team")</f>
        <v>Work &lt;=6 People in the Team</v>
      </c>
      <c r="Q1650" s="1" t="str">
        <f ca="1">IFERROR(__xludf.DUMMYFUNCTION("""COMPUTED_VALUE"""),"Male")</f>
        <v>Male</v>
      </c>
    </row>
    <row r="1651" spans="13:17" x14ac:dyDescent="0.25">
      <c r="M1651" s="1"/>
      <c r="N1651" s="1" t="str">
        <f ca="1">IFERROR(__xludf.DUMMYFUNCTION("""COMPUTED_VALUE"""),"Male")</f>
        <v>Male</v>
      </c>
      <c r="P1651" s="1" t="str">
        <f ca="1">IFERROR(__xludf.DUMMYFUNCTION("""COMPUTED_VALUE"""),"Work &lt;=6 People in the Team")</f>
        <v>Work &lt;=6 People in the Team</v>
      </c>
      <c r="Q1651" s="1" t="str">
        <f ca="1">IFERROR(__xludf.DUMMYFUNCTION("""COMPUTED_VALUE"""),"Male")</f>
        <v>Male</v>
      </c>
    </row>
    <row r="1652" spans="13:17" x14ac:dyDescent="0.25">
      <c r="M1652" s="1"/>
      <c r="N1652" s="1" t="str">
        <f ca="1">IFERROR(__xludf.DUMMYFUNCTION("""COMPUTED_VALUE"""),"Male")</f>
        <v>Male</v>
      </c>
      <c r="P1652" s="1" t="str">
        <f ca="1">IFERROR(__xludf.DUMMYFUNCTION("""COMPUTED_VALUE"""),"Work &gt;10 people in Team")</f>
        <v>Work &gt;10 people in Team</v>
      </c>
      <c r="Q1652" s="1" t="str">
        <f ca="1">IFERROR(__xludf.DUMMYFUNCTION("""COMPUTED_VALUE"""),"Male")</f>
        <v>Male</v>
      </c>
    </row>
    <row r="1653" spans="13:17" x14ac:dyDescent="0.25">
      <c r="M1653" s="1"/>
      <c r="N1653" s="1" t="str">
        <f ca="1">IFERROR(__xludf.DUMMYFUNCTION("""COMPUTED_VALUE"""),"Male")</f>
        <v>Male</v>
      </c>
      <c r="P1653" s="1" t="str">
        <f ca="1">IFERROR(__xludf.DUMMYFUNCTION("""COMPUTED_VALUE"""),"Work  &lt;67 people in team")</f>
        <v>Work  &lt;67 people in team</v>
      </c>
      <c r="Q1653" s="1" t="str">
        <f ca="1">IFERROR(__xludf.DUMMYFUNCTION("""COMPUTED_VALUE"""),"Male")</f>
        <v>Male</v>
      </c>
    </row>
    <row r="1654" spans="13:17" x14ac:dyDescent="0.25">
      <c r="M1654" s="1"/>
      <c r="N1654" s="1" t="str">
        <f ca="1">IFERROR(__xludf.DUMMYFUNCTION("""COMPUTED_VALUE"""),"Male")</f>
        <v>Male</v>
      </c>
      <c r="P1654" s="1" t="str">
        <f ca="1">IFERROR(__xludf.DUMMYFUNCTION("""COMPUTED_VALUE"""),"Work &lt;=6 People in the Team")</f>
        <v>Work &lt;=6 People in the Team</v>
      </c>
      <c r="Q1654" s="1" t="str">
        <f ca="1">IFERROR(__xludf.DUMMYFUNCTION("""COMPUTED_VALUE"""),"Male")</f>
        <v>Male</v>
      </c>
    </row>
    <row r="1655" spans="13:17" x14ac:dyDescent="0.25">
      <c r="M1655" s="1"/>
      <c r="N1655" s="1" t="str">
        <f ca="1">IFERROR(__xludf.DUMMYFUNCTION("""COMPUTED_VALUE"""),"Female")</f>
        <v>Female</v>
      </c>
      <c r="P1655" s="1" t="str">
        <f ca="1">IFERROR(__xludf.DUMMYFUNCTION("""COMPUTED_VALUE"""),"Work &lt;=6 People in the Team")</f>
        <v>Work &lt;=6 People in the Team</v>
      </c>
      <c r="Q1655" s="1" t="str">
        <f ca="1">IFERROR(__xludf.DUMMYFUNCTION("""COMPUTED_VALUE"""),"Female")</f>
        <v>Female</v>
      </c>
    </row>
    <row r="1656" spans="13:17" x14ac:dyDescent="0.25">
      <c r="M1656" s="1"/>
      <c r="N1656" s="1" t="str">
        <f ca="1">IFERROR(__xludf.DUMMYFUNCTION("""COMPUTED_VALUE"""),"Male")</f>
        <v>Male</v>
      </c>
      <c r="P1656" s="1" t="str">
        <f ca="1">IFERROR(__xludf.DUMMYFUNCTION("""COMPUTED_VALUE"""),"Work &gt;10 people in Team")</f>
        <v>Work &gt;10 people in Team</v>
      </c>
      <c r="Q1656" s="1" t="str">
        <f ca="1">IFERROR(__xludf.DUMMYFUNCTION("""COMPUTED_VALUE"""),"Male")</f>
        <v>Male</v>
      </c>
    </row>
    <row r="1657" spans="13:17" x14ac:dyDescent="0.25">
      <c r="M1657" s="1"/>
      <c r="N1657" s="1" t="str">
        <f ca="1">IFERROR(__xludf.DUMMYFUNCTION("""COMPUTED_VALUE"""),"Male")</f>
        <v>Male</v>
      </c>
      <c r="P1657" s="1" t="str">
        <f ca="1">IFERROR(__xludf.DUMMYFUNCTION("""COMPUTED_VALUE"""),"Work &gt;10 people in Team")</f>
        <v>Work &gt;10 people in Team</v>
      </c>
      <c r="Q1657" s="1" t="str">
        <f ca="1">IFERROR(__xludf.DUMMYFUNCTION("""COMPUTED_VALUE"""),"Male")</f>
        <v>Male</v>
      </c>
    </row>
    <row r="1658" spans="13:17" x14ac:dyDescent="0.25">
      <c r="M1658" s="1"/>
      <c r="N1658" s="1" t="str">
        <f ca="1">IFERROR(__xludf.DUMMYFUNCTION("""COMPUTED_VALUE"""),"Male")</f>
        <v>Male</v>
      </c>
      <c r="P1658" s="1" t="str">
        <f ca="1">IFERROR(__xludf.DUMMYFUNCTION("""COMPUTED_VALUE"""),"Work &gt;10 people in Team")</f>
        <v>Work &gt;10 people in Team</v>
      </c>
      <c r="Q1658" s="1" t="str">
        <f ca="1">IFERROR(__xludf.DUMMYFUNCTION("""COMPUTED_VALUE"""),"Male")</f>
        <v>Male</v>
      </c>
    </row>
    <row r="1659" spans="13:17" x14ac:dyDescent="0.25">
      <c r="M1659" s="1"/>
      <c r="N1659" s="1" t="str">
        <f ca="1">IFERROR(__xludf.DUMMYFUNCTION("""COMPUTED_VALUE"""),"Male")</f>
        <v>Male</v>
      </c>
      <c r="P1659" s="1" t="str">
        <f ca="1">IFERROR(__xludf.DUMMYFUNCTION("""COMPUTED_VALUE"""),"Work &lt;=6 People in the Team")</f>
        <v>Work &lt;=6 People in the Team</v>
      </c>
      <c r="Q1659" s="1" t="str">
        <f ca="1">IFERROR(__xludf.DUMMYFUNCTION("""COMPUTED_VALUE"""),"Male")</f>
        <v>Male</v>
      </c>
    </row>
    <row r="1660" spans="13:17" x14ac:dyDescent="0.25">
      <c r="M1660" s="1"/>
      <c r="N1660" s="1" t="str">
        <f ca="1">IFERROR(__xludf.DUMMYFUNCTION("""COMPUTED_VALUE"""),"Male")</f>
        <v>Male</v>
      </c>
      <c r="P1660" s="1" t="str">
        <f ca="1">IFERROR(__xludf.DUMMYFUNCTION("""COMPUTED_VALUE"""),"Work &gt;10 people in Team")</f>
        <v>Work &gt;10 people in Team</v>
      </c>
      <c r="Q1660" s="1" t="str">
        <f ca="1">IFERROR(__xludf.DUMMYFUNCTION("""COMPUTED_VALUE"""),"Male")</f>
        <v>Male</v>
      </c>
    </row>
    <row r="1661" spans="13:17" x14ac:dyDescent="0.25">
      <c r="M1661" s="1"/>
      <c r="N1661" s="1" t="str">
        <f ca="1">IFERROR(__xludf.DUMMYFUNCTION("""COMPUTED_VALUE"""),"Male")</f>
        <v>Male</v>
      </c>
      <c r="P1661" s="1" t="str">
        <f ca="1">IFERROR(__xludf.DUMMYFUNCTION("""COMPUTED_VALUE"""),"Work Alone, &lt;=6 in team")</f>
        <v>Work Alone, &lt;=6 in team</v>
      </c>
      <c r="Q1661" s="1" t="str">
        <f ca="1">IFERROR(__xludf.DUMMYFUNCTION("""COMPUTED_VALUE"""),"Male")</f>
        <v>Male</v>
      </c>
    </row>
    <row r="1662" spans="13:17" x14ac:dyDescent="0.25">
      <c r="M1662" s="1"/>
      <c r="N1662" s="1" t="str">
        <f ca="1">IFERROR(__xludf.DUMMYFUNCTION("""COMPUTED_VALUE"""),"Female")</f>
        <v>Female</v>
      </c>
      <c r="P1662" s="1" t="str">
        <f ca="1">IFERROR(__xludf.DUMMYFUNCTION("""COMPUTED_VALUE"""),"Work &lt;=6 People in the Team")</f>
        <v>Work &lt;=6 People in the Team</v>
      </c>
      <c r="Q1662" s="1" t="str">
        <f ca="1">IFERROR(__xludf.DUMMYFUNCTION("""COMPUTED_VALUE"""),"Female")</f>
        <v>Female</v>
      </c>
    </row>
    <row r="1663" spans="13:17" x14ac:dyDescent="0.25">
      <c r="M1663" s="1"/>
      <c r="N1663" s="1" t="str">
        <f ca="1">IFERROR(__xludf.DUMMYFUNCTION("""COMPUTED_VALUE"""),"Male")</f>
        <v>Male</v>
      </c>
      <c r="P1663" s="1" t="str">
        <f ca="1">IFERROR(__xludf.DUMMYFUNCTION("""COMPUTED_VALUE"""),"Work &lt;=6 People in the Team")</f>
        <v>Work &lt;=6 People in the Team</v>
      </c>
      <c r="Q1663" s="1" t="str">
        <f ca="1">IFERROR(__xludf.DUMMYFUNCTION("""COMPUTED_VALUE"""),"Male")</f>
        <v>Male</v>
      </c>
    </row>
    <row r="1664" spans="13:17" x14ac:dyDescent="0.25">
      <c r="M1664" s="1"/>
      <c r="N1664" s="1" t="str">
        <f ca="1">IFERROR(__xludf.DUMMYFUNCTION("""COMPUTED_VALUE"""),"Male")</f>
        <v>Male</v>
      </c>
      <c r="P1664" s="1" t="str">
        <f ca="1">IFERROR(__xludf.DUMMYFUNCTION("""COMPUTED_VALUE"""),"Work &lt;=6 People in the Team")</f>
        <v>Work &lt;=6 People in the Team</v>
      </c>
      <c r="Q1664" s="1" t="str">
        <f ca="1">IFERROR(__xludf.DUMMYFUNCTION("""COMPUTED_VALUE"""),"Male")</f>
        <v>Male</v>
      </c>
    </row>
    <row r="1665" spans="13:17" x14ac:dyDescent="0.25">
      <c r="M1665" s="1"/>
      <c r="N1665" s="1" t="str">
        <f ca="1">IFERROR(__xludf.DUMMYFUNCTION("""COMPUTED_VALUE"""),"Male")</f>
        <v>Male</v>
      </c>
      <c r="P1665" s="1" t="str">
        <f ca="1">IFERROR(__xludf.DUMMYFUNCTION("""COMPUTED_VALUE"""),"Work &lt;=6 People in the Team")</f>
        <v>Work &lt;=6 People in the Team</v>
      </c>
      <c r="Q1665" s="1" t="str">
        <f ca="1">IFERROR(__xludf.DUMMYFUNCTION("""COMPUTED_VALUE"""),"Male")</f>
        <v>Male</v>
      </c>
    </row>
    <row r="1666" spans="13:17" x14ac:dyDescent="0.25">
      <c r="M1666" s="1"/>
      <c r="N1666" s="1" t="str">
        <f ca="1">IFERROR(__xludf.DUMMYFUNCTION("""COMPUTED_VALUE"""),"Female")</f>
        <v>Female</v>
      </c>
      <c r="P1666" s="1" t="str">
        <f ca="1">IFERROR(__xludf.DUMMYFUNCTION("""COMPUTED_VALUE"""),"Work &lt;=6 People in the Team")</f>
        <v>Work &lt;=6 People in the Team</v>
      </c>
      <c r="Q1666" s="1" t="str">
        <f ca="1">IFERROR(__xludf.DUMMYFUNCTION("""COMPUTED_VALUE"""),"Female")</f>
        <v>Female</v>
      </c>
    </row>
    <row r="1667" spans="13:17" x14ac:dyDescent="0.25">
      <c r="M1667" s="1"/>
      <c r="N1667" s="1" t="str">
        <f ca="1">IFERROR(__xludf.DUMMYFUNCTION("""COMPUTED_VALUE"""),"Male")</f>
        <v>Male</v>
      </c>
      <c r="P1667" s="1" t="str">
        <f ca="1">IFERROR(__xludf.DUMMYFUNCTION("""COMPUTED_VALUE"""),"Work &lt;=6 People in the Team")</f>
        <v>Work &lt;=6 People in the Team</v>
      </c>
      <c r="Q1667" s="1" t="str">
        <f ca="1">IFERROR(__xludf.DUMMYFUNCTION("""COMPUTED_VALUE"""),"Male")</f>
        <v>Male</v>
      </c>
    </row>
    <row r="1668" spans="13:17" x14ac:dyDescent="0.25">
      <c r="M1668" s="1"/>
      <c r="N1668" s="1" t="str">
        <f ca="1">IFERROR(__xludf.DUMMYFUNCTION("""COMPUTED_VALUE"""),"Male")</f>
        <v>Male</v>
      </c>
      <c r="P1668" s="1" t="str">
        <f ca="1">IFERROR(__xludf.DUMMYFUNCTION("""COMPUTED_VALUE"""),"Work &lt;=6 People in the Team")</f>
        <v>Work &lt;=6 People in the Team</v>
      </c>
      <c r="Q1668" s="1" t="str">
        <f ca="1">IFERROR(__xludf.DUMMYFUNCTION("""COMPUTED_VALUE"""),"Male")</f>
        <v>Male</v>
      </c>
    </row>
    <row r="1669" spans="13:17" x14ac:dyDescent="0.25">
      <c r="M1669" s="1"/>
      <c r="N1669" s="1" t="str">
        <f ca="1">IFERROR(__xludf.DUMMYFUNCTION("""COMPUTED_VALUE"""),"Male")</f>
        <v>Male</v>
      </c>
      <c r="P1669" s="1" t="str">
        <f ca="1">IFERROR(__xludf.DUMMYFUNCTION("""COMPUTED_VALUE"""),"Work &gt;10 people in Team")</f>
        <v>Work &gt;10 people in Team</v>
      </c>
      <c r="Q1669" s="1" t="str">
        <f ca="1">IFERROR(__xludf.DUMMYFUNCTION("""COMPUTED_VALUE"""),"Male")</f>
        <v>Male</v>
      </c>
    </row>
    <row r="1670" spans="13:17" x14ac:dyDescent="0.25">
      <c r="M1670" s="1"/>
      <c r="N1670" s="1" t="str">
        <f ca="1">IFERROR(__xludf.DUMMYFUNCTION("""COMPUTED_VALUE"""),"Male")</f>
        <v>Male</v>
      </c>
      <c r="P1670" s="1" t="str">
        <f ca="1">IFERROR(__xludf.DUMMYFUNCTION("""COMPUTED_VALUE"""),"Work &lt;=6 People in the Team")</f>
        <v>Work &lt;=6 People in the Team</v>
      </c>
      <c r="Q1670" s="1" t="str">
        <f ca="1">IFERROR(__xludf.DUMMYFUNCTION("""COMPUTED_VALUE"""),"Male")</f>
        <v>Male</v>
      </c>
    </row>
    <row r="1671" spans="13:17" x14ac:dyDescent="0.25">
      <c r="M1671" s="1"/>
      <c r="N1671" s="1" t="str">
        <f ca="1">IFERROR(__xludf.DUMMYFUNCTION("""COMPUTED_VALUE"""),"Male")</f>
        <v>Male</v>
      </c>
      <c r="P1671" s="1" t="str">
        <f ca="1">IFERROR(__xludf.DUMMYFUNCTION("""COMPUTED_VALUE"""),"Work &lt;=6 People in the Team")</f>
        <v>Work &lt;=6 People in the Team</v>
      </c>
      <c r="Q1671" s="1" t="str">
        <f ca="1">IFERROR(__xludf.DUMMYFUNCTION("""COMPUTED_VALUE"""),"Male")</f>
        <v>Male</v>
      </c>
    </row>
    <row r="1672" spans="13:17" x14ac:dyDescent="0.25">
      <c r="M1672" s="1"/>
      <c r="N1672" s="1" t="str">
        <f ca="1">IFERROR(__xludf.DUMMYFUNCTION("""COMPUTED_VALUE"""),"Female")</f>
        <v>Female</v>
      </c>
      <c r="P1672" s="1" t="str">
        <f ca="1">IFERROR(__xludf.DUMMYFUNCTION("""COMPUTED_VALUE"""),"Work &lt;67 People in the Team")</f>
        <v>Work &lt;67 People in the Team</v>
      </c>
      <c r="Q1672" s="1" t="str">
        <f ca="1">IFERROR(__xludf.DUMMYFUNCTION("""COMPUTED_VALUE"""),"Female")</f>
        <v>Female</v>
      </c>
    </row>
    <row r="1673" spans="13:17" x14ac:dyDescent="0.25">
      <c r="M1673" s="1"/>
      <c r="N1673" s="1" t="str">
        <f ca="1">IFERROR(__xludf.DUMMYFUNCTION("""COMPUTED_VALUE"""),"Male")</f>
        <v>Male</v>
      </c>
      <c r="P1673" s="1" t="str">
        <f ca="1">IFERROR(__xludf.DUMMYFUNCTION("""COMPUTED_VALUE"""),"Work &lt;=6 People in the Team")</f>
        <v>Work &lt;=6 People in the Team</v>
      </c>
      <c r="Q1673" s="1" t="str">
        <f ca="1">IFERROR(__xludf.DUMMYFUNCTION("""COMPUTED_VALUE"""),"Male")</f>
        <v>Male</v>
      </c>
    </row>
    <row r="1674" spans="13:17" x14ac:dyDescent="0.25">
      <c r="M1674" s="1"/>
      <c r="N1674" s="1" t="str">
        <f ca="1">IFERROR(__xludf.DUMMYFUNCTION("""COMPUTED_VALUE"""),"Male")</f>
        <v>Male</v>
      </c>
      <c r="P1674" s="1" t="str">
        <f ca="1">IFERROR(__xludf.DUMMYFUNCTION("""COMPUTED_VALUE"""),"Work &lt;=6 People in the Team")</f>
        <v>Work &lt;=6 People in the Team</v>
      </c>
      <c r="Q1674" s="1" t="str">
        <f ca="1">IFERROR(__xludf.DUMMYFUNCTION("""COMPUTED_VALUE"""),"Male")</f>
        <v>Male</v>
      </c>
    </row>
    <row r="1675" spans="13:17" x14ac:dyDescent="0.25">
      <c r="M1675" s="1"/>
      <c r="N1675" s="1" t="str">
        <f ca="1">IFERROR(__xludf.DUMMYFUNCTION("""COMPUTED_VALUE"""),"Female")</f>
        <v>Female</v>
      </c>
      <c r="P1675" s="1" t="str">
        <f ca="1">IFERROR(__xludf.DUMMYFUNCTION("""COMPUTED_VALUE"""),"Work &gt;10 people in Team")</f>
        <v>Work &gt;10 people in Team</v>
      </c>
      <c r="Q1675" s="1" t="str">
        <f ca="1">IFERROR(__xludf.DUMMYFUNCTION("""COMPUTED_VALUE"""),"Female")</f>
        <v>Female</v>
      </c>
    </row>
    <row r="1676" spans="13:17" x14ac:dyDescent="0.25">
      <c r="M1676" s="1"/>
      <c r="N1676" s="1" t="str">
        <f ca="1">IFERROR(__xludf.DUMMYFUNCTION("""COMPUTED_VALUE"""),"Female")</f>
        <v>Female</v>
      </c>
      <c r="P1676" s="1" t="str">
        <f ca="1">IFERROR(__xludf.DUMMYFUNCTION("""COMPUTED_VALUE"""),"Work &lt;=6 People in the Team")</f>
        <v>Work &lt;=6 People in the Team</v>
      </c>
      <c r="Q1676" s="1" t="str">
        <f ca="1">IFERROR(__xludf.DUMMYFUNCTION("""COMPUTED_VALUE"""),"Female")</f>
        <v>Female</v>
      </c>
    </row>
    <row r="1677" spans="13:17" x14ac:dyDescent="0.25">
      <c r="M1677" s="1"/>
      <c r="N1677" s="1" t="str">
        <f ca="1">IFERROR(__xludf.DUMMYFUNCTION("""COMPUTED_VALUE"""),"Male")</f>
        <v>Male</v>
      </c>
      <c r="P1677" s="1" t="str">
        <f ca="1">IFERROR(__xludf.DUMMYFUNCTION("""COMPUTED_VALUE"""),"Work &lt;67 People in the Team")</f>
        <v>Work &lt;67 People in the Team</v>
      </c>
      <c r="Q1677" s="1" t="str">
        <f ca="1">IFERROR(__xludf.DUMMYFUNCTION("""COMPUTED_VALUE"""),"Male")</f>
        <v>Male</v>
      </c>
    </row>
    <row r="1678" spans="13:17" x14ac:dyDescent="0.25">
      <c r="M1678" s="1"/>
      <c r="N1678" s="1" t="str">
        <f ca="1">IFERROR(__xludf.DUMMYFUNCTION("""COMPUTED_VALUE"""),"Male")</f>
        <v>Male</v>
      </c>
      <c r="P1678" s="1" t="str">
        <f ca="1">IFERROR(__xludf.DUMMYFUNCTION("""COMPUTED_VALUE"""),"Work Alone, &lt;67 people in team")</f>
        <v>Work Alone, &lt;67 people in team</v>
      </c>
      <c r="Q1678" s="1" t="str">
        <f ca="1">IFERROR(__xludf.DUMMYFUNCTION("""COMPUTED_VALUE"""),"Male")</f>
        <v>Male</v>
      </c>
    </row>
    <row r="1679" spans="13:17" x14ac:dyDescent="0.25">
      <c r="M1679" s="1"/>
      <c r="N1679" s="1" t="str">
        <f ca="1">IFERROR(__xludf.DUMMYFUNCTION("""COMPUTED_VALUE"""),"Male")</f>
        <v>Male</v>
      </c>
      <c r="P1679" s="1" t="str">
        <f ca="1">IFERROR(__xludf.DUMMYFUNCTION("""COMPUTED_VALUE"""),"Work  &lt;67 people in team")</f>
        <v>Work  &lt;67 people in team</v>
      </c>
      <c r="Q1679" s="1" t="str">
        <f ca="1">IFERROR(__xludf.DUMMYFUNCTION("""COMPUTED_VALUE"""),"Male")</f>
        <v>Male</v>
      </c>
    </row>
    <row r="1680" spans="13:17" x14ac:dyDescent="0.25">
      <c r="M1680" s="1"/>
      <c r="N1680" s="1" t="str">
        <f ca="1">IFERROR(__xludf.DUMMYFUNCTION("""COMPUTED_VALUE"""),"Male")</f>
        <v>Male</v>
      </c>
      <c r="P1680" s="1" t="str">
        <f ca="1">IFERROR(__xludf.DUMMYFUNCTION("""COMPUTED_VALUE"""),"Work &lt;=6 People in the Team")</f>
        <v>Work &lt;=6 People in the Team</v>
      </c>
      <c r="Q1680" s="1" t="str">
        <f ca="1">IFERROR(__xludf.DUMMYFUNCTION("""COMPUTED_VALUE"""),"Male")</f>
        <v>Male</v>
      </c>
    </row>
    <row r="1681" spans="13:17" x14ac:dyDescent="0.25">
      <c r="M1681" s="1"/>
      <c r="N1681" s="1" t="str">
        <f ca="1">IFERROR(__xludf.DUMMYFUNCTION("""COMPUTED_VALUE"""),"Male")</f>
        <v>Male</v>
      </c>
      <c r="P1681" s="1" t="str">
        <f ca="1">IFERROR(__xludf.DUMMYFUNCTION("""COMPUTED_VALUE"""),"Work &lt;=6 People in the Team")</f>
        <v>Work &lt;=6 People in the Team</v>
      </c>
      <c r="Q1681" s="1" t="str">
        <f ca="1">IFERROR(__xludf.DUMMYFUNCTION("""COMPUTED_VALUE"""),"Male")</f>
        <v>Male</v>
      </c>
    </row>
    <row r="1682" spans="13:17" x14ac:dyDescent="0.25">
      <c r="M1682" s="1"/>
      <c r="N1682" s="1" t="str">
        <f ca="1">IFERROR(__xludf.DUMMYFUNCTION("""COMPUTED_VALUE"""),"Male")</f>
        <v>Male</v>
      </c>
      <c r="P1682" s="1" t="str">
        <f ca="1">IFERROR(__xludf.DUMMYFUNCTION("""COMPUTED_VALUE"""),"Work &lt;=6 People in the Team")</f>
        <v>Work &lt;=6 People in the Team</v>
      </c>
      <c r="Q1682" s="1" t="str">
        <f ca="1">IFERROR(__xludf.DUMMYFUNCTION("""COMPUTED_VALUE"""),"Male")</f>
        <v>Male</v>
      </c>
    </row>
    <row r="1683" spans="13:17" x14ac:dyDescent="0.25">
      <c r="M1683" s="1"/>
      <c r="N1683" s="1" t="str">
        <f ca="1">IFERROR(__xludf.DUMMYFUNCTION("""COMPUTED_VALUE"""),"Male")</f>
        <v>Male</v>
      </c>
      <c r="P1683" s="1" t="str">
        <f ca="1">IFERROR(__xludf.DUMMYFUNCTION("""COMPUTED_VALUE"""),"Work &lt;=6 People in the Team")</f>
        <v>Work &lt;=6 People in the Team</v>
      </c>
      <c r="Q1683" s="1" t="str">
        <f ca="1">IFERROR(__xludf.DUMMYFUNCTION("""COMPUTED_VALUE"""),"Male")</f>
        <v>Male</v>
      </c>
    </row>
    <row r="1684" spans="13:17" x14ac:dyDescent="0.25">
      <c r="M1684" s="1"/>
      <c r="N1684" s="1" t="str">
        <f ca="1">IFERROR(__xludf.DUMMYFUNCTION("""COMPUTED_VALUE"""),"Male")</f>
        <v>Male</v>
      </c>
      <c r="P1684" s="1" t="str">
        <f ca="1">IFERROR(__xludf.DUMMYFUNCTION("""COMPUTED_VALUE"""),"Work alone")</f>
        <v>Work alone</v>
      </c>
      <c r="Q1684" s="1" t="str">
        <f ca="1">IFERROR(__xludf.DUMMYFUNCTION("""COMPUTED_VALUE"""),"Male")</f>
        <v>Male</v>
      </c>
    </row>
    <row r="1685" spans="13:17" x14ac:dyDescent="0.25">
      <c r="M1685" s="1"/>
      <c r="N1685" s="1" t="str">
        <f ca="1">IFERROR(__xludf.DUMMYFUNCTION("""COMPUTED_VALUE"""),"Male")</f>
        <v>Male</v>
      </c>
      <c r="P1685" s="1" t="str">
        <f ca="1">IFERROR(__xludf.DUMMYFUNCTION("""COMPUTED_VALUE"""),"Work &lt;=6 People in the Team")</f>
        <v>Work &lt;=6 People in the Team</v>
      </c>
      <c r="Q1685" s="1" t="str">
        <f ca="1">IFERROR(__xludf.DUMMYFUNCTION("""COMPUTED_VALUE"""),"Male")</f>
        <v>Male</v>
      </c>
    </row>
    <row r="1686" spans="13:17" x14ac:dyDescent="0.25">
      <c r="M1686" s="1"/>
      <c r="N1686" s="1" t="str">
        <f ca="1">IFERROR(__xludf.DUMMYFUNCTION("""COMPUTED_VALUE"""),"Female")</f>
        <v>Female</v>
      </c>
      <c r="P1686" s="1" t="str">
        <f ca="1">IFERROR(__xludf.DUMMYFUNCTION("""COMPUTED_VALUE"""),"Work &lt;=6 People in the Team")</f>
        <v>Work &lt;=6 People in the Team</v>
      </c>
      <c r="Q1686" s="1" t="str">
        <f ca="1">IFERROR(__xludf.DUMMYFUNCTION("""COMPUTED_VALUE"""),"Female")</f>
        <v>Female</v>
      </c>
    </row>
    <row r="1687" spans="13:17" x14ac:dyDescent="0.25">
      <c r="M1687" s="1"/>
      <c r="N1687" s="1" t="str">
        <f ca="1">IFERROR(__xludf.DUMMYFUNCTION("""COMPUTED_VALUE"""),"Male")</f>
        <v>Male</v>
      </c>
      <c r="P1687" s="1" t="str">
        <f ca="1">IFERROR(__xludf.DUMMYFUNCTION("""COMPUTED_VALUE"""),"Work &lt;=6 People in the Team")</f>
        <v>Work &lt;=6 People in the Team</v>
      </c>
      <c r="Q1687" s="1" t="str">
        <f ca="1">IFERROR(__xludf.DUMMYFUNCTION("""COMPUTED_VALUE"""),"Male")</f>
        <v>Male</v>
      </c>
    </row>
    <row r="1688" spans="13:17" x14ac:dyDescent="0.25">
      <c r="M1688" s="1"/>
      <c r="N1688" s="1" t="str">
        <f ca="1">IFERROR(__xludf.DUMMYFUNCTION("""COMPUTED_VALUE"""),"Male")</f>
        <v>Male</v>
      </c>
      <c r="P1688" s="1" t="str">
        <f ca="1">IFERROR(__xludf.DUMMYFUNCTION("""COMPUTED_VALUE"""),"Work &lt;=6 People in the Team")</f>
        <v>Work &lt;=6 People in the Team</v>
      </c>
      <c r="Q1688" s="1" t="str">
        <f ca="1">IFERROR(__xludf.DUMMYFUNCTION("""COMPUTED_VALUE"""),"Male")</f>
        <v>Male</v>
      </c>
    </row>
    <row r="1689" spans="13:17" x14ac:dyDescent="0.25">
      <c r="M1689" s="1"/>
      <c r="N1689" s="1" t="str">
        <f ca="1">IFERROR(__xludf.DUMMYFUNCTION("""COMPUTED_VALUE"""),"Male")</f>
        <v>Male</v>
      </c>
      <c r="P1689" s="1" t="str">
        <f ca="1">IFERROR(__xludf.DUMMYFUNCTION("""COMPUTED_VALUE"""),"Work &lt;=6 People in the Team")</f>
        <v>Work &lt;=6 People in the Team</v>
      </c>
      <c r="Q1689" s="1" t="str">
        <f ca="1">IFERROR(__xludf.DUMMYFUNCTION("""COMPUTED_VALUE"""),"Male")</f>
        <v>Male</v>
      </c>
    </row>
    <row r="1690" spans="13:17" x14ac:dyDescent="0.25">
      <c r="M1690" s="1"/>
      <c r="N1690" s="1" t="str">
        <f ca="1">IFERROR(__xludf.DUMMYFUNCTION("""COMPUTED_VALUE"""),"Female")</f>
        <v>Female</v>
      </c>
      <c r="P1690" s="1" t="str">
        <f ca="1">IFERROR(__xludf.DUMMYFUNCTION("""COMPUTED_VALUE"""),"Work &lt;=6 People in the Team")</f>
        <v>Work &lt;=6 People in the Team</v>
      </c>
      <c r="Q1690" s="1" t="str">
        <f ca="1">IFERROR(__xludf.DUMMYFUNCTION("""COMPUTED_VALUE"""),"Female")</f>
        <v>Female</v>
      </c>
    </row>
    <row r="1691" spans="13:17" x14ac:dyDescent="0.25">
      <c r="M1691" s="1"/>
      <c r="N1691" s="1" t="str">
        <f ca="1">IFERROR(__xludf.DUMMYFUNCTION("""COMPUTED_VALUE"""),"Female")</f>
        <v>Female</v>
      </c>
      <c r="P1691" s="1" t="str">
        <f ca="1">IFERROR(__xludf.DUMMYFUNCTION("""COMPUTED_VALUE"""),"Work &gt;10 people in Team")</f>
        <v>Work &gt;10 people in Team</v>
      </c>
      <c r="Q1691" s="1" t="str">
        <f ca="1">IFERROR(__xludf.DUMMYFUNCTION("""COMPUTED_VALUE"""),"Female")</f>
        <v>Female</v>
      </c>
    </row>
    <row r="1692" spans="13:17" x14ac:dyDescent="0.25">
      <c r="M1692" s="1"/>
      <c r="N1692" s="1" t="str">
        <f ca="1">IFERROR(__xludf.DUMMYFUNCTION("""COMPUTED_VALUE"""),"Female")</f>
        <v>Female</v>
      </c>
      <c r="P1692" s="1" t="str">
        <f ca="1">IFERROR(__xludf.DUMMYFUNCTION("""COMPUTED_VALUE"""),"Work &lt;=6 People in the Team")</f>
        <v>Work &lt;=6 People in the Team</v>
      </c>
      <c r="Q1692" s="1" t="str">
        <f ca="1">IFERROR(__xludf.DUMMYFUNCTION("""COMPUTED_VALUE"""),"Female")</f>
        <v>Female</v>
      </c>
    </row>
    <row r="1693" spans="13:17" x14ac:dyDescent="0.25">
      <c r="M1693" s="1"/>
      <c r="N1693" s="1" t="str">
        <f ca="1">IFERROR(__xludf.DUMMYFUNCTION("""COMPUTED_VALUE"""),"Male")</f>
        <v>Male</v>
      </c>
      <c r="P1693" s="1" t="str">
        <f ca="1">IFERROR(__xludf.DUMMYFUNCTION("""COMPUTED_VALUE"""),"Work alone, Work &gt;10 people in Team")</f>
        <v>Work alone, Work &gt;10 people in Team</v>
      </c>
      <c r="Q1693" s="1" t="str">
        <f ca="1">IFERROR(__xludf.DUMMYFUNCTION("""COMPUTED_VALUE"""),"Male")</f>
        <v>Male</v>
      </c>
    </row>
    <row r="1694" spans="13:17" x14ac:dyDescent="0.25">
      <c r="M1694" s="1"/>
      <c r="N1694" s="1" t="str">
        <f ca="1">IFERROR(__xludf.DUMMYFUNCTION("""COMPUTED_VALUE"""),"Male")</f>
        <v>Male</v>
      </c>
      <c r="P1694" s="1" t="str">
        <f ca="1">IFERROR(__xludf.DUMMYFUNCTION("""COMPUTED_VALUE"""),"Work &lt;=6 People in the Team")</f>
        <v>Work &lt;=6 People in the Team</v>
      </c>
      <c r="Q1694" s="1" t="str">
        <f ca="1">IFERROR(__xludf.DUMMYFUNCTION("""COMPUTED_VALUE"""),"Male")</f>
        <v>Male</v>
      </c>
    </row>
    <row r="1695" spans="13:17" x14ac:dyDescent="0.25">
      <c r="M1695" s="1"/>
      <c r="N1695" s="1" t="str">
        <f ca="1">IFERROR(__xludf.DUMMYFUNCTION("""COMPUTED_VALUE"""),"Male")</f>
        <v>Male</v>
      </c>
      <c r="P1695" s="1" t="str">
        <f ca="1">IFERROR(__xludf.DUMMYFUNCTION("""COMPUTED_VALUE"""),"Work &gt;10 people in Team")</f>
        <v>Work &gt;10 people in Team</v>
      </c>
      <c r="Q1695" s="1" t="str">
        <f ca="1">IFERROR(__xludf.DUMMYFUNCTION("""COMPUTED_VALUE"""),"Male")</f>
        <v>Male</v>
      </c>
    </row>
    <row r="1696" spans="13:17" x14ac:dyDescent="0.25">
      <c r="M1696" s="1"/>
      <c r="N1696" s="1" t="str">
        <f ca="1">IFERROR(__xludf.DUMMYFUNCTION("""COMPUTED_VALUE"""),"Female")</f>
        <v>Female</v>
      </c>
      <c r="P1696" s="1" t="str">
        <f ca="1">IFERROR(__xludf.DUMMYFUNCTION("""COMPUTED_VALUE"""),"Work &lt;=6 People in the Team")</f>
        <v>Work &lt;=6 People in the Team</v>
      </c>
      <c r="Q1696" s="1" t="str">
        <f ca="1">IFERROR(__xludf.DUMMYFUNCTION("""COMPUTED_VALUE"""),"Female")</f>
        <v>Female</v>
      </c>
    </row>
    <row r="1697" spans="13:17" x14ac:dyDescent="0.25">
      <c r="M1697" s="1"/>
      <c r="N1697" s="1" t="str">
        <f ca="1">IFERROR(__xludf.DUMMYFUNCTION("""COMPUTED_VALUE"""),"Female")</f>
        <v>Female</v>
      </c>
      <c r="P1697" s="1" t="str">
        <f ca="1">IFERROR(__xludf.DUMMYFUNCTION("""COMPUTED_VALUE"""),"Work &lt;=6 People in the Team")</f>
        <v>Work &lt;=6 People in the Team</v>
      </c>
      <c r="Q1697" s="1" t="str">
        <f ca="1">IFERROR(__xludf.DUMMYFUNCTION("""COMPUTED_VALUE"""),"Female")</f>
        <v>Female</v>
      </c>
    </row>
    <row r="1698" spans="13:17" x14ac:dyDescent="0.25">
      <c r="M1698" s="1"/>
      <c r="N1698" s="1" t="str">
        <f ca="1">IFERROR(__xludf.DUMMYFUNCTION("""COMPUTED_VALUE"""),"Female")</f>
        <v>Female</v>
      </c>
      <c r="P1698" s="1" t="str">
        <f ca="1">IFERROR(__xludf.DUMMYFUNCTION("""COMPUTED_VALUE"""),"Work &lt;=6 People in the Team")</f>
        <v>Work &lt;=6 People in the Team</v>
      </c>
      <c r="Q1698" s="1" t="str">
        <f ca="1">IFERROR(__xludf.DUMMYFUNCTION("""COMPUTED_VALUE"""),"Female")</f>
        <v>Female</v>
      </c>
    </row>
    <row r="1699" spans="13:17" x14ac:dyDescent="0.25">
      <c r="M1699" s="1"/>
      <c r="N1699" s="1" t="str">
        <f ca="1">IFERROR(__xludf.DUMMYFUNCTION("""COMPUTED_VALUE"""),"Male")</f>
        <v>Male</v>
      </c>
      <c r="P1699" s="1" t="str">
        <f ca="1">IFERROR(__xludf.DUMMYFUNCTION("""COMPUTED_VALUE"""),"Work &lt;=6 People in the Team")</f>
        <v>Work &lt;=6 People in the Team</v>
      </c>
      <c r="Q1699" s="1" t="str">
        <f ca="1">IFERROR(__xludf.DUMMYFUNCTION("""COMPUTED_VALUE"""),"Male")</f>
        <v>Male</v>
      </c>
    </row>
    <row r="1700" spans="13:17" x14ac:dyDescent="0.25">
      <c r="M1700" s="1"/>
      <c r="N1700" s="1" t="str">
        <f ca="1">IFERROR(__xludf.DUMMYFUNCTION("""COMPUTED_VALUE"""),"Female")</f>
        <v>Female</v>
      </c>
      <c r="P1700" s="1" t="str">
        <f ca="1">IFERROR(__xludf.DUMMYFUNCTION("""COMPUTED_VALUE"""),"Work &lt;=6 People in the Team")</f>
        <v>Work &lt;=6 People in the Team</v>
      </c>
      <c r="Q1700" s="1" t="str">
        <f ca="1">IFERROR(__xludf.DUMMYFUNCTION("""COMPUTED_VALUE"""),"Female")</f>
        <v>Female</v>
      </c>
    </row>
    <row r="1701" spans="13:17" x14ac:dyDescent="0.25">
      <c r="M1701" s="1"/>
      <c r="N1701" s="1" t="str">
        <f ca="1">IFERROR(__xludf.DUMMYFUNCTION("""COMPUTED_VALUE"""),"Male")</f>
        <v>Male</v>
      </c>
      <c r="P1701" s="1" t="str">
        <f ca="1">IFERROR(__xludf.DUMMYFUNCTION("""COMPUTED_VALUE"""),"Work &gt;10 people in Team")</f>
        <v>Work &gt;10 people in Team</v>
      </c>
      <c r="Q1701" s="1" t="str">
        <f ca="1">IFERROR(__xludf.DUMMYFUNCTION("""COMPUTED_VALUE"""),"Male")</f>
        <v>Male</v>
      </c>
    </row>
    <row r="1702" spans="13:17" x14ac:dyDescent="0.25">
      <c r="M1702" s="1"/>
      <c r="N1702" s="1" t="str">
        <f ca="1">IFERROR(__xludf.DUMMYFUNCTION("""COMPUTED_VALUE"""),"Male")</f>
        <v>Male</v>
      </c>
      <c r="P1702" s="1" t="str">
        <f ca="1">IFERROR(__xludf.DUMMYFUNCTION("""COMPUTED_VALUE"""),"Work &lt;=6 People in the Team")</f>
        <v>Work &lt;=6 People in the Team</v>
      </c>
      <c r="Q1702" s="1" t="str">
        <f ca="1">IFERROR(__xludf.DUMMYFUNCTION("""COMPUTED_VALUE"""),"Male")</f>
        <v>Male</v>
      </c>
    </row>
    <row r="1703" spans="13:17" x14ac:dyDescent="0.25">
      <c r="M1703" s="1"/>
      <c r="N1703" s="1" t="str">
        <f ca="1">IFERROR(__xludf.DUMMYFUNCTION("""COMPUTED_VALUE"""),"Female")</f>
        <v>Female</v>
      </c>
      <c r="P1703" s="1" t="str">
        <f ca="1">IFERROR(__xludf.DUMMYFUNCTION("""COMPUTED_VALUE"""),"Work &lt;=6 People in the Team")</f>
        <v>Work &lt;=6 People in the Team</v>
      </c>
      <c r="Q1703" s="1" t="str">
        <f ca="1">IFERROR(__xludf.DUMMYFUNCTION("""COMPUTED_VALUE"""),"Female")</f>
        <v>Female</v>
      </c>
    </row>
    <row r="1704" spans="13:17" x14ac:dyDescent="0.25">
      <c r="M1704" s="1"/>
      <c r="N1704" s="1" t="str">
        <f ca="1">IFERROR(__xludf.DUMMYFUNCTION("""COMPUTED_VALUE"""),"Male")</f>
        <v>Male</v>
      </c>
      <c r="P1704" s="1" t="str">
        <f ca="1">IFERROR(__xludf.DUMMYFUNCTION("""COMPUTED_VALUE"""),"Work &lt;=6 People in the Team")</f>
        <v>Work &lt;=6 People in the Team</v>
      </c>
      <c r="Q1704" s="1" t="str">
        <f ca="1">IFERROR(__xludf.DUMMYFUNCTION("""COMPUTED_VALUE"""),"Male")</f>
        <v>Male</v>
      </c>
    </row>
    <row r="1705" spans="13:17" x14ac:dyDescent="0.25">
      <c r="M1705" s="1"/>
      <c r="N1705" s="1" t="str">
        <f ca="1">IFERROR(__xludf.DUMMYFUNCTION("""COMPUTED_VALUE"""),"Female")</f>
        <v>Female</v>
      </c>
      <c r="P1705" s="1" t="str">
        <f ca="1">IFERROR(__xludf.DUMMYFUNCTION("""COMPUTED_VALUE"""),"Work &lt;=6 People in the Team")</f>
        <v>Work &lt;=6 People in the Team</v>
      </c>
      <c r="Q1705" s="1" t="str">
        <f ca="1">IFERROR(__xludf.DUMMYFUNCTION("""COMPUTED_VALUE"""),"Female")</f>
        <v>Female</v>
      </c>
    </row>
    <row r="1706" spans="13:17" x14ac:dyDescent="0.25">
      <c r="M1706" s="1"/>
      <c r="N1706" s="1" t="str">
        <f ca="1">IFERROR(__xludf.DUMMYFUNCTION("""COMPUTED_VALUE"""),"Male")</f>
        <v>Male</v>
      </c>
      <c r="P1706" s="1" t="str">
        <f ca="1">IFERROR(__xludf.DUMMYFUNCTION("""COMPUTED_VALUE"""),"Work &gt;=7 People in the Team")</f>
        <v>Work &gt;=7 People in the Team</v>
      </c>
      <c r="Q1706" s="1" t="str">
        <f ca="1">IFERROR(__xludf.DUMMYFUNCTION("""COMPUTED_VALUE"""),"Male")</f>
        <v>Male</v>
      </c>
    </row>
    <row r="1707" spans="13:17" x14ac:dyDescent="0.25">
      <c r="M1707" s="1"/>
      <c r="N1707" s="1" t="str">
        <f ca="1">IFERROR(__xludf.DUMMYFUNCTION("""COMPUTED_VALUE"""),"Male")</f>
        <v>Male</v>
      </c>
      <c r="P1707" s="1" t="str">
        <f ca="1">IFERROR(__xludf.DUMMYFUNCTION("""COMPUTED_VALUE"""),"Work &gt;10 people in Team")</f>
        <v>Work &gt;10 people in Team</v>
      </c>
      <c r="Q1707" s="1" t="str">
        <f ca="1">IFERROR(__xludf.DUMMYFUNCTION("""COMPUTED_VALUE"""),"Male")</f>
        <v>Male</v>
      </c>
    </row>
    <row r="1708" spans="13:17" x14ac:dyDescent="0.25">
      <c r="M1708" s="1"/>
      <c r="N1708" s="1" t="str">
        <f ca="1">IFERROR(__xludf.DUMMYFUNCTION("""COMPUTED_VALUE"""),"Male")</f>
        <v>Male</v>
      </c>
      <c r="P1708" s="1" t="str">
        <f ca="1">IFERROR(__xludf.DUMMYFUNCTION("""COMPUTED_VALUE"""),"Work &lt;=6 People in the Team")</f>
        <v>Work &lt;=6 People in the Team</v>
      </c>
      <c r="Q1708" s="1" t="str">
        <f ca="1">IFERROR(__xludf.DUMMYFUNCTION("""COMPUTED_VALUE"""),"Male")</f>
        <v>Male</v>
      </c>
    </row>
    <row r="1709" spans="13:17" x14ac:dyDescent="0.25">
      <c r="M1709" s="1"/>
      <c r="N1709" s="1" t="str">
        <f ca="1">IFERROR(__xludf.DUMMYFUNCTION("""COMPUTED_VALUE"""),"Female")</f>
        <v>Female</v>
      </c>
      <c r="P1709" s="1" t="str">
        <f ca="1">IFERROR(__xludf.DUMMYFUNCTION("""COMPUTED_VALUE"""),"Work &lt;=6 People in the Team")</f>
        <v>Work &lt;=6 People in the Team</v>
      </c>
      <c r="Q1709" s="1" t="str">
        <f ca="1">IFERROR(__xludf.DUMMYFUNCTION("""COMPUTED_VALUE"""),"Female")</f>
        <v>Female</v>
      </c>
    </row>
    <row r="1710" spans="13:17" x14ac:dyDescent="0.25">
      <c r="M1710" s="1"/>
      <c r="N1710" s="1" t="str">
        <f ca="1">IFERROR(__xludf.DUMMYFUNCTION("""COMPUTED_VALUE"""),"Male")</f>
        <v>Male</v>
      </c>
      <c r="P1710" s="1" t="str">
        <f ca="1">IFERROR(__xludf.DUMMYFUNCTION("""COMPUTED_VALUE"""),"Work &gt;=7 People in the Team")</f>
        <v>Work &gt;=7 People in the Team</v>
      </c>
      <c r="Q1710" s="1" t="str">
        <f ca="1">IFERROR(__xludf.DUMMYFUNCTION("""COMPUTED_VALUE"""),"Male")</f>
        <v>Male</v>
      </c>
    </row>
    <row r="1711" spans="13:17" x14ac:dyDescent="0.25">
      <c r="M1711" s="1"/>
      <c r="N1711" s="1" t="str">
        <f ca="1">IFERROR(__xludf.DUMMYFUNCTION("""COMPUTED_VALUE"""),"Female")</f>
        <v>Female</v>
      </c>
      <c r="P1711" s="1" t="str">
        <f ca="1">IFERROR(__xludf.DUMMYFUNCTION("""COMPUTED_VALUE"""),"Work &lt;=6 People in the Team")</f>
        <v>Work &lt;=6 People in the Team</v>
      </c>
      <c r="Q1711" s="1" t="str">
        <f ca="1">IFERROR(__xludf.DUMMYFUNCTION("""COMPUTED_VALUE"""),"Female")</f>
        <v>Female</v>
      </c>
    </row>
    <row r="1712" spans="13:17" x14ac:dyDescent="0.25">
      <c r="M1712" s="1"/>
      <c r="N1712" s="1" t="str">
        <f ca="1">IFERROR(__xludf.DUMMYFUNCTION("""COMPUTED_VALUE"""),"Male")</f>
        <v>Male</v>
      </c>
      <c r="P1712" s="1" t="str">
        <f ca="1">IFERROR(__xludf.DUMMYFUNCTION("""COMPUTED_VALUE"""),"Work &lt;=6 People in the Team")</f>
        <v>Work &lt;=6 People in the Team</v>
      </c>
      <c r="Q1712" s="1" t="str">
        <f ca="1">IFERROR(__xludf.DUMMYFUNCTION("""COMPUTED_VALUE"""),"Male")</f>
        <v>Male</v>
      </c>
    </row>
    <row r="1713" spans="13:17" x14ac:dyDescent="0.25">
      <c r="M1713" s="1"/>
      <c r="N1713" s="1" t="str">
        <f ca="1">IFERROR(__xludf.DUMMYFUNCTION("""COMPUTED_VALUE"""),"Female")</f>
        <v>Female</v>
      </c>
      <c r="P1713" s="1" t="str">
        <f ca="1">IFERROR(__xludf.DUMMYFUNCTION("""COMPUTED_VALUE"""),"Work &lt;=6 People in the Team")</f>
        <v>Work &lt;=6 People in the Team</v>
      </c>
      <c r="Q1713" s="1" t="str">
        <f ca="1">IFERROR(__xludf.DUMMYFUNCTION("""COMPUTED_VALUE"""),"Female")</f>
        <v>Female</v>
      </c>
    </row>
    <row r="1714" spans="13:17" x14ac:dyDescent="0.25">
      <c r="M1714" s="1"/>
      <c r="N1714" s="1" t="str">
        <f ca="1">IFERROR(__xludf.DUMMYFUNCTION("""COMPUTED_VALUE"""),"Male")</f>
        <v>Male</v>
      </c>
      <c r="P1714" s="1" t="str">
        <f ca="1">IFERROR(__xludf.DUMMYFUNCTION("""COMPUTED_VALUE"""),"Work &gt;10 people in Team")</f>
        <v>Work &gt;10 people in Team</v>
      </c>
      <c r="Q1714" s="1" t="str">
        <f ca="1">IFERROR(__xludf.DUMMYFUNCTION("""COMPUTED_VALUE"""),"Male")</f>
        <v>Male</v>
      </c>
    </row>
    <row r="1715" spans="13:17" x14ac:dyDescent="0.25">
      <c r="M1715" s="1"/>
      <c r="N1715" s="1" t="str">
        <f ca="1">IFERROR(__xludf.DUMMYFUNCTION("""COMPUTED_VALUE"""),"Female")</f>
        <v>Female</v>
      </c>
      <c r="P1715" s="1" t="str">
        <f ca="1">IFERROR(__xludf.DUMMYFUNCTION("""COMPUTED_VALUE"""),"Work &lt;=6 People in the Team")</f>
        <v>Work &lt;=6 People in the Team</v>
      </c>
      <c r="Q1715" s="1" t="str">
        <f ca="1">IFERROR(__xludf.DUMMYFUNCTION("""COMPUTED_VALUE"""),"Female")</f>
        <v>Female</v>
      </c>
    </row>
    <row r="1716" spans="13:17" x14ac:dyDescent="0.25">
      <c r="M1716" s="1"/>
      <c r="N1716" s="1" t="str">
        <f ca="1">IFERROR(__xludf.DUMMYFUNCTION("""COMPUTED_VALUE"""),"Female")</f>
        <v>Female</v>
      </c>
      <c r="P1716" s="1" t="str">
        <f ca="1">IFERROR(__xludf.DUMMYFUNCTION("""COMPUTED_VALUE"""),"Work &lt;=6 People in the Team")</f>
        <v>Work &lt;=6 People in the Team</v>
      </c>
      <c r="Q1716" s="1" t="str">
        <f ca="1">IFERROR(__xludf.DUMMYFUNCTION("""COMPUTED_VALUE"""),"Female")</f>
        <v>Female</v>
      </c>
    </row>
    <row r="1717" spans="13:17" x14ac:dyDescent="0.25">
      <c r="M1717" s="1"/>
      <c r="N1717" s="1" t="str">
        <f ca="1">IFERROR(__xludf.DUMMYFUNCTION("""COMPUTED_VALUE"""),"Male")</f>
        <v>Male</v>
      </c>
      <c r="P1717" s="1" t="str">
        <f ca="1">IFERROR(__xludf.DUMMYFUNCTION("""COMPUTED_VALUE"""),"Work &lt;=6 People in the Team")</f>
        <v>Work &lt;=6 People in the Team</v>
      </c>
      <c r="Q1717" s="1" t="str">
        <f ca="1">IFERROR(__xludf.DUMMYFUNCTION("""COMPUTED_VALUE"""),"Male")</f>
        <v>Male</v>
      </c>
    </row>
    <row r="1718" spans="13:17" x14ac:dyDescent="0.25">
      <c r="M1718" s="1"/>
      <c r="N1718" s="1" t="str">
        <f ca="1">IFERROR(__xludf.DUMMYFUNCTION("""COMPUTED_VALUE"""),"Male")</f>
        <v>Male</v>
      </c>
      <c r="P1718" s="1" t="str">
        <f ca="1">IFERROR(__xludf.DUMMYFUNCTION("""COMPUTED_VALUE"""),"Work &lt;=6 People in the Team")</f>
        <v>Work &lt;=6 People in the Team</v>
      </c>
      <c r="Q1718" s="1" t="str">
        <f ca="1">IFERROR(__xludf.DUMMYFUNCTION("""COMPUTED_VALUE"""),"Male")</f>
        <v>Male</v>
      </c>
    </row>
    <row r="1719" spans="13:17" x14ac:dyDescent="0.25">
      <c r="M1719" s="1"/>
      <c r="N1719" s="1" t="str">
        <f ca="1">IFERROR(__xludf.DUMMYFUNCTION("""COMPUTED_VALUE"""),"Male")</f>
        <v>Male</v>
      </c>
      <c r="P1719" s="1" t="str">
        <f ca="1">IFERROR(__xludf.DUMMYFUNCTION("""COMPUTED_VALUE"""),"Work &gt;10 people in Team")</f>
        <v>Work &gt;10 people in Team</v>
      </c>
      <c r="Q1719" s="1" t="str">
        <f ca="1">IFERROR(__xludf.DUMMYFUNCTION("""COMPUTED_VALUE"""),"Male")</f>
        <v>Male</v>
      </c>
    </row>
    <row r="1720" spans="13:17" x14ac:dyDescent="0.25">
      <c r="M1720" s="1"/>
      <c r="N1720" s="1" t="str">
        <f ca="1">IFERROR(__xludf.DUMMYFUNCTION("""COMPUTED_VALUE"""),"Male")</f>
        <v>Male</v>
      </c>
      <c r="P1720" s="1" t="str">
        <f ca="1">IFERROR(__xludf.DUMMYFUNCTION("""COMPUTED_VALUE"""),"Work &lt;=6 People in the Team")</f>
        <v>Work &lt;=6 People in the Team</v>
      </c>
      <c r="Q1720" s="1" t="str">
        <f ca="1">IFERROR(__xludf.DUMMYFUNCTION("""COMPUTED_VALUE"""),"Male")</f>
        <v>Male</v>
      </c>
    </row>
    <row r="1721" spans="13:17" x14ac:dyDescent="0.25">
      <c r="M1721" s="1"/>
      <c r="N1721" s="1" t="str">
        <f ca="1">IFERROR(__xludf.DUMMYFUNCTION("""COMPUTED_VALUE"""),"Male")</f>
        <v>Male</v>
      </c>
      <c r="P1721" s="1" t="str">
        <f ca="1">IFERROR(__xludf.DUMMYFUNCTION("""COMPUTED_VALUE"""),"Work &gt;=7 People in the Team")</f>
        <v>Work &gt;=7 People in the Team</v>
      </c>
      <c r="Q1721" s="1" t="str">
        <f ca="1">IFERROR(__xludf.DUMMYFUNCTION("""COMPUTED_VALUE"""),"Male")</f>
        <v>Male</v>
      </c>
    </row>
    <row r="1722" spans="13:17" x14ac:dyDescent="0.25">
      <c r="M1722" s="1"/>
      <c r="N1722" s="1" t="str">
        <f ca="1">IFERROR(__xludf.DUMMYFUNCTION("""COMPUTED_VALUE"""),"Male")</f>
        <v>Male</v>
      </c>
      <c r="P1722" s="1" t="str">
        <f ca="1">IFERROR(__xludf.DUMMYFUNCTION("""COMPUTED_VALUE"""),"Work &gt;10 people in Team")</f>
        <v>Work &gt;10 people in Team</v>
      </c>
      <c r="Q1722" s="1" t="str">
        <f ca="1">IFERROR(__xludf.DUMMYFUNCTION("""COMPUTED_VALUE"""),"Male")</f>
        <v>Male</v>
      </c>
    </row>
    <row r="1723" spans="13:17" x14ac:dyDescent="0.25">
      <c r="M1723" s="1"/>
      <c r="N1723" s="1" t="str">
        <f ca="1">IFERROR(__xludf.DUMMYFUNCTION("""COMPUTED_VALUE"""),"Male")</f>
        <v>Male</v>
      </c>
      <c r="P1723" s="1" t="str">
        <f ca="1">IFERROR(__xludf.DUMMYFUNCTION("""COMPUTED_VALUE"""),"Work &gt;=7 People in the Team")</f>
        <v>Work &gt;=7 People in the Team</v>
      </c>
      <c r="Q1723" s="1" t="str">
        <f ca="1">IFERROR(__xludf.DUMMYFUNCTION("""COMPUTED_VALUE"""),"Male")</f>
        <v>Male</v>
      </c>
    </row>
    <row r="1724" spans="13:17" x14ac:dyDescent="0.25">
      <c r="M1724" s="1"/>
      <c r="N1724" s="1" t="str">
        <f ca="1">IFERROR(__xludf.DUMMYFUNCTION("""COMPUTED_VALUE"""),"Male")</f>
        <v>Male</v>
      </c>
      <c r="P1724" s="1" t="str">
        <f ca="1">IFERROR(__xludf.DUMMYFUNCTION("""COMPUTED_VALUE"""),"Work &lt;=6 People in the Team")</f>
        <v>Work &lt;=6 People in the Team</v>
      </c>
      <c r="Q1724" s="1" t="str">
        <f ca="1">IFERROR(__xludf.DUMMYFUNCTION("""COMPUTED_VALUE"""),"Male")</f>
        <v>Male</v>
      </c>
    </row>
    <row r="1725" spans="13:17" x14ac:dyDescent="0.25">
      <c r="M1725" s="1"/>
      <c r="N1725" s="1" t="str">
        <f ca="1">IFERROR(__xludf.DUMMYFUNCTION("""COMPUTED_VALUE"""),"Male")</f>
        <v>Male</v>
      </c>
      <c r="P1725" s="1" t="str">
        <f ca="1">IFERROR(__xludf.DUMMYFUNCTION("""COMPUTED_VALUE"""),"Work &gt;10 people in Team")</f>
        <v>Work &gt;10 people in Team</v>
      </c>
      <c r="Q1725" s="1" t="str">
        <f ca="1">IFERROR(__xludf.DUMMYFUNCTION("""COMPUTED_VALUE"""),"Male")</f>
        <v>Male</v>
      </c>
    </row>
    <row r="1726" spans="13:17" x14ac:dyDescent="0.25">
      <c r="M1726" s="1"/>
      <c r="N1726" s="1" t="str">
        <f ca="1">IFERROR(__xludf.DUMMYFUNCTION("""COMPUTED_VALUE"""),"Male")</f>
        <v>Male</v>
      </c>
      <c r="P1726" s="1" t="str">
        <f ca="1">IFERROR(__xludf.DUMMYFUNCTION("""COMPUTED_VALUE"""),"Work &lt;=6 People in the Team")</f>
        <v>Work &lt;=6 People in the Team</v>
      </c>
      <c r="Q1726" s="1" t="str">
        <f ca="1">IFERROR(__xludf.DUMMYFUNCTION("""COMPUTED_VALUE"""),"Male")</f>
        <v>Male</v>
      </c>
    </row>
    <row r="1727" spans="13:17" x14ac:dyDescent="0.25">
      <c r="M1727" s="1"/>
      <c r="N1727" s="1" t="str">
        <f ca="1">IFERROR(__xludf.DUMMYFUNCTION("""COMPUTED_VALUE"""),"Male")</f>
        <v>Male</v>
      </c>
      <c r="P1727" s="1" t="str">
        <f ca="1">IFERROR(__xludf.DUMMYFUNCTION("""COMPUTED_VALUE"""),"Work Alone, &lt;67 people in team")</f>
        <v>Work Alone, &lt;67 people in team</v>
      </c>
      <c r="Q1727" s="1" t="str">
        <f ca="1">IFERROR(__xludf.DUMMYFUNCTION("""COMPUTED_VALUE"""),"Male")</f>
        <v>Male</v>
      </c>
    </row>
    <row r="1728" spans="13:17" x14ac:dyDescent="0.25">
      <c r="M1728" s="1"/>
      <c r="N1728" s="1" t="str">
        <f ca="1">IFERROR(__xludf.DUMMYFUNCTION("""COMPUTED_VALUE"""),"Male")</f>
        <v>Male</v>
      </c>
      <c r="P1728" s="1" t="str">
        <f ca="1">IFERROR(__xludf.DUMMYFUNCTION("""COMPUTED_VALUE"""),"Work &lt;67 People in the Team")</f>
        <v>Work &lt;67 People in the Team</v>
      </c>
      <c r="Q1728" s="1" t="str">
        <f ca="1">IFERROR(__xludf.DUMMYFUNCTION("""COMPUTED_VALUE"""),"Male")</f>
        <v>Male</v>
      </c>
    </row>
    <row r="1729" spans="13:17" x14ac:dyDescent="0.25">
      <c r="M1729" s="1"/>
      <c r="N1729" s="1" t="str">
        <f ca="1">IFERROR(__xludf.DUMMYFUNCTION("""COMPUTED_VALUE"""),"Male")</f>
        <v>Male</v>
      </c>
      <c r="P1729" s="1" t="str">
        <f ca="1">IFERROR(__xludf.DUMMYFUNCTION("""COMPUTED_VALUE"""),"Work &lt;=6 People in the Team")</f>
        <v>Work &lt;=6 People in the Team</v>
      </c>
      <c r="Q1729" s="1" t="str">
        <f ca="1">IFERROR(__xludf.DUMMYFUNCTION("""COMPUTED_VALUE"""),"Male")</f>
        <v>Male</v>
      </c>
    </row>
    <row r="1730" spans="13:17" x14ac:dyDescent="0.25">
      <c r="M1730" s="1"/>
      <c r="N1730" s="1" t="str">
        <f ca="1">IFERROR(__xludf.DUMMYFUNCTION("""COMPUTED_VALUE"""),"Male")</f>
        <v>Male</v>
      </c>
      <c r="P1730" s="1" t="str">
        <f ca="1">IFERROR(__xludf.DUMMYFUNCTION("""COMPUTED_VALUE"""),"Work &lt;=6 People in the Team")</f>
        <v>Work &lt;=6 People in the Team</v>
      </c>
      <c r="Q1730" s="1" t="str">
        <f ca="1">IFERROR(__xludf.DUMMYFUNCTION("""COMPUTED_VALUE"""),"Male")</f>
        <v>Male</v>
      </c>
    </row>
    <row r="1731" spans="13:17" x14ac:dyDescent="0.25">
      <c r="M1731" s="1"/>
      <c r="N1731" s="1" t="str">
        <f ca="1">IFERROR(__xludf.DUMMYFUNCTION("""COMPUTED_VALUE"""),"Male")</f>
        <v>Male</v>
      </c>
      <c r="P1731" s="1" t="str">
        <f ca="1">IFERROR(__xludf.DUMMYFUNCTION("""COMPUTED_VALUE"""),"Work &lt;=6 People in the Team")</f>
        <v>Work &lt;=6 People in the Team</v>
      </c>
      <c r="Q1731" s="1" t="str">
        <f ca="1">IFERROR(__xludf.DUMMYFUNCTION("""COMPUTED_VALUE"""),"Male")</f>
        <v>Male</v>
      </c>
    </row>
    <row r="1732" spans="13:17" x14ac:dyDescent="0.25">
      <c r="M1732" s="1"/>
      <c r="N1732" s="1" t="str">
        <f ca="1">IFERROR(__xludf.DUMMYFUNCTION("""COMPUTED_VALUE"""),"Male")</f>
        <v>Male</v>
      </c>
      <c r="P1732" s="1" t="str">
        <f ca="1">IFERROR(__xludf.DUMMYFUNCTION("""COMPUTED_VALUE"""),"Work &gt;10 people in Team")</f>
        <v>Work &gt;10 people in Team</v>
      </c>
      <c r="Q1732" s="1" t="str">
        <f ca="1">IFERROR(__xludf.DUMMYFUNCTION("""COMPUTED_VALUE"""),"Male")</f>
        <v>Male</v>
      </c>
    </row>
    <row r="1733" spans="13:17" x14ac:dyDescent="0.25">
      <c r="M1733" s="1"/>
      <c r="N1733" s="1" t="str">
        <f ca="1">IFERROR(__xludf.DUMMYFUNCTION("""COMPUTED_VALUE"""),"Male")</f>
        <v>Male</v>
      </c>
      <c r="P1733" s="1" t="str">
        <f ca="1">IFERROR(__xludf.DUMMYFUNCTION("""COMPUTED_VALUE"""),"Work &gt;10 people in Team")</f>
        <v>Work &gt;10 people in Team</v>
      </c>
      <c r="Q1733" s="1" t="str">
        <f ca="1">IFERROR(__xludf.DUMMYFUNCTION("""COMPUTED_VALUE"""),"Male")</f>
        <v>Male</v>
      </c>
    </row>
    <row r="1734" spans="13:17" x14ac:dyDescent="0.25">
      <c r="M1734" s="1"/>
      <c r="N1734" s="1" t="str">
        <f ca="1">IFERROR(__xludf.DUMMYFUNCTION("""COMPUTED_VALUE"""),"Male")</f>
        <v>Male</v>
      </c>
      <c r="P1734" s="1" t="str">
        <f ca="1">IFERROR(__xludf.DUMMYFUNCTION("""COMPUTED_VALUE"""),"Work &lt;=6 People in the Team")</f>
        <v>Work &lt;=6 People in the Team</v>
      </c>
      <c r="Q1734" s="1" t="str">
        <f ca="1">IFERROR(__xludf.DUMMYFUNCTION("""COMPUTED_VALUE"""),"Male")</f>
        <v>Male</v>
      </c>
    </row>
    <row r="1735" spans="13:17" x14ac:dyDescent="0.25">
      <c r="M1735" s="1"/>
      <c r="N1735" s="1" t="str">
        <f ca="1">IFERROR(__xludf.DUMMYFUNCTION("""COMPUTED_VALUE"""),"Male")</f>
        <v>Male</v>
      </c>
      <c r="P1735" s="1" t="str">
        <f ca="1">IFERROR(__xludf.DUMMYFUNCTION("""COMPUTED_VALUE"""),"Work &lt;=6 People in the Team")</f>
        <v>Work &lt;=6 People in the Team</v>
      </c>
      <c r="Q1735" s="1" t="str">
        <f ca="1">IFERROR(__xludf.DUMMYFUNCTION("""COMPUTED_VALUE"""),"Male")</f>
        <v>Male</v>
      </c>
    </row>
    <row r="1736" spans="13:17" x14ac:dyDescent="0.25">
      <c r="M1736" s="1"/>
      <c r="N1736" s="1" t="str">
        <f ca="1">IFERROR(__xludf.DUMMYFUNCTION("""COMPUTED_VALUE"""),"Female")</f>
        <v>Female</v>
      </c>
      <c r="P1736" s="1" t="str">
        <f ca="1">IFERROR(__xludf.DUMMYFUNCTION("""COMPUTED_VALUE"""),"Work &lt;=6 People in the Team")</f>
        <v>Work &lt;=6 People in the Team</v>
      </c>
      <c r="Q1736" s="1" t="str">
        <f ca="1">IFERROR(__xludf.DUMMYFUNCTION("""COMPUTED_VALUE"""),"Female")</f>
        <v>Female</v>
      </c>
    </row>
    <row r="1737" spans="13:17" x14ac:dyDescent="0.25">
      <c r="M1737" s="1"/>
      <c r="N1737" s="1" t="str">
        <f ca="1">IFERROR(__xludf.DUMMYFUNCTION("""COMPUTED_VALUE"""),"Male")</f>
        <v>Male</v>
      </c>
      <c r="P1737" s="1" t="str">
        <f ca="1">IFERROR(__xludf.DUMMYFUNCTION("""COMPUTED_VALUE"""),"Work &lt;=6 People in the Team")</f>
        <v>Work &lt;=6 People in the Team</v>
      </c>
      <c r="Q1737" s="1" t="str">
        <f ca="1">IFERROR(__xludf.DUMMYFUNCTION("""COMPUTED_VALUE"""),"Male")</f>
        <v>Male</v>
      </c>
    </row>
    <row r="1738" spans="13:17" x14ac:dyDescent="0.25">
      <c r="M1738" s="1"/>
      <c r="N1738" s="1" t="str">
        <f ca="1">IFERROR(__xludf.DUMMYFUNCTION("""COMPUTED_VALUE"""),"Female")</f>
        <v>Female</v>
      </c>
      <c r="P1738" s="1" t="str">
        <f ca="1">IFERROR(__xludf.DUMMYFUNCTION("""COMPUTED_VALUE"""),"Work Alone, &lt;=6 in team")</f>
        <v>Work Alone, &lt;=6 in team</v>
      </c>
      <c r="Q1738" s="1" t="str">
        <f ca="1">IFERROR(__xludf.DUMMYFUNCTION("""COMPUTED_VALUE"""),"Female")</f>
        <v>Female</v>
      </c>
    </row>
    <row r="1739" spans="13:17" x14ac:dyDescent="0.25">
      <c r="M1739" s="1"/>
      <c r="N1739" s="1" t="str">
        <f ca="1">IFERROR(__xludf.DUMMYFUNCTION("""COMPUTED_VALUE"""),"Female")</f>
        <v>Female</v>
      </c>
      <c r="P1739" s="1" t="str">
        <f ca="1">IFERROR(__xludf.DUMMYFUNCTION("""COMPUTED_VALUE"""),"Work &lt;=6 People in the Team")</f>
        <v>Work &lt;=6 People in the Team</v>
      </c>
      <c r="Q1739" s="1" t="str">
        <f ca="1">IFERROR(__xludf.DUMMYFUNCTION("""COMPUTED_VALUE"""),"Female")</f>
        <v>Female</v>
      </c>
    </row>
    <row r="1740" spans="13:17" x14ac:dyDescent="0.25">
      <c r="M1740" s="1"/>
      <c r="N1740" s="1" t="str">
        <f ca="1">IFERROR(__xludf.DUMMYFUNCTION("""COMPUTED_VALUE"""),"Female")</f>
        <v>Female</v>
      </c>
      <c r="P1740" s="1" t="str">
        <f ca="1">IFERROR(__xludf.DUMMYFUNCTION("""COMPUTED_VALUE"""),"Work &lt;=6 People in the Team")</f>
        <v>Work &lt;=6 People in the Team</v>
      </c>
      <c r="Q1740" s="1" t="str">
        <f ca="1">IFERROR(__xludf.DUMMYFUNCTION("""COMPUTED_VALUE"""),"Female")</f>
        <v>Female</v>
      </c>
    </row>
    <row r="1741" spans="13:17" x14ac:dyDescent="0.25">
      <c r="M1741" s="1"/>
      <c r="N1741" s="1" t="str">
        <f ca="1">IFERROR(__xludf.DUMMYFUNCTION("""COMPUTED_VALUE"""),"Male")</f>
        <v>Male</v>
      </c>
      <c r="P1741" s="1" t="str">
        <f ca="1">IFERROR(__xludf.DUMMYFUNCTION("""COMPUTED_VALUE"""),"Work &lt;=6 People in the Team")</f>
        <v>Work &lt;=6 People in the Team</v>
      </c>
      <c r="Q1741" s="1" t="str">
        <f ca="1">IFERROR(__xludf.DUMMYFUNCTION("""COMPUTED_VALUE"""),"Male")</f>
        <v>Male</v>
      </c>
    </row>
    <row r="1742" spans="13:17" x14ac:dyDescent="0.25">
      <c r="M1742" s="1"/>
      <c r="N1742" s="1" t="str">
        <f ca="1">IFERROR(__xludf.DUMMYFUNCTION("""COMPUTED_VALUE"""),"Female")</f>
        <v>Female</v>
      </c>
      <c r="P1742" s="1" t="str">
        <f ca="1">IFERROR(__xludf.DUMMYFUNCTION("""COMPUTED_VALUE"""),"Work &lt;=6 People in the Team")</f>
        <v>Work &lt;=6 People in the Team</v>
      </c>
      <c r="Q1742" s="1" t="str">
        <f ca="1">IFERROR(__xludf.DUMMYFUNCTION("""COMPUTED_VALUE"""),"Female")</f>
        <v>Female</v>
      </c>
    </row>
    <row r="1743" spans="13:17" x14ac:dyDescent="0.25">
      <c r="M1743" s="1"/>
      <c r="N1743" s="1" t="str">
        <f ca="1">IFERROR(__xludf.DUMMYFUNCTION("""COMPUTED_VALUE"""),"Female")</f>
        <v>Female</v>
      </c>
      <c r="P1743" s="1" t="str">
        <f ca="1">IFERROR(__xludf.DUMMYFUNCTION("""COMPUTED_VALUE"""),"Work &lt;=6 People in the Team")</f>
        <v>Work &lt;=6 People in the Team</v>
      </c>
      <c r="Q1743" s="1" t="str">
        <f ca="1">IFERROR(__xludf.DUMMYFUNCTION("""COMPUTED_VALUE"""),"Female")</f>
        <v>Female</v>
      </c>
    </row>
    <row r="1744" spans="13:17" x14ac:dyDescent="0.25">
      <c r="M1744" s="1"/>
      <c r="N1744" s="1" t="str">
        <f ca="1">IFERROR(__xludf.DUMMYFUNCTION("""COMPUTED_VALUE"""),"Male")</f>
        <v>Male</v>
      </c>
      <c r="P1744" s="1" t="str">
        <f ca="1">IFERROR(__xludf.DUMMYFUNCTION("""COMPUTED_VALUE"""),"Work &lt;=6 People in the Team")</f>
        <v>Work &lt;=6 People in the Team</v>
      </c>
      <c r="Q1744" s="1" t="str">
        <f ca="1">IFERROR(__xludf.DUMMYFUNCTION("""COMPUTED_VALUE"""),"Male")</f>
        <v>Male</v>
      </c>
    </row>
    <row r="1745" spans="13:17" x14ac:dyDescent="0.25">
      <c r="M1745" s="1"/>
      <c r="N1745" s="1" t="str">
        <f ca="1">IFERROR(__xludf.DUMMYFUNCTION("""COMPUTED_VALUE"""),"Male")</f>
        <v>Male</v>
      </c>
      <c r="P1745" s="1" t="str">
        <f ca="1">IFERROR(__xludf.DUMMYFUNCTION("""COMPUTED_VALUE"""),"Work &lt;=6 People in the Team")</f>
        <v>Work &lt;=6 People in the Team</v>
      </c>
      <c r="Q1745" s="1" t="str">
        <f ca="1">IFERROR(__xludf.DUMMYFUNCTION("""COMPUTED_VALUE"""),"Male")</f>
        <v>Male</v>
      </c>
    </row>
    <row r="1746" spans="13:17" x14ac:dyDescent="0.25">
      <c r="M1746" s="1"/>
      <c r="N1746" s="1" t="str">
        <f ca="1">IFERROR(__xludf.DUMMYFUNCTION("""COMPUTED_VALUE"""),"Male")</f>
        <v>Male</v>
      </c>
      <c r="P1746" s="1" t="str">
        <f ca="1">IFERROR(__xludf.DUMMYFUNCTION("""COMPUTED_VALUE"""),"Work Alone, &lt;=6 in team")</f>
        <v>Work Alone, &lt;=6 in team</v>
      </c>
      <c r="Q1746" s="1" t="str">
        <f ca="1">IFERROR(__xludf.DUMMYFUNCTION("""COMPUTED_VALUE"""),"Male")</f>
        <v>Male</v>
      </c>
    </row>
    <row r="1747" spans="13:17" x14ac:dyDescent="0.25">
      <c r="M1747" s="1"/>
      <c r="N1747" s="1" t="str">
        <f ca="1">IFERROR(__xludf.DUMMYFUNCTION("""COMPUTED_VALUE"""),"Male")</f>
        <v>Male</v>
      </c>
      <c r="P1747" s="1" t="str">
        <f ca="1">IFERROR(__xludf.DUMMYFUNCTION("""COMPUTED_VALUE"""),"Work &lt;=6 People in the Team")</f>
        <v>Work &lt;=6 People in the Team</v>
      </c>
      <c r="Q1747" s="1" t="str">
        <f ca="1">IFERROR(__xludf.DUMMYFUNCTION("""COMPUTED_VALUE"""),"Male")</f>
        <v>Male</v>
      </c>
    </row>
    <row r="1748" spans="13:17" x14ac:dyDescent="0.25">
      <c r="M1748" s="1"/>
      <c r="N1748" s="1" t="str">
        <f ca="1">IFERROR(__xludf.DUMMYFUNCTION("""COMPUTED_VALUE"""),"Female")</f>
        <v>Female</v>
      </c>
      <c r="P1748" s="1" t="str">
        <f ca="1">IFERROR(__xludf.DUMMYFUNCTION("""COMPUTED_VALUE"""),"Work &lt;=6 People in the Team")</f>
        <v>Work &lt;=6 People in the Team</v>
      </c>
      <c r="Q1748" s="1" t="str">
        <f ca="1">IFERROR(__xludf.DUMMYFUNCTION("""COMPUTED_VALUE"""),"Female")</f>
        <v>Female</v>
      </c>
    </row>
    <row r="1749" spans="13:17" x14ac:dyDescent="0.25">
      <c r="M1749" s="1"/>
      <c r="N1749" s="1" t="str">
        <f ca="1">IFERROR(__xludf.DUMMYFUNCTION("""COMPUTED_VALUE"""),"Male")</f>
        <v>Male</v>
      </c>
      <c r="P1749" s="1" t="str">
        <f ca="1">IFERROR(__xludf.DUMMYFUNCTION("""COMPUTED_VALUE"""),"Work &lt;=6 People in the Team")</f>
        <v>Work &lt;=6 People in the Team</v>
      </c>
      <c r="Q1749" s="1" t="str">
        <f ca="1">IFERROR(__xludf.DUMMYFUNCTION("""COMPUTED_VALUE"""),"Male")</f>
        <v>Male</v>
      </c>
    </row>
    <row r="1750" spans="13:17" x14ac:dyDescent="0.25">
      <c r="M1750" s="1"/>
      <c r="N1750" s="1" t="str">
        <f ca="1">IFERROR(__xludf.DUMMYFUNCTION("""COMPUTED_VALUE"""),"Female")</f>
        <v>Female</v>
      </c>
      <c r="P1750" s="1" t="str">
        <f ca="1">IFERROR(__xludf.DUMMYFUNCTION("""COMPUTED_VALUE"""),"Work &lt;=6 People in the Team")</f>
        <v>Work &lt;=6 People in the Team</v>
      </c>
      <c r="Q1750" s="1" t="str">
        <f ca="1">IFERROR(__xludf.DUMMYFUNCTION("""COMPUTED_VALUE"""),"Female")</f>
        <v>Female</v>
      </c>
    </row>
    <row r="1751" spans="13:17" x14ac:dyDescent="0.25">
      <c r="M1751" s="1"/>
      <c r="N1751" s="1" t="str">
        <f ca="1">IFERROR(__xludf.DUMMYFUNCTION("""COMPUTED_VALUE"""),"Female")</f>
        <v>Female</v>
      </c>
      <c r="P1751" s="1" t="str">
        <f ca="1">IFERROR(__xludf.DUMMYFUNCTION("""COMPUTED_VALUE"""),"Work &lt;=6 People in the Team")</f>
        <v>Work &lt;=6 People in the Team</v>
      </c>
      <c r="Q1751" s="1" t="str">
        <f ca="1">IFERROR(__xludf.DUMMYFUNCTION("""COMPUTED_VALUE"""),"Female")</f>
        <v>Female</v>
      </c>
    </row>
    <row r="1752" spans="13:17" x14ac:dyDescent="0.25">
      <c r="M1752" s="1"/>
      <c r="N1752" s="1" t="str">
        <f ca="1">IFERROR(__xludf.DUMMYFUNCTION("""COMPUTED_VALUE"""),"Male")</f>
        <v>Male</v>
      </c>
      <c r="P1752" s="1" t="str">
        <f ca="1">IFERROR(__xludf.DUMMYFUNCTION("""COMPUTED_VALUE"""),"Work &gt;10 people in Team")</f>
        <v>Work &gt;10 people in Team</v>
      </c>
      <c r="Q1752" s="1" t="str">
        <f ca="1">IFERROR(__xludf.DUMMYFUNCTION("""COMPUTED_VALUE"""),"Male")</f>
        <v>Male</v>
      </c>
    </row>
    <row r="1753" spans="13:17" x14ac:dyDescent="0.25">
      <c r="M1753" s="1"/>
      <c r="N1753" s="1" t="str">
        <f ca="1">IFERROR(__xludf.DUMMYFUNCTION("""COMPUTED_VALUE"""),"Female")</f>
        <v>Female</v>
      </c>
      <c r="P1753" s="1" t="str">
        <f ca="1">IFERROR(__xludf.DUMMYFUNCTION("""COMPUTED_VALUE"""),"Work &lt;=6 People in the Team")</f>
        <v>Work &lt;=6 People in the Team</v>
      </c>
      <c r="Q1753" s="1" t="str">
        <f ca="1">IFERROR(__xludf.DUMMYFUNCTION("""COMPUTED_VALUE"""),"Female")</f>
        <v>Female</v>
      </c>
    </row>
    <row r="1754" spans="13:17" x14ac:dyDescent="0.25">
      <c r="M1754" s="1"/>
      <c r="N1754" s="1" t="str">
        <f ca="1">IFERROR(__xludf.DUMMYFUNCTION("""COMPUTED_VALUE"""),"Male")</f>
        <v>Male</v>
      </c>
      <c r="P1754" s="1" t="str">
        <f ca="1">IFERROR(__xludf.DUMMYFUNCTION("""COMPUTED_VALUE"""),"Work &lt;=6 People in the Team")</f>
        <v>Work &lt;=6 People in the Team</v>
      </c>
      <c r="Q1754" s="1" t="str">
        <f ca="1">IFERROR(__xludf.DUMMYFUNCTION("""COMPUTED_VALUE"""),"Male")</f>
        <v>Male</v>
      </c>
    </row>
    <row r="1755" spans="13:17" x14ac:dyDescent="0.25">
      <c r="M1755" s="1"/>
      <c r="N1755" s="1"/>
      <c r="P1755" s="1"/>
      <c r="Q1755" s="1"/>
    </row>
    <row r="1756" spans="13:17" x14ac:dyDescent="0.25">
      <c r="M1756" s="1"/>
      <c r="N1756" s="1"/>
      <c r="P1756" s="1"/>
      <c r="Q1756" s="1"/>
    </row>
    <row r="1757" spans="13:17" x14ac:dyDescent="0.25">
      <c r="M1757" s="1"/>
      <c r="N1757" s="1"/>
      <c r="P1757" s="1"/>
      <c r="Q1757" s="1"/>
    </row>
    <row r="1758" spans="13:17" x14ac:dyDescent="0.25">
      <c r="M1758" s="1"/>
      <c r="N1758" s="1"/>
      <c r="P1758" s="1"/>
      <c r="Q1758" s="1"/>
    </row>
    <row r="1759" spans="13:17" x14ac:dyDescent="0.25">
      <c r="M1759" s="1"/>
      <c r="N1759" s="1"/>
      <c r="P1759" s="1"/>
      <c r="Q1759" s="1"/>
    </row>
    <row r="1760" spans="13:17" x14ac:dyDescent="0.25">
      <c r="M1760" s="1"/>
      <c r="N1760" s="1"/>
      <c r="P1760" s="1"/>
      <c r="Q1760" s="1"/>
    </row>
    <row r="1761" spans="13:17" x14ac:dyDescent="0.25">
      <c r="M1761" s="1"/>
      <c r="N1761" s="1"/>
      <c r="P1761" s="1"/>
      <c r="Q1761" s="1"/>
    </row>
    <row r="1762" spans="13:17" x14ac:dyDescent="0.25">
      <c r="M1762" s="1"/>
      <c r="N1762" s="1"/>
      <c r="P1762" s="1"/>
      <c r="Q1762" s="1"/>
    </row>
    <row r="1763" spans="13:17" x14ac:dyDescent="0.25">
      <c r="M1763" s="1"/>
      <c r="N1763" s="1"/>
      <c r="P1763" s="1"/>
      <c r="Q1763" s="1"/>
    </row>
    <row r="1764" spans="13:17" x14ac:dyDescent="0.25">
      <c r="M1764" s="1"/>
      <c r="N1764" s="1"/>
      <c r="P1764" s="1"/>
      <c r="Q1764" s="1"/>
    </row>
    <row r="1765" spans="13:17" x14ac:dyDescent="0.25">
      <c r="M1765" s="1"/>
      <c r="N1765" s="1"/>
      <c r="P1765" s="1"/>
      <c r="Q1765" s="1"/>
    </row>
    <row r="1766" spans="13:17" x14ac:dyDescent="0.25">
      <c r="M1766" s="1"/>
      <c r="N1766" s="1"/>
      <c r="P1766" s="1"/>
      <c r="Q1766" s="1"/>
    </row>
    <row r="1767" spans="13:17" x14ac:dyDescent="0.25">
      <c r="M1767" s="1"/>
      <c r="N1767" s="1"/>
      <c r="P1767" s="1"/>
      <c r="Q1767" s="1"/>
    </row>
    <row r="1768" spans="13:17" x14ac:dyDescent="0.25">
      <c r="M1768" s="1"/>
      <c r="N1768" s="1"/>
      <c r="P1768" s="1"/>
      <c r="Q1768" s="1"/>
    </row>
    <row r="1769" spans="13:17" x14ac:dyDescent="0.25">
      <c r="M1769" s="1"/>
      <c r="N1769" s="1"/>
      <c r="P1769" s="1"/>
      <c r="Q1769" s="1"/>
    </row>
    <row r="1770" spans="13:17" x14ac:dyDescent="0.25">
      <c r="M1770" s="1"/>
      <c r="N1770" s="1"/>
      <c r="P1770" s="1"/>
      <c r="Q1770" s="1"/>
    </row>
    <row r="1771" spans="13:17" x14ac:dyDescent="0.25">
      <c r="M1771" s="1"/>
      <c r="N1771" s="1"/>
      <c r="P1771" s="1"/>
      <c r="Q1771" s="1"/>
    </row>
    <row r="1772" spans="13:17" x14ac:dyDescent="0.25">
      <c r="M1772" s="1"/>
      <c r="N1772" s="1"/>
      <c r="P1772" s="1"/>
      <c r="Q1772" s="1"/>
    </row>
    <row r="1773" spans="13:17" x14ac:dyDescent="0.25">
      <c r="M1773" s="1"/>
      <c r="N1773" s="1"/>
      <c r="P1773" s="1"/>
      <c r="Q1773" s="1"/>
    </row>
    <row r="1774" spans="13:17" x14ac:dyDescent="0.25">
      <c r="M1774" s="1"/>
      <c r="N1774" s="1"/>
      <c r="P1774" s="1"/>
      <c r="Q1774" s="1"/>
    </row>
    <row r="1775" spans="13:17" x14ac:dyDescent="0.25">
      <c r="M1775" s="1"/>
      <c r="N1775" s="1"/>
      <c r="P1775" s="1"/>
      <c r="Q1775" s="1"/>
    </row>
    <row r="1776" spans="13:17" x14ac:dyDescent="0.25">
      <c r="M1776" s="1"/>
      <c r="N1776" s="1"/>
      <c r="P1776" s="1"/>
      <c r="Q1776" s="1"/>
    </row>
    <row r="1777" spans="13:17" x14ac:dyDescent="0.25">
      <c r="M1777" s="1"/>
      <c r="N1777" s="1"/>
      <c r="P1777" s="1"/>
      <c r="Q1777" s="1"/>
    </row>
    <row r="1778" spans="13:17" x14ac:dyDescent="0.25">
      <c r="M1778" s="1"/>
      <c r="N1778" s="1"/>
      <c r="P1778" s="1"/>
      <c r="Q1778" s="1"/>
    </row>
    <row r="1779" spans="13:17" x14ac:dyDescent="0.25">
      <c r="M1779" s="1"/>
      <c r="N1779" s="1"/>
      <c r="P1779" s="1"/>
      <c r="Q1779" s="1"/>
    </row>
    <row r="1780" spans="13:17" x14ac:dyDescent="0.25">
      <c r="M1780" s="1"/>
      <c r="N1780" s="1"/>
      <c r="P1780" s="1"/>
      <c r="Q1780" s="1"/>
    </row>
    <row r="1781" spans="13:17" x14ac:dyDescent="0.25">
      <c r="M1781" s="1"/>
      <c r="N1781" s="1"/>
      <c r="P1781" s="1"/>
      <c r="Q1781" s="1"/>
    </row>
    <row r="1782" spans="13:17" x14ac:dyDescent="0.25">
      <c r="M1782" s="1"/>
      <c r="N1782" s="1"/>
      <c r="P1782" s="1"/>
      <c r="Q1782" s="1"/>
    </row>
    <row r="1783" spans="13:17" x14ac:dyDescent="0.25">
      <c r="M1783" s="1"/>
      <c r="N1783" s="1"/>
      <c r="P1783" s="1"/>
      <c r="Q1783" s="1"/>
    </row>
    <row r="1784" spans="13:17" x14ac:dyDescent="0.25">
      <c r="M1784" s="1"/>
      <c r="N1784" s="1"/>
      <c r="P1784" s="1"/>
      <c r="Q1784" s="1"/>
    </row>
    <row r="1785" spans="13:17" x14ac:dyDescent="0.25">
      <c r="M1785" s="1"/>
      <c r="N1785" s="1"/>
      <c r="P1785" s="1"/>
      <c r="Q1785" s="1"/>
    </row>
    <row r="1786" spans="13:17" x14ac:dyDescent="0.25">
      <c r="M1786" s="1"/>
      <c r="N1786" s="1"/>
      <c r="P1786" s="1"/>
      <c r="Q1786" s="1"/>
    </row>
    <row r="1787" spans="13:17" x14ac:dyDescent="0.25">
      <c r="M1787" s="1"/>
      <c r="N1787" s="1"/>
      <c r="P1787" s="1"/>
      <c r="Q1787" s="1"/>
    </row>
    <row r="1788" spans="13:17" x14ac:dyDescent="0.25">
      <c r="M1788" s="1"/>
      <c r="N1788" s="1"/>
      <c r="P1788" s="1"/>
      <c r="Q1788" s="1"/>
    </row>
    <row r="1789" spans="13:17" x14ac:dyDescent="0.25">
      <c r="M1789" s="1"/>
      <c r="N1789" s="1"/>
      <c r="P1789" s="1"/>
      <c r="Q1789" s="1"/>
    </row>
    <row r="1790" spans="13:17" x14ac:dyDescent="0.25">
      <c r="M1790" s="1"/>
      <c r="N1790" s="1"/>
      <c r="P1790" s="1"/>
      <c r="Q1790" s="1"/>
    </row>
    <row r="1791" spans="13:17" x14ac:dyDescent="0.25">
      <c r="M1791" s="1"/>
      <c r="N1791" s="1"/>
      <c r="P1791" s="1"/>
      <c r="Q1791" s="1"/>
    </row>
    <row r="1792" spans="13:17" x14ac:dyDescent="0.25">
      <c r="M1792" s="1"/>
      <c r="N1792" s="1"/>
      <c r="P1792" s="1"/>
      <c r="Q1792" s="1"/>
    </row>
    <row r="1793" spans="13:17" x14ac:dyDescent="0.25">
      <c r="M1793" s="1"/>
      <c r="N1793" s="1"/>
      <c r="P1793" s="1"/>
      <c r="Q1793" s="1"/>
    </row>
    <row r="1794" spans="13:17" x14ac:dyDescent="0.25">
      <c r="M1794" s="1"/>
      <c r="N1794" s="1"/>
      <c r="P1794" s="1"/>
      <c r="Q1794" s="1"/>
    </row>
    <row r="1795" spans="13:17" x14ac:dyDescent="0.25">
      <c r="M1795" s="1"/>
      <c r="N1795" s="1"/>
      <c r="P1795" s="1"/>
      <c r="Q1795" s="1"/>
    </row>
    <row r="1796" spans="13:17" x14ac:dyDescent="0.25">
      <c r="M1796" s="1"/>
      <c r="N1796" s="1"/>
      <c r="P1796" s="1"/>
      <c r="Q1796" s="1"/>
    </row>
    <row r="1797" spans="13:17" x14ac:dyDescent="0.25">
      <c r="M1797" s="1"/>
      <c r="N1797" s="1"/>
      <c r="P1797" s="1"/>
      <c r="Q1797" s="1"/>
    </row>
    <row r="1798" spans="13:17" x14ac:dyDescent="0.25">
      <c r="M1798" s="1"/>
      <c r="N1798" s="1"/>
      <c r="P1798" s="1"/>
      <c r="Q1798" s="1"/>
    </row>
    <row r="1799" spans="13:17" x14ac:dyDescent="0.25">
      <c r="M1799" s="1"/>
      <c r="N1799" s="1"/>
      <c r="P1799" s="1"/>
      <c r="Q1799" s="1"/>
    </row>
    <row r="1800" spans="13:17" x14ac:dyDescent="0.25">
      <c r="M1800" s="1"/>
      <c r="N1800" s="1"/>
      <c r="P1800" s="1"/>
      <c r="Q1800" s="1"/>
    </row>
    <row r="1801" spans="13:17" x14ac:dyDescent="0.25">
      <c r="M1801" s="1"/>
      <c r="N1801" s="1"/>
      <c r="P1801" s="1"/>
      <c r="Q1801" s="1"/>
    </row>
    <row r="1802" spans="13:17" x14ac:dyDescent="0.25">
      <c r="M1802" s="1"/>
      <c r="N1802" s="1"/>
      <c r="P1802" s="1"/>
      <c r="Q1802" s="1"/>
    </row>
    <row r="1803" spans="13:17" x14ac:dyDescent="0.25">
      <c r="M1803" s="1"/>
      <c r="N1803" s="1"/>
      <c r="P1803" s="1"/>
      <c r="Q1803" s="1"/>
    </row>
    <row r="1804" spans="13:17" x14ac:dyDescent="0.25">
      <c r="M1804" s="1"/>
      <c r="N1804" s="1"/>
      <c r="P1804" s="1"/>
      <c r="Q1804" s="1"/>
    </row>
    <row r="1805" spans="13:17" x14ac:dyDescent="0.25">
      <c r="M1805" s="1"/>
      <c r="N1805" s="1"/>
      <c r="P1805" s="1"/>
      <c r="Q1805" s="1"/>
    </row>
    <row r="1806" spans="13:17" x14ac:dyDescent="0.25">
      <c r="M1806" s="1"/>
      <c r="N1806" s="1"/>
      <c r="P1806" s="1"/>
      <c r="Q1806" s="1"/>
    </row>
    <row r="1807" spans="13:17" x14ac:dyDescent="0.25">
      <c r="M1807" s="1"/>
      <c r="N1807" s="1"/>
      <c r="P1807" s="1"/>
      <c r="Q1807" s="1"/>
    </row>
    <row r="1808" spans="13:17" x14ac:dyDescent="0.25">
      <c r="M1808" s="1"/>
      <c r="N1808" s="1"/>
      <c r="P1808" s="1"/>
      <c r="Q1808" s="1"/>
    </row>
    <row r="1809" spans="13:17" x14ac:dyDescent="0.25">
      <c r="M1809" s="1"/>
      <c r="N1809" s="1"/>
      <c r="P1809" s="1"/>
      <c r="Q1809" s="1"/>
    </row>
    <row r="1810" spans="13:17" x14ac:dyDescent="0.25">
      <c r="M1810" s="1"/>
      <c r="N1810" s="1"/>
      <c r="P1810" s="1"/>
      <c r="Q1810" s="1"/>
    </row>
    <row r="1811" spans="13:17" x14ac:dyDescent="0.25">
      <c r="M1811" s="1"/>
      <c r="N1811" s="1"/>
      <c r="P1811" s="1"/>
      <c r="Q1811" s="1"/>
    </row>
    <row r="1812" spans="13:17" x14ac:dyDescent="0.25">
      <c r="M1812" s="1"/>
      <c r="N1812" s="1"/>
      <c r="P1812" s="1"/>
      <c r="Q1812" s="1"/>
    </row>
    <row r="1813" spans="13:17" x14ac:dyDescent="0.25">
      <c r="M1813" s="1"/>
      <c r="N1813" s="1"/>
      <c r="P1813" s="1"/>
      <c r="Q1813" s="1"/>
    </row>
    <row r="1814" spans="13:17" x14ac:dyDescent="0.25">
      <c r="M1814" s="1"/>
      <c r="N1814" s="1"/>
      <c r="P1814" s="1"/>
      <c r="Q1814" s="1"/>
    </row>
    <row r="1815" spans="13:17" x14ac:dyDescent="0.25">
      <c r="M1815" s="1"/>
      <c r="N1815" s="1"/>
      <c r="P1815" s="1"/>
      <c r="Q1815" s="1"/>
    </row>
    <row r="1816" spans="13:17" x14ac:dyDescent="0.25">
      <c r="M1816" s="1"/>
      <c r="N1816" s="1"/>
      <c r="P1816" s="1"/>
      <c r="Q1816" s="1"/>
    </row>
    <row r="1817" spans="13:17" x14ac:dyDescent="0.25">
      <c r="M1817" s="1"/>
      <c r="N1817" s="1"/>
      <c r="P1817" s="1"/>
      <c r="Q1817" s="1"/>
    </row>
    <row r="1818" spans="13:17" x14ac:dyDescent="0.25">
      <c r="M1818" s="1"/>
      <c r="N1818" s="1"/>
      <c r="P1818" s="1"/>
      <c r="Q1818" s="1"/>
    </row>
    <row r="1819" spans="13:17" x14ac:dyDescent="0.25">
      <c r="M1819" s="1"/>
      <c r="N1819" s="1"/>
      <c r="P1819" s="1"/>
      <c r="Q1819" s="1"/>
    </row>
    <row r="1820" spans="13:17" x14ac:dyDescent="0.25">
      <c r="M1820" s="1"/>
      <c r="N1820" s="1"/>
      <c r="P1820" s="1"/>
      <c r="Q1820" s="1"/>
    </row>
    <row r="1821" spans="13:17" x14ac:dyDescent="0.25">
      <c r="M1821" s="1"/>
      <c r="N1821" s="1"/>
      <c r="P1821" s="1"/>
      <c r="Q1821" s="1"/>
    </row>
    <row r="1822" spans="13:17" x14ac:dyDescent="0.25">
      <c r="M1822" s="1"/>
      <c r="N1822" s="1"/>
      <c r="P1822" s="1"/>
      <c r="Q1822" s="1"/>
    </row>
    <row r="1823" spans="13:17" x14ac:dyDescent="0.25">
      <c r="M1823" s="1"/>
      <c r="N1823" s="1"/>
      <c r="P1823" s="1"/>
      <c r="Q1823" s="1"/>
    </row>
    <row r="1824" spans="13:17" x14ac:dyDescent="0.25">
      <c r="M1824" s="1"/>
      <c r="N1824" s="1"/>
      <c r="P1824" s="1"/>
      <c r="Q1824" s="1"/>
    </row>
    <row r="1825" spans="13:17" x14ac:dyDescent="0.25">
      <c r="M1825" s="1"/>
      <c r="N1825" s="1"/>
      <c r="P1825" s="1"/>
      <c r="Q1825" s="1"/>
    </row>
    <row r="1826" spans="13:17" x14ac:dyDescent="0.25">
      <c r="M1826" s="1"/>
      <c r="N1826" s="1"/>
      <c r="P1826" s="1"/>
      <c r="Q1826" s="1"/>
    </row>
    <row r="1827" spans="13:17" x14ac:dyDescent="0.25">
      <c r="M1827" s="1"/>
      <c r="N1827" s="1"/>
      <c r="P1827" s="1"/>
      <c r="Q1827" s="1"/>
    </row>
    <row r="1828" spans="13:17" x14ac:dyDescent="0.25">
      <c r="M1828" s="1"/>
      <c r="N1828" s="1"/>
      <c r="P1828" s="1"/>
      <c r="Q1828" s="1"/>
    </row>
    <row r="1829" spans="13:17" x14ac:dyDescent="0.25">
      <c r="M1829" s="1"/>
      <c r="N1829" s="1"/>
      <c r="P1829" s="1"/>
      <c r="Q1829" s="1"/>
    </row>
    <row r="1830" spans="13:17" x14ac:dyDescent="0.25">
      <c r="M1830" s="1"/>
      <c r="N1830" s="1"/>
      <c r="P1830" s="1"/>
      <c r="Q1830" s="1"/>
    </row>
    <row r="1831" spans="13:17" x14ac:dyDescent="0.25">
      <c r="M1831" s="1"/>
      <c r="N1831" s="1"/>
      <c r="P1831" s="1"/>
      <c r="Q1831" s="1"/>
    </row>
    <row r="1832" spans="13:17" x14ac:dyDescent="0.25">
      <c r="M1832" s="1"/>
      <c r="N1832" s="1"/>
      <c r="P1832" s="1"/>
      <c r="Q1832" s="1"/>
    </row>
    <row r="1833" spans="13:17" x14ac:dyDescent="0.25">
      <c r="M1833" s="1"/>
      <c r="N1833" s="1"/>
      <c r="P1833" s="1"/>
      <c r="Q1833" s="1"/>
    </row>
    <row r="1834" spans="13:17" x14ac:dyDescent="0.25">
      <c r="M1834" s="1"/>
      <c r="N1834" s="1"/>
      <c r="P1834" s="1"/>
      <c r="Q1834" s="1"/>
    </row>
    <row r="1835" spans="13:17" x14ac:dyDescent="0.25">
      <c r="M1835" s="1"/>
      <c r="N1835" s="1"/>
      <c r="P1835" s="1"/>
      <c r="Q1835" s="1"/>
    </row>
    <row r="1836" spans="13:17" x14ac:dyDescent="0.25">
      <c r="M1836" s="1"/>
      <c r="N1836" s="1"/>
      <c r="P1836" s="1"/>
      <c r="Q1836" s="1"/>
    </row>
    <row r="1837" spans="13:17" x14ac:dyDescent="0.25">
      <c r="M1837" s="1"/>
      <c r="N1837" s="1"/>
      <c r="P1837" s="1"/>
      <c r="Q1837" s="1"/>
    </row>
    <row r="1838" spans="13:17" x14ac:dyDescent="0.25">
      <c r="M1838" s="1"/>
      <c r="N1838" s="1"/>
      <c r="P1838" s="1"/>
      <c r="Q1838" s="1"/>
    </row>
    <row r="1839" spans="13:17" x14ac:dyDescent="0.25">
      <c r="M1839" s="1"/>
      <c r="N1839" s="1"/>
      <c r="P1839" s="1"/>
      <c r="Q1839" s="1"/>
    </row>
    <row r="1840" spans="13:17" x14ac:dyDescent="0.25">
      <c r="M1840" s="1"/>
      <c r="N1840" s="1"/>
      <c r="P1840" s="1"/>
      <c r="Q1840" s="1"/>
    </row>
    <row r="1841" spans="13:17" x14ac:dyDescent="0.25">
      <c r="M1841" s="1"/>
      <c r="N1841" s="1"/>
      <c r="P1841" s="1"/>
      <c r="Q1841" s="1"/>
    </row>
    <row r="1842" spans="13:17" x14ac:dyDescent="0.25">
      <c r="M1842" s="1"/>
      <c r="N1842" s="1"/>
      <c r="P1842" s="1"/>
      <c r="Q1842" s="1"/>
    </row>
    <row r="1843" spans="13:17" x14ac:dyDescent="0.25">
      <c r="M1843" s="1"/>
      <c r="N1843" s="1"/>
      <c r="P1843" s="1"/>
      <c r="Q1843" s="1"/>
    </row>
    <row r="1844" spans="13:17" x14ac:dyDescent="0.25">
      <c r="M1844" s="1"/>
      <c r="N1844" s="1"/>
      <c r="P1844" s="1"/>
      <c r="Q1844" s="1"/>
    </row>
    <row r="1845" spans="13:17" x14ac:dyDescent="0.25">
      <c r="M1845" s="1"/>
      <c r="N1845" s="1"/>
      <c r="P1845" s="1"/>
      <c r="Q1845" s="1"/>
    </row>
    <row r="1846" spans="13:17" x14ac:dyDescent="0.25">
      <c r="M1846" s="1"/>
      <c r="N1846" s="1"/>
      <c r="P1846" s="1"/>
      <c r="Q1846" s="1"/>
    </row>
    <row r="1847" spans="13:17" x14ac:dyDescent="0.25">
      <c r="M1847" s="1"/>
      <c r="N1847" s="1"/>
      <c r="P1847" s="1"/>
      <c r="Q1847" s="1"/>
    </row>
    <row r="1848" spans="13:17" x14ac:dyDescent="0.25">
      <c r="M1848" s="1"/>
      <c r="N1848" s="1"/>
      <c r="P1848" s="1"/>
      <c r="Q1848" s="1"/>
    </row>
    <row r="1849" spans="13:17" x14ac:dyDescent="0.25">
      <c r="M1849" s="1"/>
      <c r="N1849" s="1"/>
      <c r="P1849" s="1"/>
      <c r="Q1849" s="1"/>
    </row>
    <row r="1850" spans="13:17" x14ac:dyDescent="0.25">
      <c r="M1850" s="1"/>
      <c r="N1850" s="1"/>
      <c r="P1850" s="1"/>
      <c r="Q1850" s="1"/>
    </row>
    <row r="1851" spans="13:17" x14ac:dyDescent="0.25">
      <c r="M1851" s="1"/>
      <c r="N1851" s="1"/>
      <c r="P1851" s="1"/>
      <c r="Q1851" s="1"/>
    </row>
    <row r="1852" spans="13:17" x14ac:dyDescent="0.25">
      <c r="M1852" s="1"/>
      <c r="N1852" s="1"/>
      <c r="P1852" s="1"/>
      <c r="Q1852" s="1"/>
    </row>
    <row r="1853" spans="13:17" x14ac:dyDescent="0.25">
      <c r="M1853" s="1"/>
      <c r="N1853" s="1"/>
      <c r="P1853" s="1"/>
      <c r="Q1853" s="1"/>
    </row>
    <row r="1854" spans="13:17" x14ac:dyDescent="0.25">
      <c r="M1854" s="1"/>
      <c r="N1854" s="1"/>
      <c r="P1854" s="1"/>
      <c r="Q1854" s="1"/>
    </row>
  </sheetData>
  <pageMargins left="0.7" right="0.7" top="0.75" bottom="0.75" header="0.3" footer="0.3"/>
  <pageSetup orientation="portrait" r:id="rId13"/>
  <drawing r:id="rId14"/>
  <tableParts count="1">
    <tablePart r:id="rId15"/>
  </tableParts>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67C0D-4BD2-4DA0-84E9-6FCD965AFAB3}">
  <dimension ref="A1"/>
  <sheetViews>
    <sheetView showGridLines="0" showRowColHeaders="0" tabSelected="1" zoomScale="60" zoomScaleNormal="11" workbookViewId="0">
      <selection activeCell="BY140" sqref="BY140"/>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Dashbord</vt:lpstr>
      <vt:lpstr>Sheet1!Extract</vt:lpstr>
      <vt:lpstr>Sheet2!Extract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satwi</cp:lastModifiedBy>
  <dcterms:modified xsi:type="dcterms:W3CDTF">2023-05-25T06:37:09Z</dcterms:modified>
</cp:coreProperties>
</file>